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🔵 Daftar Pesanan" sheetId="1" r:id="rId5"/>
    <sheet state="visible" name="🔵 OrderItem" sheetId="2" r:id="rId6"/>
    <sheet state="visible" name="🔵 Produk &amp; Harga" sheetId="3" r:id="rId7"/>
    <sheet state="visible" name="🚚 Pengiriman" sheetId="4" r:id="rId8"/>
    <sheet state="visible" name="🟡 Daftar Cicilan" sheetId="5" r:id="rId9"/>
    <sheet state="visible" name="🔴 DASHBOARD Pengiriman" sheetId="6" r:id="rId10"/>
    <sheet state="visible" name="🔴 DATA Pengiriman - ORD" sheetId="7" r:id="rId11"/>
    <sheet state="visible" name="🔴 PIVOT Pengiriman" sheetId="8" r:id="rId12"/>
  </sheets>
  <definedNames>
    <definedName hidden="1" localSheetId="3" name="_xlnm._FilterDatabase">'🚚 Pengiriman'!$B$80:$G$92</definedName>
    <definedName hidden="1" localSheetId="1" name="Z_E74C8AA3_AEED_4F5C_B19C_50B24A3D1832_.wvu.FilterData">'🔵 OrderItem'!$B$5:$J$36</definedName>
    <definedName hidden="1" localSheetId="6" name="Z_7FE7F33E_B9D4_489B_A9C8_3845E62ABAD2_.wvu.FilterData">'🔴 DATA Pengiriman - ORD'!$B$2:$J$115</definedName>
    <definedName hidden="1" localSheetId="4" name="Z_1A4E6FA4_BB8C_4DEA_AE5F_601057E21D8B_.wvu.FilterData">'🟡 Daftar Cicilan'!$B$3:$Z$93</definedName>
    <definedName hidden="1" localSheetId="2" name="Z_F6A9CAB2_6422_41DE_85BA_183F30969CEB_.wvu.FilterData">'🔵 Produk &amp; Harga'!$B$2:$E$16</definedName>
    <definedName hidden="1" localSheetId="4" name="Z_1613A44E_38B2_4265_BF1F_915807F1B626_.wvu.FilterData">'🟡 Daftar Cicilan'!$B$3:$Z$93</definedName>
  </definedNames>
  <calcPr/>
  <customWorkbookViews>
    <customWorkbookView activeSheetId="0" maximized="1" windowHeight="0" windowWidth="0" guid="{1613A44E-38B2-4265-BF1F-915807F1B626}" name="Group by Jenis + Nama"/>
    <customWorkbookView activeSheetId="0" maximized="1" windowHeight="0" windowWidth="0" guid="{7FE7F33E-B9D4-489B-A9C8-3845E62ABAD2}" name="Group by Tanggal"/>
    <customWorkbookView activeSheetId="0" maximized="1" windowHeight="0" windowWidth="0" guid="{1A4E6FA4-BB8C-4DEA-AE5F-601057E21D8B}" name="Group by Jenis Item"/>
    <customWorkbookView activeSheetId="0" maximized="1" windowHeight="0" windowWidth="0" guid="{F6A9CAB2-6422-41DE-85BA-183F30969CEB}" name="Group by Item"/>
    <customWorkbookView activeSheetId="0" maximized="1" windowHeight="0" windowWidth="0" guid="{E74C8AA3-AEED-4F5C-B19C-50B24A3D1832}" name="Group by Nomor Order"/>
  </customWorkbookViews>
  <pivotCaches>
    <pivotCache cacheId="0" r:id="rId13"/>
  </pivotCaches>
</workbook>
</file>

<file path=xl/sharedStrings.xml><?xml version="1.0" encoding="utf-8"?>
<sst xmlns="http://schemas.openxmlformats.org/spreadsheetml/2006/main" count="2772" uniqueCount="673">
  <si>
    <t>Nomor Order</t>
  </si>
  <si>
    <t>Nama Pelanggan</t>
  </si>
  <si>
    <t>Share Lokasi</t>
  </si>
  <si>
    <t>Tanggal Mulai Sewa</t>
  </si>
  <si>
    <t>Durasi (Hari)</t>
  </si>
  <si>
    <t>Tanggal Selesai Sewa</t>
  </si>
  <si>
    <t>Tanggal Jemput Real</t>
  </si>
  <si>
    <t>Jenis Pengantaran</t>
  </si>
  <si>
    <t>Jenis Pengambilan</t>
  </si>
  <si>
    <t>Items</t>
  </si>
  <si>
    <t>Subtotal Item (IDR)</t>
  </si>
  <si>
    <t>Subtotal Ongkir Tertagih</t>
  </si>
  <si>
    <t>Diskon Ongkir</t>
  </si>
  <si>
    <t>Total Tagihan</t>
  </si>
  <si>
    <t>Jarak Antar (km)</t>
  </si>
  <si>
    <t>Real Ongkir</t>
  </si>
  <si>
    <t>Nominal DP</t>
  </si>
  <si>
    <t>DP Terbayar?</t>
  </si>
  <si>
    <t>Nominal Pelunasan</t>
  </si>
  <si>
    <t>Lunas?</t>
  </si>
  <si>
    <t>Sudah Antar?</t>
  </si>
  <si>
    <t>Sudah Jemput?</t>
  </si>
  <si>
    <t>Ongkir Santi Terbayar?</t>
  </si>
  <si>
    <t>Tanggal Bayar Ongkir</t>
  </si>
  <si>
    <t>Notes</t>
  </si>
  <si>
    <t>notes2</t>
  </si>
  <si>
    <t>ORD-001</t>
  </si>
  <si>
    <t>Agashi</t>
  </si>
  <si>
    <t>7° 46' 26.634" S 110° 22' 57.4212" E</t>
  </si>
  <si>
    <t>Mandiri</t>
  </si>
  <si>
    <t>Fortuner</t>
  </si>
  <si>
    <t>ORD-002</t>
  </si>
  <si>
    <t>Via</t>
  </si>
  <si>
    <t>Rumah Raharja</t>
  </si>
  <si>
    <t>ORD-003</t>
  </si>
  <si>
    <t>Adani</t>
  </si>
  <si>
    <t>7° 41' 56.3453" S 110° 23' 14.1965" E</t>
  </si>
  <si>
    <t>Display</t>
  </si>
  <si>
    <t>ORD-004</t>
  </si>
  <si>
    <t>Harza</t>
  </si>
  <si>
    <t>RM. Ono Sambele</t>
  </si>
  <si>
    <t>ORD-005</t>
  </si>
  <si>
    <t>Nisrina</t>
  </si>
  <si>
    <t>Jl. Masjid Besar No.905</t>
  </si>
  <si>
    <t>ORD-006</t>
  </si>
  <si>
    <t>Vivi</t>
  </si>
  <si>
    <t>Gloria Motor Katamso, Yka</t>
  </si>
  <si>
    <t>ORD-007</t>
  </si>
  <si>
    <t>Danie</t>
  </si>
  <si>
    <t>PESONA MENTARI REGENCY</t>
  </si>
  <si>
    <t>ORD-009</t>
  </si>
  <si>
    <t>Lucky Enjang</t>
  </si>
  <si>
    <t>BMT BIF Cabang Tajem</t>
  </si>
  <si>
    <t>ORD-010</t>
  </si>
  <si>
    <t>Felis/Ella</t>
  </si>
  <si>
    <t>Jitar Dukuh</t>
  </si>
  <si>
    <t>ORD-011</t>
  </si>
  <si>
    <t>Yani Andari</t>
  </si>
  <si>
    <t>HOS Warehouse</t>
  </si>
  <si>
    <t>https://maps.app.goo.gl/K4woaNZWsjoxXSvg8</t>
  </si>
  <si>
    <t>ORD-012</t>
  </si>
  <si>
    <t>Abdul Azis</t>
  </si>
  <si>
    <t>7° 46' 29.7264" S 110° 18' 51.2064" E</t>
  </si>
  <si>
    <t>ORD-013</t>
  </si>
  <si>
    <t>Intan</t>
  </si>
  <si>
    <t>Griya Alvita AK-4</t>
  </si>
  <si>
    <t>ORD-014</t>
  </si>
  <si>
    <t>Fendy</t>
  </si>
  <si>
    <t>7° 48' 52.3195" S 110° 24' 26.6198" E</t>
  </si>
  <si>
    <t>ORD-015</t>
  </si>
  <si>
    <t>Antoni</t>
  </si>
  <si>
    <t>TUGU BINTANG DUSUN NYAMPLUNG</t>
  </si>
  <si>
    <t>ORD-016</t>
  </si>
  <si>
    <t>Feris</t>
  </si>
  <si>
    <t>7° 43' 19.7926" S 110° 23' 33.1865" E</t>
  </si>
  <si>
    <t>ORD-017</t>
  </si>
  <si>
    <t>ORD-018</t>
  </si>
  <si>
    <t>Alfrida</t>
  </si>
  <si>
    <t>Kontrakan Gg.Mulyadi</t>
  </si>
  <si>
    <t>ORD-019</t>
  </si>
  <si>
    <t>Dzaky</t>
  </si>
  <si>
    <t>7° 42' 47.7036" S 110° 17' 7.3248" E</t>
  </si>
  <si>
    <t>ORD-020</t>
  </si>
  <si>
    <t>Eksperian</t>
  </si>
  <si>
    <t>Perumahan Taman Ayom</t>
  </si>
  <si>
    <t>ORD-021</t>
  </si>
  <si>
    <t>Muji</t>
  </si>
  <si>
    <t>Jalan Kaliurang No.km 19</t>
  </si>
  <si>
    <t>ORD-022</t>
  </si>
  <si>
    <t>Jhon BT</t>
  </si>
  <si>
    <t>Gg. Saridi No.567</t>
  </si>
  <si>
    <t>ORD-023</t>
  </si>
  <si>
    <t>Asti</t>
  </si>
  <si>
    <t>BATIKEAKU 2</t>
  </si>
  <si>
    <t>ORD-024</t>
  </si>
  <si>
    <t>Aries</t>
  </si>
  <si>
    <t>7° 44' 36.2404" S 110° 24' 12.6673" E</t>
  </si>
  <si>
    <t>bolak balik hujan</t>
  </si>
  <si>
    <t>ORD-025</t>
  </si>
  <si>
    <t>Zami</t>
  </si>
  <si>
    <t>Omah Cucu Teta</t>
  </si>
  <si>
    <t>ORD-026</t>
  </si>
  <si>
    <t>Misfa</t>
  </si>
  <si>
    <t>Young Independent Home Produksi</t>
  </si>
  <si>
    <t>ORD-027</t>
  </si>
  <si>
    <t>Imron</t>
  </si>
  <si>
    <t>Joglo Brongkol Hall</t>
  </si>
  <si>
    <t>ORD-028</t>
  </si>
  <si>
    <t>Aryadi</t>
  </si>
  <si>
    <t>7° 48' 26.402" S 110° 24' 13.4089" E</t>
  </si>
  <si>
    <t>ORD-029</t>
  </si>
  <si>
    <t>Emma</t>
  </si>
  <si>
    <t>Komisi Penanggulangan AIDS</t>
  </si>
  <si>
    <t>ORD-030</t>
  </si>
  <si>
    <t>Harmawan</t>
  </si>
  <si>
    <t>The Swantari Terrace View Villa</t>
  </si>
  <si>
    <t>ORD-031</t>
  </si>
  <si>
    <t>Nawang</t>
  </si>
  <si>
    <t>ZAHRA IN HERE</t>
  </si>
  <si>
    <t>ORD-032</t>
  </si>
  <si>
    <t>Yayoe</t>
  </si>
  <si>
    <t>Kolam Renang Umbul Tirta</t>
  </si>
  <si>
    <t>ORD-033</t>
  </si>
  <si>
    <t>Baby</t>
  </si>
  <si>
    <t>Kost pak rakijo</t>
  </si>
  <si>
    <t>ORD-034</t>
  </si>
  <si>
    <t>Ling Santa</t>
  </si>
  <si>
    <t>Persada Homestay By WHouse</t>
  </si>
  <si>
    <t>ORD-035</t>
  </si>
  <si>
    <t>Intan Candra</t>
  </si>
  <si>
    <t>Jl. Bumijo Tengah No.3</t>
  </si>
  <si>
    <t>ORD-036</t>
  </si>
  <si>
    <t>Alex</t>
  </si>
  <si>
    <t>State Elementary School, Bokong</t>
  </si>
  <si>
    <t>ORD-037</t>
  </si>
  <si>
    <t>Armyda</t>
  </si>
  <si>
    <t>7° 48' 39.7901" S 110° 17' 25.9807" E</t>
  </si>
  <si>
    <t>ORD-038</t>
  </si>
  <si>
    <t>Adhitama</t>
  </si>
  <si>
    <t>BPKI Dinas Pariwisata DIY</t>
  </si>
  <si>
    <t>ORD-039</t>
  </si>
  <si>
    <t>Qui - Jo</t>
  </si>
  <si>
    <t>Gg. Bougenville 8-3</t>
  </si>
  <si>
    <t>ORD-040</t>
  </si>
  <si>
    <t>Anik</t>
  </si>
  <si>
    <t>Digituin Creative Lab</t>
  </si>
  <si>
    <t>ORD-041</t>
  </si>
  <si>
    <t>Salsaa</t>
  </si>
  <si>
    <t>7° 44' 45.9838" S 110° 22' 16.9262" E</t>
  </si>
  <si>
    <t>ORD-042</t>
  </si>
  <si>
    <t>Nita</t>
  </si>
  <si>
    <t>Nitasya MUA &amp; MANA Kopi Office</t>
  </si>
  <si>
    <t>ORD-043</t>
  </si>
  <si>
    <t>Wening</t>
  </si>
  <si>
    <t>7° 44' 22.978" S 110° 19' 24.9078" E</t>
  </si>
  <si>
    <t>ORD-044</t>
  </si>
  <si>
    <t>Andhi</t>
  </si>
  <si>
    <t>Kalya Hotel</t>
  </si>
  <si>
    <t>ORD-045</t>
  </si>
  <si>
    <t>Uwie</t>
  </si>
  <si>
    <t>Singgah.ndalem</t>
  </si>
  <si>
    <t>ORD-046</t>
  </si>
  <si>
    <t>Taufik</t>
  </si>
  <si>
    <t>7° 43' 33.7901" S 110° 15' 46.994" E</t>
  </si>
  <si>
    <t>ORD-047</t>
  </si>
  <si>
    <t>Hernawan</t>
  </si>
  <si>
    <t>Homestay Mondoroko "Bu Renuk"</t>
  </si>
  <si>
    <t>ORD-048</t>
  </si>
  <si>
    <t>Wahida</t>
  </si>
  <si>
    <t>Griya Nousha</t>
  </si>
  <si>
    <t>ORD-049</t>
  </si>
  <si>
    <t>Helena</t>
  </si>
  <si>
    <t>ORD-050</t>
  </si>
  <si>
    <t xml:space="preserve">Bu Pujo </t>
  </si>
  <si>
    <t>7° 46' 12" S 110° 19' 57.9" E</t>
  </si>
  <si>
    <t>ORD-051</t>
  </si>
  <si>
    <t>Meilina</t>
  </si>
  <si>
    <t>Sambara HomeStay</t>
  </si>
  <si>
    <t>ORD-052</t>
  </si>
  <si>
    <t>ORD-053</t>
  </si>
  <si>
    <t>Retno</t>
  </si>
  <si>
    <t>Royal Sedayu Residence</t>
  </si>
  <si>
    <t>ORD-054</t>
  </si>
  <si>
    <t>Supriyanto</t>
  </si>
  <si>
    <t>ORD-055</t>
  </si>
  <si>
    <t>M. Lutfi</t>
  </si>
  <si>
    <t>Homestay Sido Sare</t>
  </si>
  <si>
    <t>ORD-056</t>
  </si>
  <si>
    <t>Andi</t>
  </si>
  <si>
    <t>Gg. Loncang No.162-136</t>
  </si>
  <si>
    <t>ORD-057</t>
  </si>
  <si>
    <t>Tri Widh</t>
  </si>
  <si>
    <t>7° 44' 21.0905" S 110° 24' 28.4566" E</t>
  </si>
  <si>
    <t>ORD-058</t>
  </si>
  <si>
    <t xml:space="preserve">Oni </t>
  </si>
  <si>
    <t>ORD-059</t>
  </si>
  <si>
    <t>ORD-060</t>
  </si>
  <si>
    <t>ORD-061</t>
  </si>
  <si>
    <t>ORD-062</t>
  </si>
  <si>
    <t>ORD-063</t>
  </si>
  <si>
    <t>ORD-064</t>
  </si>
  <si>
    <t>FALSE</t>
  </si>
  <si>
    <t>Item</t>
  </si>
  <si>
    <t>Jumlah Item</t>
  </si>
  <si>
    <t>Harga Satuan</t>
  </si>
  <si>
    <t>Harga Harian</t>
  </si>
  <si>
    <t>Total Biaya Order (IDR)</t>
  </si>
  <si>
    <t>Kasur 90x200</t>
  </si>
  <si>
    <t>Paket 90x200</t>
  </si>
  <si>
    <t>Paket 160x200</t>
  </si>
  <si>
    <t>Paket 100x200</t>
  </si>
  <si>
    <t>Paket 120x200</t>
  </si>
  <si>
    <t>Ekstra Guling</t>
  </si>
  <si>
    <t>Ekstra Bantal</t>
  </si>
  <si>
    <t>Tanggal Mulai Berlaku</t>
  </si>
  <si>
    <t>Tanggal Berakhir</t>
  </si>
  <si>
    <t>Harga Sewa Harian</t>
  </si>
  <si>
    <t>Ekstra Selimut</t>
  </si>
  <si>
    <t>No</t>
  </si>
  <si>
    <t>Nama</t>
  </si>
  <si>
    <t>Lokasi</t>
  </si>
  <si>
    <t>Tanggal Antar</t>
  </si>
  <si>
    <t>Antar</t>
  </si>
  <si>
    <t>✅</t>
  </si>
  <si>
    <t>Tanggal Jemput</t>
  </si>
  <si>
    <t>Jemput</t>
  </si>
  <si>
    <t>Barang</t>
  </si>
  <si>
    <t>Kekurangan</t>
  </si>
  <si>
    <t>Total</t>
  </si>
  <si>
    <t>Denda</t>
  </si>
  <si>
    <t>Tip</t>
  </si>
  <si>
    <t>Abdul Aziz</t>
  </si>
  <si>
    <t>Perum Griya Hijau Godean</t>
  </si>
  <si>
    <t xml:space="preserve">PAKET Queen 160 → 1 pcs </t>
  </si>
  <si>
    <t>BMT BIF Tajem</t>
  </si>
  <si>
    <t>PAKET Single 90 (sprei + bantal) → 1 pcs</t>
  </si>
  <si>
    <t>Felis Ella</t>
  </si>
  <si>
    <r>
      <rPr>
        <color rgb="FF1155CC"/>
        <u/>
      </rPr>
      <t>Link</t>
    </r>
    <r>
      <rPr/>
      <t xml:space="preserve"> Suprihatin RT 3 RW  14 </t>
    </r>
  </si>
  <si>
    <t xml:space="preserve">PAKET Queen 160 → 1 pcs 
PAKET Single 100 → 1 pcs </t>
  </si>
  <si>
    <t>Review</t>
  </si>
  <si>
    <t>Griya Alvita</t>
  </si>
  <si>
    <t>PAKET Double 120 → 1 pcs</t>
  </si>
  <si>
    <r>
      <rPr>
        <color rgb="FF1155CC"/>
        <u/>
      </rPr>
      <t xml:space="preserve">Link </t>
    </r>
    <r>
      <rPr/>
      <t>Gang beo perumahan berlian asri no A1</t>
    </r>
  </si>
  <si>
    <t xml:space="preserve">PAKET Single 100 → 2 pcs </t>
  </si>
  <si>
    <t>Yani</t>
  </si>
  <si>
    <r>
      <rPr>
        <color rgb="FF1155CC"/>
        <u/>
      </rPr>
      <t>Link</t>
    </r>
    <r>
      <rPr>
        <color rgb="FF000000"/>
      </rPr>
      <t xml:space="preserve"> Minoasri No 4
(masuk lewat Jalan Persatuan CC)</t>
    </r>
  </si>
  <si>
    <t>PAKET Queen 160 → 2 pcs 
PAKET Single 100 → 1 pcs 
PAKET Single 90 → 1 pc
Kipas Angin → 1 pc</t>
  </si>
  <si>
    <r>
      <rPr>
        <color rgb="FF1155CC"/>
        <u/>
      </rPr>
      <t>Link</t>
    </r>
    <r>
      <rPr>
        <color rgb="FF000000"/>
      </rPr>
      <t xml:space="preserve"> Salasa Collection</t>
    </r>
  </si>
  <si>
    <t xml:space="preserve">PAKET Queen 160 → 2 pcs </t>
  </si>
  <si>
    <t xml:space="preserve">PAKET Queen 160 → 1 pcs 
PAKET Double 120 → 1 pcs </t>
  </si>
  <si>
    <t xml:space="preserve">Antoni </t>
  </si>
  <si>
    <r>
      <rPr>
        <color rgb="FF1155CC"/>
        <u/>
      </rPr>
      <t>Link</t>
    </r>
    <r>
      <rPr/>
      <t xml:space="preserve"> Seyegan</t>
    </r>
  </si>
  <si>
    <t xml:space="preserve">PAKET Double 120 → 4 pcs </t>
  </si>
  <si>
    <r>
      <rPr>
        <color rgb="FF1155CC"/>
        <u/>
      </rPr>
      <t>Link</t>
    </r>
    <r>
      <rPr/>
      <t xml:space="preserve"> Greenhills sardonoharjo</t>
    </r>
  </si>
  <si>
    <t xml:space="preserve">PAKET Single 100 → 1 pcs 
PAKET Double 120→ 2 pcs 
PAKET Double 160→ 3 pcs </t>
  </si>
  <si>
    <t>Feris (extend p)</t>
  </si>
  <si>
    <r>
      <rPr>
        <color rgb="FF1155CC"/>
        <u/>
      </rPr>
      <t>Link</t>
    </r>
    <r>
      <rPr/>
      <t xml:space="preserve"> Greenhills sardonoharjo</t>
    </r>
  </si>
  <si>
    <t>Non-antar</t>
  </si>
  <si>
    <t xml:space="preserve">PAKET Double 120→ 2 pcs 
PAKET Double 160→ 2 pcs </t>
  </si>
  <si>
    <r>
      <rPr>
        <color rgb="FF1155CC"/>
        <u/>
      </rPr>
      <t>Link</t>
    </r>
    <r>
      <rPr/>
      <t xml:space="preserve"> Greenhills sardonoharjo</t>
    </r>
  </si>
  <si>
    <t>PAKET Double 120→ 1 pc
PAKET Double 160→ 1 pc</t>
  </si>
  <si>
    <r>
      <rPr>
        <color rgb="FF1155CC"/>
        <u/>
      </rPr>
      <t>Link</t>
    </r>
    <r>
      <rPr/>
      <t xml:space="preserve"> Wirogunan</t>
    </r>
  </si>
  <si>
    <t>PAKET Double 160→ 1 pc 
Add on bantal 4 pc</t>
  </si>
  <si>
    <t>Yani (extend p)</t>
  </si>
  <si>
    <t>Minoasri No 4
(masuk lewat Jalan Persatuan CC)</t>
  </si>
  <si>
    <t xml:space="preserve">PAKET Queen 160 → 1 pc </t>
  </si>
  <si>
    <t>Experian</t>
  </si>
  <si>
    <t>Ayom Kemusuk Kidul</t>
  </si>
  <si>
    <t>Jakal km 19</t>
  </si>
  <si>
    <t xml:space="preserve">PAKET Double 120 → 4 pcs 
PAKET Single 100 → 1 pcs </t>
  </si>
  <si>
    <r>
      <rPr>
        <rFont val="Arial"/>
        <color rgb="FF1155CC"/>
        <u/>
      </rPr>
      <t>Link</t>
    </r>
    <r>
      <rPr>
        <rFont val="Arial"/>
      </rPr>
      <t xml:space="preserve"> Seyegan</t>
    </r>
  </si>
  <si>
    <t xml:space="preserve">PAKET Queen 160→ 3 pcs </t>
  </si>
  <si>
    <t>XT Square</t>
  </si>
  <si>
    <t>PAKET Queen 160→ 1 pc
Sprei 100→ 1 pc</t>
  </si>
  <si>
    <t>Tot Maret</t>
  </si>
  <si>
    <t>Batikeaku 2, Bantul</t>
  </si>
  <si>
    <t xml:space="preserve">PAKET Double 120→ 2 pcs </t>
  </si>
  <si>
    <t>Concat (bolak balik)</t>
  </si>
  <si>
    <t xml:space="preserve">PAKET Single 90 → 1 pcs 
PAKET Single 100 → 2 pcs 
PAKET Single 120 → 3 pcs </t>
  </si>
  <si>
    <t>Seyegan</t>
  </si>
  <si>
    <t>PAKET Double 120→ 1 pcs 
Free sewa guling 2</t>
  </si>
  <si>
    <t>Tempel</t>
  </si>
  <si>
    <t xml:space="preserve">PAKET Queen 160 → 4 pcs </t>
  </si>
  <si>
    <t>Joglo Brongkol Godean</t>
  </si>
  <si>
    <t>Banguntapan Bantul</t>
  </si>
  <si>
    <t xml:space="preserve">PAKET Double 120→ 4 pcs </t>
  </si>
  <si>
    <t>Wirogunan</t>
  </si>
  <si>
    <t>Kulonprogo</t>
  </si>
  <si>
    <t>PAKET Single 90 → 3 pcs</t>
  </si>
  <si>
    <t>Klaci 3 Godean</t>
  </si>
  <si>
    <t>Jl Wonosari</t>
  </si>
  <si>
    <t>PAKET Single 90 → 3 pcs
PAKET Single 100 → 4 pcs
PAKET Double 120 → 3 pcs</t>
  </si>
  <si>
    <t>Tamantirto</t>
  </si>
  <si>
    <t>mandiri</t>
  </si>
  <si>
    <t>May 2026</t>
  </si>
  <si>
    <t>Tot April</t>
  </si>
  <si>
    <t>Persada Homestay</t>
  </si>
  <si>
    <t>panther om deni</t>
  </si>
  <si>
    <t xml:space="preserve">PAKET Single 90 → 3 pcs 
PAKET Single 100 → 3 pcs
PAKET Double 120 → 1 pcs 
Add on Selimut → 5 pcs </t>
  </si>
  <si>
    <t xml:space="preserve">Intan Candra </t>
  </si>
  <si>
    <t>Bumijo Tengah</t>
  </si>
  <si>
    <t>PAKET Double 120 → 2 pcs</t>
  </si>
  <si>
    <t>PAKET Queen 160 → 6 pcs 
PAKET Double 120 → 4 pcs 
Add on Bantal → 15 pcs</t>
  </si>
  <si>
    <t>Gamping</t>
  </si>
  <si>
    <t>PAKET Single 90 → 2 pcs</t>
  </si>
  <si>
    <t>HOS Cokro</t>
  </si>
  <si>
    <t>PAKET Single 90 → 2 pcs
PAKET Single 100 → 2 pcs</t>
  </si>
  <si>
    <t>Wedomartani</t>
  </si>
  <si>
    <t>fortuner</t>
  </si>
  <si>
    <t xml:space="preserve">PAKET Single 100 → 1 pcs
Add on Selimut → 1 pcs </t>
  </si>
  <si>
    <t>Ngestiharjo</t>
  </si>
  <si>
    <t xml:space="preserve">KASUR SAJA Queen 160 → 1 pcs </t>
  </si>
  <si>
    <t>Sariharjo</t>
  </si>
  <si>
    <t xml:space="preserve">KASUR SAJA Single 100 → 1 pcs </t>
  </si>
  <si>
    <t>Mlati</t>
  </si>
  <si>
    <t>Kalya Hotel Kotagede</t>
  </si>
  <si>
    <t>PAKET Single 100 → 1 pcs</t>
  </si>
  <si>
    <t>Jl. Patehan Singgah.ndalem</t>
  </si>
  <si>
    <t>Minggir</t>
  </si>
  <si>
    <t>PAKET Single 90 → 1 pcs
PAKET Single 100 → 4 pcs</t>
  </si>
  <si>
    <t>Donoharjo</t>
  </si>
  <si>
    <t>PAKET Single 90 → 3 pcs
Add on guling → 3 pcs</t>
  </si>
  <si>
    <t>Sedayu</t>
  </si>
  <si>
    <t xml:space="preserve">PAKET Double 120 → 2 pcs </t>
  </si>
  <si>
    <t>Maguwo</t>
  </si>
  <si>
    <t xml:space="preserve">PAKET Double 120 → 1 pcs </t>
  </si>
  <si>
    <t>Nogotirto</t>
  </si>
  <si>
    <t>PAKET Queen 160 → 1 pcs 
Add on guling → 2 pcs</t>
  </si>
  <si>
    <t>UMY</t>
  </si>
  <si>
    <t>pagi</t>
  </si>
  <si>
    <t>PAKET Queen 160 → 1 pcs 
PAKET Double 120 → 1 pcs 
FREE 2 guling
FREE 2 selimut</t>
  </si>
  <si>
    <t xml:space="preserve">PAKET Double 100 → 1 pcs </t>
  </si>
  <si>
    <t>PAKET Single 90 → 4 pcs
PAKET Single 100 → 1 pcs</t>
  </si>
  <si>
    <t>Ambarketawang</t>
  </si>
  <si>
    <t>Bayu</t>
  </si>
  <si>
    <t>Bantul</t>
  </si>
  <si>
    <t>Sinduharjo</t>
  </si>
  <si>
    <t>sore</t>
  </si>
  <si>
    <t xml:space="preserve">PAKET Single 100 → 1 pcs
Add on Guling → 1 pcs </t>
  </si>
  <si>
    <t>Jl. Magelang</t>
  </si>
  <si>
    <t xml:space="preserve">pagi </t>
  </si>
  <si>
    <t xml:space="preserve">PAKET Single 100 → 3 pcs
PAKET Double 120 → 5 pcs 
PAKET Queen 160 → 2 pcs </t>
  </si>
  <si>
    <t>Minomartani</t>
  </si>
  <si>
    <t xml:space="preserve">PAKET Single 90 → 4 pcs
PAKET Double 120 → 1 pcs </t>
  </si>
  <si>
    <t>Deso Ambar Village - Prambanan</t>
  </si>
  <si>
    <t xml:space="preserve">PAKET Single 90 → 1 pcs
PAKET Single 100 → 1 pcs
Add on Selimut → 2 pcs </t>
  </si>
  <si>
    <t>June 2026</t>
  </si>
  <si>
    <t>Tot May</t>
  </si>
  <si>
    <t>Abdillah Anwar</t>
  </si>
  <si>
    <t>Ngestiharjo Kasihan</t>
  </si>
  <si>
    <t xml:space="preserve">PAKET Single 90 → 2 pcs 
PAKET Single 100 → 2 pcs 
PAKET Double 120 → 6 pcs 
PAKET Queen 160 → 5 pcs
Kipas Angin → 2 pcs </t>
  </si>
  <si>
    <t>Tanggal</t>
  </si>
  <si>
    <t>Jenis</t>
  </si>
  <si>
    <t>Metode</t>
  </si>
  <si>
    <t>Nama Customer</t>
  </si>
  <si>
    <t>Column 6</t>
  </si>
  <si>
    <t>Paket 160x200, Paket 100x200</t>
  </si>
  <si>
    <t>Lucky</t>
  </si>
  <si>
    <t>Paket 160x200, Paket 100x200, Paket 90x200</t>
  </si>
  <si>
    <t>Mas Jok</t>
  </si>
  <si>
    <t>Zani</t>
  </si>
  <si>
    <t>Paket 120x200, Ekstra Bantal</t>
  </si>
  <si>
    <t>PAKET Double 120 → 2 pcs 
PAKET Queen 160 → 1 pcs 
Add on 1 bantal</t>
  </si>
  <si>
    <t xml:space="preserve"> </t>
  </si>
  <si>
    <t>Maret</t>
  </si>
  <si>
    <t>April</t>
  </si>
  <si>
    <t>May</t>
  </si>
  <si>
    <t>June</t>
  </si>
  <si>
    <t>Kode Stock</t>
  </si>
  <si>
    <t>Jenis Item</t>
  </si>
  <si>
    <t>Jenis + Nama</t>
  </si>
  <si>
    <t>Kondisi Kasur</t>
  </si>
  <si>
    <t>Harga Beli</t>
  </si>
  <si>
    <t>File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</si>
  <si>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</si>
  <si>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</si>
  <si>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</si>
  <si>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</si>
  <si>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</si>
  <si>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</si>
  <si>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</si>
  <si>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</si>
  <si>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</si>
  <si>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</si>
  <si>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</si>
  <si>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</si>
  <si>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</si>
  <si>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</si>
  <si>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</si>
  <si>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</si>
  <si>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</si>
  <si>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</si>
  <si>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</si>
  <si>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</si>
  <si>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</si>
  <si>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</si>
  <si>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</si>
  <si>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</si>
  <si>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</si>
  <si>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</si>
  <si>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</si>
  <si>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</si>
  <si>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</si>
  <si>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</si>
  <si>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</si>
  <si>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KB100RG0001</t>
  </si>
  <si>
    <t>Kasur Busa</t>
  </si>
  <si>
    <t>Royal Grand 100x200</t>
  </si>
  <si>
    <t>Felis/Ella - 
Feris</t>
  </si>
  <si>
    <t>Ling</t>
  </si>
  <si>
    <t>Qui</t>
  </si>
  <si>
    <t>Abdillah</t>
  </si>
  <si>
    <t>KB100RG0002</t>
  </si>
  <si>
    <t>KB100RG0003</t>
  </si>
  <si>
    <t>KB100RG0004</t>
  </si>
  <si>
    <t>Yani
Muji</t>
  </si>
  <si>
    <t>KB100RG0005</t>
  </si>
  <si>
    <t>KB100RG0006</t>
  </si>
  <si>
    <t>KB120RG0001</t>
  </si>
  <si>
    <t>Royal Grand 120x200</t>
  </si>
  <si>
    <t>Asti
Aryadi</t>
  </si>
  <si>
    <t>KB120RG0002</t>
  </si>
  <si>
    <t>Aziz</t>
  </si>
  <si>
    <t>KB120RG0006</t>
  </si>
  <si>
    <t>Antoni
Muji</t>
  </si>
  <si>
    <t>Zami
Aryadi</t>
  </si>
  <si>
    <t>KB120RG0003</t>
  </si>
  <si>
    <t>Aryadi
Aryadi</t>
  </si>
  <si>
    <t>KB120RG0004</t>
  </si>
  <si>
    <t>KB120RG0005</t>
  </si>
  <si>
    <t>KB160RG0001</t>
  </si>
  <si>
    <t>Royal Grand 160x200</t>
  </si>
  <si>
    <t>Kena Setrika</t>
  </si>
  <si>
    <t>Jhon</t>
  </si>
  <si>
    <t>Salsa</t>
  </si>
  <si>
    <t>Bu Pujo</t>
  </si>
  <si>
    <t>KB160RG0002</t>
  </si>
  <si>
    <t>Feris
Dzaky</t>
  </si>
  <si>
    <t>KB160RG0003</t>
  </si>
  <si>
    <t>Nisrina - 
Feris</t>
  </si>
  <si>
    <t>KB160RG0004</t>
  </si>
  <si>
    <t>Nisrina
Alfrida</t>
  </si>
  <si>
    <t>KB160RG0005</t>
  </si>
  <si>
    <t>KB160RG0006</t>
  </si>
  <si>
    <t>Yani/
Eksperian</t>
  </si>
  <si>
    <t>KB90RG0001</t>
  </si>
  <si>
    <t>Royal Grand 90x200</t>
  </si>
  <si>
    <t>Sales Order-28686.pdf</t>
  </si>
  <si>
    <t>Lucky - 
Yani</t>
  </si>
  <si>
    <t>Retno/
Tri Widh</t>
  </si>
  <si>
    <t>KB90RG0002</t>
  </si>
  <si>
    <t>KB90RG0003</t>
  </si>
  <si>
    <t>KB90RG0004</t>
  </si>
  <si>
    <t>Selimut dlm gudang</t>
  </si>
  <si>
    <t>Selimut dlm rumah</t>
  </si>
  <si>
    <t>BANCMF0012</t>
  </si>
  <si>
    <t>Bantal</t>
  </si>
  <si>
    <t>Comfy</t>
  </si>
  <si>
    <t>BANCMF0013</t>
  </si>
  <si>
    <t>BANCMF0014</t>
  </si>
  <si>
    <t>BANCMF0015</t>
  </si>
  <si>
    <t>BANCMF0001</t>
  </si>
  <si>
    <t>BANCMF0002</t>
  </si>
  <si>
    <t>BANCMF0003</t>
  </si>
  <si>
    <t>BANCMF0004</t>
  </si>
  <si>
    <t>BANCMF0005</t>
  </si>
  <si>
    <t>BANCMF0006</t>
  </si>
  <si>
    <t>BANCMF0007</t>
  </si>
  <si>
    <t>BANCMF0008</t>
  </si>
  <si>
    <t>BANCMF0009</t>
  </si>
  <si>
    <t>BANCMF0010</t>
  </si>
  <si>
    <t>UMI</t>
  </si>
  <si>
    <t>BANCMF0011</t>
  </si>
  <si>
    <t>BANCMF0016</t>
  </si>
  <si>
    <t>BANELI0001</t>
  </si>
  <si>
    <t>Elite</t>
  </si>
  <si>
    <t>BANRKG0001</t>
  </si>
  <si>
    <t>Royal King</t>
  </si>
  <si>
    <t>BANSPB0001</t>
  </si>
  <si>
    <t>Springback</t>
  </si>
  <si>
    <t>BANSPB0002</t>
  </si>
  <si>
    <t>BANSPB0003</t>
  </si>
  <si>
    <t>BANSPB0004</t>
  </si>
  <si>
    <t>BANSPB0005</t>
  </si>
  <si>
    <t>BANSPB0006</t>
  </si>
  <si>
    <t>AFIF</t>
  </si>
  <si>
    <t>BANSPB0007</t>
  </si>
  <si>
    <t>BANSPB0008</t>
  </si>
  <si>
    <t>BANSPB0009</t>
  </si>
  <si>
    <t>baru sm</t>
  </si>
  <si>
    <t>GULCMF0001</t>
  </si>
  <si>
    <t>Guling</t>
  </si>
  <si>
    <t>GULCMF0002</t>
  </si>
  <si>
    <t>GULCMF0003</t>
  </si>
  <si>
    <t>GULCMF0004</t>
  </si>
  <si>
    <t>Seprei</t>
  </si>
  <si>
    <t>⁠Coklat 100x200 (YS)</t>
  </si>
  <si>
    <t>⁠Coklat 120x200 (YS)</t>
  </si>
  <si>
    <t>⁠Coklat 160x200 (YS)</t>
  </si>
  <si>
    <t>Coklat 90x200 (WW)</t>
  </si>
  <si>
    <t>⁠Putih 160x200 (YS)</t>
  </si>
  <si>
    <t>Total Cicilan</t>
  </si>
  <si>
    <t>hutang santi</t>
  </si>
  <si>
    <t>Tenor</t>
  </si>
  <si>
    <t>tenor bulan</t>
  </si>
  <si>
    <t xml:space="preserve">Per Bulan </t>
  </si>
  <si>
    <t>cicilan per bulan</t>
  </si>
  <si>
    <t>BENAR</t>
  </si>
  <si>
    <t>Gajian Bulanan</t>
  </si>
  <si>
    <t>Gapok</t>
  </si>
  <si>
    <t>Cicilan yang SALAH</t>
  </si>
  <si>
    <t>THP</t>
  </si>
  <si>
    <t>selisih per bulan</t>
  </si>
  <si>
    <t>kok iso selisih</t>
  </si>
  <si>
    <t>diconfirm fajar</t>
  </si>
  <si>
    <t>habis gajian</t>
  </si>
  <si>
    <t>fajar aju tf balik sjeumlah selisih</t>
  </si>
  <si>
    <t>sebagai kurangan gaji</t>
  </si>
  <si>
    <t>Shipment ID</t>
  </si>
  <si>
    <t>Orders</t>
  </si>
  <si>
    <t>Total Orders</t>
  </si>
  <si>
    <t>Tanggal Perjalanan</t>
  </si>
  <si>
    <t>Customers</t>
  </si>
  <si>
    <t>Places</t>
  </si>
  <si>
    <t>Link Pengiriman</t>
  </si>
  <si>
    <t>Total Jarak</t>
  </si>
  <si>
    <t>Biaya Ongkir</t>
  </si>
  <si>
    <t>Fix?</t>
  </si>
  <si>
    <t>Terbayar?</t>
  </si>
  <si>
    <t>7° 46' 8.4922" S 110° 17' 49.4927" E</t>
  </si>
  <si>
    <t>SHP-002</t>
  </si>
  <si>
    <t>SHP-003</t>
  </si>
  <si>
    <t>7° 46' 37.2436" S 110° 17' 58.8617" E</t>
  </si>
  <si>
    <t>SHP-004</t>
  </si>
  <si>
    <t>SHP-005</t>
  </si>
  <si>
    <t>7° 43' 59.8026" S 110° 17' 56.5922" E</t>
  </si>
  <si>
    <t>SHP-007</t>
  </si>
  <si>
    <t>7° 49' 3.9223" S 110° 10' 33.8711" E</t>
  </si>
  <si>
    <t>SHP-006</t>
  </si>
  <si>
    <t>SHP-008</t>
  </si>
  <si>
    <t>SHP-009</t>
  </si>
  <si>
    <t>SHP-010</t>
  </si>
  <si>
    <t>SHP-011</t>
  </si>
  <si>
    <t>7° 44' 41.8837" S 110° 18' 19.0022" E</t>
  </si>
  <si>
    <t>SHP-012</t>
  </si>
  <si>
    <t>SHP-013</t>
  </si>
  <si>
    <t>SHP-014</t>
  </si>
  <si>
    <t>7° 46' 41.466" S 110° 14' 20.1692" E</t>
  </si>
  <si>
    <t>SHP-015</t>
  </si>
  <si>
    <t>7° 45' 37.6722" S 110° 19' 22.6934" E</t>
  </si>
  <si>
    <t>SHP-016</t>
  </si>
  <si>
    <t>SHP-017</t>
  </si>
  <si>
    <t>7° 47' 26.0974" S 110° 18' 43.1183" E</t>
  </si>
  <si>
    <t>SHP-018</t>
  </si>
  <si>
    <t>7° 48' 8.6098" S 110° 18' 25.155" E</t>
  </si>
  <si>
    <t>SHP-019</t>
  </si>
  <si>
    <t>7° 47' 4.5964" S 110° 18' 19.2784" E</t>
  </si>
  <si>
    <t>SHP-020</t>
  </si>
  <si>
    <t>7° 45' 0.7844" S 110° 16' 47.0244" E</t>
  </si>
  <si>
    <t>SHP-021</t>
  </si>
  <si>
    <t>7° 46' 16.6411" S 110° 17' 41.608" E</t>
  </si>
  <si>
    <t>SHP-022</t>
  </si>
  <si>
    <t>7° 46' 28.0852" S 110° 16' 19.5618" E</t>
  </si>
  <si>
    <t>SHP-023</t>
  </si>
  <si>
    <t>7° 43' 20.582" S 110° 10' 42.2393" E</t>
  </si>
  <si>
    <t>SHP-024</t>
  </si>
  <si>
    <t>7° 45' 12.1507" S 110° 18' 44.4002" E</t>
  </si>
  <si>
    <t>SHP-025</t>
  </si>
  <si>
    <t>7° 44' 25.1516" S 110° 15' 19.9228" E</t>
  </si>
  <si>
    <t>SHP-026</t>
  </si>
  <si>
    <t>7° 43' 58.0883" S 110° 16' 35.4806" E</t>
  </si>
  <si>
    <t>SHP-027</t>
  </si>
  <si>
    <t>SHP-028</t>
  </si>
  <si>
    <t>7° 47' 44.0858" S 110° 15' 31.9388" E</t>
  </si>
  <si>
    <t>SHP-029</t>
  </si>
  <si>
    <t>7° 45' 26.9968" S 110° 11' 46.5281" E</t>
  </si>
  <si>
    <t>SHP-030</t>
  </si>
  <si>
    <t>SHP-031</t>
  </si>
  <si>
    <t>SHP-032</t>
  </si>
  <si>
    <t>7° 45' 36.3956" S 110° 16' 0.3173" E</t>
  </si>
  <si>
    <t>SHP-033</t>
  </si>
  <si>
    <t>SHP-034</t>
  </si>
  <si>
    <t>SHP-035</t>
  </si>
  <si>
    <t>7° 43' 13.6265" S 110° 15' 34.4156" E</t>
  </si>
  <si>
    <t>SHP-036</t>
  </si>
  <si>
    <t>SHP-037</t>
  </si>
  <si>
    <t>SHP-038</t>
  </si>
  <si>
    <t>SHP-039</t>
  </si>
  <si>
    <t>7° 45' 59.954" S 110° 15' 44.7714" E</t>
  </si>
  <si>
    <t>SHP-040</t>
  </si>
  <si>
    <t>SHP-041</t>
  </si>
  <si>
    <t>7° 46' 50.174" S 110° 15' 54.0896" E</t>
  </si>
  <si>
    <t>SHP-042</t>
  </si>
  <si>
    <t>SHP-043</t>
  </si>
  <si>
    <t>SHP-044</t>
  </si>
  <si>
    <t>SHP-045</t>
  </si>
  <si>
    <t>7° 48' 8.0762" S 110° 16' 12.1886" E</t>
  </si>
  <si>
    <t>SHP-046</t>
  </si>
  <si>
    <t>SHP-047</t>
  </si>
  <si>
    <t>SHP-048A</t>
  </si>
  <si>
    <t>7° 44' 29.377" S 110° 18' 50.0299" E</t>
  </si>
  <si>
    <t>SHP-048B</t>
  </si>
  <si>
    <t>7° 45' 34.8174" S 110° 18' 38.6935" E</t>
  </si>
  <si>
    <t>SHP-049</t>
  </si>
  <si>
    <t>7° 44' 35.0506" S 110° 16' 47.0244" E</t>
  </si>
  <si>
    <t>SHP-050</t>
  </si>
  <si>
    <t>SHP-051</t>
  </si>
  <si>
    <t>7° 47' 21.8152" S 110° 17' 59.1425" E</t>
  </si>
  <si>
    <t>SHP-052</t>
  </si>
  <si>
    <t>SHP-053</t>
  </si>
  <si>
    <t>SHP-054</t>
  </si>
  <si>
    <t>7° 45' 50.7377" S 110° 18' 52.1356" E</t>
  </si>
  <si>
    <t>SHP-055</t>
  </si>
  <si>
    <t>7° 44' 15.7798" S 110° 17' 28.4201" E</t>
  </si>
  <si>
    <t>SHP-056</t>
  </si>
  <si>
    <t>SHP-057</t>
  </si>
  <si>
    <t>7° 47' 14.1634" S 110° 17' 47.341" E</t>
  </si>
  <si>
    <t>SHP-058</t>
  </si>
  <si>
    <t>SHP-059</t>
  </si>
  <si>
    <t>SHP-060</t>
  </si>
  <si>
    <t>SHP-061</t>
  </si>
  <si>
    <t>7° 44' 52.9894" S 110° 15' 23.4662" E</t>
  </si>
  <si>
    <t>SHP-062</t>
  </si>
  <si>
    <t>7° 43' 57.7218" S 110° 12' 48.6036" E</t>
  </si>
  <si>
    <t>SHP-063</t>
  </si>
  <si>
    <t>7° 44' 25.9116" S 110° 17' 54.8218" E</t>
  </si>
  <si>
    <t>SHP-064</t>
  </si>
  <si>
    <t>7° 44' 25.9116" S 110° 17' 43.3126" E</t>
  </si>
  <si>
    <t>SHP-065</t>
  </si>
  <si>
    <t>SHP-066</t>
  </si>
  <si>
    <t>SHP-067</t>
  </si>
  <si>
    <t>7° 46' 19.0484" S 110° 17' 33.6224" E</t>
  </si>
  <si>
    <t>SHP-068</t>
  </si>
  <si>
    <t>SHP-069</t>
  </si>
  <si>
    <t>SHP-070</t>
  </si>
  <si>
    <t>7° 47' 40.614" S 110° 17' 22.0945" E</t>
  </si>
  <si>
    <t>muter muter macet id adha</t>
  </si>
  <si>
    <t>SHP-071</t>
  </si>
  <si>
    <t>SHP-072</t>
  </si>
  <si>
    <t>7° 47' 23.4344" S 110° 16' 43.9979" E</t>
  </si>
  <si>
    <t>SHP-073</t>
  </si>
  <si>
    <t>7° 47' 40.614" S 110° 17' 47.341" E</t>
  </si>
  <si>
    <t>Order ID</t>
  </si>
  <si>
    <t>Urutan</t>
  </si>
  <si>
    <t>Method</t>
  </si>
  <si>
    <t>SHP-001</t>
  </si>
  <si>
    <t>?</t>
  </si>
  <si>
    <t>om denny</t>
  </si>
  <si>
    <t>UD. SGS</t>
  </si>
  <si>
    <t>SUM of Total Jarak</t>
  </si>
  <si>
    <t>SUM of Biaya Ongkir</t>
  </si>
  <si>
    <t>Mandiri Total</t>
  </si>
  <si>
    <t xml:space="preserve"> Total</t>
  </si>
  <si>
    <t>ORD-037, ORD-038</t>
  </si>
  <si>
    <t>ORD-040, ORD-039</t>
  </si>
  <si>
    <t>ORD-041, ORD-042, ORD-043</t>
  </si>
  <si>
    <t>ORD-043, ORD-042, ORD-046</t>
  </si>
  <si>
    <t>ORD-041, ORD-047</t>
  </si>
  <si>
    <t>ORD-053, ORD-054</t>
  </si>
  <si>
    <t>FALSE Total</t>
  </si>
  <si>
    <t>Display Total</t>
  </si>
  <si>
    <t>ORD-012, ORD-010, ORD-013</t>
  </si>
  <si>
    <t>ORD-011, ORD-014</t>
  </si>
  <si>
    <t>ORD-005, ORD-017</t>
  </si>
  <si>
    <t>ORD-010, ORD-005, ORD-018, ORD-016</t>
  </si>
  <si>
    <t>ORD-015, ORD-011, ORD-020</t>
  </si>
  <si>
    <t>ORD-016, ORD-011</t>
  </si>
  <si>
    <t>ORD-016, ORD-019</t>
  </si>
  <si>
    <t>ORD-021, ORD-018, ORD-016</t>
  </si>
  <si>
    <t>ORD-019, ORD-020</t>
  </si>
  <si>
    <t>ORD-032, ORD-033</t>
  </si>
  <si>
    <t>TRUE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</si>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</sst>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d&quot;, &quot;dd&quot; &quot;mmm&quot; &quot;yyyy"/>
    <numFmt numFmtId="165" formatCode="dddd&quot;, &quot;d&quot; &quot;mmm&quot; &quot;yyyy"/>
    <numFmt numFmtId="166" formatCode="[$Rp]#,##0"/>
    <numFmt numFmtId="167" formatCode="dddd, d mmmm yyyy"/>
    <numFmt numFmtId="168" formatCode="dddd, dd mmm yyyy"/>
    <numFmt numFmtId="169" formatCode="d mmmm yyyy"/>
    <numFmt numFmtId="170" formatCode="mmmm yyyy"/>
    <numFmt numFmtId="171" formatCode="ddd&quot;  &quot;"/>
    <numFmt numFmtId="172" formatCode="dd/MM/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Roboto"/>
    </font>
    <font>
      <color rgb="FFB10202"/>
      <name val="Roboto"/>
    </font>
    <font>
      <color rgb="FFBFE0F6"/>
      <name val="Roboto"/>
    </font>
    <font>
      <color theme="1"/>
      <name val="Arial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0000FF"/>
    </font>
    <font>
      <u/>
      <color rgb="FF0000FF"/>
      <name val="Arial"/>
    </font>
    <font>
      <b/>
      <sz val="20.0"/>
      <color theme="1"/>
      <name val="Arial"/>
      <scheme val="minor"/>
    </font>
    <font>
      <color rgb="FF000000"/>
      <name val="Arial"/>
      <scheme val="minor"/>
    </font>
    <font>
      <color rgb="FF434343"/>
      <name val="Arial"/>
      <scheme val="minor"/>
    </font>
    <font>
      <b/>
      <sz val="16.0"/>
      <color theme="1"/>
      <name val="Arial"/>
      <scheme val="minor"/>
    </font>
    <font/>
    <font>
      <b/>
      <u/>
      <color rgb="FFCC0000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sz val="9.0"/>
      <color theme="1"/>
      <name val="Google Sans Mono"/>
    </font>
  </fonts>
  <fills count="11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4" numFmtId="0" xfId="0" applyAlignment="1" applyFill="1" applyFont="1">
      <alignment horizontal="righ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1"/>
    </xf>
    <xf borderId="0" fillId="2" fontId="7" numFmtId="49" xfId="0" applyAlignment="1" applyFont="1" applyNumberFormat="1">
      <alignment readingOrder="0" shrinkToFit="0" vertical="center" wrapText="0"/>
    </xf>
    <xf borderId="0" fillId="2" fontId="4" numFmtId="164" xfId="0" applyAlignment="1" applyFont="1" applyNumberFormat="1">
      <alignment horizontal="right" shrinkToFit="0" vertical="center" wrapText="1"/>
    </xf>
    <xf borderId="0" fillId="2" fontId="4" numFmtId="0" xfId="0" applyAlignment="1" applyFont="1">
      <alignment horizontal="right" shrinkToFit="0" vertical="center" wrapText="1"/>
    </xf>
    <xf borderId="0" fillId="2" fontId="8" numFmtId="0" xfId="0" applyAlignment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10" numFmtId="0" xfId="0" applyAlignment="1" applyFont="1">
      <alignment readingOrder="0" shrinkToFit="0" vertical="center" wrapText="0"/>
    </xf>
    <xf borderId="0" fillId="2" fontId="4" numFmtId="0" xfId="0" applyAlignment="1" applyFont="1">
      <alignment horizontal="right" shrinkToFit="0" vertical="center" wrapText="1"/>
    </xf>
    <xf borderId="0" fillId="2" fontId="10" numFmtId="0" xfId="0" applyAlignment="1" applyFont="1">
      <alignment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165" xfId="0" applyAlignment="1" applyFont="1" applyNumberFormat="1">
      <alignment horizontal="right" shrinkToFit="0" vertical="center" wrapText="1"/>
    </xf>
    <xf borderId="0" fillId="2" fontId="4" numFmtId="0" xfId="0" applyAlignment="1" applyFont="1">
      <alignment horizontal="right" shrinkToFit="0" vertical="center" wrapText="1"/>
    </xf>
    <xf borderId="0" fillId="0" fontId="1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6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/>
    </xf>
    <xf borderId="0" fillId="0" fontId="1" numFmtId="166" xfId="0" applyFont="1" applyNumberFormat="1"/>
    <xf borderId="0" fillId="0" fontId="2" numFmtId="0" xfId="0" applyAlignment="1" applyFon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6" xfId="0" applyAlignment="1" applyFont="1" applyNumberForma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0" fontId="2" numFmtId="166" xfId="0" applyAlignment="1" applyBorder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1" numFmtId="169" xfId="0" applyAlignment="1" applyBorder="1" applyFont="1" applyNumberForma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5" fontId="1" numFmtId="169" xfId="0" applyAlignment="1" applyBorder="1" applyFont="1" applyNumberFormat="1">
      <alignment horizontal="left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0" fontId="1" numFmtId="166" xfId="0" applyAlignment="1" applyBorder="1" applyFont="1" applyNumberFormat="1">
      <alignment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1" numFmtId="169" xfId="0" applyAlignment="1" applyBorder="1" applyFont="1" applyNumberFormat="1">
      <alignment horizontal="left" readingOrder="0" shrinkToFit="0" vertical="center" wrapText="1"/>
    </xf>
    <xf borderId="1" fillId="0" fontId="10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1" fillId="4" fontId="10" numFmtId="169" xfId="0" applyAlignment="1" applyBorder="1" applyFont="1" applyNumberFormat="1">
      <alignment horizontal="left" shrinkToFit="0" wrapText="1"/>
    </xf>
    <xf borderId="1" fillId="4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wrapText="1"/>
    </xf>
    <xf borderId="1" fillId="5" fontId="10" numFmtId="169" xfId="0" applyAlignment="1" applyBorder="1" applyFont="1" applyNumberFormat="1">
      <alignment horizontal="left" shrinkToFit="0" wrapText="1"/>
    </xf>
    <xf borderId="1" fillId="5" fontId="10" numFmtId="0" xfId="0" applyAlignment="1" applyBorder="1" applyFont="1">
      <alignment horizontal="left" readingOrder="0"/>
    </xf>
    <xf borderId="1" fillId="0" fontId="10" numFmtId="166" xfId="0" applyAlignment="1" applyBorder="1" applyFont="1" applyNumberFormat="1">
      <alignment horizontal="right" readingOrder="0"/>
    </xf>
    <xf borderId="1" fillId="4" fontId="10" numFmtId="169" xfId="0" applyAlignment="1" applyBorder="1" applyFont="1" applyNumberFormat="1">
      <alignment horizontal="left" readingOrder="0" shrinkToFit="0" wrapText="1"/>
    </xf>
    <xf borderId="1" fillId="5" fontId="10" numFmtId="169" xfId="0" applyAlignment="1" applyBorder="1" applyFont="1" applyNumberFormat="1">
      <alignment horizontal="left" readingOrder="0" shrinkToFit="0" wrapText="1"/>
    </xf>
    <xf borderId="0" fillId="0" fontId="16" numFmtId="170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6" fontId="1" numFmtId="0" xfId="0" applyAlignment="1" applyFill="1" applyFont="1">
      <alignment readingOrder="0" vertical="center"/>
    </xf>
    <xf borderId="0" fillId="6" fontId="2" numFmtId="166" xfId="0" applyAlignment="1" applyFont="1" applyNumberForma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9" xfId="0" applyAlignment="1" applyFont="1" applyNumberFormat="1">
      <alignment horizontal="left" readingOrder="0" shrinkToFit="0" vertical="center" wrapText="1"/>
    </xf>
    <xf borderId="1" fillId="5" fontId="17" numFmtId="169" xfId="0" applyAlignment="1" applyBorder="1" applyFont="1" applyNumberFormat="1">
      <alignment horizontal="left" readingOrder="0" shrinkToFit="0" vertical="center" wrapText="1"/>
    </xf>
    <xf borderId="1" fillId="5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4" fontId="1" numFmtId="169" xfId="0" applyAlignment="1" applyBorder="1" applyFont="1" applyNumberFormat="1">
      <alignment horizontal="left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4" fontId="17" numFmtId="169" xfId="0" applyAlignment="1" applyBorder="1" applyFont="1" applyNumberFormat="1">
      <alignment horizontal="left" readingOrder="0" shrinkToFit="0" vertical="center" wrapText="1"/>
    </xf>
    <xf borderId="1" fillId="4" fontId="17" numFmtId="0" xfId="0" applyAlignment="1" applyBorder="1" applyFont="1">
      <alignment horizontal="left" readingOrder="0" shrinkToFit="0" vertical="center" wrapText="1"/>
    </xf>
    <xf borderId="1" fillId="0" fontId="17" numFmtId="166" xfId="0" applyAlignment="1" applyBorder="1" applyFont="1" applyNumberFormat="1">
      <alignment readingOrder="0" vertical="center"/>
    </xf>
    <xf borderId="0" fillId="0" fontId="16" numFmtId="0" xfId="0" applyAlignment="1" applyFont="1">
      <alignment horizontal="center" readingOrder="0" shrinkToFit="0" vertical="center" wrapText="1"/>
    </xf>
    <xf borderId="1" fillId="0" fontId="1" numFmtId="169" xfId="0" applyAlignment="1" applyBorder="1" applyFont="1" applyNumberFormat="1">
      <alignment horizontal="left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0" numFmtId="166" xfId="0" applyAlignment="1" applyBorder="1" applyFont="1" applyNumberFormat="1">
      <alignment horizontal="right" readingOrder="0"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horizontal="right" readingOrder="0" vertical="center"/>
    </xf>
    <xf borderId="1" fillId="0" fontId="10" numFmtId="0" xfId="0" applyAlignment="1" applyBorder="1" applyFont="1">
      <alignment shrinkToFit="0" vertical="center" wrapText="1"/>
    </xf>
    <xf borderId="1" fillId="0" fontId="1" numFmtId="169" xfId="0" applyAlignment="1" applyBorder="1" applyFont="1" applyNumberFormat="1">
      <alignment horizontal="left" shrinkToFit="0" vertical="center" wrapText="1"/>
    </xf>
    <xf borderId="0" fillId="0" fontId="10" numFmtId="166" xfId="0" applyAlignment="1" applyFont="1" applyNumberFormat="1">
      <alignment horizontal="right" vertical="center"/>
    </xf>
    <xf borderId="1" fillId="0" fontId="10" numFmtId="169" xfId="0" applyAlignment="1" applyBorder="1" applyFont="1" applyNumberFormat="1">
      <alignment horizontal="left" shrinkToFit="0" vertical="center" wrapText="1"/>
    </xf>
    <xf borderId="1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10" numFmtId="169" xfId="0" applyAlignment="1" applyBorder="1" applyFont="1" applyNumberFormat="1">
      <alignment horizontal="left" readingOrder="0" shrinkToFit="0" vertical="center" wrapText="1"/>
    </xf>
    <xf borderId="1" fillId="0" fontId="10" numFmtId="166" xfId="0" applyAlignment="1" applyBorder="1" applyFont="1" applyNumberFormat="1">
      <alignment readingOrder="0" vertical="center"/>
    </xf>
    <xf borderId="0" fillId="0" fontId="10" numFmtId="0" xfId="0" applyFont="1"/>
    <xf borderId="1" fillId="0" fontId="10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 vertical="center"/>
    </xf>
    <xf borderId="1" fillId="0" fontId="10" numFmtId="166" xfId="0" applyAlignment="1" applyBorder="1" applyFont="1" applyNumberFormat="1">
      <alignment horizontal="right" vertical="center"/>
    </xf>
    <xf borderId="1" fillId="0" fontId="10" numFmtId="0" xfId="0" applyAlignment="1" applyBorder="1" applyFont="1">
      <alignment shrinkToFit="0" vertical="center" wrapText="1"/>
    </xf>
    <xf borderId="1" fillId="0" fontId="10" numFmtId="166" xfId="0" applyAlignment="1" applyBorder="1" applyFont="1" applyNumberFormat="1">
      <alignment horizontal="right" readingOrder="0" vertical="bottom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left" vertical="center"/>
    </xf>
    <xf borderId="1" fillId="0" fontId="10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2" fillId="0" fontId="19" numFmtId="0" xfId="0" applyAlignment="1" applyBorder="1" applyFont="1">
      <alignment horizontal="center" readingOrder="0" vertical="center"/>
    </xf>
    <xf borderId="3" fillId="0" fontId="20" numFmtId="0" xfId="0" applyBorder="1" applyFont="1"/>
    <xf borderId="4" fillId="0" fontId="20" numFmtId="0" xfId="0" applyBorder="1" applyFont="1"/>
    <xf borderId="0" fillId="0" fontId="1" numFmtId="0" xfId="0" applyAlignment="1" applyFont="1">
      <alignment horizontal="center" readingOrder="0" vertical="center"/>
    </xf>
    <xf borderId="2" fillId="0" fontId="1" numFmtId="171" xfId="0" applyAlignment="1" applyBorder="1" applyFont="1" applyNumberFormat="1">
      <alignment horizontal="center" readingOrder="0"/>
    </xf>
    <xf borderId="1" fillId="0" fontId="1" numFmtId="171" xfId="0" applyAlignment="1" applyBorder="1" applyFont="1" applyNumberFormat="1">
      <alignment horizontal="center" readingOrder="0"/>
    </xf>
    <xf borderId="0" fillId="0" fontId="1" numFmtId="171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172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8" fontId="1" numFmtId="0" xfId="0" applyAlignment="1" applyBorder="1" applyFill="1" applyFont="1">
      <alignment readingOrder="0" shrinkToFit="0" vertical="center" wrapText="0"/>
    </xf>
    <xf borderId="1" fillId="9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2" xfId="0" applyAlignment="1" applyFont="1" applyNumberFormat="1">
      <alignment readingOrder="0" shrinkToFit="0" vertical="center" wrapText="0"/>
    </xf>
    <xf borderId="1" fillId="2" fontId="10" numFmtId="0" xfId="0" applyAlignment="1" applyBorder="1" applyFont="1">
      <alignment shrinkToFit="0" vertical="center" wrapText="0"/>
    </xf>
    <xf borderId="0" fillId="2" fontId="10" numFmtId="0" xfId="0" applyFont="1"/>
    <xf borderId="1" fillId="10" fontId="10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3" numFmtId="49" xfId="0" applyAlignment="1" applyFont="1" applyNumberFormat="1">
      <alignment readingOrder="0"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1"/>
    </xf>
    <xf borderId="0" fillId="0" fontId="1" numFmtId="49" xfId="0" applyFont="1" applyNumberFormat="1"/>
    <xf borderId="0" fillId="0" fontId="1" numFmtId="164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>
        <b/>
        <u/>
        <color rgb="FFCC0000"/>
      </font>
      <fill>
        <patternFill patternType="none"/>
      </fill>
      <border/>
    </dxf>
  </dxfs>
  <tableStyles count="10">
    <tableStyle count="5" pivot="0" name="🔵 Daftar Pesana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🔵 OrderItem-style">
      <tableStyleElement dxfId="7" type="headerRow"/>
      <tableStyleElement dxfId="2" type="firstRowStripe"/>
      <tableStyleElement dxfId="3" type="secondRowStripe"/>
      <tableStyleElement dxfId="5" size="0" type="wholeTable"/>
    </tableStyle>
    <tableStyle count="4" pivot="0" name="🔵 Produk &amp; Harg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🚚 Pengirima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🟡 Daftar Cicila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🟡 Daftar Cicilan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🟡 Daftar Cicilan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🟡 Daftar Cicilan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🔴 DASHBOARD Pengirima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🔴 DATA Pengiriman - ORD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14</xdr:row>
      <xdr:rowOff>0</xdr:rowOff>
    </xdr:from>
    <xdr:ext cx="314325" cy="2000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N76" sheet="🔴 DASHBOARD Pengiriman"/>
  </cacheSource>
  <cacheFields>
    <cacheField name="Shipment ID" numFmtId="0">
      <sharedItems>
        <s v="SHP-001"/>
        <s v="SHP-002"/>
        <s v="SHP-003"/>
        <s v="SHP-004"/>
        <s v="SHP-005"/>
        <s v="SHP-007"/>
        <s v="SHP-006"/>
        <s v="SHP-008"/>
        <s v="SHP-009"/>
        <s v="SHP-010"/>
        <s v="SHP-011"/>
        <s v="SHP-012"/>
        <s v="SHP-013"/>
        <s v="SHP-014"/>
        <s v="SHP-015"/>
        <s v="SHP-016"/>
        <s v="SHP-017"/>
        <s v="SHP-018"/>
        <s v="SHP-019"/>
        <s v="SHP-020"/>
        <s v="SHP-021"/>
        <s v="SHP-022"/>
        <s v="SHP-023"/>
        <s v="SHP-024"/>
        <s v="SHP-025"/>
        <s v="SHP-026"/>
        <s v="SHP-027"/>
        <s v="SHP-028"/>
        <s v="SHP-029"/>
        <s v="SHP-030"/>
        <s v="SHP-031"/>
        <s v="SHP-032"/>
        <s v="SHP-033"/>
        <s v="SHP-034"/>
        <s v="SHP-035"/>
        <s v="SHP-036"/>
        <s v="SHP-037"/>
        <s v="SHP-038"/>
        <s v="SHP-039"/>
        <s v="SHP-040"/>
        <s v="SHP-041"/>
        <s v="SHP-042"/>
        <s v="SHP-043"/>
        <s v="SHP-044"/>
        <s v="SHP-045"/>
        <s v="SHP-046"/>
        <s v="SHP-047"/>
        <s v="SHP-048A"/>
        <s v="SHP-048B"/>
        <s v="SHP-049"/>
        <s v="SHP-050"/>
        <s v="SHP-051"/>
        <s v="SHP-052"/>
        <s v="SHP-053"/>
        <s v="SHP-054"/>
        <s v="SHP-055"/>
        <s v="SHP-056"/>
        <s v="SHP-057"/>
        <s v="SHP-058"/>
        <s v="SHP-059"/>
        <s v="SHP-060"/>
        <s v="SHP-061"/>
        <s v="SHP-062"/>
        <s v="SHP-063"/>
        <s v="SHP-064"/>
        <s v="SHP-065"/>
        <s v="SHP-066"/>
        <s v="SHP-067"/>
        <s v="SHP-068"/>
        <s v="SHP-069"/>
        <s v="SHP-070"/>
        <s v="SHP-071"/>
        <s v="SHP-072"/>
        <s v="SHP-073"/>
      </sharedItems>
    </cacheField>
    <cacheField name="Metode" numFmtId="0">
      <sharedItems>
        <s v="Mandiri"/>
        <s v="Fortuner"/>
        <s v="Display"/>
      </sharedItems>
    </cacheField>
    <cacheField name="Orders" numFmtId="0">
      <sharedItems>
        <s v="ORD-001"/>
        <s v="ORD-002"/>
        <s v="ORD-003"/>
        <s v="ORD-004"/>
        <s v="ORD-006"/>
        <s v="ORD-007"/>
        <s v="ORD-012"/>
        <s v="ORD-012, ORD-010, ORD-013"/>
        <s v="ORD-009"/>
        <s v="ORD-011, ORD-014"/>
        <s v="ORD-005, ORD-017"/>
        <s v="ORD-013"/>
        <s v="ORD-015"/>
        <s v="ORD-017"/>
        <s v="ORD-010, ORD-005, ORD-018, ORD-016"/>
        <s v="ORD-015, ORD-011, ORD-020"/>
        <s v="ORD-016, ORD-011"/>
        <s v="ORD-016, ORD-019"/>
        <s v="ORD-021, ORD-018, ORD-016"/>
        <s v="ORD-014"/>
        <s v="ORD-022"/>
        <s v="ORD-019, ORD-020"/>
        <s v="ORD-023"/>
        <s v="ORD-024"/>
        <s v="ORD-025"/>
        <s v="ORD-026"/>
        <s v="ORD-028, ORD-023, ORD-025"/>
        <s v="ORD-027"/>
        <s v="ORD-030, ORD-027"/>
        <s v="ORD-029"/>
        <s v="ORD-031, ORD-030"/>
        <s v="ORD-028"/>
        <s v="ORD-031"/>
        <s v="ORD-032, ORD-033"/>
        <s v="ORD-034, ORD-035"/>
        <s v="ORD-034"/>
        <s v="ORD-035"/>
        <s v="ORD-036"/>
        <s v="ORD-037, ORD-038"/>
        <s v="ORD-039"/>
        <s v="ORD-040, ORD-039"/>
        <s v="ORD-041, ORD-042, ORD-043"/>
        <s v="ORD-044"/>
        <s v="ORD-040"/>
        <s v="ORD-045"/>
        <s v="ORD-046"/>
        <s v="ORD-043, ORD-042, ORD-046"/>
        <s v="ORD-041, ORD-047"/>
        <s v="ORD-047"/>
        <s v="ORD-048"/>
        <s v="ORD-049"/>
        <s v="ORD-050"/>
        <s v="ORD-051"/>
        <s v="ORD-049, ORD-052"/>
        <s v="ORD-053, ORD-054"/>
        <s v="ORD-052"/>
      </sharedItems>
    </cacheField>
    <cacheField name="Total Orders" numFmtId="0">
      <sharedItems containsSemiMixedTypes="0" containsString="0" containsNumber="1" containsInteger="1">
        <n v="1.0"/>
        <n v="3.0"/>
        <n v="2.0"/>
        <n v="4.0"/>
      </sharedItems>
    </cacheField>
    <cacheField name="Tanggal Perjalanan" numFmtId="164">
      <sharedItems containsSemiMixedTypes="0" containsDate="1" containsString="0">
        <d v="2026-01-30T00:00:00Z"/>
        <d v="2026-02-01T00:00:00Z"/>
        <d v="2026-02-05T00:00:00Z"/>
        <d v="2026-02-09T00:00:00Z"/>
        <d v="2026-02-14T00:00:00Z"/>
        <d v="2026-02-15T00:00:00Z"/>
        <d v="2026-02-18T00:00:00Z"/>
        <d v="2026-02-19T00:00:00Z"/>
        <d v="2026-02-20T00:00:00Z"/>
        <d v="2026-02-22T00:00:00Z"/>
        <d v="2026-03-15T00:00:00Z"/>
        <d v="2026-03-17T00:00:00Z"/>
        <d v="2026-03-18T00:00:00Z"/>
        <d v="2026-03-19T00:00:00Z"/>
        <d v="2026-03-20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1T00:00:00Z"/>
        <d v="2026-04-02T00:00:00Z"/>
        <d v="2026-04-03T00:00:00Z"/>
        <d v="2026-04-06T00:00:00Z"/>
        <d v="2026-04-09T00:00:00Z"/>
        <d v="2026-04-10T00:00:00Z"/>
        <d v="2026-04-11T00:00:00Z"/>
        <d v="2026-04-12T00:00:00Z"/>
        <d v="2026-04-13T00:00:00Z"/>
        <d v="2026-04-16T00:00:00Z"/>
        <d v="2026-04-18T00:00:00Z"/>
        <d v="2026-04-19T00:00:00Z"/>
        <d v="2026-05-01T00:00:00Z"/>
        <d v="2026-05-03T00:00:00Z"/>
        <d v="2026-05-07T00:00:00Z"/>
        <d v="2026-05-09T00:00:00Z"/>
        <d v="2026-05-10T00:00:00Z"/>
        <d v="2026-05-11T00:00:00Z"/>
        <d v="2026-05-13T00:00:00Z"/>
        <d v="2026-05-14T00:00:00Z"/>
        <d v="2026-05-15T00:00:00Z"/>
        <d v="2026-05-16T00:00:00Z"/>
        <d v="2026-05-17T00:00:00Z"/>
        <d v="2026-05-18T00:00:00Z"/>
        <d v="2026-05-20T00:00:00Z"/>
        <d v="2026-05-21T00:00:00Z"/>
        <d v="2026-05-22T00:00:00Z"/>
        <d v="2026-05-23T00:00:00Z"/>
        <d v="2026-05-25T00:00:00Z"/>
        <d v="2026-05-26T00:00:00Z"/>
      </sharedItems>
    </cacheField>
    <cacheField name="Customers" numFmtId="0">
      <sharedItems>
        <s v="Agashi"/>
        <s v="Via"/>
        <s v="Adani"/>
        <s v="Harza"/>
        <s v="Vivi"/>
        <s v="Danie"/>
        <s v="Abdul Azis"/>
        <s v="Abdul Azis, Felis/Ella, Intan"/>
        <s v="Lucky Enjang"/>
        <s v="Yani Andari, Fendy"/>
        <s v="Nisrina, Abdul Azis"/>
        <s v="Intan"/>
        <s v="Antoni"/>
        <s v="Felis/Ella, Nisrina, Alfrida, Feris"/>
        <s v="Antoni, Yani Andari, Eksperian"/>
        <s v="Feris, Yani Andari"/>
        <s v="Feris, Dzaky"/>
        <s v="Muji, Alfrida, Feris"/>
        <s v="Fendy"/>
        <s v="Jhon BT"/>
        <s v="Dzaky, Eksperian"/>
        <s v="Asti"/>
        <s v="Aries"/>
        <s v="Zami"/>
        <s v="Misfa"/>
        <s v="Aryadi, Asti, Zami"/>
        <s v="Imron"/>
        <s v="Harmawan, Imron"/>
        <s v="Emma"/>
        <s v="Nawang, Harmawan"/>
        <s v="Aryadi"/>
        <s v="Nawang"/>
        <s v="Yayoe, Baby"/>
        <s v="Ling Santa, Intan Candra"/>
        <s v="Ling Santa"/>
        <s v="Intan Candra"/>
        <s v="Alex"/>
        <s v="Armyda, Adhitama"/>
        <s v="Qui - Jo"/>
        <s v="Anik, Qui - Jo"/>
        <s v="Salsaa, Nita, Wening"/>
        <s v="Andhi"/>
        <s v="Anik"/>
        <s v="Uwie"/>
        <s v="Taufik"/>
        <s v="Wening, Nita, Taufik"/>
        <s v="Salsaa, Hernawan"/>
        <s v="Hernawan"/>
        <s v="Wahida"/>
        <s v="Helena"/>
        <s v="Bu Pujo "/>
        <s v="Meilina"/>
        <s v="Helena, Meilina"/>
        <s v="Retno, Supriyanto"/>
      </sharedItems>
    </cacheField>
    <cacheField name="Places" numFmtId="0">
      <sharedItems>
        <s v="7° 46' 26.634&quot; S 110° 22' 57.4212&quot; E"/>
        <s v="Rumah Raharja"/>
        <s v="7° 41' 56.3453&quot; S 110° 23' 14.1965&quot; E"/>
        <s v="RM. Ono Sambele"/>
        <s v="Gloria Motor Katamso, Yka"/>
        <s v="PESONA MENTARI REGENCY"/>
        <s v="7° 46' 29.7264&quot; S 110° 18' 51.2064&quot; E"/>
        <s v="7° 46' 29.7264&quot; S 110° 18' 51.2064&quot; E, Jitar Dukuh, Griya Alvita AK-4"/>
        <s v="BMT BIF Cabang Tajem"/>
        <s v="HOS Warehouse, 7° 48' 52.3195&quot; S 110° 24' 26.6198&quot; E"/>
        <s v="Jl. Masjid Besar No.905, 7° 46' 29.7264&quot; S 110° 18' 51.2064&quot; E"/>
        <s v="Griya Alvita AK-4"/>
        <s v="TUGU BINTANG DUSUN NYAMPLUNG"/>
        <s v="Jitar Dukuh, Jl. Masjid Besar No.905, Kontrakan Gg.Mulyadi, 7° 43' 19.7926&quot; S 110° 23' 33.1865&quot; E"/>
        <s v="TUGU BINTANG DUSUN NYAMPLUNG, HOS Warehouse, Perumahan Taman Ayom"/>
        <s v="7° 43' 19.7926&quot; S 110° 23' 33.1865&quot; E, HOS Warehouse"/>
        <s v="7° 43' 19.7926&quot; S 110° 23' 33.1865&quot; E, 7° 42' 47.7036&quot; S 110° 17' 7.3248&quot; E"/>
        <s v="Jalan Kaliurang No.km 19, Kontrakan Gg.Mulyadi, 7° 43' 19.7926&quot; S 110° 23' 33.1865&quot; E"/>
        <s v="7° 48' 52.3195&quot; S 110° 24' 26.6198&quot; E"/>
        <s v="Gg. Saridi No.567"/>
        <s v="7° 42' 47.7036&quot; S 110° 17' 7.3248&quot; E, Perumahan Taman Ayom"/>
        <s v="BATIKEAKU 2"/>
        <s v="7° 44' 36.2404&quot; S 110° 24' 12.6673&quot; E"/>
        <s v="Omah Cucu Teta"/>
        <s v="Young Independent Home Produksi"/>
        <s v="7° 48' 26.402&quot; S 110° 24' 13.4089&quot; E, BATIKEAKU 2, Omah Cucu Teta"/>
        <s v="Joglo Brongkol Hall"/>
        <s v="The Swantari Terrace View Villa, Joglo Brongkol Hall"/>
        <s v="Komisi Penanggulangan AIDS"/>
        <s v="ZAHRA IN HERE, The Swantari Terrace View Villa"/>
        <s v="7° 48' 26.402&quot; S 110° 24' 13.4089&quot; E"/>
        <s v="ZAHRA IN HERE"/>
        <s v="Kolam Renang Umbul Tirta, Kost pak rakijo"/>
        <s v="Persada Homestay By WHouse, Jl. Bumijo Tengah No.3"/>
        <s v="Persada Homestay By WHouse"/>
        <s v="Jl. Bumijo Tengah No.3"/>
        <s v="State Elementary School, Bokong"/>
        <s v="7° 48' 39.7901&quot; S 110° 17' 25.9807&quot; E, BPKI Dinas Pariwisata DIY"/>
        <s v="Gg. Bougenville 8-3"/>
        <s v="Digituin Creative Lab, Gg. Bougenville 8-3"/>
        <s v="7° 44' 45.9838&quot; S 110° 22' 16.9262&quot; E, Nitasya MUA &amp; MANA Kopi Office, 7° 44' 22.978&quot; S 110° 19' 24.9078&quot; E"/>
        <s v="Kalya Hotel"/>
        <s v="Digituin Creative Lab"/>
        <s v="Singgah.ndalem"/>
        <s v="7° 43' 33.7901&quot; S 110° 15' 46.994&quot; E"/>
        <s v="7° 44' 22.978&quot; S 110° 19' 24.9078&quot; E, Nitasya MUA &amp; MANA Kopi Office, 7° 43' 33.7901&quot; S 110° 15' 46.994&quot; E"/>
        <s v="7° 44' 45.9838&quot; S 110° 22' 16.9262&quot; E, Homestay Mondoroko &quot;Bu Renuk&quot;"/>
        <s v="Homestay Mondoroko &quot;Bu Renuk&quot;"/>
        <s v="Griya Nousha"/>
        <s v="7° 46' 12&quot; S 110° 19' 57.9&quot; E"/>
        <s v="Sambara HomeStay"/>
        <s v="BMT BIF Cabang Tajem, Sambara HomeStay"/>
        <s v="Royal Sedayu Residence, UD. SGS"/>
      </sharedItems>
    </cacheField>
    <cacheField name="Link Pengiriman" numFmtId="0">
      <sharedItems containsBlank="1">
        <s v="7° 46' 8.4922&quot; S 110° 17' 49.4927&quot; E"/>
        <s v="7° 46' 37.2436&quot; S 110° 17' 58.8617&quot; E"/>
        <s v="7° 43' 59.8026&quot; S 110° 17' 56.5922&quot; E"/>
        <s v="7° 49' 3.9223&quot; S 110° 10' 33.8711&quot; E"/>
        <s v="7° 44' 41.8837&quot; S 110° 18' 19.0022&quot; E"/>
        <s v="7° 46' 41.466&quot; S 110° 14' 20.1692&quot; E"/>
        <s v="7° 45' 37.6722&quot; S 110° 19' 22.6934&quot; E"/>
        <s v="7° 47' 26.0974&quot; S 110° 18' 43.1183&quot; E"/>
        <s v="7° 48' 8.6098&quot; S 110° 18' 25.155&quot; E"/>
        <s v="7° 47' 4.5964&quot; S 110° 18' 19.2784&quot; E"/>
        <s v="7° 45' 0.7844&quot; S 110° 16' 47.0244&quot; E"/>
        <s v="7° 46' 16.6411&quot; S 110° 17' 41.608&quot; E"/>
        <s v="7° 46' 28.0852&quot; S 110° 16' 19.5618&quot; E"/>
        <s v="7° 43' 20.582&quot; S 110° 10' 42.2393&quot; E"/>
        <s v="7° 45' 12.1507&quot; S 110° 18' 44.4002&quot; E"/>
        <s v="7° 44' 25.1516&quot; S 110° 15' 19.9228&quot; E"/>
        <s v="7° 43' 58.0883&quot; S 110° 16' 35.4806&quot; E"/>
        <m/>
        <s v="7° 47' 44.0858&quot; S 110° 15' 31.9388&quot; E"/>
        <s v="7° 45' 26.9968&quot; S 110° 11' 46.5281&quot; E"/>
        <s v="7° 45' 36.3956&quot; S 110° 16' 0.3173&quot; E"/>
        <s v="7° 43' 13.6265&quot; S 110° 15' 34.4156&quot; E"/>
        <s v="7° 45' 59.954&quot; S 110° 15' 44.7714&quot; E"/>
        <s v="7° 46' 50.174&quot; S 110° 15' 54.0896&quot; E"/>
        <s v="7° 48' 8.0762&quot; S 110° 16' 12.1886&quot; E"/>
        <s v="7° 44' 29.377&quot; S 110° 18' 50.0299&quot; E"/>
        <s v="7° 45' 34.8174&quot; S 110° 18' 38.6935&quot; E"/>
        <s v="7° 44' 35.0506&quot; S 110° 16' 47.0244&quot; E"/>
        <s v="7° 47' 21.8152&quot; S 110° 17' 59.1425&quot; E"/>
        <s v="7° 45' 50.7377&quot; S 110° 18' 52.1356&quot; E"/>
        <s v="7° 44' 15.7798&quot; S 110° 17' 28.4201&quot; E"/>
        <s v="7° 47' 14.1634&quot; S 110° 17' 47.341&quot; E"/>
        <s v="7° 44' 52.9894&quot; S 110° 15' 23.4662&quot; E"/>
        <s v="7° 43' 57.7218&quot; S 110° 12' 48.6036&quot; E"/>
        <s v="7° 44' 25.9116&quot; S 110° 17' 54.8218&quot; E"/>
        <s v="7° 44' 25.9116&quot; S 110° 17' 43.3126&quot; E"/>
        <s v="7° 46' 19.0484&quot; S 110° 17' 33.6224&quot; E"/>
        <s v="7° 47' 40.614&quot; S 110° 17' 22.0945&quot; E"/>
        <s v="7° 47' 23.4344&quot; S 110° 16' 43.9979&quot; E"/>
        <s v="7° 47' 40.614&quot; S 110° 17' 47.341&quot; E"/>
      </sharedItems>
    </cacheField>
    <cacheField name="Total Jarak" numFmtId="0">
      <sharedItems containsString="0" containsBlank="1" containsNumber="1">
        <n v="22.0"/>
        <n v="10.2"/>
        <n v="34.4"/>
        <n v="51.2"/>
        <n v="24.0"/>
        <n v="32.0"/>
        <n v="7.2"/>
        <n v="35.7"/>
        <n v="42.0"/>
        <n v="47.2"/>
        <n v="40.2"/>
        <n v="15.4"/>
        <n v="14.0"/>
        <n v="6.1"/>
        <n v="77.4"/>
        <n v="94.9"/>
        <n v="60.1"/>
        <n v="44.2"/>
        <n v="73.2"/>
        <m/>
        <n v="29.3"/>
        <n v="30.1"/>
        <n v="66.9"/>
        <n v="33.5"/>
        <n v="24.1"/>
        <n v="30.2"/>
        <n v="31.9"/>
        <n v="45.4"/>
        <n v="31.8"/>
        <n v="17.2"/>
        <n v="14.9"/>
        <n v="23.5"/>
        <n v="48.4"/>
        <n v="37.2"/>
        <n v="19.2"/>
        <n v="19.4"/>
        <n v="34.8"/>
        <n v="33.3"/>
        <n v="12.2"/>
        <n v="20.8"/>
        <n v="23.8"/>
        <n v="24.9"/>
      </sharedItems>
    </cacheField>
    <cacheField name="Biaya Ongkir">
      <sharedItems containsMixedTypes="1" containsNumber="1">
        <n v="14960.0"/>
        <s v=""/>
        <n v="23392.0"/>
        <n v="34816.0"/>
        <n v="16320.0"/>
        <n v="21760.0"/>
        <n v="4896.0"/>
        <n v="24276.000000000004"/>
        <n v="32096.000000000004"/>
        <n v="27336.000000000004"/>
        <n v="9520.0"/>
        <n v="4148.0"/>
        <n v="52632.00000000001"/>
        <n v="64532.00000000001"/>
        <n v="40868.0"/>
        <n v="30056.000000000004"/>
        <n v="49776.0"/>
        <n v="19924.0"/>
        <n v="20468.0"/>
        <n v="45492.00000000001"/>
        <n v="22780.0"/>
        <n v="16388.0"/>
        <n v="20536.0"/>
        <n v="21692.0"/>
        <n v="30872.0"/>
        <n v="21624.0"/>
        <n v="11696.0"/>
        <n v="10132.0"/>
        <n v="15980.0"/>
        <n v="32912.0"/>
        <n v="25296.000000000004"/>
        <n v="13056.0"/>
        <n v="13191.999999999998"/>
        <n v="23663.999999999996"/>
        <n v="22643.999999999996"/>
        <n v="8296.0"/>
        <n v="14144.0"/>
        <n v="16184.0"/>
        <n v="16932.0"/>
      </sharedItems>
    </cacheField>
    <cacheField name="Fix?" numFmtId="0">
      <sharedItems containsBlank="1">
        <b v="1"/>
        <m/>
        <b v="0"/>
      </sharedItems>
    </cacheField>
    <cacheField name="Terbayar?" numFmtId="0">
      <sharedItems containsBlank="1">
        <b v="1"/>
        <m/>
        <b v="0"/>
      </sharedItems>
    </cacheField>
    <cacheField name="Notes" numFmtId="0">
      <sharedItems containsBlank="1">
        <m/>
        <s v="muter muter macet id adh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🔴 PIVOT Pengiriman" cacheId="0" dataCaption="" compact="0" compactData="0">
  <location ref="A1:G58" firstHeaderRow="0" firstDataRow="6" firstDataCol="0"/>
  <pivotFields>
    <pivotField name="Shipment ID" axis="axisRow" compact="0" outline="0" multipleItemSelectionAllowed="1" showAll="0" sortType="ascending" defaultSubtotal="0">
      <items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name="Metode" axis="axisRow" compact="0" outline="0" multipleItemSelectionAllowed="1" showAll="0" sortType="ascending">
      <items>
        <item x="2"/>
        <item h="1" x="1"/>
        <item x="0"/>
        <item t="default"/>
      </items>
    </pivotField>
    <pivotField name="Orders" axis="axisRow" compact="0" outline="0" multipleItemSelectionAllowed="1" showAll="0" sortType="ascending" defaultSubtotal="0">
      <items>
        <item x="0"/>
        <item x="1"/>
        <item x="2"/>
        <item x="3"/>
        <item x="10"/>
        <item x="4"/>
        <item x="5"/>
        <item x="8"/>
        <item x="14"/>
        <item x="9"/>
        <item x="6"/>
        <item x="7"/>
        <item x="11"/>
        <item x="19"/>
        <item x="12"/>
        <item x="15"/>
        <item x="16"/>
        <item x="17"/>
        <item x="13"/>
        <item x="21"/>
        <item x="18"/>
        <item x="20"/>
        <item x="22"/>
        <item x="23"/>
        <item x="24"/>
        <item x="25"/>
        <item x="27"/>
        <item x="31"/>
        <item x="26"/>
        <item x="29"/>
        <item x="28"/>
        <item x="32"/>
        <item x="30"/>
        <item x="33"/>
        <item x="35"/>
        <item x="34"/>
        <item x="36"/>
        <item x="37"/>
        <item x="38"/>
        <item x="39"/>
        <item x="43"/>
        <item x="40"/>
        <item x="41"/>
        <item x="47"/>
        <item x="46"/>
        <item x="42"/>
        <item x="44"/>
        <item x="45"/>
        <item x="48"/>
        <item x="49"/>
        <item x="50"/>
        <item x="53"/>
        <item x="51"/>
        <item x="52"/>
        <item x="55"/>
        <item x="54"/>
      </items>
    </pivotField>
    <pivotField name="Total Orders" compact="0" outline="0" multipleItemSelectionAllowed="1" showAll="0">
      <items>
        <item x="0"/>
        <item x="1"/>
        <item x="2"/>
        <item x="3"/>
        <item t="default"/>
      </items>
    </pivotField>
    <pivotField name="Tanggal Perjalanan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la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Link Pengirim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Jar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Biaya Ongki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Fix?" compact="0" outline="0" multipleItemSelectionAllowed="1" showAll="0">
      <items>
        <item x="0"/>
        <item x="1"/>
        <item x="2"/>
        <item t="default"/>
      </items>
    </pivotField>
    <pivotField name="Terbayar?" axis="axisRow" compact="0" outline="0" multipleItemSelectionAllowed="1" showAll="0" sortType="ascending">
      <items>
        <item x="1"/>
        <item x="2"/>
        <item x="0"/>
        <item t="default"/>
      </items>
    </pivotField>
    <pivotField name="Notes" compact="0" outline="0" multipleItemSelectionAllowed="1" showAll="0">
      <items>
        <item x="0"/>
        <item x="1"/>
        <item t="default"/>
      </items>
    </pivotField>
  </pivotFields>
  <rowFields>
    <field x="11"/>
    <field x="1"/>
    <field x="0"/>
    <field x="2"/>
    <field x="4"/>
  </rowFields>
  <colFields>
    <field x="-2"/>
  </colFields>
  <dataFields>
    <dataField name="SUM of Total Jarak" fld="8" baseField="0"/>
    <dataField name="SUM of Biaya Ongkir" fld="9" baseField="0"/>
  </dataFields>
</pivotTableDefinition>
</file>

<file path=xl/tables/table1.xml><?xml version="1.0" encoding="utf-8"?>
<table xmlns="http://schemas.openxmlformats.org/spreadsheetml/2006/main" totalsRowCount="1" ref="A5:Z82" displayName="Orders" name="Orders" id="1">
  <tableColumns count="26">
    <tableColumn name="Nomor Order" id="1"/>
    <tableColumn name="Nama Pelanggan" id="2"/>
    <tableColumn name="Share Lokasi" id="3"/>
    <tableColumn name="Tanggal Mulai Sewa" id="4"/>
    <tableColumn totalsRowFunction="custom" name="Durasi (Hari)" id="5"/>
    <tableColumn name="Tanggal Selesai Sewa" id="6"/>
    <tableColumn name="Tanggal Jemput Real" id="7"/>
    <tableColumn name="Jenis Pengantaran" id="8"/>
    <tableColumn name="Jenis Pengambilan" id="9"/>
    <tableColumn name="Items" id="10"/>
    <tableColumn totalsRowFunction="custom" name="Subtotal Item (IDR)" id="11"/>
    <tableColumn totalsRowFunction="custom" name="Subtotal Ongkir Tertagih" id="12"/>
    <tableColumn totalsRowFunction="custom" name="Diskon Ongkir" id="13"/>
    <tableColumn totalsRowFunction="custom" name="Total Tagihan" id="14"/>
    <tableColumn name="Jarak Antar (km)" id="15"/>
    <tableColumn totalsRowFunction="custom" name="Real Ongkir" id="16"/>
    <tableColumn name="Nominal DP" id="17"/>
    <tableColumn totalsRowLabel="FALSE" name="DP Terbayar?" id="18"/>
    <tableColumn name="Nominal Pelunasan" id="19"/>
    <tableColumn totalsRowLabel="FALSE" name="Lunas?" id="20"/>
    <tableColumn totalsRowLabel="FALSE" name="Sudah Antar?" id="21"/>
    <tableColumn totalsRowLabel="FALSE" name="Sudah Jemput?" id="22"/>
    <tableColumn totalsRowLabel="FALSE" name="Ongkir Santi Terbayar?" id="23"/>
    <tableColumn name="Tanggal Bayar Ongkir" id="24"/>
    <tableColumn name="Notes" id="25"/>
    <tableColumn name="notes2" id="26"/>
  </tableColumns>
  <tableStyleInfo name="🔵 Daftar Pesanan-style" showColumnStripes="0" showFirstColumn="1" showLastColumn="1" showRowStripes="1"/>
</table>
</file>

<file path=xl/tables/table2.xml><?xml version="1.0" encoding="utf-8"?>
<table xmlns="http://schemas.openxmlformats.org/spreadsheetml/2006/main" ref="B5:J36" displayName="OrderItem" name="OrderItem" id="2">
  <tableColumns count="9">
    <tableColumn name="Nomor Order" id="1"/>
    <tableColumn name="Nama Pelanggan" id="2"/>
    <tableColumn name="Tanggal Mulai Sewa" id="3"/>
    <tableColumn name="Item" id="4"/>
    <tableColumn name="Jumlah Item" id="5"/>
    <tableColumn name="Harga Satuan" id="6"/>
    <tableColumn name="Durasi (Hari)" id="7"/>
    <tableColumn name="Harga Harian" id="8"/>
    <tableColumn name="Total Biaya Order (IDR)" id="9"/>
  </tableColumns>
  <tableStyleInfo name="🔵 OrderItem-style" showColumnStripes="0" showFirstColumn="1" showLastColumn="1" showRowStripes="1"/>
</table>
</file>

<file path=xl/tables/table3.xml><?xml version="1.0" encoding="utf-8"?>
<table xmlns="http://schemas.openxmlformats.org/spreadsheetml/2006/main" ref="B2:E16" displayName="Items" name="Items" id="3">
  <tableColumns count="4">
    <tableColumn name="Item" id="1"/>
    <tableColumn name="Tanggal Mulai Berlaku" id="2"/>
    <tableColumn name="Tanggal Berakhir" id="3"/>
    <tableColumn name="Harga Sewa Harian" id="4"/>
  </tableColumns>
  <tableStyleInfo name="🔵 Produk &amp; Harga-style" showColumnStripes="0" showFirstColumn="1" showLastColumn="1" showRowStripes="1"/>
</table>
</file>

<file path=xl/tables/table4.xml><?xml version="1.0" encoding="utf-8"?>
<table xmlns="http://schemas.openxmlformats.org/spreadsheetml/2006/main" ref="B80:G92" displayName="Table2" name="Table2" id="4">
  <autoFilter ref="$B$80:$G$92"/>
  <tableColumns count="6">
    <tableColumn name="Tanggal" id="1"/>
    <tableColumn name="Jenis" id="2"/>
    <tableColumn name="Metode" id="3"/>
    <tableColumn name="Nama Customer" id="4"/>
    <tableColumn name="Column 6" id="5"/>
    <tableColumn name="Item" id="6"/>
  </tableColumns>
  <tableStyleInfo name="🚚 Pengiriman-style" showColumnStripes="0" showFirstColumn="1" showLastColumn="1" showRowStripes="1"/>
</table>
</file>

<file path=xl/tables/table5.xml><?xml version="1.0" encoding="utf-8"?>
<table xmlns="http://schemas.openxmlformats.org/spreadsheetml/2006/main" totalsRowCount="1" ref="B3:Z93" displayName="Table1" name="Table1" id="5">
  <tableColumns count="25">
    <tableColumn name="Kode Stock" id="1"/>
    <tableColumn name="Jenis Item" id="2"/>
    <tableColumn name="Item" id="3"/>
    <tableColumn name="Jenis + Nama" id="4"/>
    <tableColumn name="Kondisi Kasur" id="5"/>
    <tableColumn totalsRowFunction="custom" name="Harga Beli" id="6"/>
    <tableColumn name="Tanggal" id="7"/>
    <tableColumn name="File" id="8"/>
    <tableColumn name="15" id="9"/>
    <tableColumn name="16" id="10"/>
    <tableColumn name="17" id="11"/>
    <tableColumn name="18" id="12"/>
    <tableColumn name="19" id="13"/>
    <tableColumn name="20" id="14"/>
    <tableColumn name="21" id="15"/>
    <tableColumn name="22" id="16"/>
    <tableColumn name="23" id="17"/>
    <tableColumn name="24" id="18"/>
    <tableColumn name="25" id="19"/>
    <tableColumn name="26" id="20"/>
    <tableColumn name="27" id="21"/>
    <tableColumn name="28" id="22"/>
    <tableColumn name="29" id="23"/>
    <tableColumn name="30" id="24"/>
    <tableColumn name="31" id="25"/>
  </tableColumns>
  <tableStyleInfo name="🟡 Daftar Cicilan-style" showColumnStripes="0" showFirstColumn="1" showLastColumn="1" showRowStripes="1"/>
</table>
</file>

<file path=xl/tables/table6.xml><?xml version="1.0" encoding="utf-8"?>
<table xmlns="http://schemas.openxmlformats.org/spreadsheetml/2006/main" totalsRowCount="1" ref="AB3:BE93" displayName="Table4" name="Table4" id="6">
  <tableColumns count="30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</tableColumns>
  <tableStyleInfo name="🟡 Daftar Cicilan-style 2" showColumnStripes="0" showFirstColumn="1" showLastColumn="1" showRowStripes="1"/>
</table>
</file>

<file path=xl/tables/table7.xml><?xml version="1.0" encoding="utf-8"?>
<table xmlns="http://schemas.openxmlformats.org/spreadsheetml/2006/main" totalsRowCount="1" ref="BG3:CK93" displayName="Table5" name="Table5" id="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🟡 Daftar Cicilan-style 3" showColumnStripes="0" showFirstColumn="1" showLastColumn="1" showRowStripes="1"/>
</table>
</file>

<file path=xl/tables/table8.xml><?xml version="1.0" encoding="utf-8"?>
<table xmlns="http://schemas.openxmlformats.org/spreadsheetml/2006/main" totalsRowCount="1" ref="CM3:DP94" displayName="Table3" name="Table3" id="8">
  <tableColumns count="30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</tableColumns>
  <tableStyleInfo name="🟡 Daftar Cicilan-style 4" showColumnStripes="0" showFirstColumn="1" showLastColumn="1" showRowStripes="1"/>
</table>
</file>

<file path=xl/tables/table9.xml><?xml version="1.0" encoding="utf-8"?>
<table xmlns="http://schemas.openxmlformats.org/spreadsheetml/2006/main" totalsRowCount="1" ref="B2:N77" displayName="Dashboard_Pengiriman" name="Dashboard_Pengiriman" id="9">
  <tableColumns count="13">
    <tableColumn name="Shipment ID" id="1"/>
    <tableColumn name="Metode" id="2"/>
    <tableColumn name="Orders" id="3"/>
    <tableColumn name="Total Orders" id="4"/>
    <tableColumn name="Tanggal Perjalanan" id="5"/>
    <tableColumn name="Customers" id="6"/>
    <tableColumn name="Places" id="7"/>
    <tableColumn name="Link Pengiriman" id="8"/>
    <tableColumn name="Total Jarak" id="9"/>
    <tableColumn totalsRowFunction="custom" name="Biaya Ongkir" id="10"/>
    <tableColumn totalsRowLabel="FALSE" name="Fix?" id="11"/>
    <tableColumn totalsRowLabel="FALSE" name="Terbayar?" id="12"/>
    <tableColumn name="Notes" id="13"/>
  </tableColumns>
  <tableStyleInfo name="🔴 DASHBOARD Pengiriman-style" showColumnStripes="0" showFirstColumn="1" showLastColumn="1" showRowStripes="1"/>
</table>
</file>

<file path=xl/tables/table10.xml><?xml version="1.0" encoding="utf-8"?>
<table xmlns="http://schemas.openxmlformats.org/spreadsheetml/2006/main" ref="B2:J115" displayName="OrderShipment" name="OrderShipment" id="10">
  <tableColumns count="9">
    <tableColumn name="Shipment ID" id="1"/>
    <tableColumn name="Order ID" id="2"/>
    <tableColumn name="Tanggal" id="3"/>
    <tableColumn name="Nama Customer" id="4"/>
    <tableColumn name="Lokasi" id="5"/>
    <tableColumn name="Urutan" id="6"/>
    <tableColumn name="Method" id="7"/>
    <tableColumn name="Jenis" id="8"/>
    <tableColumn name="Fix?" id="9"/>
  </tableColumns>
  <tableStyleInfo name="🔴 DATA Pengiriman - O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nzjsW95T7NDp5qkj9" TargetMode="External"/><Relationship Id="rId42" Type="http://schemas.openxmlformats.org/officeDocument/2006/relationships/hyperlink" Target="https://maps.app.goo.gl/2L5BrFYAw8DhHx459" TargetMode="External"/><Relationship Id="rId41" Type="http://schemas.openxmlformats.org/officeDocument/2006/relationships/hyperlink" Target="https://maps.app.goo.gl/5dTktyGtK1TR9qJb9" TargetMode="External"/><Relationship Id="rId44" Type="http://schemas.openxmlformats.org/officeDocument/2006/relationships/hyperlink" Target="https://www.google.com/maps/place/Kalya+Hotel/data=!4m2!3m1!19sChIJP2_dompXei4Ro6bugNwkHcs" TargetMode="External"/><Relationship Id="rId43" Type="http://schemas.openxmlformats.org/officeDocument/2006/relationships/hyperlink" Target="https://maps.app.goo.gl/TUZKBzPTAMeVLCsB6" TargetMode="External"/><Relationship Id="rId46" Type="http://schemas.openxmlformats.org/officeDocument/2006/relationships/hyperlink" Target="https://maps.app.goo.gl/4ErHt792Qjmeg1oD7" TargetMode="External"/><Relationship Id="rId45" Type="http://schemas.openxmlformats.org/officeDocument/2006/relationships/hyperlink" Target="https://maps.app.goo.gl/LMBwcowAXP66GMNE7" TargetMode="External"/><Relationship Id="rId1" Type="http://schemas.openxmlformats.org/officeDocument/2006/relationships/hyperlink" Target="https://maps.app.goo.gl/sRm2qrSe5ixg1aLw7" TargetMode="External"/><Relationship Id="rId2" Type="http://schemas.openxmlformats.org/officeDocument/2006/relationships/hyperlink" Target="https://maps.app.goo.gl/mefpeqXsFCKTjt9t9" TargetMode="External"/><Relationship Id="rId3" Type="http://schemas.openxmlformats.org/officeDocument/2006/relationships/hyperlink" Target="https://maps.app.goo.gl/crfL8rjMaz5MtsJd9" TargetMode="External"/><Relationship Id="rId4" Type="http://schemas.openxmlformats.org/officeDocument/2006/relationships/hyperlink" Target="https://maps.app.goo.gl/dAXcQNSy6AZV246Z7" TargetMode="External"/><Relationship Id="rId9" Type="http://schemas.openxmlformats.org/officeDocument/2006/relationships/hyperlink" Target="https://www.google.com/maps/place/Jitar+Dukuh/data=!4m2!3m1!19sChIJZ0weZ8Xwei4RZpMUw_5dR7s" TargetMode="External"/><Relationship Id="rId48" Type="http://schemas.openxmlformats.org/officeDocument/2006/relationships/hyperlink" Target="https://maps.app.goo.gl/PwUCJmMP1HJqqAKu8" TargetMode="External"/><Relationship Id="rId47" Type="http://schemas.openxmlformats.org/officeDocument/2006/relationships/hyperlink" Target="https://maps.app.goo.gl/WZ9SkQXCE4q1jSGT6" TargetMode="External"/><Relationship Id="rId49" Type="http://schemas.openxmlformats.org/officeDocument/2006/relationships/hyperlink" Target="https://maps.app.goo.gl/i5f6RCz81gUUEwUP9" TargetMode="External"/><Relationship Id="rId5" Type="http://schemas.openxmlformats.org/officeDocument/2006/relationships/hyperlink" Target="https://maps.app.goo.gl/15jJNkF2HLq2ZWb38" TargetMode="External"/><Relationship Id="rId6" Type="http://schemas.openxmlformats.org/officeDocument/2006/relationships/hyperlink" Target="https://www.google.com/maps/place/Gloria+Motor+Katamso,+Yka/data=!4m2!3m1!19sChIJOdxyRZpXei4R50tmLOktNd0" TargetMode="External"/><Relationship Id="rId7" Type="http://schemas.openxmlformats.org/officeDocument/2006/relationships/hyperlink" Target="https://maps.app.goo.gl/7tywe6XWvBA87RN38" TargetMode="External"/><Relationship Id="rId8" Type="http://schemas.openxmlformats.org/officeDocument/2006/relationships/hyperlink" Target="https://www.google.com/maps/place/BMT+BIF+Cabang+Tajem/data=!4m2!3m1!19sChIJwxev2C5aei4RHw2AttqKX1s" TargetMode="External"/><Relationship Id="rId31" Type="http://schemas.openxmlformats.org/officeDocument/2006/relationships/hyperlink" Target="https://maps.app.goo.gl/6Enz3N7c58Y54imB6" TargetMode="External"/><Relationship Id="rId30" Type="http://schemas.openxmlformats.org/officeDocument/2006/relationships/hyperlink" Target="https://maps.app.goo.gl/NHMgy8H9Bb4NGsVu5" TargetMode="External"/><Relationship Id="rId33" Type="http://schemas.openxmlformats.org/officeDocument/2006/relationships/hyperlink" Target="https://maps.app.goo.gl/kQ9kL6WVrov564vx6" TargetMode="External"/><Relationship Id="rId32" Type="http://schemas.openxmlformats.org/officeDocument/2006/relationships/hyperlink" Target="https://maps.app.goo.gl/FM9HRgyWQySuPu8X6" TargetMode="External"/><Relationship Id="rId35" Type="http://schemas.openxmlformats.org/officeDocument/2006/relationships/hyperlink" Target="https://maps.app.goo.gl/jzPDrisB1R2kSo878" TargetMode="External"/><Relationship Id="rId34" Type="http://schemas.openxmlformats.org/officeDocument/2006/relationships/hyperlink" Target="https://maps.app.goo.gl/FchJK2WyHRv4DSJo6" TargetMode="External"/><Relationship Id="rId37" Type="http://schemas.openxmlformats.org/officeDocument/2006/relationships/hyperlink" Target="https://maps.app.goo.gl/Zcpcc8FW5bcEtbBe8" TargetMode="External"/><Relationship Id="rId36" Type="http://schemas.openxmlformats.org/officeDocument/2006/relationships/hyperlink" Target="https://maps.app.goo.gl/md7GyPJx4wkWoYCX7" TargetMode="External"/><Relationship Id="rId39" Type="http://schemas.openxmlformats.org/officeDocument/2006/relationships/hyperlink" Target="https://maps.app.goo.gl/aFyc3RDoDdZWCirL8" TargetMode="External"/><Relationship Id="rId38" Type="http://schemas.openxmlformats.org/officeDocument/2006/relationships/hyperlink" Target="https://maps.app.goo.gl/7VcVEbq2tU12cpus5" TargetMode="External"/><Relationship Id="rId20" Type="http://schemas.openxmlformats.org/officeDocument/2006/relationships/hyperlink" Target="https://maps.app.goo.gl/yBsKgXLmMQW624uY8" TargetMode="External"/><Relationship Id="rId22" Type="http://schemas.openxmlformats.org/officeDocument/2006/relationships/hyperlink" Target="https://maps.app.goo.gl/br9pmukC8ZPBkxRH6" TargetMode="External"/><Relationship Id="rId21" Type="http://schemas.openxmlformats.org/officeDocument/2006/relationships/hyperlink" Target="https://www.google.com/maps/place/Jalan+Kaliurang+No.km+19/data=!4m2!3m1!19sChIJz2xvLYReei4RizhkE5ysgxo" TargetMode="External"/><Relationship Id="rId24" Type="http://schemas.openxmlformats.org/officeDocument/2006/relationships/hyperlink" Target="https://maps.app.goo.gl/upi7v9MTXsN4x84z5" TargetMode="External"/><Relationship Id="rId23" Type="http://schemas.openxmlformats.org/officeDocument/2006/relationships/hyperlink" Target="https://maps.app.goo.gl/XsLzJcUsvMpHgn539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https://maps.app.goo.gl/ztTEUcaqaYUZu87L7" TargetMode="External"/><Relationship Id="rId25" Type="http://schemas.openxmlformats.org/officeDocument/2006/relationships/hyperlink" Target="https://maps.app.goo.gl/WvxXTEKjjMtdmXVU9" TargetMode="External"/><Relationship Id="rId28" Type="http://schemas.openxmlformats.org/officeDocument/2006/relationships/hyperlink" Target="https://maps.app.goo.gl/8wYkkXRA73JYSrya7" TargetMode="External"/><Relationship Id="rId27" Type="http://schemas.openxmlformats.org/officeDocument/2006/relationships/hyperlink" Target="https://maps.app.goo.gl/CSmJdVP7MkJVqbSW9" TargetMode="External"/><Relationship Id="rId29" Type="http://schemas.openxmlformats.org/officeDocument/2006/relationships/hyperlink" Target="https://maps.app.goo.gl/c8Sxd3Rc1bdQNr776" TargetMode="External"/><Relationship Id="rId51" Type="http://schemas.openxmlformats.org/officeDocument/2006/relationships/hyperlink" Target="https://maps.app.goo.gl/trtyZGiY2sWnwEzv8" TargetMode="External"/><Relationship Id="rId50" Type="http://schemas.openxmlformats.org/officeDocument/2006/relationships/hyperlink" Target="https://maps.app.goo.gl/CCXSoh7bQgziJc2p8" TargetMode="External"/><Relationship Id="rId53" Type="http://schemas.openxmlformats.org/officeDocument/2006/relationships/hyperlink" Target="https://maps.app.goo.gl/SKLpUaN4fbZ924ca6" TargetMode="External"/><Relationship Id="rId52" Type="http://schemas.openxmlformats.org/officeDocument/2006/relationships/hyperlink" Target="https://maps.app.goo.gl/trtyZGiY2sWnwEzv8" TargetMode="External"/><Relationship Id="rId11" Type="http://schemas.openxmlformats.org/officeDocument/2006/relationships/hyperlink" Target="https://maps.app.goo.gl/K4woaNZWsjoxXSvg8" TargetMode="External"/><Relationship Id="rId55" Type="http://schemas.openxmlformats.org/officeDocument/2006/relationships/hyperlink" Target="https://maps.app.goo.gl/qn61oEA7RQkbZUd27" TargetMode="External"/><Relationship Id="rId10" Type="http://schemas.openxmlformats.org/officeDocument/2006/relationships/hyperlink" Target="https://www.google.com/maps/place/HOS+Warehouse/data=!4m2!3m1!19sChIJuzWlIM9Zei4R3i-6Thxpp5k" TargetMode="External"/><Relationship Id="rId54" Type="http://schemas.openxmlformats.org/officeDocument/2006/relationships/hyperlink" Target="https://maps.app.goo.gl/WZ9SkQXCE4q1jSGT6" TargetMode="External"/><Relationship Id="rId13" Type="http://schemas.openxmlformats.org/officeDocument/2006/relationships/hyperlink" Target="https://www.google.com/maps/place/Griya+Alvita+AK-4/data=!4m2!3m1!19sChIJe_q8n0BXei4RQYZj0xkDp1E" TargetMode="External"/><Relationship Id="rId57" Type="http://schemas.openxmlformats.org/officeDocument/2006/relationships/hyperlink" Target="https://maps.app.goo.gl/dwMAHA9c5gmFNt6F7" TargetMode="External"/><Relationship Id="rId12" Type="http://schemas.openxmlformats.org/officeDocument/2006/relationships/hyperlink" Target="https://maps.app.goo.gl/ZQutoriEEa7YqQbs9" TargetMode="External"/><Relationship Id="rId56" Type="http://schemas.openxmlformats.org/officeDocument/2006/relationships/hyperlink" Target="https://maps.app.goo.gl/aX7gXcarbbX9hFKs5" TargetMode="External"/><Relationship Id="rId15" Type="http://schemas.openxmlformats.org/officeDocument/2006/relationships/hyperlink" Target="https://maps.app.goo.gl/v2gcMMM7xMwfckc66" TargetMode="External"/><Relationship Id="rId14" Type="http://schemas.openxmlformats.org/officeDocument/2006/relationships/hyperlink" Target="https://maps.app.goo.gl/dTPgqHDvvhWYt5X18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maps.app.goo.gl/ZQutoriEEa7YqQbs9" TargetMode="External"/><Relationship Id="rId16" Type="http://schemas.openxmlformats.org/officeDocument/2006/relationships/hyperlink" Target="https://maps.app.goo.gl/rRMdK3qQPdvG2yT66" TargetMode="External"/><Relationship Id="rId19" Type="http://schemas.openxmlformats.org/officeDocument/2006/relationships/hyperlink" Target="https://maps.app.goo.gl/9Gh6JU3zg9oh5gVcA" TargetMode="External"/><Relationship Id="rId18" Type="http://schemas.openxmlformats.org/officeDocument/2006/relationships/hyperlink" Target="https://maps.app.goo.gl/jDWK1pWb96w2qotb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Mbqi9vboUXW5Mjx9" TargetMode="External"/><Relationship Id="rId2" Type="http://schemas.openxmlformats.org/officeDocument/2006/relationships/hyperlink" Target="https://maps.app.goo.gl/dTPgqHDvvhWYt5X18" TargetMode="External"/><Relationship Id="rId3" Type="http://schemas.openxmlformats.org/officeDocument/2006/relationships/hyperlink" Target="https://maps.app.goo.gl/g7Yi8ZwSSihDn5Pk7" TargetMode="External"/><Relationship Id="rId4" Type="http://schemas.openxmlformats.org/officeDocument/2006/relationships/hyperlink" Target="https://maps.app.goo.gl/x8b5grQ7NdamCoUP8" TargetMode="External"/><Relationship Id="rId9" Type="http://schemas.openxmlformats.org/officeDocument/2006/relationships/hyperlink" Target="https://maps.app.goo.gl/JqYEz4wL38MonFfa6?g_st=iw" TargetMode="External"/><Relationship Id="rId5" Type="http://schemas.openxmlformats.org/officeDocument/2006/relationships/hyperlink" Target="https://maps.app.goo.gl/BL512aWXvBFNUCbq7?g_st=ipc" TargetMode="External"/><Relationship Id="rId6" Type="http://schemas.openxmlformats.org/officeDocument/2006/relationships/hyperlink" Target="https://maps.app.goo.gl/wnTsriSqAsNMSxvw7?g_st=ipc" TargetMode="External"/><Relationship Id="rId7" Type="http://schemas.openxmlformats.org/officeDocument/2006/relationships/hyperlink" Target="https://maps.app.goo.gl/wnTsriSqAsNMSxvw7?g_st=ipc" TargetMode="External"/><Relationship Id="rId8" Type="http://schemas.openxmlformats.org/officeDocument/2006/relationships/hyperlink" Target="https://maps.app.goo.gl/wnTsriSqAsNMSxvw7?g_st=ipc" TargetMode="External"/><Relationship Id="rId11" Type="http://schemas.openxmlformats.org/officeDocument/2006/relationships/hyperlink" Target="https://maps.app.goo.gl/ZbufwBBsddvdfWCc8" TargetMode="External"/><Relationship Id="rId10" Type="http://schemas.openxmlformats.org/officeDocument/2006/relationships/hyperlink" Target="https://maps.app.goo.gl/TYmHZBzPYUHTTN7U6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maps.app.goo.gl/nanYAZyHgHnAXf3P8" TargetMode="External"/><Relationship Id="rId1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YMXKHcuwCZcc5L0pc9PAM1G5z_bGpNC7&amp;usp=drive_copy" TargetMode="External"/><Relationship Id="rId2" Type="http://schemas.openxmlformats.org/officeDocument/2006/relationships/drawing" Target="../drawings/drawing5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Relationship Id="rId10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jrnY5uQHYkDao3PV7" TargetMode="External"/><Relationship Id="rId42" Type="http://schemas.openxmlformats.org/officeDocument/2006/relationships/hyperlink" Target="https://maps.app.goo.gl/x9BsBrSKG8Tou5x59" TargetMode="External"/><Relationship Id="rId41" Type="http://schemas.openxmlformats.org/officeDocument/2006/relationships/hyperlink" Target="https://maps.app.goo.gl/x9BsBrSKG8Tou5x59" TargetMode="External"/><Relationship Id="rId44" Type="http://schemas.openxmlformats.org/officeDocument/2006/relationships/hyperlink" Target="https://maps.app.goo.gl/sGKpcu5mwk3TiSSUA" TargetMode="External"/><Relationship Id="rId43" Type="http://schemas.openxmlformats.org/officeDocument/2006/relationships/hyperlink" Target="https://maps.app.goo.gl/sGKpcu5mwk3TiSSUA" TargetMode="External"/><Relationship Id="rId46" Type="http://schemas.openxmlformats.org/officeDocument/2006/relationships/hyperlink" Target="https://maps.app.goo.gl/sN8g53xeFzjNNnAH6" TargetMode="External"/><Relationship Id="rId45" Type="http://schemas.openxmlformats.org/officeDocument/2006/relationships/hyperlink" Target="https://maps.app.goo.gl/aQD5ncJ6iRJnFyMb8" TargetMode="External"/><Relationship Id="rId1" Type="http://schemas.openxmlformats.org/officeDocument/2006/relationships/hyperlink" Target="https://maps.app.goo.gl/uoqHhHGPJrcMLJrW9" TargetMode="External"/><Relationship Id="rId2" Type="http://schemas.openxmlformats.org/officeDocument/2006/relationships/hyperlink" Target="https://maps.app.goo.gl/uoqHhHGPJrcMLJrW9" TargetMode="External"/><Relationship Id="rId3" Type="http://schemas.openxmlformats.org/officeDocument/2006/relationships/hyperlink" Target="https://maps.app.goo.gl/F8QVKNR7Ee9yMFzo7" TargetMode="External"/><Relationship Id="rId4" Type="http://schemas.openxmlformats.org/officeDocument/2006/relationships/hyperlink" Target="https://maps.app.goo.gl/F8QVKNR7Ee9yMFzo7" TargetMode="External"/><Relationship Id="rId9" Type="http://schemas.openxmlformats.org/officeDocument/2006/relationships/hyperlink" Target="https://maps.app.goo.gl/B7eUoFn3ZfSGmAsc7" TargetMode="External"/><Relationship Id="rId48" Type="http://schemas.openxmlformats.org/officeDocument/2006/relationships/hyperlink" Target="https://maps.app.goo.gl/BEmgPxgdvgUZTMqL9" TargetMode="External"/><Relationship Id="rId47" Type="http://schemas.openxmlformats.org/officeDocument/2006/relationships/hyperlink" Target="https://maps.app.goo.gl/ehhVppYH3wCgcRuW6" TargetMode="External"/><Relationship Id="rId49" Type="http://schemas.openxmlformats.org/officeDocument/2006/relationships/hyperlink" Target="https://maps.app.goo.gl/B5Y1waz9eDTGh1Ee9" TargetMode="External"/><Relationship Id="rId5" Type="http://schemas.openxmlformats.org/officeDocument/2006/relationships/hyperlink" Target="https://maps.app.goo.gl/QfCZ6wEYb4YA94U88" TargetMode="External"/><Relationship Id="rId6" Type="http://schemas.openxmlformats.org/officeDocument/2006/relationships/hyperlink" Target="https://maps.app.goo.gl/JMTGcAeSShbYeTd76" TargetMode="External"/><Relationship Id="rId7" Type="http://schemas.openxmlformats.org/officeDocument/2006/relationships/hyperlink" Target="https://maps.app.goo.gl/QfCZ6wEYb4YA94U88" TargetMode="External"/><Relationship Id="rId8" Type="http://schemas.openxmlformats.org/officeDocument/2006/relationships/hyperlink" Target="https://maps.app.goo.gl/JMTGcAeSShbYeTd76" TargetMode="External"/><Relationship Id="rId31" Type="http://schemas.openxmlformats.org/officeDocument/2006/relationships/hyperlink" Target="https://maps.app.goo.gl/sn7ToixruUHm95d38" TargetMode="External"/><Relationship Id="rId30" Type="http://schemas.openxmlformats.org/officeDocument/2006/relationships/hyperlink" Target="https://maps.app.goo.gl/9MQZYCZkmSxbq43s7" TargetMode="External"/><Relationship Id="rId33" Type="http://schemas.openxmlformats.org/officeDocument/2006/relationships/hyperlink" Target="https://maps.app.goo.gl/VKQaN1hfqKzvc6Sn7" TargetMode="External"/><Relationship Id="rId32" Type="http://schemas.openxmlformats.org/officeDocument/2006/relationships/hyperlink" Target="https://maps.app.goo.gl/XPGetnJpLjb1urCg9" TargetMode="External"/><Relationship Id="rId35" Type="http://schemas.openxmlformats.org/officeDocument/2006/relationships/hyperlink" Target="https://maps.app.goo.gl/VKQaN1hfqKzvc6Sn7" TargetMode="External"/><Relationship Id="rId34" Type="http://schemas.openxmlformats.org/officeDocument/2006/relationships/hyperlink" Target="https://maps.app.goo.gl/NBhtjEj3oW6sFrvL8" TargetMode="External"/><Relationship Id="rId37" Type="http://schemas.openxmlformats.org/officeDocument/2006/relationships/hyperlink" Target="https://maps.app.goo.gl/D2XkAVFSLkQjzJbdA" TargetMode="External"/><Relationship Id="rId36" Type="http://schemas.openxmlformats.org/officeDocument/2006/relationships/hyperlink" Target="https://maps.app.goo.gl/XPGetnJpLjb1urCg9" TargetMode="External"/><Relationship Id="rId39" Type="http://schemas.openxmlformats.org/officeDocument/2006/relationships/hyperlink" Target="https://maps.app.goo.gl/KCbYuRvtdaaEa6JbA" TargetMode="External"/><Relationship Id="rId38" Type="http://schemas.openxmlformats.org/officeDocument/2006/relationships/hyperlink" Target="https://maps.app.goo.gl/D2XkAVFSLkQjzJbdA" TargetMode="External"/><Relationship Id="rId20" Type="http://schemas.openxmlformats.org/officeDocument/2006/relationships/hyperlink" Target="https://maps.app.goo.gl/LNqW5Z3xLZ6GDVbv6" TargetMode="External"/><Relationship Id="rId22" Type="http://schemas.openxmlformats.org/officeDocument/2006/relationships/hyperlink" Target="https://maps.app.goo.gl/x58Hdk3XWPgxprVe9" TargetMode="External"/><Relationship Id="rId21" Type="http://schemas.openxmlformats.org/officeDocument/2006/relationships/hyperlink" Target="https://maps.app.goo.gl/GKxydUEqaK8ggJ1w9" TargetMode="External"/><Relationship Id="rId24" Type="http://schemas.openxmlformats.org/officeDocument/2006/relationships/hyperlink" Target="https://maps.app.goo.gl/Jm8P5wVn5pH3SXwC9" TargetMode="External"/><Relationship Id="rId23" Type="http://schemas.openxmlformats.org/officeDocument/2006/relationships/hyperlink" Target="https://maps.app.goo.gl/wcjw6wbgt9D4EFx58" TargetMode="External"/><Relationship Id="rId26" Type="http://schemas.openxmlformats.org/officeDocument/2006/relationships/hyperlink" Target="https://maps.app.goo.gl/dkaDF5ubPaAU2K857" TargetMode="External"/><Relationship Id="rId25" Type="http://schemas.openxmlformats.org/officeDocument/2006/relationships/hyperlink" Target="https://maps.app.goo.gl/nwCfPqZszrc15U1T7" TargetMode="External"/><Relationship Id="rId28" Type="http://schemas.openxmlformats.org/officeDocument/2006/relationships/hyperlink" Target="https://maps.app.goo.gl/hnCYJa7cC6VXKRuSA" TargetMode="External"/><Relationship Id="rId27" Type="http://schemas.openxmlformats.org/officeDocument/2006/relationships/hyperlink" Target="https://maps.app.goo.gl/N3nckc2WxtG4bT9g8" TargetMode="External"/><Relationship Id="rId29" Type="http://schemas.openxmlformats.org/officeDocument/2006/relationships/hyperlink" Target="https://maps.app.goo.gl/N3nckc2WxtG4bT9g8" TargetMode="External"/><Relationship Id="rId51" Type="http://schemas.openxmlformats.org/officeDocument/2006/relationships/hyperlink" Target="https://maps.app.goo.gl/Yd3hdEzC29pLbGcV8" TargetMode="External"/><Relationship Id="rId50" Type="http://schemas.openxmlformats.org/officeDocument/2006/relationships/hyperlink" Target="https://maps.app.goo.gl/qGuLNfYxCwq5Hjwn9" TargetMode="External"/><Relationship Id="rId53" Type="http://schemas.openxmlformats.org/officeDocument/2006/relationships/hyperlink" Target="https://maps.app.goo.gl/BxWUN6KNiQJqFK9UA" TargetMode="External"/><Relationship Id="rId52" Type="http://schemas.openxmlformats.org/officeDocument/2006/relationships/hyperlink" Target="https://maps.app.goo.gl/BxWUN6KNiQJqFK9UA" TargetMode="External"/><Relationship Id="rId11" Type="http://schemas.openxmlformats.org/officeDocument/2006/relationships/hyperlink" Target="https://maps.app.goo.gl/hgbbnvb99x9hMAXs7" TargetMode="External"/><Relationship Id="rId55" Type="http://schemas.openxmlformats.org/officeDocument/2006/relationships/hyperlink" Target="https://maps.app.goo.gl/vKUCwZjbUZwDhxUB9" TargetMode="External"/><Relationship Id="rId10" Type="http://schemas.openxmlformats.org/officeDocument/2006/relationships/hyperlink" Target="https://maps.app.goo.gl/B7eUoFn3ZfSGmAsc7" TargetMode="External"/><Relationship Id="rId54" Type="http://schemas.openxmlformats.org/officeDocument/2006/relationships/hyperlink" Target="https://maps.app.goo.gl/JjbKTTqLvwPsFg6x9" TargetMode="External"/><Relationship Id="rId13" Type="http://schemas.openxmlformats.org/officeDocument/2006/relationships/hyperlink" Target="https://maps.app.goo.gl/2qnyzgD19LLdxqFF7" TargetMode="External"/><Relationship Id="rId57" Type="http://schemas.openxmlformats.org/officeDocument/2006/relationships/drawing" Target="../drawings/drawing6.xml"/><Relationship Id="rId12" Type="http://schemas.openxmlformats.org/officeDocument/2006/relationships/hyperlink" Target="https://maps.app.goo.gl/hgbbnvb99x9hMAXs7" TargetMode="External"/><Relationship Id="rId56" Type="http://schemas.openxmlformats.org/officeDocument/2006/relationships/hyperlink" Target="https://maps.app.goo.gl/XEuVv4g2bTFR3KPh7" TargetMode="External"/><Relationship Id="rId15" Type="http://schemas.openxmlformats.org/officeDocument/2006/relationships/hyperlink" Target="https://maps.app.goo.gl/P1bBtbKCh6tmVsdGA" TargetMode="External"/><Relationship Id="rId59" Type="http://schemas.openxmlformats.org/officeDocument/2006/relationships/table" Target="../tables/table9.xml"/><Relationship Id="rId14" Type="http://schemas.openxmlformats.org/officeDocument/2006/relationships/hyperlink" Target="https://maps.app.goo.gl/NSzNEiGGhifmeVTy9" TargetMode="External"/><Relationship Id="rId17" Type="http://schemas.openxmlformats.org/officeDocument/2006/relationships/hyperlink" Target="https://maps.app.goo.gl/JEUxL4To5NDLfqZn7" TargetMode="External"/><Relationship Id="rId16" Type="http://schemas.openxmlformats.org/officeDocument/2006/relationships/hyperlink" Target="https://maps.app.goo.gl/P1bBtbKCh6tmVsdGA" TargetMode="External"/><Relationship Id="rId19" Type="http://schemas.openxmlformats.org/officeDocument/2006/relationships/hyperlink" Target="https://maps.app.goo.gl/jArfTJ3kf2QgZMRM6" TargetMode="External"/><Relationship Id="rId18" Type="http://schemas.openxmlformats.org/officeDocument/2006/relationships/hyperlink" Target="https://maps.app.goo.gl/Wv8379SCgvWmEsbq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2yrPeKP6MMuAvjw18" TargetMode="External"/><Relationship Id="rId2" Type="http://schemas.openxmlformats.org/officeDocument/2006/relationships/hyperlink" Target="https://maps.app.goo.gl/2yrPeKP6MMuAvjw18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10.63"/>
    <col customWidth="1" min="2" max="2" width="13.5"/>
    <col customWidth="1" min="3" max="3" width="19.5"/>
    <col customWidth="1" min="4" max="4" width="17.13"/>
    <col customWidth="1" min="5" max="5" width="10.63"/>
    <col customWidth="1" min="6" max="6" width="20.63"/>
    <col customWidth="1" min="7" max="7" width="20.88"/>
    <col customWidth="1" min="8" max="9" width="15.75"/>
    <col customWidth="1" min="10" max="10" width="43.13"/>
    <col customWidth="1" min="11" max="11" width="14.63"/>
    <col customWidth="1" min="12" max="12" width="12.88"/>
    <col customWidth="1" min="13" max="14" width="13.88"/>
    <col customWidth="1" min="15" max="15" width="9.75"/>
    <col customWidth="1" min="16" max="16" width="12.5"/>
    <col customWidth="1" min="17" max="17" width="11.75"/>
    <col customWidth="1" min="18" max="18" width="15.0"/>
    <col customWidth="1" min="19" max="19" width="16.25"/>
    <col customWidth="1" min="20" max="20" width="13.38"/>
    <col customWidth="1" min="21" max="21" width="14.13"/>
    <col customWidth="1" min="22" max="22" width="13.63"/>
    <col customWidth="1" min="23" max="23" width="15.25"/>
    <col customWidth="1" min="24" max="24" width="18.0"/>
    <col customWidth="1" min="25" max="25" width="16.0"/>
  </cols>
  <sheetData>
    <row r="1">
      <c r="W1" s="1"/>
    </row>
    <row r="2">
      <c r="W2" s="1"/>
    </row>
    <row r="3">
      <c r="W3" s="1"/>
    </row>
    <row r="4">
      <c r="W4" s="1"/>
    </row>
    <row r="5" ht="22.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3" t="s">
        <v>24</v>
      </c>
      <c r="Z5" s="3" t="s">
        <v>25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22.5" customHeight="1">
      <c r="A6" s="5" t="s">
        <v>26</v>
      </c>
      <c r="B6" s="5" t="s">
        <v>27</v>
      </c>
      <c r="C6" s="6" t="s">
        <v>28</v>
      </c>
      <c r="D6" s="7">
        <v>46052.0</v>
      </c>
      <c r="E6" s="8">
        <v>2.0</v>
      </c>
      <c r="F6" s="7">
        <f t="shared" ref="F6:F37" si="1">D6+E6</f>
        <v>46054</v>
      </c>
      <c r="G6" s="7"/>
      <c r="H6" s="9" t="s">
        <v>29</v>
      </c>
      <c r="I6" s="9" t="s">
        <v>30</v>
      </c>
      <c r="J6" s="10" t="str">
        <f>IFERROR(__xludf.DUMMYFUNCTION("TEXTJOIN("", "", TRUE, FILTER(OrderItem[Item],OrderItem[Nomor Order] = $A6))"),"Kasur 90x200")</f>
        <v>Kasur 90x200</v>
      </c>
      <c r="K6" s="11">
        <f>SUMIF(OrderItem[Nomor Order],Orders[Nomor Order],OrderItem[Total Biaya Order (IDR)])</f>
        <v>40000</v>
      </c>
      <c r="L6" s="12">
        <v>15000.0</v>
      </c>
      <c r="M6" s="12">
        <v>15000.0</v>
      </c>
      <c r="N6" s="12">
        <f>Orders[Subtotal Item (IDR)]+Orders[Subtotal Ongkir Tertagih]-Orders[Diskon Ongkir]</f>
        <v>40000</v>
      </c>
      <c r="O6" s="5">
        <v>11.0</v>
      </c>
      <c r="P6" s="13">
        <f>IF(AND(Orders[Jenis Pengantaran]="Fortuner",Orders[Jenis Pengambilan]="Fortuner"),0,Orders[Jarak Antar (km)]*(IF(Orders[Jenis Pengantaran]="Fortuner",1,2)*(IF(Orders[Jenis Pengambilan]="Fortuner",1,2)/10*6800)))</f>
        <v>14960</v>
      </c>
      <c r="Q6" s="11"/>
      <c r="R6" s="14" t="b">
        <v>0</v>
      </c>
      <c r="S6" s="12">
        <f>Orders[Total Tagihan]-Orders[Nominal DP]</f>
        <v>40000</v>
      </c>
      <c r="T6" s="15" t="b">
        <v>1</v>
      </c>
      <c r="U6" s="14" t="b">
        <v>1</v>
      </c>
      <c r="V6" s="14" t="b">
        <v>1</v>
      </c>
      <c r="W6" s="14" t="b">
        <v>1</v>
      </c>
      <c r="X6" s="16">
        <v>46071.0</v>
      </c>
      <c r="Y6" s="17"/>
      <c r="Z6" s="17"/>
    </row>
    <row r="7" ht="22.5" customHeight="1">
      <c r="A7" s="5" t="s">
        <v>31</v>
      </c>
      <c r="B7" s="5" t="s">
        <v>32</v>
      </c>
      <c r="C7" s="6" t="s">
        <v>33</v>
      </c>
      <c r="D7" s="7">
        <v>46058.0</v>
      </c>
      <c r="E7" s="8">
        <v>4.0</v>
      </c>
      <c r="F7" s="7">
        <f t="shared" si="1"/>
        <v>46062</v>
      </c>
      <c r="G7" s="7"/>
      <c r="H7" s="9" t="s">
        <v>30</v>
      </c>
      <c r="I7" s="9" t="s">
        <v>30</v>
      </c>
      <c r="J7" s="10" t="str">
        <f>IFERROR(__xludf.DUMMYFUNCTION("TEXTJOIN("", "", TRUE, FILTER(OrderItem[Item],OrderItem[Nomor Order] = $A7))"),"Paket 90x200")</f>
        <v>Paket 90x200</v>
      </c>
      <c r="K7" s="11">
        <f>SUMIF(OrderItem[Nomor Order],Orders[Nomor Order],OrderItem[Total Biaya Order (IDR)])</f>
        <v>140000</v>
      </c>
      <c r="L7" s="12">
        <v>15000.0</v>
      </c>
      <c r="M7" s="12">
        <v>15000.0</v>
      </c>
      <c r="N7" s="12">
        <f>Orders[Subtotal Item (IDR)]+Orders[Subtotal Ongkir Tertagih]-Orders[Diskon Ongkir]</f>
        <v>140000</v>
      </c>
      <c r="O7" s="5">
        <v>4.9</v>
      </c>
      <c r="P7" s="13">
        <f>IF(AND(Orders[Jenis Pengantaran]="Fortuner",Orders[Jenis Pengambilan]="Fortuner"),0,Orders[Jarak Antar (km)]*(IF(Orders[Jenis Pengantaran]="Fortuner",1,2)*(IF(Orders[Jenis Pengambilan]="Fortuner",1,2)/10*6800)))</f>
        <v>0</v>
      </c>
      <c r="Q7" s="12"/>
      <c r="R7" s="14" t="b">
        <v>0</v>
      </c>
      <c r="S7" s="12">
        <f>Orders[Total Tagihan]-Orders[Nominal DP]</f>
        <v>140000</v>
      </c>
      <c r="T7" s="14" t="b">
        <v>1</v>
      </c>
      <c r="U7" s="14" t="b">
        <v>1</v>
      </c>
      <c r="V7" s="14" t="b">
        <v>1</v>
      </c>
      <c r="W7" s="14" t="b">
        <v>1</v>
      </c>
      <c r="X7" s="16">
        <v>46071.0</v>
      </c>
      <c r="Y7" s="17"/>
      <c r="Z7" s="17"/>
    </row>
    <row r="8" ht="22.5" customHeight="1">
      <c r="A8" s="5" t="s">
        <v>34</v>
      </c>
      <c r="B8" s="5" t="s">
        <v>35</v>
      </c>
      <c r="C8" s="6" t="s">
        <v>36</v>
      </c>
      <c r="D8" s="7">
        <v>46067.0</v>
      </c>
      <c r="E8" s="8">
        <v>1.0</v>
      </c>
      <c r="F8" s="7">
        <f t="shared" si="1"/>
        <v>46068</v>
      </c>
      <c r="G8" s="7"/>
      <c r="H8" s="9" t="s">
        <v>37</v>
      </c>
      <c r="I8" s="9" t="s">
        <v>29</v>
      </c>
      <c r="J8" s="10" t="str">
        <f>IFERROR(__xludf.DUMMYFUNCTION("TEXTJOIN("", "", TRUE, FILTER(OrderItem[Item],OrderItem[Nomor Order] = $A8))"),"Paket 160x200, Paket 100x200")</f>
        <v>Paket 160x200, Paket 100x200</v>
      </c>
      <c r="K8" s="11">
        <f>SUMIF(OrderItem[Nomor Order],Orders[Nomor Order],OrderItem[Total Biaya Order (IDR)])</f>
        <v>270000</v>
      </c>
      <c r="L8" s="12">
        <v>50000.0</v>
      </c>
      <c r="M8" s="12">
        <v>20000.0</v>
      </c>
      <c r="N8" s="12">
        <f>Orders[Subtotal Item (IDR)]+Orders[Subtotal Ongkir Tertagih]-Orders[Diskon Ongkir]</f>
        <v>300000</v>
      </c>
      <c r="O8" s="5">
        <v>17.2</v>
      </c>
      <c r="P8" s="13">
        <f>IF(AND(Orders[Jenis Pengantaran]="Fortuner",Orders[Jenis Pengambilan]="Fortuner"),0,Orders[Jarak Antar (km)]*(IF(Orders[Jenis Pengantaran]="Fortuner",1,2)*(IF(Orders[Jenis Pengambilan]="Fortuner",1,2)/10*6800)))</f>
        <v>46784</v>
      </c>
      <c r="Q8" s="12"/>
      <c r="R8" s="14" t="b">
        <v>0</v>
      </c>
      <c r="S8" s="12">
        <f>Orders[Total Tagihan]-Orders[Nominal DP]</f>
        <v>300000</v>
      </c>
      <c r="T8" s="14" t="b">
        <v>1</v>
      </c>
      <c r="U8" s="14" t="b">
        <v>1</v>
      </c>
      <c r="V8" s="14" t="b">
        <v>1</v>
      </c>
      <c r="W8" s="14" t="b">
        <v>1</v>
      </c>
      <c r="X8" s="16">
        <v>46071.0</v>
      </c>
      <c r="Y8" s="17"/>
      <c r="Z8" s="17"/>
    </row>
    <row r="9" ht="22.5" customHeight="1">
      <c r="A9" s="5" t="s">
        <v>38</v>
      </c>
      <c r="B9" s="5" t="s">
        <v>39</v>
      </c>
      <c r="C9" s="6" t="s">
        <v>40</v>
      </c>
      <c r="D9" s="7">
        <v>46067.0</v>
      </c>
      <c r="E9" s="8">
        <v>1.0</v>
      </c>
      <c r="F9" s="7">
        <f t="shared" si="1"/>
        <v>46068</v>
      </c>
      <c r="G9" s="7"/>
      <c r="H9" s="9" t="s">
        <v>29</v>
      </c>
      <c r="I9" s="9" t="s">
        <v>37</v>
      </c>
      <c r="J9" s="10" t="str">
        <f>IFERROR(__xludf.DUMMYFUNCTION("TEXTJOIN("", "", TRUE, FILTER(OrderItem[Item],OrderItem[Nomor Order] = $A9))"),"Paket 120x200, Paket 160x200")</f>
        <v>Paket 120x200, Paket 160x200</v>
      </c>
      <c r="K9" s="11">
        <f>SUMIF(OrderItem[Nomor Order],Orders[Nomor Order],OrderItem[Total Biaya Order (IDR)])</f>
        <v>310000</v>
      </c>
      <c r="L9" s="12">
        <v>65000.0</v>
      </c>
      <c r="M9" s="12">
        <v>0.0</v>
      </c>
      <c r="N9" s="12">
        <f>Orders[Subtotal Item (IDR)]+Orders[Subtotal Ongkir Tertagih]-Orders[Diskon Ongkir]</f>
        <v>375000</v>
      </c>
      <c r="O9" s="5">
        <v>25.6</v>
      </c>
      <c r="P9" s="13">
        <f>IF(AND(Orders[Jenis Pengantaran]="Fortuner",Orders[Jenis Pengambilan]="Fortuner"),0,Orders[Jarak Antar (km)]*(IF(Orders[Jenis Pengantaran]="Fortuner",1,2)*(IF(Orders[Jenis Pengambilan]="Fortuner",1,2)/10*6800)))</f>
        <v>69632</v>
      </c>
      <c r="Q9" s="12"/>
      <c r="R9" s="14" t="b">
        <v>0</v>
      </c>
      <c r="S9" s="12">
        <f>Orders[Total Tagihan]-Orders[Nominal DP]</f>
        <v>375000</v>
      </c>
      <c r="T9" s="14" t="b">
        <v>1</v>
      </c>
      <c r="U9" s="14" t="b">
        <v>1</v>
      </c>
      <c r="V9" s="14" t="b">
        <v>1</v>
      </c>
      <c r="W9" s="14" t="b">
        <v>1</v>
      </c>
      <c r="X9" s="16">
        <v>46071.0</v>
      </c>
      <c r="Y9" s="17"/>
      <c r="Z9" s="17"/>
    </row>
    <row r="10" ht="22.5" customHeight="1">
      <c r="A10" s="5" t="s">
        <v>41</v>
      </c>
      <c r="B10" s="18" t="s">
        <v>42</v>
      </c>
      <c r="C10" s="19" t="s">
        <v>43</v>
      </c>
      <c r="D10" s="20">
        <v>46100.0</v>
      </c>
      <c r="E10" s="21">
        <v>4.0</v>
      </c>
      <c r="F10" s="7">
        <f t="shared" si="1"/>
        <v>46104</v>
      </c>
      <c r="G10" s="7"/>
      <c r="H10" s="22" t="s">
        <v>37</v>
      </c>
      <c r="I10" s="22" t="s">
        <v>37</v>
      </c>
      <c r="J10" s="10" t="str">
        <f>IFERROR(__xludf.DUMMYFUNCTION("TEXTJOIN("", "", TRUE, FILTER(OrderItem[Item],OrderItem[Nomor Order] = $A10))"),"Paket 160x200")</f>
        <v>Paket 160x200</v>
      </c>
      <c r="K10" s="11">
        <f>SUMIF(OrderItem[Nomor Order],Orders[Nomor Order],OrderItem[Total Biaya Order (IDR)])</f>
        <v>472000</v>
      </c>
      <c r="L10" s="23">
        <v>46000.0</v>
      </c>
      <c r="M10" s="23">
        <v>0.0</v>
      </c>
      <c r="N10" s="23">
        <f>Orders[Subtotal Item (IDR)]+Orders[Subtotal Ongkir Tertagih]-Orders[Diskon Ongkir]</f>
        <v>518000</v>
      </c>
      <c r="O10" s="18">
        <v>16.8</v>
      </c>
      <c r="P10" s="13">
        <f>IF(AND(Orders[Jenis Pengantaran]="Fortuner",Orders[Jenis Pengambilan]="Fortuner"),0,Orders[Jarak Antar (km)]*(IF(Orders[Jenis Pengantaran]="Fortuner",1,2)*(IF(Orders[Jenis Pengambilan]="Fortuner",1,2)/10*6800)))</f>
        <v>45696</v>
      </c>
      <c r="Q10" s="23">
        <v>155400.0</v>
      </c>
      <c r="R10" s="24" t="b">
        <v>1</v>
      </c>
      <c r="S10" s="5"/>
      <c r="T10" s="24" t="b">
        <v>1</v>
      </c>
      <c r="U10" s="24" t="b">
        <v>1</v>
      </c>
      <c r="V10" s="24" t="b">
        <v>1</v>
      </c>
      <c r="W10" s="24" t="b">
        <v>1</v>
      </c>
      <c r="X10" s="25"/>
      <c r="Y10" s="26"/>
      <c r="Z10" s="26"/>
    </row>
    <row r="11" ht="22.5" customHeight="1">
      <c r="A11" s="5" t="s">
        <v>44</v>
      </c>
      <c r="B11" s="18" t="s">
        <v>45</v>
      </c>
      <c r="C11" s="27" t="s">
        <v>46</v>
      </c>
      <c r="D11" s="20">
        <v>46071.0</v>
      </c>
      <c r="E11" s="21">
        <v>1.0</v>
      </c>
      <c r="F11" s="7">
        <f t="shared" si="1"/>
        <v>46072</v>
      </c>
      <c r="G11" s="7"/>
      <c r="H11" s="22" t="s">
        <v>29</v>
      </c>
      <c r="I11" s="22" t="s">
        <v>29</v>
      </c>
      <c r="J11" s="10" t="str">
        <f>IFERROR(__xludf.DUMMYFUNCTION("TEXTJOIN("", "", TRUE, FILTER(OrderItem[Item],OrderItem[Nomor Order] = $A11))"),"Paket 160x200, Ekstra Guling")</f>
        <v>Paket 160x200, Ekstra Guling</v>
      </c>
      <c r="K11" s="11">
        <f>SUMIF(OrderItem[Nomor Order],Orders[Nomor Order],OrderItem[Total Biaya Order (IDR)])</f>
        <v>79000</v>
      </c>
      <c r="L11" s="23">
        <v>32000.0</v>
      </c>
      <c r="M11" s="23">
        <v>1000.0</v>
      </c>
      <c r="N11" s="23">
        <f>Orders[Subtotal Item (IDR)]+Orders[Subtotal Ongkir Tertagih]-Orders[Diskon Ongkir]</f>
        <v>110000</v>
      </c>
      <c r="O11" s="18">
        <v>12.0</v>
      </c>
      <c r="P11" s="13">
        <f>IF(AND(Orders[Jenis Pengantaran]="Fortuner",Orders[Jenis Pengambilan]="Fortuner"),0,Orders[Jarak Antar (km)]*(IF(Orders[Jenis Pengantaran]="Fortuner",1,2)*(IF(Orders[Jenis Pengambilan]="Fortuner",1,2)/10*6800)))</f>
        <v>32640</v>
      </c>
      <c r="Q11" s="23">
        <v>33300.0</v>
      </c>
      <c r="R11" s="24" t="b">
        <v>1</v>
      </c>
      <c r="S11" s="12">
        <f>Orders[Total Tagihan]-Orders[Nominal DP]</f>
        <v>76700</v>
      </c>
      <c r="T11" s="24" t="b">
        <v>1</v>
      </c>
      <c r="U11" s="24" t="b">
        <v>1</v>
      </c>
      <c r="V11" s="24" t="b">
        <v>1</v>
      </c>
      <c r="W11" s="24" t="b">
        <v>1</v>
      </c>
      <c r="X11" s="16">
        <v>46071.0</v>
      </c>
      <c r="Y11" s="17"/>
      <c r="Z11" s="17"/>
    </row>
    <row r="12" ht="22.5" customHeight="1">
      <c r="A12" s="28" t="s">
        <v>47</v>
      </c>
      <c r="B12" s="28" t="s">
        <v>48</v>
      </c>
      <c r="C12" s="29" t="s">
        <v>49</v>
      </c>
      <c r="D12" s="30">
        <v>46073.0</v>
      </c>
      <c r="E12" s="31">
        <v>2.0</v>
      </c>
      <c r="F12" s="7">
        <f t="shared" si="1"/>
        <v>46075</v>
      </c>
      <c r="G12" s="7"/>
      <c r="H12" s="32" t="s">
        <v>29</v>
      </c>
      <c r="I12" s="33" t="s">
        <v>30</v>
      </c>
      <c r="J12" s="10" t="str">
        <f>IFERROR(__xludf.DUMMYFUNCTION("TEXTJOIN("", "", TRUE, FILTER(OrderItem[Item],OrderItem[Nomor Order] = $A12))"),"Paket 120x200")</f>
        <v>Paket 120x200</v>
      </c>
      <c r="K12" s="11">
        <f>SUMIF(OrderItem[Nomor Order],Orders[Nomor Order],OrderItem[Total Biaya Order (IDR)])</f>
        <v>90000</v>
      </c>
      <c r="L12" s="13">
        <v>43000.0</v>
      </c>
      <c r="M12" s="34">
        <v>0.0</v>
      </c>
      <c r="N12" s="13">
        <f>Orders[Subtotal Item (IDR)]+Orders[Subtotal Ongkir Tertagih]-Orders[Diskon Ongkir]</f>
        <v>133000</v>
      </c>
      <c r="O12" s="35">
        <v>16.0</v>
      </c>
      <c r="P12" s="13">
        <f>IF(AND(Orders[Jenis Pengantaran]="Fortuner",Orders[Jenis Pengambilan]="Fortuner"),0,Orders[Jarak Antar (km)]*(IF(Orders[Jenis Pengantaran]="Fortuner",1,2)*(IF(Orders[Jenis Pengambilan]="Fortuner",1,2)/10*6800)))</f>
        <v>21760</v>
      </c>
      <c r="Q12" s="36"/>
      <c r="R12" s="37" t="b">
        <v>0</v>
      </c>
      <c r="S12" s="13">
        <f>Orders[Total Tagihan]-Orders[Nominal DP]</f>
        <v>133000</v>
      </c>
      <c r="T12" s="37" t="b">
        <v>1</v>
      </c>
      <c r="U12" s="38" t="b">
        <v>1</v>
      </c>
      <c r="V12" s="37" t="b">
        <v>1</v>
      </c>
      <c r="W12" s="37" t="b">
        <v>1</v>
      </c>
      <c r="X12" s="39">
        <v>46078.0</v>
      </c>
      <c r="Y12" s="40"/>
      <c r="Z12" s="40"/>
    </row>
    <row r="13" ht="22.5" customHeight="1">
      <c r="A13" s="28" t="s">
        <v>50</v>
      </c>
      <c r="B13" s="18" t="s">
        <v>51</v>
      </c>
      <c r="C13" s="41" t="s">
        <v>52</v>
      </c>
      <c r="D13" s="20">
        <v>46098.0</v>
      </c>
      <c r="E13" s="21">
        <v>1.0</v>
      </c>
      <c r="F13" s="7">
        <f t="shared" si="1"/>
        <v>46099</v>
      </c>
      <c r="G13" s="7"/>
      <c r="H13" s="22" t="s">
        <v>30</v>
      </c>
      <c r="I13" s="22" t="s">
        <v>30</v>
      </c>
      <c r="J13" s="10" t="str">
        <f>IFERROR(__xludf.DUMMYFUNCTION("TEXTJOIN("", "", TRUE, FILTER(OrderItem[Item],OrderItem[Nomor Order] = $A13))"),"Paket 90x200")</f>
        <v>Paket 90x200</v>
      </c>
      <c r="K13" s="11">
        <f>SUMIF(OrderItem[Nomor Order],Orders[Nomor Order],OrderItem[Total Biaya Order (IDR)])</f>
        <v>39000</v>
      </c>
      <c r="L13" s="23">
        <v>54000.0</v>
      </c>
      <c r="M13" s="23">
        <v>0.0</v>
      </c>
      <c r="N13" s="13">
        <f>Orders[Subtotal Item (IDR)]+Orders[Subtotal Ongkir Tertagih]-Orders[Diskon Ongkir]</f>
        <v>93000</v>
      </c>
      <c r="O13" s="18">
        <v>20.4</v>
      </c>
      <c r="P13" s="13">
        <f>IF(AND(Orders[Jenis Pengantaran]="Fortuner",Orders[Jenis Pengambilan]="Fortuner"),0,Orders[Jarak Antar (km)]*(IF(Orders[Jenis Pengantaran]="Fortuner",1,2)*(IF(Orders[Jenis Pengambilan]="Fortuner",1,2)/10*6800)))</f>
        <v>0</v>
      </c>
      <c r="Q13" s="23"/>
      <c r="R13" s="42" t="b">
        <v>0</v>
      </c>
      <c r="S13" s="13">
        <f>Orders[Total Tagihan]-Orders[Nominal DP]</f>
        <v>93000</v>
      </c>
      <c r="T13" s="24" t="b">
        <v>1</v>
      </c>
      <c r="U13" s="24" t="b">
        <v>1</v>
      </c>
      <c r="V13" s="24" t="b">
        <v>1</v>
      </c>
      <c r="W13" s="24" t="b">
        <v>1</v>
      </c>
      <c r="X13" s="43"/>
      <c r="Y13" s="17"/>
      <c r="Z13" s="17"/>
    </row>
    <row r="14" ht="22.5" customHeight="1">
      <c r="A14" s="28" t="s">
        <v>53</v>
      </c>
      <c r="B14" s="18" t="s">
        <v>54</v>
      </c>
      <c r="C14" s="41" t="s">
        <v>55</v>
      </c>
      <c r="D14" s="20">
        <v>46098.0</v>
      </c>
      <c r="E14" s="21">
        <v>6.0</v>
      </c>
      <c r="F14" s="7">
        <f t="shared" si="1"/>
        <v>46104</v>
      </c>
      <c r="G14" s="7"/>
      <c r="H14" s="22" t="s">
        <v>29</v>
      </c>
      <c r="I14" s="22" t="s">
        <v>37</v>
      </c>
      <c r="J14" s="10" t="str">
        <f>IFERROR(__xludf.DUMMYFUNCTION("TEXTJOIN("", "", TRUE, FILTER(OrderItem[Item],OrderItem[Nomor Order] = $A14))"),"Paket 160x200, Paket 100x200")</f>
        <v>Paket 160x200, Paket 100x200</v>
      </c>
      <c r="K14" s="11">
        <f>SUMIF(OrderItem[Nomor Order],Orders[Nomor Order],OrderItem[Total Biaya Order (IDR)])</f>
        <v>618000</v>
      </c>
      <c r="L14" s="23">
        <v>26000.0</v>
      </c>
      <c r="M14" s="23">
        <v>26000.0</v>
      </c>
      <c r="N14" s="13">
        <f>Orders[Subtotal Item (IDR)]+Orders[Subtotal Ongkir Tertagih]-Orders[Diskon Ongkir]</f>
        <v>618000</v>
      </c>
      <c r="O14" s="18">
        <v>9.5</v>
      </c>
      <c r="P14" s="13">
        <f>IF(AND(Orders[Jenis Pengantaran]="Fortuner",Orders[Jenis Pengambilan]="Fortuner"),0,Orders[Jarak Antar (km)]*(IF(Orders[Jenis Pengantaran]="Fortuner",1,2)*(IF(Orders[Jenis Pengambilan]="Fortuner",1,2)/10*6800)))</f>
        <v>25840</v>
      </c>
      <c r="Q14" s="23">
        <v>300000.0</v>
      </c>
      <c r="R14" s="24" t="b">
        <v>1</v>
      </c>
      <c r="S14" s="13"/>
      <c r="T14" s="24" t="b">
        <v>1</v>
      </c>
      <c r="U14" s="24" t="b">
        <v>1</v>
      </c>
      <c r="V14" s="24" t="b">
        <v>1</v>
      </c>
      <c r="W14" s="24" t="b">
        <v>1</v>
      </c>
      <c r="X14" s="43"/>
      <c r="Y14" s="17"/>
      <c r="Z14" s="17"/>
    </row>
    <row r="15" ht="22.5" customHeight="1">
      <c r="A15" s="28" t="s">
        <v>56</v>
      </c>
      <c r="B15" s="18" t="s">
        <v>57</v>
      </c>
      <c r="C15" s="41" t="s">
        <v>58</v>
      </c>
      <c r="D15" s="20">
        <v>46099.0</v>
      </c>
      <c r="E15" s="21">
        <v>6.0</v>
      </c>
      <c r="F15" s="7">
        <f t="shared" si="1"/>
        <v>46105</v>
      </c>
      <c r="G15" s="7"/>
      <c r="H15" s="22" t="s">
        <v>29</v>
      </c>
      <c r="I15" s="22" t="s">
        <v>29</v>
      </c>
      <c r="J15" s="10" t="str">
        <f>IFERROR(__xludf.DUMMYFUNCTION("TEXTJOIN("", "", TRUE, FILTER(OrderItem[Item],OrderItem[Nomor Order] = $A15))"),"Paket 160x200, Paket 100x200, Paket 90x200")</f>
        <v>Paket 160x200, Paket 100x200, Paket 90x200</v>
      </c>
      <c r="K15" s="11">
        <f>SUMIF(OrderItem[Nomor Order],Orders[Nomor Order],OrderItem[Total Biaya Order (IDR)])</f>
        <v>1206000</v>
      </c>
      <c r="L15" s="23">
        <v>43000.0</v>
      </c>
      <c r="M15" s="23">
        <v>43000.0</v>
      </c>
      <c r="N15" s="13">
        <f>Orders[Subtotal Item (IDR)]+Orders[Subtotal Ongkir Tertagih]-Orders[Diskon Ongkir]</f>
        <v>1206000</v>
      </c>
      <c r="O15" s="18">
        <v>16.2</v>
      </c>
      <c r="P15" s="13">
        <f>IF(AND(Orders[Jenis Pengantaran]="Fortuner",Orders[Jenis Pengambilan]="Fortuner"),0,Orders[Jarak Antar (km)]*(IF(Orders[Jenis Pengantaran]="Fortuner",1,2)*(IF(Orders[Jenis Pengambilan]="Fortuner",1,2)/10*6800)))</f>
        <v>44064</v>
      </c>
      <c r="Q15" s="23">
        <v>400000.0</v>
      </c>
      <c r="R15" s="24" t="b">
        <v>1</v>
      </c>
      <c r="S15" s="13"/>
      <c r="T15" s="24" t="b">
        <v>1</v>
      </c>
      <c r="U15" s="24" t="b">
        <v>1</v>
      </c>
      <c r="V15" s="24" t="b">
        <v>1</v>
      </c>
      <c r="W15" s="24" t="b">
        <v>1</v>
      </c>
      <c r="X15" s="43"/>
      <c r="Y15" s="44" t="s">
        <v>59</v>
      </c>
      <c r="Z15" s="17"/>
    </row>
    <row r="16" ht="22.5" customHeight="1">
      <c r="A16" s="45" t="s">
        <v>60</v>
      </c>
      <c r="B16" s="18" t="s">
        <v>61</v>
      </c>
      <c r="C16" s="41" t="s">
        <v>62</v>
      </c>
      <c r="D16" s="20">
        <v>46096.0</v>
      </c>
      <c r="E16" s="21">
        <v>2.0</v>
      </c>
      <c r="F16" s="7">
        <f t="shared" si="1"/>
        <v>46098</v>
      </c>
      <c r="G16" s="7"/>
      <c r="H16" s="22" t="s">
        <v>29</v>
      </c>
      <c r="I16" s="22" t="s">
        <v>29</v>
      </c>
      <c r="J16" s="10" t="str">
        <f>IFERROR(__xludf.DUMMYFUNCTION("TEXTJOIN("", "", TRUE, FILTER(OrderItem[Item],OrderItem[Nomor Order] = $A16))"),"Paket 160x200")</f>
        <v>Paket 160x200</v>
      </c>
      <c r="K16" s="11">
        <f>SUMIF(OrderItem[Nomor Order],Orders[Nomor Order],OrderItem[Total Biaya Order (IDR)])</f>
        <v>118000</v>
      </c>
      <c r="L16" s="23">
        <v>10000.0</v>
      </c>
      <c r="M16" s="23"/>
      <c r="N16" s="13">
        <f>Orders[Subtotal Item (IDR)]+Orders[Subtotal Ongkir Tertagih]-Orders[Diskon Ongkir]</f>
        <v>128000</v>
      </c>
      <c r="O16" s="18">
        <v>3.0</v>
      </c>
      <c r="P16" s="13">
        <f>IF(AND(Orders[Jenis Pengantaran]="Fortuner",Orders[Jenis Pengambilan]="Fortuner"),0,Orders[Jarak Antar (km)]*(IF(Orders[Jenis Pengantaran]="Fortuner",1,2)*(IF(Orders[Jenis Pengambilan]="Fortuner",1,2)/10*6800)))</f>
        <v>8160</v>
      </c>
      <c r="Q16" s="23"/>
      <c r="R16" s="24" t="b">
        <v>0</v>
      </c>
      <c r="S16" s="13">
        <f>Orders[Total Tagihan]-Orders[Nominal DP]</f>
        <v>128000</v>
      </c>
      <c r="T16" s="42" t="b">
        <v>0</v>
      </c>
      <c r="U16" s="24" t="b">
        <v>0</v>
      </c>
      <c r="V16" s="42" t="b">
        <v>0</v>
      </c>
      <c r="W16" s="42" t="b">
        <v>0</v>
      </c>
      <c r="X16" s="43"/>
      <c r="Y16" s="17"/>
      <c r="Z16" s="17"/>
    </row>
    <row r="17" ht="22.5" customHeight="1">
      <c r="A17" s="45" t="s">
        <v>63</v>
      </c>
      <c r="B17" s="18" t="s">
        <v>64</v>
      </c>
      <c r="C17" s="41" t="s">
        <v>65</v>
      </c>
      <c r="D17" s="20">
        <v>46098.0</v>
      </c>
      <c r="E17" s="21">
        <v>3.0</v>
      </c>
      <c r="F17" s="7">
        <f t="shared" si="1"/>
        <v>46101</v>
      </c>
      <c r="G17" s="7"/>
      <c r="H17" s="46"/>
      <c r="I17" s="46"/>
      <c r="J17" s="10" t="str">
        <f>IFERROR(__xludf.DUMMYFUNCTION("TEXTJOIN("", "", TRUE, FILTER(OrderItem[Item],OrderItem[Nomor Order] = $A17))"),"Paket 120x200")</f>
        <v>Paket 120x200</v>
      </c>
      <c r="K17" s="11">
        <f>SUMIF(OrderItem[Nomor Order],Orders[Nomor Order],OrderItem[Total Biaya Order (IDR)])</f>
        <v>147000</v>
      </c>
      <c r="L17" s="23"/>
      <c r="M17" s="23"/>
      <c r="N17" s="13">
        <f>Orders[Subtotal Item (IDR)]+Orders[Subtotal Ongkir Tertagih]-Orders[Diskon Ongkir]</f>
        <v>147000</v>
      </c>
      <c r="O17" s="18"/>
      <c r="P17" s="13">
        <f>IF(AND(Orders[Jenis Pengantaran]="Fortuner",Orders[Jenis Pengambilan]="Fortuner"),0,Orders[Jarak Antar (km)]*(IF(Orders[Jenis Pengantaran]="Fortuner",1,2)*(IF(Orders[Jenis Pengambilan]="Fortuner",1,2)/10*6800)))</f>
        <v>0</v>
      </c>
      <c r="Q17" s="23"/>
      <c r="R17" s="24" t="b">
        <v>0</v>
      </c>
      <c r="S17" s="13">
        <f>Orders[Total Tagihan]-Orders[Nominal DP]</f>
        <v>147000</v>
      </c>
      <c r="T17" s="42" t="b">
        <v>0</v>
      </c>
      <c r="U17" s="24" t="b">
        <v>0</v>
      </c>
      <c r="V17" s="42" t="b">
        <v>0</v>
      </c>
      <c r="W17" s="42" t="b">
        <v>0</v>
      </c>
      <c r="X17" s="43"/>
      <c r="Y17" s="17"/>
      <c r="Z17" s="17"/>
    </row>
    <row r="18" ht="22.5" customHeight="1">
      <c r="A18" s="45" t="s">
        <v>66</v>
      </c>
      <c r="B18" s="18" t="s">
        <v>67</v>
      </c>
      <c r="C18" s="41" t="s">
        <v>68</v>
      </c>
      <c r="D18" s="20">
        <v>46099.0</v>
      </c>
      <c r="E18" s="21">
        <v>10.0</v>
      </c>
      <c r="F18" s="7">
        <f t="shared" si="1"/>
        <v>46109</v>
      </c>
      <c r="G18" s="7"/>
      <c r="H18" s="46"/>
      <c r="I18" s="46"/>
      <c r="J18" s="10" t="str">
        <f>IFERROR(__xludf.DUMMYFUNCTION("TEXTJOIN("", "", TRUE, FILTER(OrderItem[Item],OrderItem[Nomor Order] = $A18))"),"Paket 100x200")</f>
        <v>Paket 100x200</v>
      </c>
      <c r="K18" s="11">
        <f>SUMIF(OrderItem[Nomor Order],Orders[Nomor Order],OrderItem[Total Biaya Order (IDR)])</f>
        <v>880000</v>
      </c>
      <c r="L18" s="23"/>
      <c r="M18" s="23"/>
      <c r="N18" s="13">
        <f>Orders[Subtotal Item (IDR)]+Orders[Subtotal Ongkir Tertagih]-Orders[Diskon Ongkir]</f>
        <v>880000</v>
      </c>
      <c r="O18" s="18"/>
      <c r="P18" s="13">
        <f>IF(AND(Orders[Jenis Pengantaran]="Fortuner",Orders[Jenis Pengambilan]="Fortuner"),0,Orders[Jarak Antar (km)]*(IF(Orders[Jenis Pengantaran]="Fortuner",1,2)*(IF(Orders[Jenis Pengambilan]="Fortuner",1,2)/10*6800)))</f>
        <v>0</v>
      </c>
      <c r="Q18" s="23"/>
      <c r="R18" s="24" t="b">
        <v>0</v>
      </c>
      <c r="S18" s="13">
        <f>Orders[Total Tagihan]-Orders[Nominal DP]</f>
        <v>880000</v>
      </c>
      <c r="T18" s="42" t="b">
        <v>0</v>
      </c>
      <c r="U18" s="24" t="b">
        <v>0</v>
      </c>
      <c r="V18" s="42" t="b">
        <v>0</v>
      </c>
      <c r="W18" s="42" t="b">
        <v>0</v>
      </c>
      <c r="X18" s="43"/>
      <c r="Y18" s="17"/>
      <c r="Z18" s="17"/>
    </row>
    <row r="19" ht="22.5" customHeight="1">
      <c r="A19" s="45" t="s">
        <v>69</v>
      </c>
      <c r="B19" s="18" t="s">
        <v>70</v>
      </c>
      <c r="C19" s="41" t="s">
        <v>71</v>
      </c>
      <c r="D19" s="20">
        <v>46101.0</v>
      </c>
      <c r="E19" s="21">
        <v>4.0</v>
      </c>
      <c r="F19" s="7">
        <f t="shared" si="1"/>
        <v>46105</v>
      </c>
      <c r="G19" s="7"/>
      <c r="H19" s="46"/>
      <c r="I19" s="46"/>
      <c r="J19" s="10" t="str">
        <f>IFERROR(__xludf.DUMMYFUNCTION("TEXTJOIN("", "", TRUE, FILTER(OrderItem[Item],OrderItem[Nomor Order] = $A19))"),"Paket 120x200")</f>
        <v>Paket 120x200</v>
      </c>
      <c r="K19" s="11">
        <f>SUMIF(OrderItem[Nomor Order],Orders[Nomor Order],OrderItem[Total Biaya Order (IDR)])</f>
        <v>784000</v>
      </c>
      <c r="L19" s="23"/>
      <c r="M19" s="23"/>
      <c r="N19" s="13">
        <f>Orders[Subtotal Item (IDR)]+Orders[Subtotal Ongkir Tertagih]-Orders[Diskon Ongkir]</f>
        <v>784000</v>
      </c>
      <c r="O19" s="18"/>
      <c r="P19" s="13">
        <f>IF(AND(Orders[Jenis Pengantaran]="Fortuner",Orders[Jenis Pengambilan]="Fortuner"),0,Orders[Jarak Antar (km)]*(IF(Orders[Jenis Pengantaran]="Fortuner",1,2)*(IF(Orders[Jenis Pengambilan]="Fortuner",1,2)/10*6800)))</f>
        <v>0</v>
      </c>
      <c r="Q19" s="23"/>
      <c r="R19" s="24" t="b">
        <v>0</v>
      </c>
      <c r="S19" s="13">
        <f>Orders[Total Tagihan]-Orders[Nominal DP]</f>
        <v>784000</v>
      </c>
      <c r="T19" s="42" t="b">
        <v>0</v>
      </c>
      <c r="U19" s="24" t="b">
        <v>0</v>
      </c>
      <c r="V19" s="42" t="b">
        <v>0</v>
      </c>
      <c r="W19" s="42" t="b">
        <v>0</v>
      </c>
      <c r="X19" s="43"/>
      <c r="Y19" s="17"/>
      <c r="Z19" s="17"/>
    </row>
    <row r="20" ht="22.5" customHeight="1">
      <c r="A20" s="45" t="s">
        <v>72</v>
      </c>
      <c r="B20" s="18" t="s">
        <v>73</v>
      </c>
      <c r="C20" s="41" t="s">
        <v>74</v>
      </c>
      <c r="D20" s="20">
        <v>46104.0</v>
      </c>
      <c r="E20" s="21">
        <v>2.0</v>
      </c>
      <c r="F20" s="7">
        <f t="shared" si="1"/>
        <v>46106</v>
      </c>
      <c r="G20" s="7"/>
      <c r="H20" s="46"/>
      <c r="I20" s="46"/>
      <c r="J20" s="10" t="str">
        <f>IFERROR(__xludf.DUMMYFUNCTION("TEXTJOIN("", "", TRUE, FILTER(OrderItem[Item],OrderItem[Nomor Order] = $A20))"),"Paket 100x200, Paket 120x200, Paket 160x200")</f>
        <v>Paket 100x200, Paket 120x200, Paket 160x200</v>
      </c>
      <c r="K20" s="11">
        <f>SUMIF(OrderItem[Nomor Order],Orders[Nomor Order],OrderItem[Total Biaya Order (IDR)])</f>
        <v>638000</v>
      </c>
      <c r="L20" s="23"/>
      <c r="M20" s="23"/>
      <c r="N20" s="13">
        <f>Orders[Subtotal Item (IDR)]+Orders[Subtotal Ongkir Tertagih]-Orders[Diskon Ongkir]</f>
        <v>638000</v>
      </c>
      <c r="O20" s="18"/>
      <c r="P20" s="13">
        <f>IF(AND(Orders[Jenis Pengantaran]="Fortuner",Orders[Jenis Pengambilan]="Fortuner"),0,Orders[Jarak Antar (km)]*(IF(Orders[Jenis Pengantaran]="Fortuner",1,2)*(IF(Orders[Jenis Pengambilan]="Fortuner",1,2)/10*6800)))</f>
        <v>0</v>
      </c>
      <c r="Q20" s="23"/>
      <c r="R20" s="24" t="b">
        <v>0</v>
      </c>
      <c r="S20" s="13">
        <f>Orders[Total Tagihan]-Orders[Nominal DP]</f>
        <v>638000</v>
      </c>
      <c r="T20" s="42" t="b">
        <v>0</v>
      </c>
      <c r="U20" s="24" t="b">
        <v>0</v>
      </c>
      <c r="V20" s="42" t="b">
        <v>0</v>
      </c>
      <c r="W20" s="42" t="b">
        <v>0</v>
      </c>
      <c r="X20" s="43"/>
      <c r="Y20" s="17"/>
      <c r="Z20" s="17"/>
    </row>
    <row r="21" ht="22.5" customHeight="1">
      <c r="A21" s="45" t="s">
        <v>75</v>
      </c>
      <c r="B21" s="18" t="s">
        <v>61</v>
      </c>
      <c r="C21" s="41" t="s">
        <v>62</v>
      </c>
      <c r="D21" s="20">
        <v>46100.0</v>
      </c>
      <c r="E21" s="21">
        <v>3.0</v>
      </c>
      <c r="F21" s="7">
        <f t="shared" si="1"/>
        <v>46103</v>
      </c>
      <c r="G21" s="7"/>
      <c r="H21" s="46"/>
      <c r="I21" s="46"/>
      <c r="J21" s="10" t="str">
        <f>IFERROR(__xludf.DUMMYFUNCTION("TEXTJOIN("", "", TRUE, FILTER(OrderItem[Item],OrderItem[Nomor Order] = $A21))"),"Paket 160x200, Paket 120x200")</f>
        <v>Paket 160x200, Paket 120x200</v>
      </c>
      <c r="K21" s="11">
        <f>SUMIF(OrderItem[Nomor Order],Orders[Nomor Order],OrderItem[Total Biaya Order (IDR)])</f>
        <v>324000</v>
      </c>
      <c r="L21" s="23"/>
      <c r="M21" s="23"/>
      <c r="N21" s="13">
        <f>Orders[Subtotal Item (IDR)]+Orders[Subtotal Ongkir Tertagih]-Orders[Diskon Ongkir]</f>
        <v>324000</v>
      </c>
      <c r="O21" s="18"/>
      <c r="P21" s="13">
        <f>IF(AND(Orders[Jenis Pengantaran]="Fortuner",Orders[Jenis Pengambilan]="Fortuner"),0,Orders[Jarak Antar (km)]*(IF(Orders[Jenis Pengantaran]="Fortuner",1,2)*(IF(Orders[Jenis Pengambilan]="Fortuner",1,2)/10*6800)))</f>
        <v>0</v>
      </c>
      <c r="Q21" s="23"/>
      <c r="R21" s="24" t="b">
        <v>0</v>
      </c>
      <c r="S21" s="13">
        <f>Orders[Total Tagihan]-Orders[Nominal DP]</f>
        <v>324000</v>
      </c>
      <c r="T21" s="42" t="b">
        <v>0</v>
      </c>
      <c r="U21" s="24" t="b">
        <v>0</v>
      </c>
      <c r="V21" s="42" t="b">
        <v>0</v>
      </c>
      <c r="W21" s="42" t="b">
        <v>0</v>
      </c>
      <c r="X21" s="43"/>
      <c r="Y21" s="17"/>
      <c r="Z21" s="17"/>
    </row>
    <row r="22" ht="22.5" customHeight="1">
      <c r="A22" s="45" t="s">
        <v>76</v>
      </c>
      <c r="B22" s="47" t="s">
        <v>77</v>
      </c>
      <c r="C22" s="41" t="s">
        <v>78</v>
      </c>
      <c r="D22" s="20">
        <v>46104.0</v>
      </c>
      <c r="E22" s="21">
        <v>4.0</v>
      </c>
      <c r="F22" s="7">
        <f t="shared" si="1"/>
        <v>46108</v>
      </c>
      <c r="G22" s="7"/>
      <c r="H22" s="46"/>
      <c r="I22" s="46"/>
      <c r="J22" s="10" t="str">
        <f>IFERROR(__xludf.DUMMYFUNCTION("TEXTJOIN("", "", TRUE, FILTER(OrderItem[Item],OrderItem[Nomor Order] = $A22))"),"Paket 160x200, Ekstra Bantal")</f>
        <v>Paket 160x200, Ekstra Bantal</v>
      </c>
      <c r="K22" s="11">
        <f>SUMIF(OrderItem[Nomor Order],Orders[Nomor Order],OrderItem[Total Biaya Order (IDR)])</f>
        <v>348000</v>
      </c>
      <c r="L22" s="23"/>
      <c r="M22" s="23"/>
      <c r="N22" s="13">
        <f>Orders[Subtotal Item (IDR)]+Orders[Subtotal Ongkir Tertagih]-Orders[Diskon Ongkir]</f>
        <v>348000</v>
      </c>
      <c r="O22" s="18"/>
      <c r="P22" s="13">
        <f>IF(AND(Orders[Jenis Pengantaran]="Fortuner",Orders[Jenis Pengambilan]="Fortuner"),0,Orders[Jarak Antar (km)]*(IF(Orders[Jenis Pengantaran]="Fortuner",1,2)*(IF(Orders[Jenis Pengambilan]="Fortuner",1,2)/10*6800)))</f>
        <v>0</v>
      </c>
      <c r="Q22" s="23"/>
      <c r="R22" s="24" t="b">
        <v>0</v>
      </c>
      <c r="S22" s="13">
        <f>Orders[Total Tagihan]-Orders[Nominal DP]</f>
        <v>348000</v>
      </c>
      <c r="T22" s="42" t="b">
        <v>0</v>
      </c>
      <c r="U22" s="24" t="b">
        <v>0</v>
      </c>
      <c r="V22" s="42" t="b">
        <v>0</v>
      </c>
      <c r="W22" s="42" t="b">
        <v>0</v>
      </c>
      <c r="X22" s="43"/>
      <c r="Y22" s="17"/>
      <c r="Z22" s="17"/>
    </row>
    <row r="23" ht="22.5" customHeight="1">
      <c r="A23" s="45" t="s">
        <v>79</v>
      </c>
      <c r="B23" s="47" t="s">
        <v>80</v>
      </c>
      <c r="C23" s="41" t="s">
        <v>81</v>
      </c>
      <c r="D23" s="20">
        <v>46107.0</v>
      </c>
      <c r="E23" s="21">
        <v>3.0</v>
      </c>
      <c r="F23" s="7">
        <f t="shared" si="1"/>
        <v>46110</v>
      </c>
      <c r="G23" s="7"/>
      <c r="H23" s="46"/>
      <c r="I23" s="46"/>
      <c r="J23" s="10" t="str">
        <f>IFERROR(__xludf.DUMMYFUNCTION("TEXTJOIN("", "", TRUE, FILTER(OrderItem[Item],OrderItem[Nomor Order] = $A23))"),"Paket 160x200")</f>
        <v>Paket 160x200</v>
      </c>
      <c r="K23" s="11">
        <f>SUMIF(OrderItem[Nomor Order],Orders[Nomor Order],OrderItem[Total Biaya Order (IDR)])</f>
        <v>531000</v>
      </c>
      <c r="L23" s="23"/>
      <c r="M23" s="23"/>
      <c r="N23" s="13">
        <f>Orders[Subtotal Item (IDR)]+Orders[Subtotal Ongkir Tertagih]-Orders[Diskon Ongkir]</f>
        <v>531000</v>
      </c>
      <c r="O23" s="18"/>
      <c r="P23" s="13">
        <f>IF(AND(Orders[Jenis Pengantaran]="Fortuner",Orders[Jenis Pengambilan]="Fortuner"),0,Orders[Jarak Antar (km)]*(IF(Orders[Jenis Pengantaran]="Fortuner",1,2)*(IF(Orders[Jenis Pengambilan]="Fortuner",1,2)/10*6800)))</f>
        <v>0</v>
      </c>
      <c r="Q23" s="23"/>
      <c r="R23" s="24" t="b">
        <v>0</v>
      </c>
      <c r="S23" s="13">
        <f>Orders[Total Tagihan]-Orders[Nominal DP]</f>
        <v>531000</v>
      </c>
      <c r="T23" s="42" t="b">
        <v>0</v>
      </c>
      <c r="U23" s="24" t="b">
        <v>0</v>
      </c>
      <c r="V23" s="42" t="b">
        <v>0</v>
      </c>
      <c r="W23" s="42" t="b">
        <v>0</v>
      </c>
      <c r="X23" s="43"/>
      <c r="Y23" s="17"/>
      <c r="Z23" s="17"/>
    </row>
    <row r="24" ht="22.5" customHeight="1">
      <c r="A24" s="45" t="s">
        <v>82</v>
      </c>
      <c r="B24" s="47" t="s">
        <v>83</v>
      </c>
      <c r="C24" s="41" t="s">
        <v>84</v>
      </c>
      <c r="D24" s="20">
        <v>46105.0</v>
      </c>
      <c r="E24" s="21">
        <v>2.0</v>
      </c>
      <c r="F24" s="7">
        <f t="shared" si="1"/>
        <v>46107</v>
      </c>
      <c r="G24" s="7"/>
      <c r="H24" s="46"/>
      <c r="I24" s="46"/>
      <c r="J24" s="10" t="str">
        <f>IFERROR(__xludf.DUMMYFUNCTION("TEXTJOIN("", "", TRUE, FILTER(OrderItem[Item],OrderItem[Nomor Order] = $A24))"),"Paket 160x200")</f>
        <v>Paket 160x200</v>
      </c>
      <c r="K24" s="11">
        <f>SUMIF(OrderItem[Nomor Order],Orders[Nomor Order],OrderItem[Total Biaya Order (IDR)])</f>
        <v>118000</v>
      </c>
      <c r="L24" s="23"/>
      <c r="M24" s="23"/>
      <c r="N24" s="13">
        <f>Orders[Subtotal Item (IDR)]+Orders[Subtotal Ongkir Tertagih]-Orders[Diskon Ongkir]</f>
        <v>118000</v>
      </c>
      <c r="O24" s="18"/>
      <c r="P24" s="13">
        <f>IF(AND(Orders[Jenis Pengantaran]="Fortuner",Orders[Jenis Pengambilan]="Fortuner"),0,Orders[Jarak Antar (km)]*(IF(Orders[Jenis Pengantaran]="Fortuner",1,2)*(IF(Orders[Jenis Pengambilan]="Fortuner",1,2)/10*6800)))</f>
        <v>0</v>
      </c>
      <c r="Q24" s="23"/>
      <c r="R24" s="24" t="b">
        <v>0</v>
      </c>
      <c r="S24" s="13">
        <f>Orders[Total Tagihan]-Orders[Nominal DP]</f>
        <v>118000</v>
      </c>
      <c r="T24" s="42" t="b">
        <v>0</v>
      </c>
      <c r="U24" s="24" t="b">
        <v>0</v>
      </c>
      <c r="V24" s="42" t="b">
        <v>0</v>
      </c>
      <c r="W24" s="42" t="b">
        <v>0</v>
      </c>
      <c r="X24" s="43"/>
      <c r="Y24" s="17"/>
      <c r="Z24" s="17"/>
    </row>
    <row r="25" ht="22.5" customHeight="1">
      <c r="A25" s="45" t="s">
        <v>85</v>
      </c>
      <c r="B25" s="47" t="s">
        <v>86</v>
      </c>
      <c r="C25" s="41" t="s">
        <v>87</v>
      </c>
      <c r="D25" s="20">
        <v>46105.0</v>
      </c>
      <c r="E25" s="21">
        <v>3.0</v>
      </c>
      <c r="F25" s="7">
        <f t="shared" si="1"/>
        <v>46108</v>
      </c>
      <c r="G25" s="7"/>
      <c r="H25" s="46"/>
      <c r="I25" s="46"/>
      <c r="J25" s="10" t="str">
        <f>IFERROR(__xludf.DUMMYFUNCTION("TEXTJOIN("", "", TRUE, FILTER(OrderItem[Item],OrderItem[Nomor Order] = $A25))"),"#N/A")</f>
        <v>#N/A</v>
      </c>
      <c r="K25" s="11">
        <f>SUMIF(OrderItem[Nomor Order],Orders[Nomor Order],OrderItem[Total Biaya Order (IDR)])</f>
        <v>0</v>
      </c>
      <c r="L25" s="23"/>
      <c r="M25" s="23"/>
      <c r="N25" s="13">
        <f>Orders[Subtotal Item (IDR)]+Orders[Subtotal Ongkir Tertagih]-Orders[Diskon Ongkir]</f>
        <v>0</v>
      </c>
      <c r="O25" s="18"/>
      <c r="P25" s="13">
        <f>IF(AND(Orders[Jenis Pengantaran]="Fortuner",Orders[Jenis Pengambilan]="Fortuner"),0,Orders[Jarak Antar (km)]*(IF(Orders[Jenis Pengantaran]="Fortuner",1,2)*(IF(Orders[Jenis Pengambilan]="Fortuner",1,2)/10*6800)))</f>
        <v>0</v>
      </c>
      <c r="Q25" s="23"/>
      <c r="R25" s="24" t="b">
        <v>0</v>
      </c>
      <c r="S25" s="13">
        <f>Orders[Total Tagihan]-Orders[Nominal DP]</f>
        <v>0</v>
      </c>
      <c r="T25" s="42" t="b">
        <v>0</v>
      </c>
      <c r="U25" s="24" t="b">
        <v>0</v>
      </c>
      <c r="V25" s="42" t="b">
        <v>0</v>
      </c>
      <c r="W25" s="42" t="b">
        <v>0</v>
      </c>
      <c r="X25" s="43"/>
      <c r="Y25" s="17"/>
      <c r="Z25" s="17"/>
    </row>
    <row r="26" ht="22.5" customHeight="1">
      <c r="A26" s="45" t="s">
        <v>88</v>
      </c>
      <c r="B26" s="47" t="s">
        <v>89</v>
      </c>
      <c r="C26" s="41" t="s">
        <v>90</v>
      </c>
      <c r="D26" s="20">
        <v>46109.0</v>
      </c>
      <c r="E26" s="21">
        <v>2.0</v>
      </c>
      <c r="F26" s="7">
        <f t="shared" si="1"/>
        <v>46111</v>
      </c>
      <c r="G26" s="7">
        <v>46112.0</v>
      </c>
      <c r="H26" s="46"/>
      <c r="I26" s="46"/>
      <c r="J26" s="10" t="str">
        <f>IFERROR(__xludf.DUMMYFUNCTION("TEXTJOIN("", "", TRUE, FILTER(OrderItem[Item],OrderItem[Nomor Order] = $A26))"),"#N/A")</f>
        <v>#N/A</v>
      </c>
      <c r="K26" s="11">
        <f>SUMIF(OrderItem[Nomor Order],Orders[Nomor Order],OrderItem[Total Biaya Order (IDR)])</f>
        <v>0</v>
      </c>
      <c r="L26" s="23"/>
      <c r="M26" s="23"/>
      <c r="N26" s="13">
        <f>Orders[Subtotal Item (IDR)]+Orders[Subtotal Ongkir Tertagih]-Orders[Diskon Ongkir]</f>
        <v>0</v>
      </c>
      <c r="O26" s="18"/>
      <c r="P26" s="13">
        <f>IF(AND(Orders[Jenis Pengantaran]="Fortuner",Orders[Jenis Pengambilan]="Fortuner"),0,Orders[Jarak Antar (km)]*(IF(Orders[Jenis Pengantaran]="Fortuner",1,2)*(IF(Orders[Jenis Pengambilan]="Fortuner",1,2)/10*6800)))</f>
        <v>0</v>
      </c>
      <c r="Q26" s="23"/>
      <c r="R26" s="24" t="b">
        <v>0</v>
      </c>
      <c r="S26" s="13">
        <f>Orders[Total Tagihan]-Orders[Nominal DP]</f>
        <v>0</v>
      </c>
      <c r="T26" s="42" t="b">
        <v>0</v>
      </c>
      <c r="U26" s="24" t="b">
        <v>0</v>
      </c>
      <c r="V26" s="42" t="b">
        <v>0</v>
      </c>
      <c r="W26" s="42" t="b">
        <v>0</v>
      </c>
      <c r="X26" s="43"/>
      <c r="Y26" s="17"/>
      <c r="Z26" s="17"/>
    </row>
    <row r="27" ht="22.5" customHeight="1">
      <c r="A27" s="45" t="s">
        <v>91</v>
      </c>
      <c r="B27" s="47" t="s">
        <v>92</v>
      </c>
      <c r="C27" s="41" t="s">
        <v>93</v>
      </c>
      <c r="D27" s="20">
        <v>46114.0</v>
      </c>
      <c r="E27" s="21">
        <v>8.0</v>
      </c>
      <c r="F27" s="7">
        <f t="shared" si="1"/>
        <v>46122</v>
      </c>
      <c r="G27" s="7"/>
      <c r="H27" s="46"/>
      <c r="I27" s="46"/>
      <c r="J27" s="10" t="str">
        <f>IFERROR(__xludf.DUMMYFUNCTION("TEXTJOIN("", "", TRUE, FILTER(OrderItem[Item],OrderItem[Nomor Order] = $A27))"),"#N/A")</f>
        <v>#N/A</v>
      </c>
      <c r="K27" s="11">
        <f>SUMIF(OrderItem[Nomor Order],Orders[Nomor Order],OrderItem[Total Biaya Order (IDR)])</f>
        <v>0</v>
      </c>
      <c r="L27" s="23"/>
      <c r="M27" s="23"/>
      <c r="N27" s="13">
        <f>Orders[Subtotal Item (IDR)]+Orders[Subtotal Ongkir Tertagih]-Orders[Diskon Ongkir]</f>
        <v>0</v>
      </c>
      <c r="O27" s="18"/>
      <c r="P27" s="13">
        <f>IF(AND(Orders[Jenis Pengantaran]="Fortuner",Orders[Jenis Pengambilan]="Fortuner"),0,Orders[Jarak Antar (km)]*(IF(Orders[Jenis Pengantaran]="Fortuner",1,2)*(IF(Orders[Jenis Pengambilan]="Fortuner",1,2)/10*6800)))</f>
        <v>0</v>
      </c>
      <c r="Q27" s="23"/>
      <c r="R27" s="24" t="b">
        <v>0</v>
      </c>
      <c r="S27" s="13">
        <f>Orders[Total Tagihan]-Orders[Nominal DP]</f>
        <v>0</v>
      </c>
      <c r="T27" s="42" t="b">
        <v>0</v>
      </c>
      <c r="U27" s="24" t="b">
        <v>0</v>
      </c>
      <c r="V27" s="42" t="b">
        <v>0</v>
      </c>
      <c r="W27" s="42" t="b">
        <v>0</v>
      </c>
      <c r="X27" s="43"/>
      <c r="Y27" s="17"/>
      <c r="Z27" s="17"/>
    </row>
    <row r="28" ht="22.5" customHeight="1">
      <c r="A28" s="45" t="s">
        <v>94</v>
      </c>
      <c r="B28" s="47" t="s">
        <v>95</v>
      </c>
      <c r="C28" s="41" t="s">
        <v>96</v>
      </c>
      <c r="D28" s="20">
        <v>46115.0</v>
      </c>
      <c r="E28" s="21">
        <v>3.0</v>
      </c>
      <c r="F28" s="7">
        <f t="shared" si="1"/>
        <v>46118</v>
      </c>
      <c r="G28" s="7"/>
      <c r="H28" s="46"/>
      <c r="I28" s="46"/>
      <c r="J28" s="10" t="str">
        <f>IFERROR(__xludf.DUMMYFUNCTION("TEXTJOIN("", "", TRUE, FILTER(OrderItem[Item],OrderItem[Nomor Order] = $A28))"),"#N/A")</f>
        <v>#N/A</v>
      </c>
      <c r="K28" s="11">
        <f>SUMIF(OrderItem[Nomor Order],Orders[Nomor Order],OrderItem[Total Biaya Order (IDR)])</f>
        <v>0</v>
      </c>
      <c r="L28" s="23"/>
      <c r="M28" s="23"/>
      <c r="N28" s="13">
        <f>Orders[Subtotal Item (IDR)]+Orders[Subtotal Ongkir Tertagih]-Orders[Diskon Ongkir]</f>
        <v>0</v>
      </c>
      <c r="O28" s="18"/>
      <c r="P28" s="13">
        <f>IF(AND(Orders[Jenis Pengantaran]="Fortuner",Orders[Jenis Pengambilan]="Fortuner"),0,Orders[Jarak Antar (km)]*(IF(Orders[Jenis Pengantaran]="Fortuner",1,2)*(IF(Orders[Jenis Pengambilan]="Fortuner",1,2)/10*6800)))</f>
        <v>0</v>
      </c>
      <c r="Q28" s="23"/>
      <c r="R28" s="24" t="b">
        <v>0</v>
      </c>
      <c r="S28" s="13">
        <f>Orders[Total Tagihan]-Orders[Nominal DP]</f>
        <v>0</v>
      </c>
      <c r="T28" s="42" t="b">
        <v>0</v>
      </c>
      <c r="U28" s="24" t="b">
        <v>0</v>
      </c>
      <c r="V28" s="42" t="b">
        <v>0</v>
      </c>
      <c r="W28" s="42" t="b">
        <v>0</v>
      </c>
      <c r="X28" s="43"/>
      <c r="Y28" s="18" t="s">
        <v>97</v>
      </c>
      <c r="Z28" s="17"/>
    </row>
    <row r="29" ht="22.5" customHeight="1">
      <c r="A29" s="45" t="s">
        <v>98</v>
      </c>
      <c r="B29" s="47" t="s">
        <v>99</v>
      </c>
      <c r="C29" s="41" t="s">
        <v>100</v>
      </c>
      <c r="D29" s="20">
        <v>46118.0</v>
      </c>
      <c r="E29" s="21">
        <v>4.0</v>
      </c>
      <c r="F29" s="7">
        <f t="shared" si="1"/>
        <v>46122</v>
      </c>
      <c r="G29" s="7"/>
      <c r="H29" s="46"/>
      <c r="I29" s="46"/>
      <c r="J29" s="10" t="str">
        <f>IFERROR(__xludf.DUMMYFUNCTION("TEXTJOIN("", "", TRUE, FILTER(OrderItem[Item],OrderItem[Nomor Order] = $A29))"),"#N/A")</f>
        <v>#N/A</v>
      </c>
      <c r="K29" s="11">
        <f>SUMIF(OrderItem[Nomor Order],Orders[Nomor Order],OrderItem[Total Biaya Order (IDR)])</f>
        <v>0</v>
      </c>
      <c r="L29" s="23"/>
      <c r="M29" s="23"/>
      <c r="N29" s="13">
        <f>Orders[Subtotal Item (IDR)]+Orders[Subtotal Ongkir Tertagih]-Orders[Diskon Ongkir]</f>
        <v>0</v>
      </c>
      <c r="O29" s="18"/>
      <c r="P29" s="13">
        <f>IF(AND(Orders[Jenis Pengantaran]="Fortuner",Orders[Jenis Pengambilan]="Fortuner"),0,Orders[Jarak Antar (km)]*(IF(Orders[Jenis Pengantaran]="Fortuner",1,2)*(IF(Orders[Jenis Pengambilan]="Fortuner",1,2)/10*6800)))</f>
        <v>0</v>
      </c>
      <c r="Q29" s="23"/>
      <c r="R29" s="24" t="b">
        <v>0</v>
      </c>
      <c r="S29" s="13">
        <f>Orders[Total Tagihan]-Orders[Nominal DP]</f>
        <v>0</v>
      </c>
      <c r="T29" s="42" t="b">
        <v>0</v>
      </c>
      <c r="U29" s="24" t="b">
        <v>0</v>
      </c>
      <c r="V29" s="42" t="b">
        <v>0</v>
      </c>
      <c r="W29" s="42" t="b">
        <v>0</v>
      </c>
      <c r="X29" s="43"/>
      <c r="Y29" s="17"/>
      <c r="Z29" s="17"/>
    </row>
    <row r="30" ht="22.5" customHeight="1">
      <c r="A30" s="45" t="s">
        <v>101</v>
      </c>
      <c r="B30" s="47" t="s">
        <v>102</v>
      </c>
      <c r="C30" s="41" t="s">
        <v>103</v>
      </c>
      <c r="D30" s="20">
        <v>46121.0</v>
      </c>
      <c r="E30" s="21">
        <v>7.0</v>
      </c>
      <c r="F30" s="7">
        <f t="shared" si="1"/>
        <v>46128</v>
      </c>
      <c r="G30" s="7"/>
      <c r="H30" s="46"/>
      <c r="I30" s="46"/>
      <c r="J30" s="10" t="str">
        <f>IFERROR(__xludf.DUMMYFUNCTION("TEXTJOIN("", "", TRUE, FILTER(OrderItem[Item],OrderItem[Nomor Order] = $A30))"),"#N/A")</f>
        <v>#N/A</v>
      </c>
      <c r="K30" s="11">
        <f>SUMIF(OrderItem[Nomor Order],Orders[Nomor Order],OrderItem[Total Biaya Order (IDR)])</f>
        <v>0</v>
      </c>
      <c r="L30" s="23"/>
      <c r="M30" s="23"/>
      <c r="N30" s="13">
        <f>Orders[Subtotal Item (IDR)]+Orders[Subtotal Ongkir Tertagih]-Orders[Diskon Ongkir]</f>
        <v>0</v>
      </c>
      <c r="O30" s="18"/>
      <c r="P30" s="13">
        <f>IF(AND(Orders[Jenis Pengantaran]="Fortuner",Orders[Jenis Pengambilan]="Fortuner"),0,Orders[Jarak Antar (km)]*(IF(Orders[Jenis Pengantaran]="Fortuner",1,2)*(IF(Orders[Jenis Pengambilan]="Fortuner",1,2)/10*6800)))</f>
        <v>0</v>
      </c>
      <c r="Q30" s="23"/>
      <c r="R30" s="24" t="b">
        <v>0</v>
      </c>
      <c r="S30" s="13">
        <f>Orders[Total Tagihan]-Orders[Nominal DP]</f>
        <v>0</v>
      </c>
      <c r="T30" s="42" t="b">
        <v>0</v>
      </c>
      <c r="U30" s="24" t="b">
        <v>0</v>
      </c>
      <c r="V30" s="42" t="b">
        <v>0</v>
      </c>
      <c r="W30" s="42" t="b">
        <v>0</v>
      </c>
      <c r="X30" s="43"/>
      <c r="Y30" s="17"/>
      <c r="Z30" s="17"/>
    </row>
    <row r="31" ht="22.5" customHeight="1">
      <c r="A31" s="45" t="s">
        <v>104</v>
      </c>
      <c r="B31" s="47" t="s">
        <v>105</v>
      </c>
      <c r="C31" s="41" t="s">
        <v>106</v>
      </c>
      <c r="D31" s="20">
        <v>46122.0</v>
      </c>
      <c r="E31" s="21">
        <v>1.0</v>
      </c>
      <c r="F31" s="7">
        <f t="shared" si="1"/>
        <v>46123</v>
      </c>
      <c r="G31" s="7"/>
      <c r="H31" s="46"/>
      <c r="I31" s="46"/>
      <c r="J31" s="10" t="str">
        <f>IFERROR(__xludf.DUMMYFUNCTION("TEXTJOIN("", "", TRUE, FILTER(OrderItem[Item],OrderItem[Nomor Order] = $A31))"),"#N/A")</f>
        <v>#N/A</v>
      </c>
      <c r="K31" s="11">
        <f>SUMIF(OrderItem[Nomor Order],Orders[Nomor Order],OrderItem[Total Biaya Order (IDR)])</f>
        <v>0</v>
      </c>
      <c r="L31" s="23"/>
      <c r="M31" s="23"/>
      <c r="N31" s="13">
        <f>Orders[Subtotal Item (IDR)]+Orders[Subtotal Ongkir Tertagih]-Orders[Diskon Ongkir]</f>
        <v>0</v>
      </c>
      <c r="O31" s="18"/>
      <c r="P31" s="13">
        <f>IF(AND(Orders[Jenis Pengantaran]="Fortuner",Orders[Jenis Pengambilan]="Fortuner"),0,Orders[Jarak Antar (km)]*(IF(Orders[Jenis Pengantaran]="Fortuner",1,2)*(IF(Orders[Jenis Pengambilan]="Fortuner",1,2)/10*6800)))</f>
        <v>0</v>
      </c>
      <c r="Q31" s="23"/>
      <c r="R31" s="24" t="b">
        <v>0</v>
      </c>
      <c r="S31" s="13">
        <f>Orders[Total Tagihan]-Orders[Nominal DP]</f>
        <v>0</v>
      </c>
      <c r="T31" s="42" t="b">
        <v>0</v>
      </c>
      <c r="U31" s="24" t="b">
        <v>0</v>
      </c>
      <c r="V31" s="42" t="b">
        <v>0</v>
      </c>
      <c r="W31" s="42" t="b">
        <v>0</v>
      </c>
      <c r="X31" s="43"/>
      <c r="Y31" s="17"/>
      <c r="Z31" s="17"/>
    </row>
    <row r="32" ht="22.5" customHeight="1">
      <c r="A32" s="45" t="s">
        <v>107</v>
      </c>
      <c r="B32" s="47" t="s">
        <v>108</v>
      </c>
      <c r="C32" s="41" t="s">
        <v>109</v>
      </c>
      <c r="D32" s="20">
        <v>46122.0</v>
      </c>
      <c r="E32" s="21">
        <v>2.0</v>
      </c>
      <c r="F32" s="7">
        <f t="shared" si="1"/>
        <v>46124</v>
      </c>
      <c r="G32" s="7"/>
      <c r="H32" s="46"/>
      <c r="I32" s="46"/>
      <c r="J32" s="10" t="str">
        <f>IFERROR(__xludf.DUMMYFUNCTION("TEXTJOIN("", "", TRUE, FILTER(OrderItem[Item],OrderItem[Nomor Order] = $A32))"),"#N/A")</f>
        <v>#N/A</v>
      </c>
      <c r="K32" s="11">
        <f>SUMIF(OrderItem[Nomor Order],Orders[Nomor Order],OrderItem[Total Biaya Order (IDR)])</f>
        <v>0</v>
      </c>
      <c r="L32" s="23"/>
      <c r="M32" s="23"/>
      <c r="N32" s="13">
        <f>Orders[Subtotal Item (IDR)]+Orders[Subtotal Ongkir Tertagih]-Orders[Diskon Ongkir]</f>
        <v>0</v>
      </c>
      <c r="O32" s="18"/>
      <c r="P32" s="13">
        <f>IF(AND(Orders[Jenis Pengantaran]="Fortuner",Orders[Jenis Pengambilan]="Fortuner"),0,Orders[Jarak Antar (km)]*(IF(Orders[Jenis Pengantaran]="Fortuner",1,2)*(IF(Orders[Jenis Pengambilan]="Fortuner",1,2)/10*6800)))</f>
        <v>0</v>
      </c>
      <c r="Q32" s="23"/>
      <c r="R32" s="24" t="b">
        <v>0</v>
      </c>
      <c r="S32" s="13">
        <f>Orders[Total Tagihan]-Orders[Nominal DP]</f>
        <v>0</v>
      </c>
      <c r="T32" s="42" t="b">
        <v>0</v>
      </c>
      <c r="U32" s="24" t="b">
        <v>0</v>
      </c>
      <c r="V32" s="42" t="b">
        <v>0</v>
      </c>
      <c r="W32" s="42" t="b">
        <v>0</v>
      </c>
      <c r="X32" s="43"/>
      <c r="Y32" s="17"/>
      <c r="Z32" s="17"/>
    </row>
    <row r="33" ht="22.5" customHeight="1">
      <c r="A33" s="45" t="s">
        <v>110</v>
      </c>
      <c r="B33" s="47" t="s">
        <v>111</v>
      </c>
      <c r="C33" s="41" t="s">
        <v>112</v>
      </c>
      <c r="D33" s="20">
        <v>46123.0</v>
      </c>
      <c r="E33" s="21">
        <v>2.0</v>
      </c>
      <c r="F33" s="7">
        <f t="shared" si="1"/>
        <v>46125</v>
      </c>
      <c r="G33" s="7"/>
      <c r="H33" s="46"/>
      <c r="I33" s="46"/>
      <c r="J33" s="10" t="str">
        <f>IFERROR(__xludf.DUMMYFUNCTION("TEXTJOIN("", "", TRUE, FILTER(OrderItem[Item],OrderItem[Nomor Order] = $A33))"),"#N/A")</f>
        <v>#N/A</v>
      </c>
      <c r="K33" s="11">
        <f>SUMIF(OrderItem[Nomor Order],Orders[Nomor Order],OrderItem[Total Biaya Order (IDR)])</f>
        <v>0</v>
      </c>
      <c r="L33" s="23"/>
      <c r="M33" s="23"/>
      <c r="N33" s="13">
        <f>Orders[Subtotal Item (IDR)]+Orders[Subtotal Ongkir Tertagih]-Orders[Diskon Ongkir]</f>
        <v>0</v>
      </c>
      <c r="O33" s="18"/>
      <c r="P33" s="13">
        <f>IF(AND(Orders[Jenis Pengantaran]="Fortuner",Orders[Jenis Pengambilan]="Fortuner"),0,Orders[Jarak Antar (km)]*(IF(Orders[Jenis Pengantaran]="Fortuner",1,2)*(IF(Orders[Jenis Pengambilan]="Fortuner",1,2)/10*6800)))</f>
        <v>0</v>
      </c>
      <c r="Q33" s="23"/>
      <c r="R33" s="24" t="b">
        <v>0</v>
      </c>
      <c r="S33" s="13">
        <f>Orders[Total Tagihan]-Orders[Nominal DP]</f>
        <v>0</v>
      </c>
      <c r="T33" s="42" t="b">
        <v>0</v>
      </c>
      <c r="U33" s="24" t="b">
        <v>0</v>
      </c>
      <c r="V33" s="42" t="b">
        <v>0</v>
      </c>
      <c r="W33" s="42" t="b">
        <v>0</v>
      </c>
      <c r="X33" s="43"/>
      <c r="Y33" s="17"/>
      <c r="Z33" s="17"/>
    </row>
    <row r="34" ht="22.5" customHeight="1">
      <c r="A34" s="45" t="s">
        <v>113</v>
      </c>
      <c r="B34" s="47" t="s">
        <v>114</v>
      </c>
      <c r="C34" s="41" t="s">
        <v>115</v>
      </c>
      <c r="D34" s="20">
        <v>46123.0</v>
      </c>
      <c r="E34" s="21">
        <v>1.0</v>
      </c>
      <c r="F34" s="7">
        <f t="shared" si="1"/>
        <v>46124</v>
      </c>
      <c r="G34" s="7"/>
      <c r="H34" s="46"/>
      <c r="I34" s="46"/>
      <c r="J34" s="10" t="str">
        <f>IFERROR(__xludf.DUMMYFUNCTION("TEXTJOIN("", "", TRUE, FILTER(OrderItem[Item],OrderItem[Nomor Order] = $A34))"),"#N/A")</f>
        <v>#N/A</v>
      </c>
      <c r="K34" s="11">
        <f>SUMIF(OrderItem[Nomor Order],Orders[Nomor Order],OrderItem[Total Biaya Order (IDR)])</f>
        <v>0</v>
      </c>
      <c r="L34" s="23"/>
      <c r="M34" s="23"/>
      <c r="N34" s="13">
        <f>Orders[Subtotal Item (IDR)]+Orders[Subtotal Ongkir Tertagih]-Orders[Diskon Ongkir]</f>
        <v>0</v>
      </c>
      <c r="O34" s="18"/>
      <c r="P34" s="13">
        <f>IF(AND(Orders[Jenis Pengantaran]="Fortuner",Orders[Jenis Pengambilan]="Fortuner"),0,Orders[Jarak Antar (km)]*(IF(Orders[Jenis Pengantaran]="Fortuner",1,2)*(IF(Orders[Jenis Pengambilan]="Fortuner",1,2)/10*6800)))</f>
        <v>0</v>
      </c>
      <c r="Q34" s="23"/>
      <c r="R34" s="24" t="b">
        <v>0</v>
      </c>
      <c r="S34" s="13">
        <f>Orders[Total Tagihan]-Orders[Nominal DP]</f>
        <v>0</v>
      </c>
      <c r="T34" s="42" t="b">
        <v>0</v>
      </c>
      <c r="U34" s="24" t="b">
        <v>0</v>
      </c>
      <c r="V34" s="42" t="b">
        <v>0</v>
      </c>
      <c r="W34" s="42" t="b">
        <v>0</v>
      </c>
      <c r="X34" s="43"/>
      <c r="Y34" s="17"/>
      <c r="Z34" s="17"/>
    </row>
    <row r="35" ht="22.5" customHeight="1">
      <c r="A35" s="45" t="s">
        <v>116</v>
      </c>
      <c r="B35" s="47" t="s">
        <v>117</v>
      </c>
      <c r="C35" s="41" t="s">
        <v>118</v>
      </c>
      <c r="D35" s="20">
        <v>46124.0</v>
      </c>
      <c r="E35" s="21">
        <v>1.0</v>
      </c>
      <c r="F35" s="7">
        <f t="shared" si="1"/>
        <v>46125</v>
      </c>
      <c r="G35" s="7"/>
      <c r="H35" s="46"/>
      <c r="I35" s="46"/>
      <c r="J35" s="10" t="str">
        <f>IFERROR(__xludf.DUMMYFUNCTION("TEXTJOIN("", "", TRUE, FILTER(OrderItem[Item],OrderItem[Nomor Order] = $A35))"),"#N/A")</f>
        <v>#N/A</v>
      </c>
      <c r="K35" s="11">
        <f>SUMIF(OrderItem[Nomor Order],Orders[Nomor Order],OrderItem[Total Biaya Order (IDR)])</f>
        <v>0</v>
      </c>
      <c r="L35" s="23"/>
      <c r="M35" s="23"/>
      <c r="N35" s="13">
        <f>Orders[Subtotal Item (IDR)]+Orders[Subtotal Ongkir Tertagih]-Orders[Diskon Ongkir]</f>
        <v>0</v>
      </c>
      <c r="O35" s="18"/>
      <c r="P35" s="13">
        <f>IF(AND(Orders[Jenis Pengantaran]="Fortuner",Orders[Jenis Pengambilan]="Fortuner"),0,Orders[Jarak Antar (km)]*(IF(Orders[Jenis Pengantaran]="Fortuner",1,2)*(IF(Orders[Jenis Pengambilan]="Fortuner",1,2)/10*6800)))</f>
        <v>0</v>
      </c>
      <c r="Q35" s="23"/>
      <c r="R35" s="24" t="b">
        <v>0</v>
      </c>
      <c r="S35" s="13">
        <f>Orders[Total Tagihan]-Orders[Nominal DP]</f>
        <v>0</v>
      </c>
      <c r="T35" s="42" t="b">
        <v>0</v>
      </c>
      <c r="U35" s="24" t="b">
        <v>0</v>
      </c>
      <c r="V35" s="42" t="b">
        <v>0</v>
      </c>
      <c r="W35" s="42" t="b">
        <v>0</v>
      </c>
      <c r="X35" s="43"/>
      <c r="Y35" s="17"/>
      <c r="Z35" s="17"/>
    </row>
    <row r="36" ht="22.5" customHeight="1">
      <c r="A36" s="45" t="s">
        <v>119</v>
      </c>
      <c r="B36" s="47" t="s">
        <v>120</v>
      </c>
      <c r="C36" s="41" t="s">
        <v>121</v>
      </c>
      <c r="D36" s="20">
        <v>46130.0</v>
      </c>
      <c r="E36" s="21">
        <v>1.0</v>
      </c>
      <c r="F36" s="7">
        <f t="shared" si="1"/>
        <v>46131</v>
      </c>
      <c r="G36" s="7"/>
      <c r="H36" s="46"/>
      <c r="I36" s="46"/>
      <c r="J36" s="10" t="str">
        <f>IFERROR(__xludf.DUMMYFUNCTION("TEXTJOIN("", "", TRUE, FILTER(OrderItem[Item],OrderItem[Nomor Order] = $A36))"),"#N/A")</f>
        <v>#N/A</v>
      </c>
      <c r="K36" s="11">
        <f>SUMIF(OrderItem[Nomor Order],Orders[Nomor Order],OrderItem[Total Biaya Order (IDR)])</f>
        <v>0</v>
      </c>
      <c r="L36" s="23"/>
      <c r="M36" s="23"/>
      <c r="N36" s="13">
        <f>Orders[Subtotal Item (IDR)]+Orders[Subtotal Ongkir Tertagih]-Orders[Diskon Ongkir]</f>
        <v>0</v>
      </c>
      <c r="O36" s="18"/>
      <c r="P36" s="13">
        <f>IF(AND(Orders[Jenis Pengantaran]="Fortuner",Orders[Jenis Pengambilan]="Fortuner"),0,Orders[Jarak Antar (km)]*(IF(Orders[Jenis Pengantaran]="Fortuner",1,2)*(IF(Orders[Jenis Pengambilan]="Fortuner",1,2)/10*6800)))</f>
        <v>0</v>
      </c>
      <c r="Q36" s="23"/>
      <c r="R36" s="24" t="b">
        <v>0</v>
      </c>
      <c r="S36" s="13">
        <f>Orders[Total Tagihan]-Orders[Nominal DP]</f>
        <v>0</v>
      </c>
      <c r="T36" s="42" t="b">
        <v>0</v>
      </c>
      <c r="U36" s="24" t="b">
        <v>0</v>
      </c>
      <c r="V36" s="42" t="b">
        <v>0</v>
      </c>
      <c r="W36" s="42" t="b">
        <v>0</v>
      </c>
      <c r="X36" s="43"/>
      <c r="Y36" s="17"/>
      <c r="Z36" s="17"/>
    </row>
    <row r="37" ht="22.5" customHeight="1">
      <c r="A37" s="45" t="s">
        <v>122</v>
      </c>
      <c r="B37" s="47" t="s">
        <v>123</v>
      </c>
      <c r="C37" s="41" t="s">
        <v>124</v>
      </c>
      <c r="D37" s="20">
        <v>46130.0</v>
      </c>
      <c r="E37" s="21">
        <v>1.0</v>
      </c>
      <c r="F37" s="7">
        <f t="shared" si="1"/>
        <v>46131</v>
      </c>
      <c r="G37" s="7"/>
      <c r="H37" s="46"/>
      <c r="I37" s="46"/>
      <c r="J37" s="10" t="str">
        <f>IFERROR(__xludf.DUMMYFUNCTION("TEXTJOIN("", "", TRUE, FILTER(OrderItem[Item],OrderItem[Nomor Order] = $A37))"),"#N/A")</f>
        <v>#N/A</v>
      </c>
      <c r="K37" s="11">
        <f>SUMIF(OrderItem[Nomor Order],Orders[Nomor Order],OrderItem[Total Biaya Order (IDR)])</f>
        <v>0</v>
      </c>
      <c r="L37" s="23"/>
      <c r="M37" s="23"/>
      <c r="N37" s="13">
        <f>Orders[Subtotal Item (IDR)]+Orders[Subtotal Ongkir Tertagih]-Orders[Diskon Ongkir]</f>
        <v>0</v>
      </c>
      <c r="O37" s="18"/>
      <c r="P37" s="13">
        <f>IF(AND(Orders[Jenis Pengantaran]="Fortuner",Orders[Jenis Pengambilan]="Fortuner"),0,Orders[Jarak Antar (km)]*(IF(Orders[Jenis Pengantaran]="Fortuner",1,2)*(IF(Orders[Jenis Pengambilan]="Fortuner",1,2)/10*6800)))</f>
        <v>0</v>
      </c>
      <c r="Q37" s="23"/>
      <c r="R37" s="24" t="b">
        <v>0</v>
      </c>
      <c r="S37" s="13">
        <f>Orders[Total Tagihan]-Orders[Nominal DP]</f>
        <v>0</v>
      </c>
      <c r="T37" s="42" t="b">
        <v>0</v>
      </c>
      <c r="U37" s="24" t="b">
        <v>0</v>
      </c>
      <c r="V37" s="42" t="b">
        <v>0</v>
      </c>
      <c r="W37" s="42" t="b">
        <v>0</v>
      </c>
      <c r="X37" s="43"/>
      <c r="Y37" s="17"/>
      <c r="Z37" s="17"/>
    </row>
    <row r="38" ht="22.5" customHeight="1">
      <c r="A38" s="45" t="s">
        <v>125</v>
      </c>
      <c r="B38" s="47" t="s">
        <v>126</v>
      </c>
      <c r="C38" s="41" t="s">
        <v>127</v>
      </c>
      <c r="D38" s="20">
        <v>46143.0</v>
      </c>
      <c r="E38" s="21">
        <f t="shared" ref="E38:E62" si="2">F38-D38</f>
        <v>2</v>
      </c>
      <c r="F38" s="7">
        <v>46145.0</v>
      </c>
      <c r="G38" s="7"/>
      <c r="H38" s="22"/>
      <c r="I38" s="22"/>
      <c r="J38" s="10" t="str">
        <f>IFERROR(__xludf.DUMMYFUNCTION("TEXTJOIN("", "", TRUE, FILTER(OrderItem[Item],OrderItem[Nomor Order] = $A38))"),"#N/A")</f>
        <v>#N/A</v>
      </c>
      <c r="K38" s="11">
        <f>SUMIF(OrderItem[Nomor Order],Orders[Nomor Order],OrderItem[Total Biaya Order (IDR)])</f>
        <v>0</v>
      </c>
      <c r="L38" s="23"/>
      <c r="M38" s="23"/>
      <c r="N38" s="13">
        <f>Orders[Subtotal Item (IDR)]+Orders[Subtotal Ongkir Tertagih]-Orders[Diskon Ongkir]</f>
        <v>0</v>
      </c>
      <c r="O38" s="18"/>
      <c r="P38" s="13">
        <f>IF(AND(Orders[Jenis Pengantaran]="Fortuner",Orders[Jenis Pengambilan]="Fortuner"),0,Orders[Jarak Antar (km)]*(IF(Orders[Jenis Pengantaran]="Fortuner",1,2)*(IF(Orders[Jenis Pengambilan]="Fortuner",1,2)/10*6800)))</f>
        <v>0</v>
      </c>
      <c r="Q38" s="23"/>
      <c r="R38" s="24" t="b">
        <v>0</v>
      </c>
      <c r="S38" s="13">
        <f>Orders[Total Tagihan]-Orders[Nominal DP]</f>
        <v>0</v>
      </c>
      <c r="T38" s="42" t="b">
        <v>0</v>
      </c>
      <c r="U38" s="24" t="b">
        <v>0</v>
      </c>
      <c r="V38" s="42" t="b">
        <v>0</v>
      </c>
      <c r="W38" s="42" t="b">
        <v>0</v>
      </c>
      <c r="X38" s="43"/>
      <c r="Y38" s="17"/>
      <c r="Z38" s="17"/>
    </row>
    <row r="39" ht="22.5" customHeight="1">
      <c r="A39" s="45" t="s">
        <v>128</v>
      </c>
      <c r="B39" s="47" t="s">
        <v>129</v>
      </c>
      <c r="C39" s="41" t="s">
        <v>130</v>
      </c>
      <c r="D39" s="20">
        <v>46143.0</v>
      </c>
      <c r="E39" s="21">
        <f t="shared" si="2"/>
        <v>2</v>
      </c>
      <c r="F39" s="7">
        <v>46145.0</v>
      </c>
      <c r="G39" s="7"/>
      <c r="H39" s="22"/>
      <c r="I39" s="22"/>
      <c r="J39" s="10" t="str">
        <f>IFERROR(__xludf.DUMMYFUNCTION("TEXTJOIN("", "", TRUE, FILTER(OrderItem[Item],OrderItem[Nomor Order] = $A39))"),"#N/A")</f>
        <v>#N/A</v>
      </c>
      <c r="K39" s="11">
        <f>SUMIF(OrderItem[Nomor Order],Orders[Nomor Order],OrderItem[Total Biaya Order (IDR)])</f>
        <v>0</v>
      </c>
      <c r="L39" s="23"/>
      <c r="M39" s="23"/>
      <c r="N39" s="13">
        <f>Orders[Subtotal Item (IDR)]+Orders[Subtotal Ongkir Tertagih]-Orders[Diskon Ongkir]</f>
        <v>0</v>
      </c>
      <c r="O39" s="18"/>
      <c r="P39" s="13">
        <f>IF(AND(Orders[Jenis Pengantaran]="Fortuner",Orders[Jenis Pengambilan]="Fortuner"),0,Orders[Jarak Antar (km)]*(IF(Orders[Jenis Pengantaran]="Fortuner",1,2)*(IF(Orders[Jenis Pengambilan]="Fortuner",1,2)/10*6800)))</f>
        <v>0</v>
      </c>
      <c r="Q39" s="23"/>
      <c r="R39" s="24" t="b">
        <v>0</v>
      </c>
      <c r="S39" s="13">
        <f>Orders[Total Tagihan]-Orders[Nominal DP]</f>
        <v>0</v>
      </c>
      <c r="T39" s="42" t="b">
        <v>0</v>
      </c>
      <c r="U39" s="24" t="b">
        <v>0</v>
      </c>
      <c r="V39" s="42" t="b">
        <v>0</v>
      </c>
      <c r="W39" s="42" t="b">
        <v>0</v>
      </c>
      <c r="X39" s="43"/>
      <c r="Y39" s="17"/>
      <c r="Z39" s="17"/>
    </row>
    <row r="40" ht="22.5" customHeight="1">
      <c r="A40" s="45" t="s">
        <v>131</v>
      </c>
      <c r="B40" s="47" t="s">
        <v>132</v>
      </c>
      <c r="C40" s="41" t="s">
        <v>133</v>
      </c>
      <c r="D40" s="20">
        <v>46149.0</v>
      </c>
      <c r="E40" s="21">
        <f t="shared" si="2"/>
        <v>2</v>
      </c>
      <c r="F40" s="7">
        <v>46151.0</v>
      </c>
      <c r="G40" s="7"/>
      <c r="H40" s="22"/>
      <c r="I40" s="22"/>
      <c r="J40" s="10" t="str">
        <f>IFERROR(__xludf.DUMMYFUNCTION("TEXTJOIN("", "", TRUE, FILTER(OrderItem[Item],OrderItem[Nomor Order] = $A40))"),"#N/A")</f>
        <v>#N/A</v>
      </c>
      <c r="K40" s="11">
        <f>SUMIF(OrderItem[Nomor Order],Orders[Nomor Order],OrderItem[Total Biaya Order (IDR)])</f>
        <v>0</v>
      </c>
      <c r="L40" s="23"/>
      <c r="M40" s="23"/>
      <c r="N40" s="13">
        <f>Orders[Subtotal Item (IDR)]+Orders[Subtotal Ongkir Tertagih]-Orders[Diskon Ongkir]</f>
        <v>0</v>
      </c>
      <c r="O40" s="18"/>
      <c r="P40" s="13">
        <f>IF(AND(Orders[Jenis Pengantaran]="Fortuner",Orders[Jenis Pengambilan]="Fortuner"),0,Orders[Jarak Antar (km)]*(IF(Orders[Jenis Pengantaran]="Fortuner",1,2)*(IF(Orders[Jenis Pengambilan]="Fortuner",1,2)/10*6800)))</f>
        <v>0</v>
      </c>
      <c r="Q40" s="23"/>
      <c r="R40" s="24" t="b">
        <v>0</v>
      </c>
      <c r="S40" s="13">
        <f>Orders[Total Tagihan]-Orders[Nominal DP]</f>
        <v>0</v>
      </c>
      <c r="T40" s="42" t="b">
        <v>0</v>
      </c>
      <c r="U40" s="24" t="b">
        <v>0</v>
      </c>
      <c r="V40" s="42" t="b">
        <v>0</v>
      </c>
      <c r="W40" s="42" t="b">
        <v>0</v>
      </c>
      <c r="X40" s="43"/>
      <c r="Y40" s="17"/>
      <c r="Z40" s="17"/>
    </row>
    <row r="41" ht="22.5" customHeight="1">
      <c r="A41" s="45" t="s">
        <v>134</v>
      </c>
      <c r="B41" s="47" t="s">
        <v>135</v>
      </c>
      <c r="C41" s="41" t="s">
        <v>136</v>
      </c>
      <c r="D41" s="20">
        <v>46151.0</v>
      </c>
      <c r="E41" s="21">
        <f t="shared" si="2"/>
        <v>1</v>
      </c>
      <c r="F41" s="7">
        <v>46152.0</v>
      </c>
      <c r="G41" s="7"/>
      <c r="H41" s="22"/>
      <c r="I41" s="22"/>
      <c r="J41" s="10" t="str">
        <f>IFERROR(__xludf.DUMMYFUNCTION("TEXTJOIN("", "", TRUE, FILTER(OrderItem[Item],OrderItem[Nomor Order] = $A41))"),"#N/A")</f>
        <v>#N/A</v>
      </c>
      <c r="K41" s="11">
        <f>SUMIF(OrderItem[Nomor Order],Orders[Nomor Order],OrderItem[Total Biaya Order (IDR)])</f>
        <v>0</v>
      </c>
      <c r="L41" s="23"/>
      <c r="M41" s="23"/>
      <c r="N41" s="13">
        <f>Orders[Subtotal Item (IDR)]+Orders[Subtotal Ongkir Tertagih]-Orders[Diskon Ongkir]</f>
        <v>0</v>
      </c>
      <c r="O41" s="18"/>
      <c r="P41" s="13">
        <f>IF(AND(Orders[Jenis Pengantaran]="Fortuner",Orders[Jenis Pengambilan]="Fortuner"),0,Orders[Jarak Antar (km)]*(IF(Orders[Jenis Pengantaran]="Fortuner",1,2)*(IF(Orders[Jenis Pengambilan]="Fortuner",1,2)/10*6800)))</f>
        <v>0</v>
      </c>
      <c r="Q41" s="23"/>
      <c r="R41" s="24" t="b">
        <v>0</v>
      </c>
      <c r="S41" s="13">
        <f>Orders[Total Tagihan]-Orders[Nominal DP]</f>
        <v>0</v>
      </c>
      <c r="T41" s="42" t="b">
        <v>0</v>
      </c>
      <c r="U41" s="24" t="b">
        <v>0</v>
      </c>
      <c r="V41" s="42" t="b">
        <v>0</v>
      </c>
      <c r="W41" s="42" t="b">
        <v>0</v>
      </c>
      <c r="X41" s="43"/>
      <c r="Y41" s="17"/>
      <c r="Z41" s="17"/>
    </row>
    <row r="42" ht="22.5" customHeight="1">
      <c r="A42" s="45" t="s">
        <v>137</v>
      </c>
      <c r="B42" s="47" t="s">
        <v>138</v>
      </c>
      <c r="C42" s="41" t="s">
        <v>139</v>
      </c>
      <c r="D42" s="20">
        <v>46151.0</v>
      </c>
      <c r="E42" s="21">
        <f t="shared" si="2"/>
        <v>1</v>
      </c>
      <c r="F42" s="7">
        <v>46152.0</v>
      </c>
      <c r="G42" s="7"/>
      <c r="H42" s="22"/>
      <c r="I42" s="22"/>
      <c r="J42" s="10" t="str">
        <f>IFERROR(__xludf.DUMMYFUNCTION("TEXTJOIN("", "", TRUE, FILTER(OrderItem[Item],OrderItem[Nomor Order] = $A42))"),"#N/A")</f>
        <v>#N/A</v>
      </c>
      <c r="K42" s="11">
        <f>SUMIF(OrderItem[Nomor Order],Orders[Nomor Order],OrderItem[Total Biaya Order (IDR)])</f>
        <v>0</v>
      </c>
      <c r="L42" s="23"/>
      <c r="M42" s="23"/>
      <c r="N42" s="13">
        <f>Orders[Subtotal Item (IDR)]+Orders[Subtotal Ongkir Tertagih]-Orders[Diskon Ongkir]</f>
        <v>0</v>
      </c>
      <c r="O42" s="18"/>
      <c r="P42" s="13">
        <f>IF(AND(Orders[Jenis Pengantaran]="Fortuner",Orders[Jenis Pengambilan]="Fortuner"),0,Orders[Jarak Antar (km)]*(IF(Orders[Jenis Pengantaran]="Fortuner",1,2)*(IF(Orders[Jenis Pengambilan]="Fortuner",1,2)/10*6800)))</f>
        <v>0</v>
      </c>
      <c r="Q42" s="23"/>
      <c r="R42" s="24" t="b">
        <v>0</v>
      </c>
      <c r="S42" s="13">
        <f>Orders[Total Tagihan]-Orders[Nominal DP]</f>
        <v>0</v>
      </c>
      <c r="T42" s="42" t="b">
        <v>0</v>
      </c>
      <c r="U42" s="24" t="b">
        <v>0</v>
      </c>
      <c r="V42" s="42" t="b">
        <v>0</v>
      </c>
      <c r="W42" s="42" t="b">
        <v>0</v>
      </c>
      <c r="X42" s="43"/>
      <c r="Y42" s="17"/>
      <c r="Z42" s="17"/>
    </row>
    <row r="43" ht="22.5" customHeight="1">
      <c r="A43" s="45" t="s">
        <v>140</v>
      </c>
      <c r="B43" s="47" t="s">
        <v>141</v>
      </c>
      <c r="C43" s="41" t="s">
        <v>142</v>
      </c>
      <c r="D43" s="20">
        <v>46153.0</v>
      </c>
      <c r="E43" s="21">
        <f t="shared" si="2"/>
        <v>2</v>
      </c>
      <c r="F43" s="7">
        <v>46155.0</v>
      </c>
      <c r="G43" s="7"/>
      <c r="H43" s="22"/>
      <c r="I43" s="22"/>
      <c r="J43" s="10" t="str">
        <f>IFERROR(__xludf.DUMMYFUNCTION("TEXTJOIN("", "", TRUE, FILTER(OrderItem[Item],OrderItem[Nomor Order] = $A43))"),"#N/A")</f>
        <v>#N/A</v>
      </c>
      <c r="K43" s="11">
        <f>SUMIF(OrderItem[Nomor Order],Orders[Nomor Order],OrderItem[Total Biaya Order (IDR)])</f>
        <v>0</v>
      </c>
      <c r="L43" s="23"/>
      <c r="M43" s="23"/>
      <c r="N43" s="13">
        <f>Orders[Subtotal Item (IDR)]+Orders[Subtotal Ongkir Tertagih]-Orders[Diskon Ongkir]</f>
        <v>0</v>
      </c>
      <c r="O43" s="18"/>
      <c r="P43" s="13">
        <f>IF(AND(Orders[Jenis Pengantaran]="Fortuner",Orders[Jenis Pengambilan]="Fortuner"),0,Orders[Jarak Antar (km)]*(IF(Orders[Jenis Pengantaran]="Fortuner",1,2)*(IF(Orders[Jenis Pengambilan]="Fortuner",1,2)/10*6800)))</f>
        <v>0</v>
      </c>
      <c r="Q43" s="23"/>
      <c r="R43" s="24" t="b">
        <v>0</v>
      </c>
      <c r="S43" s="13">
        <f>Orders[Total Tagihan]-Orders[Nominal DP]</f>
        <v>0</v>
      </c>
      <c r="T43" s="42" t="b">
        <v>0</v>
      </c>
      <c r="U43" s="24" t="b">
        <v>0</v>
      </c>
      <c r="V43" s="42" t="b">
        <v>0</v>
      </c>
      <c r="W43" s="42" t="b">
        <v>0</v>
      </c>
      <c r="X43" s="43"/>
      <c r="Y43" s="17"/>
      <c r="Z43" s="17"/>
    </row>
    <row r="44" ht="22.5" customHeight="1">
      <c r="A44" s="45" t="s">
        <v>143</v>
      </c>
      <c r="B44" s="47" t="s">
        <v>144</v>
      </c>
      <c r="C44" s="41" t="s">
        <v>145</v>
      </c>
      <c r="D44" s="20">
        <v>46155.0</v>
      </c>
      <c r="E44" s="21">
        <f t="shared" si="2"/>
        <v>2</v>
      </c>
      <c r="F44" s="7">
        <v>46157.0</v>
      </c>
      <c r="G44" s="7"/>
      <c r="H44" s="22"/>
      <c r="I44" s="22"/>
      <c r="J44" s="10" t="str">
        <f>IFERROR(__xludf.DUMMYFUNCTION("TEXTJOIN("", "", TRUE, FILTER(OrderItem[Item],OrderItem[Nomor Order] = $A44))"),"#N/A")</f>
        <v>#N/A</v>
      </c>
      <c r="K44" s="11">
        <f>SUMIF(OrderItem[Nomor Order],Orders[Nomor Order],OrderItem[Total Biaya Order (IDR)])</f>
        <v>0</v>
      </c>
      <c r="L44" s="23"/>
      <c r="M44" s="23"/>
      <c r="N44" s="13">
        <f>Orders[Subtotal Item (IDR)]+Orders[Subtotal Ongkir Tertagih]-Orders[Diskon Ongkir]</f>
        <v>0</v>
      </c>
      <c r="O44" s="18"/>
      <c r="P44" s="13">
        <f>IF(AND(Orders[Jenis Pengantaran]="Fortuner",Orders[Jenis Pengambilan]="Fortuner"),0,Orders[Jarak Antar (km)]*(IF(Orders[Jenis Pengantaran]="Fortuner",1,2)*(IF(Orders[Jenis Pengambilan]="Fortuner",1,2)/10*6800)))</f>
        <v>0</v>
      </c>
      <c r="Q44" s="23"/>
      <c r="R44" s="24" t="b">
        <v>0</v>
      </c>
      <c r="S44" s="13">
        <f>Orders[Total Tagihan]-Orders[Nominal DP]</f>
        <v>0</v>
      </c>
      <c r="T44" s="42" t="b">
        <v>0</v>
      </c>
      <c r="U44" s="24" t="b">
        <v>0</v>
      </c>
      <c r="V44" s="42" t="b">
        <v>0</v>
      </c>
      <c r="W44" s="42" t="b">
        <v>0</v>
      </c>
      <c r="X44" s="43"/>
      <c r="Y44" s="17"/>
      <c r="Z44" s="17"/>
    </row>
    <row r="45" ht="22.5" customHeight="1">
      <c r="A45" s="45" t="s">
        <v>146</v>
      </c>
      <c r="B45" s="47" t="s">
        <v>147</v>
      </c>
      <c r="C45" s="41" t="s">
        <v>148</v>
      </c>
      <c r="D45" s="20">
        <v>46156.0</v>
      </c>
      <c r="E45" s="21">
        <f t="shared" si="2"/>
        <v>3</v>
      </c>
      <c r="F45" s="7">
        <v>46159.0</v>
      </c>
      <c r="G45" s="7"/>
      <c r="H45" s="22"/>
      <c r="I45" s="22"/>
      <c r="J45" s="10" t="str">
        <f>IFERROR(__xludf.DUMMYFUNCTION("TEXTJOIN("", "", TRUE, FILTER(OrderItem[Item],OrderItem[Nomor Order] = $A45))"),"#N/A")</f>
        <v>#N/A</v>
      </c>
      <c r="K45" s="11">
        <f>SUMIF(OrderItem[Nomor Order],Orders[Nomor Order],OrderItem[Total Biaya Order (IDR)])</f>
        <v>0</v>
      </c>
      <c r="L45" s="23"/>
      <c r="M45" s="23"/>
      <c r="N45" s="13">
        <f>Orders[Subtotal Item (IDR)]+Orders[Subtotal Ongkir Tertagih]-Orders[Diskon Ongkir]</f>
        <v>0</v>
      </c>
      <c r="O45" s="18"/>
      <c r="P45" s="13">
        <f>IF(AND(Orders[Jenis Pengantaran]="Fortuner",Orders[Jenis Pengambilan]="Fortuner"),0,Orders[Jarak Antar (km)]*(IF(Orders[Jenis Pengantaran]="Fortuner",1,2)*(IF(Orders[Jenis Pengambilan]="Fortuner",1,2)/10*6800)))</f>
        <v>0</v>
      </c>
      <c r="Q45" s="23"/>
      <c r="R45" s="24" t="b">
        <v>0</v>
      </c>
      <c r="S45" s="13">
        <f>Orders[Total Tagihan]-Orders[Nominal DP]</f>
        <v>0</v>
      </c>
      <c r="T45" s="42" t="b">
        <v>0</v>
      </c>
      <c r="U45" s="24" t="b">
        <v>0</v>
      </c>
      <c r="V45" s="42" t="b">
        <v>0</v>
      </c>
      <c r="W45" s="42" t="b">
        <v>0</v>
      </c>
      <c r="X45" s="43"/>
      <c r="Y45" s="17"/>
      <c r="Z45" s="17"/>
    </row>
    <row r="46" ht="22.5" customHeight="1">
      <c r="A46" s="45" t="s">
        <v>149</v>
      </c>
      <c r="B46" s="47" t="s">
        <v>150</v>
      </c>
      <c r="C46" s="41" t="s">
        <v>151</v>
      </c>
      <c r="D46" s="20">
        <v>46156.0</v>
      </c>
      <c r="E46" s="21">
        <f t="shared" si="2"/>
        <v>3</v>
      </c>
      <c r="F46" s="7">
        <v>46159.0</v>
      </c>
      <c r="G46" s="7"/>
      <c r="H46" s="22"/>
      <c r="I46" s="22"/>
      <c r="J46" s="10" t="str">
        <f>IFERROR(__xludf.DUMMYFUNCTION("TEXTJOIN("", "", TRUE, FILTER(OrderItem[Item],OrderItem[Nomor Order] = $A46))"),"#N/A")</f>
        <v>#N/A</v>
      </c>
      <c r="K46" s="11">
        <f>SUMIF(OrderItem[Nomor Order],Orders[Nomor Order],OrderItem[Total Biaya Order (IDR)])</f>
        <v>0</v>
      </c>
      <c r="L46" s="23"/>
      <c r="M46" s="23"/>
      <c r="N46" s="13">
        <f>Orders[Subtotal Item (IDR)]+Orders[Subtotal Ongkir Tertagih]-Orders[Diskon Ongkir]</f>
        <v>0</v>
      </c>
      <c r="O46" s="18"/>
      <c r="P46" s="13">
        <f>IF(AND(Orders[Jenis Pengantaran]="Fortuner",Orders[Jenis Pengambilan]="Fortuner"),0,Orders[Jarak Antar (km)]*(IF(Orders[Jenis Pengantaran]="Fortuner",1,2)*(IF(Orders[Jenis Pengambilan]="Fortuner",1,2)/10*6800)))</f>
        <v>0</v>
      </c>
      <c r="Q46" s="23"/>
      <c r="R46" s="24" t="b">
        <v>0</v>
      </c>
      <c r="S46" s="13">
        <f>Orders[Total Tagihan]-Orders[Nominal DP]</f>
        <v>0</v>
      </c>
      <c r="T46" s="42" t="b">
        <v>0</v>
      </c>
      <c r="U46" s="24" t="b">
        <v>0</v>
      </c>
      <c r="V46" s="42" t="b">
        <v>0</v>
      </c>
      <c r="W46" s="42" t="b">
        <v>0</v>
      </c>
      <c r="X46" s="43"/>
      <c r="Y46" s="17"/>
      <c r="Z46" s="17"/>
    </row>
    <row r="47" ht="22.5" customHeight="1">
      <c r="A47" s="45" t="s">
        <v>152</v>
      </c>
      <c r="B47" s="47" t="s">
        <v>153</v>
      </c>
      <c r="C47" s="41" t="s">
        <v>154</v>
      </c>
      <c r="D47" s="20">
        <v>46156.0</v>
      </c>
      <c r="E47" s="21">
        <f t="shared" si="2"/>
        <v>3</v>
      </c>
      <c r="F47" s="7">
        <v>46159.0</v>
      </c>
      <c r="G47" s="7"/>
      <c r="H47" s="46"/>
      <c r="I47" s="46"/>
      <c r="J47" s="10" t="str">
        <f>IFERROR(__xludf.DUMMYFUNCTION("TEXTJOIN("", "", TRUE, FILTER(OrderItem[Item],OrderItem[Nomor Order] = $A47))"),"#N/A")</f>
        <v>#N/A</v>
      </c>
      <c r="K47" s="11">
        <f>SUMIF(OrderItem[Nomor Order],Orders[Nomor Order],OrderItem[Total Biaya Order (IDR)])</f>
        <v>0</v>
      </c>
      <c r="L47" s="23"/>
      <c r="M47" s="23"/>
      <c r="N47" s="13">
        <f>Orders[Subtotal Item (IDR)]+Orders[Subtotal Ongkir Tertagih]-Orders[Diskon Ongkir]</f>
        <v>0</v>
      </c>
      <c r="O47" s="18"/>
      <c r="P47" s="13">
        <f>IF(AND(Orders[Jenis Pengantaran]="Fortuner",Orders[Jenis Pengambilan]="Fortuner"),0,Orders[Jarak Antar (km)]*(IF(Orders[Jenis Pengantaran]="Fortuner",1,2)*(IF(Orders[Jenis Pengambilan]="Fortuner",1,2)/10*6800)))</f>
        <v>0</v>
      </c>
      <c r="Q47" s="23"/>
      <c r="R47" s="24" t="b">
        <v>0</v>
      </c>
      <c r="S47" s="13">
        <f>Orders[Total Tagihan]-Orders[Nominal DP]</f>
        <v>0</v>
      </c>
      <c r="T47" s="42" t="b">
        <v>0</v>
      </c>
      <c r="U47" s="24" t="b">
        <v>0</v>
      </c>
      <c r="V47" s="42" t="b">
        <v>0</v>
      </c>
      <c r="W47" s="42" t="b">
        <v>0</v>
      </c>
      <c r="X47" s="43"/>
      <c r="Y47" s="17"/>
      <c r="Z47" s="17"/>
    </row>
    <row r="48" ht="22.5" customHeight="1">
      <c r="A48" s="45" t="s">
        <v>155</v>
      </c>
      <c r="B48" s="47" t="s">
        <v>156</v>
      </c>
      <c r="C48" s="41" t="s">
        <v>157</v>
      </c>
      <c r="D48" s="20">
        <v>46156.0</v>
      </c>
      <c r="E48" s="21">
        <f t="shared" si="2"/>
        <v>1</v>
      </c>
      <c r="F48" s="7">
        <v>46157.0</v>
      </c>
      <c r="G48" s="7"/>
      <c r="H48" s="46"/>
      <c r="I48" s="46"/>
      <c r="J48" s="10" t="str">
        <f>IFERROR(__xludf.DUMMYFUNCTION("TEXTJOIN("", "", TRUE, FILTER(OrderItem[Item],OrderItem[Nomor Order] = $A48))"),"#N/A")</f>
        <v>#N/A</v>
      </c>
      <c r="K48" s="11">
        <f>SUMIF(OrderItem[Nomor Order],Orders[Nomor Order],OrderItem[Total Biaya Order (IDR)])</f>
        <v>0</v>
      </c>
      <c r="L48" s="23"/>
      <c r="M48" s="23"/>
      <c r="N48" s="13">
        <f>Orders[Subtotal Item (IDR)]+Orders[Subtotal Ongkir Tertagih]-Orders[Diskon Ongkir]</f>
        <v>0</v>
      </c>
      <c r="O48" s="18"/>
      <c r="P48" s="13">
        <f>IF(AND(Orders[Jenis Pengantaran]="Fortuner",Orders[Jenis Pengambilan]="Fortuner"),0,Orders[Jarak Antar (km)]*(IF(Orders[Jenis Pengantaran]="Fortuner",1,2)*(IF(Orders[Jenis Pengambilan]="Fortuner",1,2)/10*6800)))</f>
        <v>0</v>
      </c>
      <c r="Q48" s="23"/>
      <c r="R48" s="24" t="b">
        <v>0</v>
      </c>
      <c r="S48" s="13">
        <f>Orders[Total Tagihan]-Orders[Nominal DP]</f>
        <v>0</v>
      </c>
      <c r="T48" s="42" t="b">
        <v>0</v>
      </c>
      <c r="U48" s="24" t="b">
        <v>0</v>
      </c>
      <c r="V48" s="42" t="b">
        <v>0</v>
      </c>
      <c r="W48" s="42" t="b">
        <v>0</v>
      </c>
      <c r="X48" s="43"/>
      <c r="Y48" s="17"/>
      <c r="Z48" s="17"/>
    </row>
    <row r="49" ht="22.5" customHeight="1">
      <c r="A49" s="45" t="s">
        <v>158</v>
      </c>
      <c r="B49" s="47" t="s">
        <v>159</v>
      </c>
      <c r="C49" s="41" t="s">
        <v>160</v>
      </c>
      <c r="D49" s="20">
        <v>46157.0</v>
      </c>
      <c r="E49" s="21">
        <f t="shared" si="2"/>
        <v>1</v>
      </c>
      <c r="F49" s="7">
        <v>46158.0</v>
      </c>
      <c r="G49" s="7"/>
      <c r="H49" s="46"/>
      <c r="I49" s="46"/>
      <c r="J49" s="10" t="str">
        <f>IFERROR(__xludf.DUMMYFUNCTION("TEXTJOIN("", "", TRUE, FILTER(OrderItem[Item],OrderItem[Nomor Order] = $A49))"),"#N/A")</f>
        <v>#N/A</v>
      </c>
      <c r="K49" s="11">
        <f>SUMIF(OrderItem[Nomor Order],Orders[Nomor Order],OrderItem[Total Biaya Order (IDR)])</f>
        <v>0</v>
      </c>
      <c r="L49" s="23"/>
      <c r="M49" s="23"/>
      <c r="N49" s="13">
        <f>Orders[Subtotal Item (IDR)]+Orders[Subtotal Ongkir Tertagih]-Orders[Diskon Ongkir]</f>
        <v>0</v>
      </c>
      <c r="O49" s="18"/>
      <c r="P49" s="13">
        <f>IF(AND(Orders[Jenis Pengantaran]="Fortuner",Orders[Jenis Pengambilan]="Fortuner"),0,Orders[Jarak Antar (km)]*(IF(Orders[Jenis Pengantaran]="Fortuner",1,2)*(IF(Orders[Jenis Pengambilan]="Fortuner",1,2)/10*6800)))</f>
        <v>0</v>
      </c>
      <c r="Q49" s="23"/>
      <c r="R49" s="24" t="b">
        <v>0</v>
      </c>
      <c r="S49" s="13">
        <f>Orders[Total Tagihan]-Orders[Nominal DP]</f>
        <v>0</v>
      </c>
      <c r="T49" s="42" t="b">
        <v>0</v>
      </c>
      <c r="U49" s="24" t="b">
        <v>0</v>
      </c>
      <c r="V49" s="42" t="b">
        <v>0</v>
      </c>
      <c r="W49" s="42" t="b">
        <v>0</v>
      </c>
      <c r="X49" s="43"/>
      <c r="Y49" s="17"/>
      <c r="Z49" s="17"/>
    </row>
    <row r="50" ht="22.5" customHeight="1">
      <c r="A50" s="45" t="s">
        <v>161</v>
      </c>
      <c r="B50" s="47" t="s">
        <v>162</v>
      </c>
      <c r="C50" s="41" t="s">
        <v>163</v>
      </c>
      <c r="D50" s="48">
        <v>46158.0</v>
      </c>
      <c r="E50" s="21">
        <f t="shared" si="2"/>
        <v>1</v>
      </c>
      <c r="F50" s="49">
        <v>46159.0</v>
      </c>
      <c r="G50" s="7"/>
      <c r="H50" s="46"/>
      <c r="I50" s="46"/>
      <c r="J50" s="10" t="str">
        <f>IFERROR(__xludf.DUMMYFUNCTION("TEXTJOIN("", "", TRUE, FILTER(OrderItem[Item],OrderItem[Nomor Order] = $A50))"),"#N/A")</f>
        <v>#N/A</v>
      </c>
      <c r="K50" s="11">
        <f>SUMIF(OrderItem[Nomor Order],Orders[Nomor Order],OrderItem[Total Biaya Order (IDR)])</f>
        <v>0</v>
      </c>
      <c r="L50" s="23"/>
      <c r="M50" s="23"/>
      <c r="N50" s="13">
        <f>Orders[Subtotal Item (IDR)]+Orders[Subtotal Ongkir Tertagih]-Orders[Diskon Ongkir]</f>
        <v>0</v>
      </c>
      <c r="O50" s="18"/>
      <c r="P50" s="13">
        <f>IF(AND(Orders[Jenis Pengantaran]="Fortuner",Orders[Jenis Pengambilan]="Fortuner"),0,Orders[Jarak Antar (km)]*(IF(Orders[Jenis Pengantaran]="Fortuner",1,2)*(IF(Orders[Jenis Pengambilan]="Fortuner",1,2)/10*6800)))</f>
        <v>0</v>
      </c>
      <c r="Q50" s="23"/>
      <c r="R50" s="24" t="b">
        <v>0</v>
      </c>
      <c r="S50" s="13">
        <f>Orders[Total Tagihan]-Orders[Nominal DP]</f>
        <v>0</v>
      </c>
      <c r="T50" s="42" t="b">
        <v>0</v>
      </c>
      <c r="U50" s="24" t="b">
        <v>0</v>
      </c>
      <c r="V50" s="42" t="b">
        <v>0</v>
      </c>
      <c r="W50" s="42" t="b">
        <v>0</v>
      </c>
      <c r="X50" s="43"/>
      <c r="Y50" s="17"/>
      <c r="Z50" s="17"/>
    </row>
    <row r="51" ht="22.5" customHeight="1">
      <c r="A51" s="45" t="s">
        <v>164</v>
      </c>
      <c r="B51" s="50" t="s">
        <v>165</v>
      </c>
      <c r="C51" s="41" t="s">
        <v>166</v>
      </c>
      <c r="D51" s="48">
        <v>46159.0</v>
      </c>
      <c r="E51" s="21">
        <f t="shared" si="2"/>
        <v>1</v>
      </c>
      <c r="F51" s="49">
        <v>46160.0</v>
      </c>
      <c r="G51" s="7"/>
      <c r="H51" s="46"/>
      <c r="I51" s="46"/>
      <c r="J51" s="10" t="str">
        <f>IFERROR(__xludf.DUMMYFUNCTION("TEXTJOIN("", "", TRUE, FILTER(OrderItem[Item],OrderItem[Nomor Order] = $A51))"),"#N/A")</f>
        <v>#N/A</v>
      </c>
      <c r="K51" s="11">
        <f>SUMIF(OrderItem[Nomor Order],Orders[Nomor Order],OrderItem[Total Biaya Order (IDR)])</f>
        <v>0</v>
      </c>
      <c r="L51" s="23"/>
      <c r="M51" s="23"/>
      <c r="N51" s="13">
        <f>Orders[Subtotal Item (IDR)]+Orders[Subtotal Ongkir Tertagih]-Orders[Diskon Ongkir]</f>
        <v>0</v>
      </c>
      <c r="O51" s="18"/>
      <c r="P51" s="13">
        <f>IF(AND(Orders[Jenis Pengantaran]="Fortuner",Orders[Jenis Pengambilan]="Fortuner"),0,Orders[Jarak Antar (km)]*(IF(Orders[Jenis Pengantaran]="Fortuner",1,2)*(IF(Orders[Jenis Pengambilan]="Fortuner",1,2)/10*6800)))</f>
        <v>0</v>
      </c>
      <c r="Q51" s="23"/>
      <c r="R51" s="24" t="b">
        <v>0</v>
      </c>
      <c r="S51" s="13">
        <f>Orders[Total Tagihan]-Orders[Nominal DP]</f>
        <v>0</v>
      </c>
      <c r="T51" s="42" t="b">
        <v>0</v>
      </c>
      <c r="U51" s="24" t="b">
        <v>0</v>
      </c>
      <c r="V51" s="42" t="b">
        <v>0</v>
      </c>
      <c r="W51" s="42" t="b">
        <v>0</v>
      </c>
      <c r="X51" s="43"/>
      <c r="Y51" s="17"/>
      <c r="Z51" s="17"/>
    </row>
    <row r="52" ht="22.5" customHeight="1">
      <c r="A52" s="45" t="s">
        <v>167</v>
      </c>
      <c r="B52" s="47" t="s">
        <v>168</v>
      </c>
      <c r="C52" s="41" t="s">
        <v>169</v>
      </c>
      <c r="D52" s="48">
        <v>46162.0</v>
      </c>
      <c r="E52" s="21">
        <f t="shared" si="2"/>
        <v>3</v>
      </c>
      <c r="F52" s="49">
        <v>46165.0</v>
      </c>
      <c r="G52" s="7"/>
      <c r="H52" s="46"/>
      <c r="I52" s="46"/>
      <c r="J52" s="10" t="str">
        <f>IFERROR(__xludf.DUMMYFUNCTION("TEXTJOIN("", "", TRUE, FILTER(OrderItem[Item],OrderItem[Nomor Order] = $A52))"),"#N/A")</f>
        <v>#N/A</v>
      </c>
      <c r="K52" s="11">
        <f>SUMIF(OrderItem[Nomor Order],Orders[Nomor Order],OrderItem[Total Biaya Order (IDR)])</f>
        <v>0</v>
      </c>
      <c r="L52" s="23"/>
      <c r="M52" s="23"/>
      <c r="N52" s="13">
        <f>Orders[Subtotal Item (IDR)]+Orders[Subtotal Ongkir Tertagih]-Orders[Diskon Ongkir]</f>
        <v>0</v>
      </c>
      <c r="O52" s="18"/>
      <c r="P52" s="13">
        <f>IF(AND(Orders[Jenis Pengantaran]="Fortuner",Orders[Jenis Pengambilan]="Fortuner"),0,Orders[Jarak Antar (km)]*(IF(Orders[Jenis Pengantaran]="Fortuner",1,2)*(IF(Orders[Jenis Pengambilan]="Fortuner",1,2)/10*6800)))</f>
        <v>0</v>
      </c>
      <c r="Q52" s="23"/>
      <c r="R52" s="24" t="b">
        <v>0</v>
      </c>
      <c r="S52" s="13">
        <f>Orders[Total Tagihan]-Orders[Nominal DP]</f>
        <v>0</v>
      </c>
      <c r="T52" s="42" t="b">
        <v>0</v>
      </c>
      <c r="U52" s="24" t="b">
        <v>0</v>
      </c>
      <c r="V52" s="42" t="b">
        <v>0</v>
      </c>
      <c r="W52" s="42" t="b">
        <v>0</v>
      </c>
      <c r="X52" s="43"/>
      <c r="Y52" s="17"/>
      <c r="Z52" s="17"/>
    </row>
    <row r="53" ht="22.5" customHeight="1">
      <c r="A53" s="45" t="s">
        <v>170</v>
      </c>
      <c r="B53" s="47" t="s">
        <v>171</v>
      </c>
      <c r="C53" s="41" t="s">
        <v>52</v>
      </c>
      <c r="D53" s="20">
        <v>46162.0</v>
      </c>
      <c r="E53" s="21">
        <f t="shared" si="2"/>
        <v>5</v>
      </c>
      <c r="F53" s="7">
        <v>46167.0</v>
      </c>
      <c r="G53" s="7"/>
      <c r="H53" s="46"/>
      <c r="I53" s="46"/>
      <c r="J53" s="10" t="str">
        <f>IFERROR(__xludf.DUMMYFUNCTION("TEXTJOIN("", "", TRUE, FILTER(OrderItem[Item],OrderItem[Nomor Order] = $A53))"),"#N/A")</f>
        <v>#N/A</v>
      </c>
      <c r="K53" s="11">
        <f>SUMIF(OrderItem[Nomor Order],Orders[Nomor Order],OrderItem[Total Biaya Order (IDR)])</f>
        <v>0</v>
      </c>
      <c r="L53" s="23"/>
      <c r="M53" s="23"/>
      <c r="N53" s="13">
        <f>Orders[Subtotal Item (IDR)]+Orders[Subtotal Ongkir Tertagih]-Orders[Diskon Ongkir]</f>
        <v>0</v>
      </c>
      <c r="O53" s="18"/>
      <c r="P53" s="13">
        <f>IF(AND(Orders[Jenis Pengantaran]="Fortuner",Orders[Jenis Pengambilan]="Fortuner"),0,Orders[Jarak Antar (km)]*(IF(Orders[Jenis Pengantaran]="Fortuner",1,2)*(IF(Orders[Jenis Pengambilan]="Fortuner",1,2)/10*6800)))</f>
        <v>0</v>
      </c>
      <c r="Q53" s="23"/>
      <c r="R53" s="24" t="b">
        <v>0</v>
      </c>
      <c r="S53" s="13">
        <f>Orders[Total Tagihan]-Orders[Nominal DP]</f>
        <v>0</v>
      </c>
      <c r="T53" s="42" t="b">
        <v>0</v>
      </c>
      <c r="U53" s="24" t="b">
        <v>0</v>
      </c>
      <c r="V53" s="42" t="b">
        <v>0</v>
      </c>
      <c r="W53" s="42" t="b">
        <v>0</v>
      </c>
      <c r="X53" s="43"/>
      <c r="Y53" s="17"/>
      <c r="Z53" s="17"/>
    </row>
    <row r="54" ht="22.5" customHeight="1">
      <c r="A54" s="45" t="s">
        <v>172</v>
      </c>
      <c r="B54" s="47" t="s">
        <v>173</v>
      </c>
      <c r="C54" s="41" t="s">
        <v>174</v>
      </c>
      <c r="D54" s="20">
        <v>46163.0</v>
      </c>
      <c r="E54" s="21">
        <f t="shared" si="2"/>
        <v>1</v>
      </c>
      <c r="F54" s="7">
        <v>46164.0</v>
      </c>
      <c r="G54" s="7"/>
      <c r="H54" s="46"/>
      <c r="I54" s="46"/>
      <c r="J54" s="10" t="str">
        <f>IFERROR(__xludf.DUMMYFUNCTION("TEXTJOIN("", "", TRUE, FILTER(OrderItem[Item],OrderItem[Nomor Order] = $A54))"),"#N/A")</f>
        <v>#N/A</v>
      </c>
      <c r="K54" s="11">
        <f>SUMIF(OrderItem[Nomor Order],Orders[Nomor Order],OrderItem[Total Biaya Order (IDR)])</f>
        <v>0</v>
      </c>
      <c r="L54" s="23"/>
      <c r="M54" s="23"/>
      <c r="N54" s="13">
        <f>Orders[Subtotal Item (IDR)]+Orders[Subtotal Ongkir Tertagih]-Orders[Diskon Ongkir]</f>
        <v>0</v>
      </c>
      <c r="O54" s="18"/>
      <c r="P54" s="13">
        <f>IF(AND(Orders[Jenis Pengantaran]="Fortuner",Orders[Jenis Pengambilan]="Fortuner"),0,Orders[Jarak Antar (km)]*(IF(Orders[Jenis Pengantaran]="Fortuner",1,2)*(IF(Orders[Jenis Pengambilan]="Fortuner",1,2)/10*6800)))</f>
        <v>0</v>
      </c>
      <c r="Q54" s="23"/>
      <c r="R54" s="24" t="b">
        <v>0</v>
      </c>
      <c r="S54" s="13">
        <f>Orders[Total Tagihan]-Orders[Nominal DP]</f>
        <v>0</v>
      </c>
      <c r="T54" s="42" t="b">
        <v>0</v>
      </c>
      <c r="U54" s="24" t="b">
        <v>0</v>
      </c>
      <c r="V54" s="42" t="b">
        <v>0</v>
      </c>
      <c r="W54" s="42" t="b">
        <v>0</v>
      </c>
      <c r="X54" s="43"/>
      <c r="Y54" s="17"/>
      <c r="Z54" s="17"/>
    </row>
    <row r="55" ht="22.5" customHeight="1">
      <c r="A55" s="45" t="s">
        <v>175</v>
      </c>
      <c r="B55" s="47" t="s">
        <v>176</v>
      </c>
      <c r="C55" s="41" t="s">
        <v>177</v>
      </c>
      <c r="D55" s="20">
        <v>46165.0</v>
      </c>
      <c r="E55" s="21">
        <f t="shared" si="2"/>
        <v>3</v>
      </c>
      <c r="F55" s="7">
        <v>46168.0</v>
      </c>
      <c r="G55" s="7"/>
      <c r="H55" s="46"/>
      <c r="I55" s="46"/>
      <c r="J55" s="10" t="str">
        <f>IFERROR(__xludf.DUMMYFUNCTION("TEXTJOIN("", "", TRUE, FILTER(OrderItem[Item],OrderItem[Nomor Order] = $A55))"),"#N/A")</f>
        <v>#N/A</v>
      </c>
      <c r="K55" s="11">
        <f>SUMIF(OrderItem[Nomor Order],Orders[Nomor Order],OrderItem[Total Biaya Order (IDR)])</f>
        <v>0</v>
      </c>
      <c r="L55" s="23"/>
      <c r="M55" s="23"/>
      <c r="N55" s="13">
        <f>Orders[Subtotal Item (IDR)]+Orders[Subtotal Ongkir Tertagih]-Orders[Diskon Ongkir]</f>
        <v>0</v>
      </c>
      <c r="O55" s="18"/>
      <c r="P55" s="13">
        <f>IF(AND(Orders[Jenis Pengantaran]="Fortuner",Orders[Jenis Pengambilan]="Fortuner"),0,Orders[Jarak Antar (km)]*(IF(Orders[Jenis Pengantaran]="Fortuner",1,2)*(IF(Orders[Jenis Pengambilan]="Fortuner",1,2)/10*6800)))</f>
        <v>0</v>
      </c>
      <c r="Q55" s="23"/>
      <c r="R55" s="24" t="b">
        <v>0</v>
      </c>
      <c r="S55" s="13">
        <f>Orders[Total Tagihan]-Orders[Nominal DP]</f>
        <v>0</v>
      </c>
      <c r="T55" s="42" t="b">
        <v>0</v>
      </c>
      <c r="U55" s="24" t="b">
        <v>0</v>
      </c>
      <c r="V55" s="42" t="b">
        <v>0</v>
      </c>
      <c r="W55" s="42" t="b">
        <v>0</v>
      </c>
      <c r="X55" s="43"/>
      <c r="Y55" s="17"/>
      <c r="Z55" s="17"/>
    </row>
    <row r="56" ht="22.5" customHeight="1">
      <c r="A56" s="45" t="s">
        <v>178</v>
      </c>
      <c r="B56" s="47" t="s">
        <v>176</v>
      </c>
      <c r="C56" s="41" t="s">
        <v>177</v>
      </c>
      <c r="D56" s="20">
        <v>46167.0</v>
      </c>
      <c r="E56" s="21">
        <f t="shared" si="2"/>
        <v>1</v>
      </c>
      <c r="F56" s="7">
        <v>46168.0</v>
      </c>
      <c r="G56" s="7"/>
      <c r="H56" s="46"/>
      <c r="I56" s="46"/>
      <c r="J56" s="10" t="str">
        <f>IFERROR(__xludf.DUMMYFUNCTION("TEXTJOIN("", "", TRUE, FILTER(OrderItem[Item],OrderItem[Nomor Order] = $A56))"),"#N/A")</f>
        <v>#N/A</v>
      </c>
      <c r="K56" s="11">
        <f>SUMIF(OrderItem[Nomor Order],Orders[Nomor Order],OrderItem[Total Biaya Order (IDR)])</f>
        <v>0</v>
      </c>
      <c r="L56" s="23"/>
      <c r="M56" s="23"/>
      <c r="N56" s="13">
        <f>Orders[Subtotal Item (IDR)]+Orders[Subtotal Ongkir Tertagih]-Orders[Diskon Ongkir]</f>
        <v>0</v>
      </c>
      <c r="O56" s="18"/>
      <c r="P56" s="13">
        <f>IF(AND(Orders[Jenis Pengantaran]="Fortuner",Orders[Jenis Pengambilan]="Fortuner"),0,Orders[Jarak Antar (km)]*(IF(Orders[Jenis Pengantaran]="Fortuner",1,2)*(IF(Orders[Jenis Pengambilan]="Fortuner",1,2)/10*6800)))</f>
        <v>0</v>
      </c>
      <c r="Q56" s="23"/>
      <c r="R56" s="24" t="b">
        <v>0</v>
      </c>
      <c r="S56" s="13">
        <f>Orders[Total Tagihan]-Orders[Nominal DP]</f>
        <v>0</v>
      </c>
      <c r="T56" s="42" t="b">
        <v>0</v>
      </c>
      <c r="U56" s="24" t="b">
        <v>0</v>
      </c>
      <c r="V56" s="42" t="b">
        <v>0</v>
      </c>
      <c r="W56" s="42" t="b">
        <v>0</v>
      </c>
      <c r="X56" s="43"/>
      <c r="Y56" s="17"/>
      <c r="Z56" s="17"/>
    </row>
    <row r="57" ht="22.5" customHeight="1">
      <c r="A57" s="45" t="s">
        <v>179</v>
      </c>
      <c r="B57" s="47" t="s">
        <v>180</v>
      </c>
      <c r="C57" s="51" t="s">
        <v>181</v>
      </c>
      <c r="D57" s="20">
        <v>46168.0</v>
      </c>
      <c r="E57" s="21">
        <f t="shared" si="2"/>
        <v>4</v>
      </c>
      <c r="F57" s="7">
        <v>46172.0</v>
      </c>
      <c r="G57" s="7"/>
      <c r="H57" s="46"/>
      <c r="I57" s="46"/>
      <c r="J57" s="10" t="str">
        <f>IFERROR(__xludf.DUMMYFUNCTION("TEXTJOIN("", "", TRUE, FILTER(OrderItem[Item],OrderItem[Nomor Order] = $A57))"),"#N/A")</f>
        <v>#N/A</v>
      </c>
      <c r="K57" s="11">
        <f>SUMIF(OrderItem[Nomor Order],Orders[Nomor Order],OrderItem[Total Biaya Order (IDR)])</f>
        <v>0</v>
      </c>
      <c r="L57" s="23"/>
      <c r="M57" s="23"/>
      <c r="N57" s="13">
        <f>Orders[Subtotal Item (IDR)]+Orders[Subtotal Ongkir Tertagih]-Orders[Diskon Ongkir]</f>
        <v>0</v>
      </c>
      <c r="O57" s="18"/>
      <c r="P57" s="13">
        <f>IF(AND(Orders[Jenis Pengantaran]="Fortuner",Orders[Jenis Pengambilan]="Fortuner"),0,Orders[Jarak Antar (km)]*(IF(Orders[Jenis Pengantaran]="Fortuner",1,2)*(IF(Orders[Jenis Pengambilan]="Fortuner",1,2)/10*6800)))</f>
        <v>0</v>
      </c>
      <c r="Q57" s="23"/>
      <c r="R57" s="24" t="b">
        <v>0</v>
      </c>
      <c r="S57" s="13">
        <f>Orders[Total Tagihan]-Orders[Nominal DP]</f>
        <v>0</v>
      </c>
      <c r="T57" s="42" t="b">
        <v>0</v>
      </c>
      <c r="U57" s="24" t="b">
        <v>0</v>
      </c>
      <c r="V57" s="42" t="b">
        <v>0</v>
      </c>
      <c r="W57" s="42" t="b">
        <v>0</v>
      </c>
      <c r="X57" s="43"/>
      <c r="Y57" s="17"/>
      <c r="Z57" s="17"/>
    </row>
    <row r="58" ht="22.5" customHeight="1">
      <c r="A58" s="45" t="s">
        <v>182</v>
      </c>
      <c r="B58" s="47" t="s">
        <v>183</v>
      </c>
      <c r="C58" s="41" t="s">
        <v>166</v>
      </c>
      <c r="D58" s="20">
        <v>46168.0</v>
      </c>
      <c r="E58" s="21">
        <f t="shared" si="2"/>
        <v>6</v>
      </c>
      <c r="F58" s="7">
        <v>46174.0</v>
      </c>
      <c r="G58" s="7"/>
      <c r="H58" s="46"/>
      <c r="I58" s="46"/>
      <c r="J58" s="10" t="str">
        <f>IFERROR(__xludf.DUMMYFUNCTION("TEXTJOIN("", "", TRUE, FILTER(OrderItem[Item],OrderItem[Nomor Order] = $A58))"),"#N/A")</f>
        <v>#N/A</v>
      </c>
      <c r="K58" s="11">
        <f>SUMIF(OrderItem[Nomor Order],Orders[Nomor Order],OrderItem[Total Biaya Order (IDR)])</f>
        <v>0</v>
      </c>
      <c r="L58" s="23"/>
      <c r="M58" s="23"/>
      <c r="N58" s="13">
        <f>Orders[Subtotal Item (IDR)]+Orders[Subtotal Ongkir Tertagih]-Orders[Diskon Ongkir]</f>
        <v>0</v>
      </c>
      <c r="O58" s="18"/>
      <c r="P58" s="13">
        <f>IF(AND(Orders[Jenis Pengantaran]="Fortuner",Orders[Jenis Pengambilan]="Fortuner"),0,Orders[Jarak Antar (km)]*(IF(Orders[Jenis Pengantaran]="Fortuner",1,2)*(IF(Orders[Jenis Pengambilan]="Fortuner",1,2)/10*6800)))</f>
        <v>0</v>
      </c>
      <c r="Q58" s="23"/>
      <c r="R58" s="24" t="b">
        <v>0</v>
      </c>
      <c r="S58" s="13">
        <f>Orders[Total Tagihan]-Orders[Nominal DP]</f>
        <v>0</v>
      </c>
      <c r="T58" s="42" t="b">
        <v>0</v>
      </c>
      <c r="U58" s="24" t="b">
        <v>0</v>
      </c>
      <c r="V58" s="42" t="b">
        <v>0</v>
      </c>
      <c r="W58" s="42" t="b">
        <v>0</v>
      </c>
      <c r="X58" s="43"/>
      <c r="Y58" s="17"/>
      <c r="Z58" s="17"/>
    </row>
    <row r="59" ht="22.5" customHeight="1">
      <c r="A59" s="45" t="s">
        <v>184</v>
      </c>
      <c r="B59" s="47" t="s">
        <v>185</v>
      </c>
      <c r="C59" s="41" t="s">
        <v>186</v>
      </c>
      <c r="D59" s="20">
        <v>46171.0</v>
      </c>
      <c r="E59" s="21">
        <f t="shared" si="2"/>
        <v>3</v>
      </c>
      <c r="F59" s="7">
        <v>46174.0</v>
      </c>
      <c r="G59" s="7"/>
      <c r="H59" s="46"/>
      <c r="I59" s="46"/>
      <c r="J59" s="10" t="str">
        <f>IFERROR(__xludf.DUMMYFUNCTION("TEXTJOIN("", "", TRUE, FILTER(OrderItem[Item],OrderItem[Nomor Order] = $A59))"),"#N/A")</f>
        <v>#N/A</v>
      </c>
      <c r="K59" s="11">
        <f>SUMIF(OrderItem[Nomor Order],Orders[Nomor Order],OrderItem[Total Biaya Order (IDR)])</f>
        <v>0</v>
      </c>
      <c r="L59" s="23"/>
      <c r="M59" s="23"/>
      <c r="N59" s="13">
        <f>Orders[Subtotal Item (IDR)]+Orders[Subtotal Ongkir Tertagih]-Orders[Diskon Ongkir]</f>
        <v>0</v>
      </c>
      <c r="O59" s="18"/>
      <c r="P59" s="13">
        <f>IF(AND(Orders[Jenis Pengantaran]="Fortuner",Orders[Jenis Pengambilan]="Fortuner"),0,Orders[Jarak Antar (km)]*(IF(Orders[Jenis Pengantaran]="Fortuner",1,2)*(IF(Orders[Jenis Pengambilan]="Fortuner",1,2)/10*6800)))</f>
        <v>0</v>
      </c>
      <c r="Q59" s="23"/>
      <c r="R59" s="24" t="b">
        <v>0</v>
      </c>
      <c r="S59" s="13">
        <f>Orders[Total Tagihan]-Orders[Nominal DP]</f>
        <v>0</v>
      </c>
      <c r="T59" s="42" t="b">
        <v>0</v>
      </c>
      <c r="U59" s="24" t="b">
        <v>0</v>
      </c>
      <c r="V59" s="42" t="b">
        <v>0</v>
      </c>
      <c r="W59" s="42" t="b">
        <v>0</v>
      </c>
      <c r="X59" s="43"/>
      <c r="Y59" s="17"/>
      <c r="Z59" s="17"/>
    </row>
    <row r="60" ht="22.5" customHeight="1">
      <c r="A60" s="45" t="s">
        <v>187</v>
      </c>
      <c r="B60" s="47" t="s">
        <v>188</v>
      </c>
      <c r="C60" s="41" t="s">
        <v>189</v>
      </c>
      <c r="D60" s="20">
        <v>46172.0</v>
      </c>
      <c r="E60" s="21">
        <f t="shared" si="2"/>
        <v>2</v>
      </c>
      <c r="F60" s="7">
        <v>46174.0</v>
      </c>
      <c r="G60" s="7"/>
      <c r="H60" s="46"/>
      <c r="I60" s="46"/>
      <c r="J60" s="10" t="str">
        <f>IFERROR(__xludf.DUMMYFUNCTION("TEXTJOIN("", "", TRUE, FILTER(OrderItem[Item],OrderItem[Nomor Order] = $A60))"),"#N/A")</f>
        <v>#N/A</v>
      </c>
      <c r="K60" s="11">
        <f>SUMIF(OrderItem[Nomor Order],Orders[Nomor Order],OrderItem[Total Biaya Order (IDR)])</f>
        <v>0</v>
      </c>
      <c r="L60" s="23"/>
      <c r="M60" s="23"/>
      <c r="N60" s="13">
        <f>Orders[Subtotal Item (IDR)]+Orders[Subtotal Ongkir Tertagih]-Orders[Diskon Ongkir]</f>
        <v>0</v>
      </c>
      <c r="O60" s="18"/>
      <c r="P60" s="13">
        <f>IF(AND(Orders[Jenis Pengantaran]="Fortuner",Orders[Jenis Pengambilan]="Fortuner"),0,Orders[Jarak Antar (km)]*(IF(Orders[Jenis Pengantaran]="Fortuner",1,2)*(IF(Orders[Jenis Pengambilan]="Fortuner",1,2)/10*6800)))</f>
        <v>0</v>
      </c>
      <c r="Q60" s="23"/>
      <c r="R60" s="24" t="b">
        <v>0</v>
      </c>
      <c r="S60" s="13">
        <f>Orders[Total Tagihan]-Orders[Nominal DP]</f>
        <v>0</v>
      </c>
      <c r="T60" s="42" t="b">
        <v>0</v>
      </c>
      <c r="U60" s="24" t="b">
        <v>0</v>
      </c>
      <c r="V60" s="42" t="b">
        <v>0</v>
      </c>
      <c r="W60" s="42" t="b">
        <v>0</v>
      </c>
      <c r="X60" s="43"/>
      <c r="Y60" s="17"/>
      <c r="Z60" s="17"/>
    </row>
    <row r="61" ht="22.5" customHeight="1">
      <c r="A61" s="45" t="s">
        <v>190</v>
      </c>
      <c r="B61" s="47" t="s">
        <v>191</v>
      </c>
      <c r="C61" s="41" t="s">
        <v>192</v>
      </c>
      <c r="D61" s="20">
        <v>46172.0</v>
      </c>
      <c r="E61" s="21">
        <f t="shared" si="2"/>
        <v>2</v>
      </c>
      <c r="F61" s="7">
        <v>46174.0</v>
      </c>
      <c r="G61" s="7"/>
      <c r="H61" s="46"/>
      <c r="I61" s="46"/>
      <c r="J61" s="10" t="str">
        <f>IFERROR(__xludf.DUMMYFUNCTION("TEXTJOIN("", "", TRUE, FILTER(OrderItem[Item],OrderItem[Nomor Order] = $A61))"),"#N/A")</f>
        <v>#N/A</v>
      </c>
      <c r="K61" s="11">
        <f>SUMIF(OrderItem[Nomor Order],Orders[Nomor Order],OrderItem[Total Biaya Order (IDR)])</f>
        <v>0</v>
      </c>
      <c r="L61" s="23"/>
      <c r="M61" s="23"/>
      <c r="N61" s="13">
        <f>Orders[Subtotal Item (IDR)]+Orders[Subtotal Ongkir Tertagih]-Orders[Diskon Ongkir]</f>
        <v>0</v>
      </c>
      <c r="O61" s="18"/>
      <c r="P61" s="13">
        <f>IF(AND(Orders[Jenis Pengantaran]="Fortuner",Orders[Jenis Pengambilan]="Fortuner"),0,Orders[Jarak Antar (km)]*(IF(Orders[Jenis Pengantaran]="Fortuner",1,2)*(IF(Orders[Jenis Pengambilan]="Fortuner",1,2)/10*6800)))</f>
        <v>0</v>
      </c>
      <c r="Q61" s="23"/>
      <c r="R61" s="24" t="b">
        <v>0</v>
      </c>
      <c r="S61" s="13">
        <f>Orders[Total Tagihan]-Orders[Nominal DP]</f>
        <v>0</v>
      </c>
      <c r="T61" s="42" t="b">
        <v>0</v>
      </c>
      <c r="U61" s="24" t="b">
        <v>0</v>
      </c>
      <c r="V61" s="42" t="b">
        <v>0</v>
      </c>
      <c r="W61" s="42" t="b">
        <v>0</v>
      </c>
      <c r="X61" s="43"/>
      <c r="Y61" s="17"/>
      <c r="Z61" s="17"/>
    </row>
    <row r="62" ht="22.5" customHeight="1">
      <c r="A62" s="45" t="s">
        <v>193</v>
      </c>
      <c r="B62" s="47" t="s">
        <v>194</v>
      </c>
      <c r="C62" s="52"/>
      <c r="D62" s="20">
        <v>46172.0</v>
      </c>
      <c r="E62" s="21">
        <f t="shared" si="2"/>
        <v>1</v>
      </c>
      <c r="F62" s="7">
        <v>46173.0</v>
      </c>
      <c r="G62" s="7"/>
      <c r="H62" s="46"/>
      <c r="I62" s="46"/>
      <c r="J62" s="10" t="str">
        <f>IFERROR(__xludf.DUMMYFUNCTION("TEXTJOIN("", "", TRUE, FILTER(OrderItem[Item],OrderItem[Nomor Order] = $A62))"),"#N/A")</f>
        <v>#N/A</v>
      </c>
      <c r="K62" s="11">
        <f>SUMIF(OrderItem[Nomor Order],Orders[Nomor Order],OrderItem[Total Biaya Order (IDR)])</f>
        <v>0</v>
      </c>
      <c r="L62" s="23"/>
      <c r="M62" s="23"/>
      <c r="N62" s="13">
        <f>Orders[Subtotal Item (IDR)]+Orders[Subtotal Ongkir Tertagih]-Orders[Diskon Ongkir]</f>
        <v>0</v>
      </c>
      <c r="O62" s="18"/>
      <c r="P62" s="13">
        <f>IF(AND(Orders[Jenis Pengantaran]="Fortuner",Orders[Jenis Pengambilan]="Fortuner"),0,Orders[Jarak Antar (km)]*(IF(Orders[Jenis Pengantaran]="Fortuner",1,2)*(IF(Orders[Jenis Pengambilan]="Fortuner",1,2)/10*6800)))</f>
        <v>0</v>
      </c>
      <c r="Q62" s="23"/>
      <c r="R62" s="24" t="b">
        <v>0</v>
      </c>
      <c r="S62" s="13">
        <f>Orders[Total Tagihan]-Orders[Nominal DP]</f>
        <v>0</v>
      </c>
      <c r="T62" s="42" t="b">
        <v>0</v>
      </c>
      <c r="U62" s="24" t="b">
        <v>0</v>
      </c>
      <c r="V62" s="42" t="b">
        <v>0</v>
      </c>
      <c r="W62" s="42" t="b">
        <v>0</v>
      </c>
      <c r="X62" s="43"/>
      <c r="Y62" s="17"/>
      <c r="Z62" s="17"/>
    </row>
    <row r="63" ht="22.5" customHeight="1">
      <c r="A63" s="45" t="s">
        <v>195</v>
      </c>
      <c r="B63" s="47"/>
      <c r="C63" s="52"/>
      <c r="D63" s="20"/>
      <c r="E63" s="21"/>
      <c r="F63" s="7" t="str">
        <f t="shared" ref="F63:F80" si="3">if(E63="","",(D63+E63))</f>
        <v/>
      </c>
      <c r="G63" s="7"/>
      <c r="H63" s="46"/>
      <c r="I63" s="46"/>
      <c r="J63" s="10" t="str">
        <f>IFERROR(__xludf.DUMMYFUNCTION("TEXTJOIN("", "", TRUE, FILTER(OrderItem[Item],OrderItem[Nomor Order] = $A63))"),"#N/A")</f>
        <v>#N/A</v>
      </c>
      <c r="K63" s="11">
        <f>SUMIF(OrderItem[Nomor Order],Orders[Nomor Order],OrderItem[Total Biaya Order (IDR)])</f>
        <v>0</v>
      </c>
      <c r="L63" s="23"/>
      <c r="M63" s="23"/>
      <c r="N63" s="13">
        <f>Orders[Subtotal Item (IDR)]+Orders[Subtotal Ongkir Tertagih]-Orders[Diskon Ongkir]</f>
        <v>0</v>
      </c>
      <c r="O63" s="18"/>
      <c r="P63" s="13">
        <f>IF(AND(Orders[Jenis Pengantaran]="Fortuner",Orders[Jenis Pengambilan]="Fortuner"),0,Orders[Jarak Antar (km)]*(IF(Orders[Jenis Pengantaran]="Fortuner",1,2)*(IF(Orders[Jenis Pengambilan]="Fortuner",1,2)/10*6800)))</f>
        <v>0</v>
      </c>
      <c r="Q63" s="23"/>
      <c r="R63" s="24" t="b">
        <v>0</v>
      </c>
      <c r="S63" s="13">
        <f>Orders[Total Tagihan]-Orders[Nominal DP]</f>
        <v>0</v>
      </c>
      <c r="T63" s="42" t="b">
        <v>0</v>
      </c>
      <c r="U63" s="24" t="b">
        <v>0</v>
      </c>
      <c r="V63" s="42" t="b">
        <v>0</v>
      </c>
      <c r="W63" s="42" t="b">
        <v>0</v>
      </c>
      <c r="X63" s="43"/>
      <c r="Y63" s="17"/>
      <c r="Z63" s="17"/>
    </row>
    <row r="64" ht="22.5" customHeight="1">
      <c r="A64" s="45" t="s">
        <v>196</v>
      </c>
      <c r="B64" s="47"/>
      <c r="C64" s="52"/>
      <c r="D64" s="20"/>
      <c r="E64" s="21"/>
      <c r="F64" s="7" t="str">
        <f t="shared" si="3"/>
        <v/>
      </c>
      <c r="G64" s="7"/>
      <c r="H64" s="46"/>
      <c r="I64" s="46"/>
      <c r="J64" s="10" t="str">
        <f>IFERROR(__xludf.DUMMYFUNCTION("TEXTJOIN("", "", TRUE, FILTER(OrderItem[Item],OrderItem[Nomor Order] = $A64))"),"#N/A")</f>
        <v>#N/A</v>
      </c>
      <c r="K64" s="11">
        <f>SUMIF(OrderItem[Nomor Order],Orders[Nomor Order],OrderItem[Total Biaya Order (IDR)])</f>
        <v>0</v>
      </c>
      <c r="L64" s="23"/>
      <c r="M64" s="23"/>
      <c r="N64" s="13">
        <f>Orders[Subtotal Item (IDR)]+Orders[Subtotal Ongkir Tertagih]-Orders[Diskon Ongkir]</f>
        <v>0</v>
      </c>
      <c r="O64" s="18"/>
      <c r="P64" s="13">
        <f>IF(AND(Orders[Jenis Pengantaran]="Fortuner",Orders[Jenis Pengambilan]="Fortuner"),0,Orders[Jarak Antar (km)]*(IF(Orders[Jenis Pengantaran]="Fortuner",1,2)*(IF(Orders[Jenis Pengambilan]="Fortuner",1,2)/10*6800)))</f>
        <v>0</v>
      </c>
      <c r="Q64" s="23"/>
      <c r="R64" s="24" t="b">
        <v>0</v>
      </c>
      <c r="S64" s="13">
        <f>Orders[Total Tagihan]-Orders[Nominal DP]</f>
        <v>0</v>
      </c>
      <c r="T64" s="42" t="b">
        <v>0</v>
      </c>
      <c r="U64" s="24" t="b">
        <v>0</v>
      </c>
      <c r="V64" s="42" t="b">
        <v>0</v>
      </c>
      <c r="W64" s="42" t="b">
        <v>0</v>
      </c>
      <c r="X64" s="43"/>
      <c r="Y64" s="17"/>
      <c r="Z64" s="17"/>
    </row>
    <row r="65" ht="22.5" customHeight="1">
      <c r="A65" s="45" t="s">
        <v>197</v>
      </c>
      <c r="B65" s="47"/>
      <c r="C65" s="52"/>
      <c r="D65" s="20"/>
      <c r="E65" s="21"/>
      <c r="F65" s="7" t="str">
        <f t="shared" si="3"/>
        <v/>
      </c>
      <c r="G65" s="7"/>
      <c r="H65" s="46"/>
      <c r="I65" s="46"/>
      <c r="J65" s="10" t="str">
        <f>IFERROR(__xludf.DUMMYFUNCTION("TEXTJOIN("", "", TRUE, FILTER(OrderItem[Item],OrderItem[Nomor Order] = $A65))"),"#N/A")</f>
        <v>#N/A</v>
      </c>
      <c r="K65" s="11">
        <f>SUMIF(OrderItem[Nomor Order],Orders[Nomor Order],OrderItem[Total Biaya Order (IDR)])</f>
        <v>0</v>
      </c>
      <c r="L65" s="23"/>
      <c r="M65" s="23"/>
      <c r="N65" s="13">
        <f>Orders[Subtotal Item (IDR)]+Orders[Subtotal Ongkir Tertagih]-Orders[Diskon Ongkir]</f>
        <v>0</v>
      </c>
      <c r="O65" s="18"/>
      <c r="P65" s="13">
        <f>IF(AND(Orders[Jenis Pengantaran]="Fortuner",Orders[Jenis Pengambilan]="Fortuner"),0,Orders[Jarak Antar (km)]*(IF(Orders[Jenis Pengantaran]="Fortuner",1,2)*(IF(Orders[Jenis Pengambilan]="Fortuner",1,2)/10*6800)))</f>
        <v>0</v>
      </c>
      <c r="Q65" s="23"/>
      <c r="R65" s="24" t="b">
        <v>0</v>
      </c>
      <c r="S65" s="13">
        <f>Orders[Total Tagihan]-Orders[Nominal DP]</f>
        <v>0</v>
      </c>
      <c r="T65" s="42" t="b">
        <v>0</v>
      </c>
      <c r="U65" s="24" t="b">
        <v>0</v>
      </c>
      <c r="V65" s="42" t="b">
        <v>0</v>
      </c>
      <c r="W65" s="42" t="b">
        <v>0</v>
      </c>
      <c r="X65" s="43"/>
      <c r="Y65" s="17"/>
      <c r="Z65" s="17"/>
    </row>
    <row r="66" ht="22.5" customHeight="1">
      <c r="A66" s="45" t="s">
        <v>198</v>
      </c>
      <c r="B66" s="47"/>
      <c r="C66" s="52"/>
      <c r="D66" s="20"/>
      <c r="E66" s="21"/>
      <c r="F66" s="7" t="str">
        <f t="shared" si="3"/>
        <v/>
      </c>
      <c r="G66" s="7"/>
      <c r="H66" s="46"/>
      <c r="I66" s="46"/>
      <c r="J66" s="10" t="str">
        <f>IFERROR(__xludf.DUMMYFUNCTION("TEXTJOIN("", "", TRUE, FILTER(OrderItem[Item],OrderItem[Nomor Order] = $A66))"),"#N/A")</f>
        <v>#N/A</v>
      </c>
      <c r="K66" s="11">
        <f>SUMIF(OrderItem[Nomor Order],Orders[Nomor Order],OrderItem[Total Biaya Order (IDR)])</f>
        <v>0</v>
      </c>
      <c r="L66" s="23"/>
      <c r="M66" s="23"/>
      <c r="N66" s="13">
        <f>Orders[Subtotal Item (IDR)]+Orders[Subtotal Ongkir Tertagih]-Orders[Diskon Ongkir]</f>
        <v>0</v>
      </c>
      <c r="O66" s="18"/>
      <c r="P66" s="13">
        <f>IF(AND(Orders[Jenis Pengantaran]="Fortuner",Orders[Jenis Pengambilan]="Fortuner"),0,Orders[Jarak Antar (km)]*(IF(Orders[Jenis Pengantaran]="Fortuner",1,2)*(IF(Orders[Jenis Pengambilan]="Fortuner",1,2)/10*6800)))</f>
        <v>0</v>
      </c>
      <c r="Q66" s="23"/>
      <c r="R66" s="24" t="b">
        <v>0</v>
      </c>
      <c r="S66" s="13">
        <f>Orders[Total Tagihan]-Orders[Nominal DP]</f>
        <v>0</v>
      </c>
      <c r="T66" s="42" t="b">
        <v>0</v>
      </c>
      <c r="U66" s="24" t="b">
        <v>0</v>
      </c>
      <c r="V66" s="42" t="b">
        <v>0</v>
      </c>
      <c r="W66" s="42" t="b">
        <v>0</v>
      </c>
      <c r="X66" s="43"/>
      <c r="Y66" s="17"/>
      <c r="Z66" s="17"/>
    </row>
    <row r="67" ht="22.5" customHeight="1">
      <c r="A67" s="45" t="s">
        <v>199</v>
      </c>
      <c r="B67" s="47"/>
      <c r="C67" s="52"/>
      <c r="D67" s="20"/>
      <c r="E67" s="21"/>
      <c r="F67" s="7" t="str">
        <f t="shared" si="3"/>
        <v/>
      </c>
      <c r="G67" s="7"/>
      <c r="H67" s="46"/>
      <c r="I67" s="46"/>
      <c r="J67" s="10" t="str">
        <f>IFERROR(__xludf.DUMMYFUNCTION("TEXTJOIN("", "", TRUE, FILTER(OrderItem[Item],OrderItem[Nomor Order] = $A67))"),"#N/A")</f>
        <v>#N/A</v>
      </c>
      <c r="K67" s="11">
        <f>SUMIF(OrderItem[Nomor Order],Orders[Nomor Order],OrderItem[Total Biaya Order (IDR)])</f>
        <v>0</v>
      </c>
      <c r="L67" s="23"/>
      <c r="M67" s="23"/>
      <c r="N67" s="13">
        <f>Orders[Subtotal Item (IDR)]+Orders[Subtotal Ongkir Tertagih]-Orders[Diskon Ongkir]</f>
        <v>0</v>
      </c>
      <c r="O67" s="18"/>
      <c r="P67" s="13">
        <f>IF(AND(Orders[Jenis Pengantaran]="Fortuner",Orders[Jenis Pengambilan]="Fortuner"),0,Orders[Jarak Antar (km)]*(IF(Orders[Jenis Pengantaran]="Fortuner",1,2)*(IF(Orders[Jenis Pengambilan]="Fortuner",1,2)/10*6800)))</f>
        <v>0</v>
      </c>
      <c r="Q67" s="23"/>
      <c r="R67" s="24" t="b">
        <v>0</v>
      </c>
      <c r="S67" s="13">
        <f>Orders[Total Tagihan]-Orders[Nominal DP]</f>
        <v>0</v>
      </c>
      <c r="T67" s="42" t="b">
        <v>0</v>
      </c>
      <c r="U67" s="24" t="b">
        <v>0</v>
      </c>
      <c r="V67" s="42" t="b">
        <v>0</v>
      </c>
      <c r="W67" s="42" t="b">
        <v>0</v>
      </c>
      <c r="X67" s="43"/>
      <c r="Y67" s="17"/>
      <c r="Z67" s="17"/>
    </row>
    <row r="68" ht="22.5" customHeight="1">
      <c r="A68" s="45" t="s">
        <v>200</v>
      </c>
      <c r="B68" s="47"/>
      <c r="C68" s="52"/>
      <c r="D68" s="20"/>
      <c r="E68" s="21"/>
      <c r="F68" s="7" t="str">
        <f t="shared" si="3"/>
        <v/>
      </c>
      <c r="G68" s="7"/>
      <c r="H68" s="46"/>
      <c r="I68" s="46"/>
      <c r="J68" s="10" t="str">
        <f>IFERROR(__xludf.DUMMYFUNCTION("TEXTJOIN("", "", TRUE, FILTER(OrderItem[Item],OrderItem[Nomor Order] = $A68))"),"#N/A")</f>
        <v>#N/A</v>
      </c>
      <c r="K68" s="11">
        <f>SUMIF(OrderItem[Nomor Order],Orders[Nomor Order],OrderItem[Total Biaya Order (IDR)])</f>
        <v>0</v>
      </c>
      <c r="L68" s="23"/>
      <c r="M68" s="23"/>
      <c r="N68" s="13">
        <f>Orders[Subtotal Item (IDR)]+Orders[Subtotal Ongkir Tertagih]-Orders[Diskon Ongkir]</f>
        <v>0</v>
      </c>
      <c r="O68" s="18"/>
      <c r="P68" s="13">
        <f>IF(AND(Orders[Jenis Pengantaran]="Fortuner",Orders[Jenis Pengambilan]="Fortuner"),0,Orders[Jarak Antar (km)]*(IF(Orders[Jenis Pengantaran]="Fortuner",1,2)*(IF(Orders[Jenis Pengambilan]="Fortuner",1,2)/10*6800)))</f>
        <v>0</v>
      </c>
      <c r="Q68" s="23"/>
      <c r="R68" s="24" t="b">
        <v>0</v>
      </c>
      <c r="S68" s="13">
        <f>Orders[Total Tagihan]-Orders[Nominal DP]</f>
        <v>0</v>
      </c>
      <c r="T68" s="42" t="b">
        <v>0</v>
      </c>
      <c r="U68" s="24" t="b">
        <v>0</v>
      </c>
      <c r="V68" s="42" t="b">
        <v>0</v>
      </c>
      <c r="W68" s="42" t="b">
        <v>0</v>
      </c>
      <c r="X68" s="43"/>
      <c r="Y68" s="17"/>
      <c r="Z68" s="17"/>
    </row>
    <row r="69" ht="22.5" customHeight="1">
      <c r="A69" s="45"/>
      <c r="B69" s="47"/>
      <c r="C69" s="52"/>
      <c r="D69" s="20"/>
      <c r="E69" s="21"/>
      <c r="F69" s="7" t="str">
        <f t="shared" si="3"/>
        <v/>
      </c>
      <c r="G69" s="7"/>
      <c r="H69" s="46"/>
      <c r="I69" s="46"/>
      <c r="J69" s="10" t="str">
        <f>IFERROR(__xludf.DUMMYFUNCTION("TEXTJOIN("", "", TRUE, FILTER(OrderItem[Item],OrderItem[Nomor Order] = $A69))"),"")</f>
        <v/>
      </c>
      <c r="K69" s="11">
        <f>SUMIF(OrderItem[Nomor Order],Orders[Nomor Order],OrderItem[Total Biaya Order (IDR)])</f>
        <v>0</v>
      </c>
      <c r="L69" s="23"/>
      <c r="M69" s="23"/>
      <c r="N69" s="13">
        <f>Orders[Subtotal Item (IDR)]+Orders[Subtotal Ongkir Tertagih]-Orders[Diskon Ongkir]</f>
        <v>0</v>
      </c>
      <c r="O69" s="18"/>
      <c r="P69" s="13">
        <f>IF(AND(Orders[Jenis Pengantaran]="Fortuner",Orders[Jenis Pengambilan]="Fortuner"),0,Orders[Jarak Antar (km)]*(IF(Orders[Jenis Pengantaran]="Fortuner",1,2)*(IF(Orders[Jenis Pengambilan]="Fortuner",1,2)/10*6800)))</f>
        <v>0</v>
      </c>
      <c r="Q69" s="23"/>
      <c r="R69" s="24" t="b">
        <v>0</v>
      </c>
      <c r="S69" s="13">
        <f>Orders[Total Tagihan]-Orders[Nominal DP]</f>
        <v>0</v>
      </c>
      <c r="T69" s="42" t="b">
        <v>0</v>
      </c>
      <c r="U69" s="24" t="b">
        <v>0</v>
      </c>
      <c r="V69" s="42" t="b">
        <v>0</v>
      </c>
      <c r="W69" s="42" t="b">
        <v>0</v>
      </c>
      <c r="X69" s="43"/>
      <c r="Y69" s="17"/>
      <c r="Z69" s="17"/>
    </row>
    <row r="70" ht="22.5" customHeight="1">
      <c r="A70" s="45"/>
      <c r="B70" s="47"/>
      <c r="C70" s="52"/>
      <c r="D70" s="20"/>
      <c r="E70" s="21"/>
      <c r="F70" s="7" t="str">
        <f t="shared" si="3"/>
        <v/>
      </c>
      <c r="G70" s="7"/>
      <c r="H70" s="46"/>
      <c r="I70" s="46"/>
      <c r="J70" s="10" t="str">
        <f>IFERROR(__xludf.DUMMYFUNCTION("TEXTJOIN("", "", TRUE, FILTER(OrderItem[Item],OrderItem[Nomor Order] = $A70))"),"")</f>
        <v/>
      </c>
      <c r="K70" s="11">
        <f>SUMIF(OrderItem[Nomor Order],Orders[Nomor Order],OrderItem[Total Biaya Order (IDR)])</f>
        <v>0</v>
      </c>
      <c r="L70" s="23"/>
      <c r="M70" s="23"/>
      <c r="N70" s="13">
        <f>Orders[Subtotal Item (IDR)]+Orders[Subtotal Ongkir Tertagih]-Orders[Diskon Ongkir]</f>
        <v>0</v>
      </c>
      <c r="O70" s="18"/>
      <c r="P70" s="13">
        <f>IF(AND(Orders[Jenis Pengantaran]="Fortuner",Orders[Jenis Pengambilan]="Fortuner"),0,Orders[Jarak Antar (km)]*(IF(Orders[Jenis Pengantaran]="Fortuner",1,2)*(IF(Orders[Jenis Pengambilan]="Fortuner",1,2)/10*6800)))</f>
        <v>0</v>
      </c>
      <c r="Q70" s="23"/>
      <c r="R70" s="24" t="b">
        <v>0</v>
      </c>
      <c r="S70" s="13">
        <f>Orders[Total Tagihan]-Orders[Nominal DP]</f>
        <v>0</v>
      </c>
      <c r="T70" s="42" t="b">
        <v>0</v>
      </c>
      <c r="U70" s="24" t="b">
        <v>0</v>
      </c>
      <c r="V70" s="42" t="b">
        <v>0</v>
      </c>
      <c r="W70" s="42" t="b">
        <v>0</v>
      </c>
      <c r="X70" s="43"/>
      <c r="Y70" s="17"/>
      <c r="Z70" s="17"/>
    </row>
    <row r="71" ht="22.5" customHeight="1">
      <c r="A71" s="45"/>
      <c r="B71" s="47"/>
      <c r="C71" s="52"/>
      <c r="D71" s="20"/>
      <c r="E71" s="21"/>
      <c r="F71" s="7" t="str">
        <f t="shared" si="3"/>
        <v/>
      </c>
      <c r="G71" s="7"/>
      <c r="H71" s="46"/>
      <c r="I71" s="46"/>
      <c r="J71" s="10" t="str">
        <f>IFERROR(__xludf.DUMMYFUNCTION("TEXTJOIN("", "", TRUE, FILTER(OrderItem[Item],OrderItem[Nomor Order] = $A71))"),"")</f>
        <v/>
      </c>
      <c r="K71" s="11">
        <f>SUMIF(OrderItem[Nomor Order],Orders[Nomor Order],OrderItem[Total Biaya Order (IDR)])</f>
        <v>0</v>
      </c>
      <c r="L71" s="23"/>
      <c r="M71" s="23"/>
      <c r="N71" s="13">
        <f>Orders[Subtotal Item (IDR)]+Orders[Subtotal Ongkir Tertagih]-Orders[Diskon Ongkir]</f>
        <v>0</v>
      </c>
      <c r="O71" s="18"/>
      <c r="P71" s="13">
        <f>IF(AND(Orders[Jenis Pengantaran]="Fortuner",Orders[Jenis Pengambilan]="Fortuner"),0,Orders[Jarak Antar (km)]*(IF(Orders[Jenis Pengantaran]="Fortuner",1,2)*(IF(Orders[Jenis Pengambilan]="Fortuner",1,2)/10*6800)))</f>
        <v>0</v>
      </c>
      <c r="Q71" s="23"/>
      <c r="R71" s="24" t="b">
        <v>0</v>
      </c>
      <c r="S71" s="13">
        <f>Orders[Total Tagihan]-Orders[Nominal DP]</f>
        <v>0</v>
      </c>
      <c r="T71" s="42" t="b">
        <v>0</v>
      </c>
      <c r="U71" s="24" t="b">
        <v>0</v>
      </c>
      <c r="V71" s="42" t="b">
        <v>0</v>
      </c>
      <c r="W71" s="42" t="b">
        <v>0</v>
      </c>
      <c r="X71" s="43"/>
      <c r="Y71" s="17"/>
      <c r="Z71" s="17"/>
    </row>
    <row r="72" ht="22.5" customHeight="1">
      <c r="A72" s="45"/>
      <c r="B72" s="47"/>
      <c r="C72" s="52"/>
      <c r="D72" s="20"/>
      <c r="E72" s="21"/>
      <c r="F72" s="7" t="str">
        <f t="shared" si="3"/>
        <v/>
      </c>
      <c r="G72" s="7"/>
      <c r="H72" s="46"/>
      <c r="I72" s="46"/>
      <c r="J72" s="10" t="str">
        <f>IFERROR(__xludf.DUMMYFUNCTION("TEXTJOIN("", "", TRUE, FILTER(OrderItem[Item],OrderItem[Nomor Order] = $A72))"),"")</f>
        <v/>
      </c>
      <c r="K72" s="11">
        <f>SUMIF(OrderItem[Nomor Order],Orders[Nomor Order],OrderItem[Total Biaya Order (IDR)])</f>
        <v>0</v>
      </c>
      <c r="L72" s="23"/>
      <c r="M72" s="23"/>
      <c r="N72" s="13">
        <f>Orders[Subtotal Item (IDR)]+Orders[Subtotal Ongkir Tertagih]-Orders[Diskon Ongkir]</f>
        <v>0</v>
      </c>
      <c r="O72" s="18"/>
      <c r="P72" s="13">
        <f>IF(AND(Orders[Jenis Pengantaran]="Fortuner",Orders[Jenis Pengambilan]="Fortuner"),0,Orders[Jarak Antar (km)]*(IF(Orders[Jenis Pengantaran]="Fortuner",1,2)*(IF(Orders[Jenis Pengambilan]="Fortuner",1,2)/10*6800)))</f>
        <v>0</v>
      </c>
      <c r="Q72" s="23"/>
      <c r="R72" s="24" t="b">
        <v>0</v>
      </c>
      <c r="S72" s="13">
        <f>Orders[Total Tagihan]-Orders[Nominal DP]</f>
        <v>0</v>
      </c>
      <c r="T72" s="42" t="b">
        <v>0</v>
      </c>
      <c r="U72" s="24" t="b">
        <v>0</v>
      </c>
      <c r="V72" s="42" t="b">
        <v>0</v>
      </c>
      <c r="W72" s="42" t="b">
        <v>0</v>
      </c>
      <c r="X72" s="43"/>
      <c r="Y72" s="17"/>
      <c r="Z72" s="17"/>
    </row>
    <row r="73" ht="22.5" customHeight="1">
      <c r="A73" s="45"/>
      <c r="B73" s="47"/>
      <c r="C73" s="52"/>
      <c r="D73" s="20"/>
      <c r="E73" s="21"/>
      <c r="F73" s="7" t="str">
        <f t="shared" si="3"/>
        <v/>
      </c>
      <c r="G73" s="7"/>
      <c r="H73" s="46"/>
      <c r="I73" s="46"/>
      <c r="J73" s="10" t="str">
        <f>IFERROR(__xludf.DUMMYFUNCTION("TEXTJOIN("", "", TRUE, FILTER(OrderItem[Item],OrderItem[Nomor Order] = $A73))"),"")</f>
        <v/>
      </c>
      <c r="K73" s="11">
        <f>SUMIF(OrderItem[Nomor Order],Orders[Nomor Order],OrderItem[Total Biaya Order (IDR)])</f>
        <v>0</v>
      </c>
      <c r="L73" s="23"/>
      <c r="M73" s="23"/>
      <c r="N73" s="13">
        <f>Orders[Subtotal Item (IDR)]+Orders[Subtotal Ongkir Tertagih]-Orders[Diskon Ongkir]</f>
        <v>0</v>
      </c>
      <c r="O73" s="18"/>
      <c r="P73" s="13">
        <f>IF(AND(Orders[Jenis Pengantaran]="Fortuner",Orders[Jenis Pengambilan]="Fortuner"),0,Orders[Jarak Antar (km)]*(IF(Orders[Jenis Pengantaran]="Fortuner",1,2)*(IF(Orders[Jenis Pengambilan]="Fortuner",1,2)/10*6800)))</f>
        <v>0</v>
      </c>
      <c r="Q73" s="23"/>
      <c r="R73" s="24" t="b">
        <v>0</v>
      </c>
      <c r="S73" s="13">
        <f>Orders[Total Tagihan]-Orders[Nominal DP]</f>
        <v>0</v>
      </c>
      <c r="T73" s="42" t="b">
        <v>0</v>
      </c>
      <c r="U73" s="24" t="b">
        <v>0</v>
      </c>
      <c r="V73" s="42" t="b">
        <v>0</v>
      </c>
      <c r="W73" s="42" t="b">
        <v>0</v>
      </c>
      <c r="X73" s="43"/>
      <c r="Y73" s="17"/>
      <c r="Z73" s="17"/>
    </row>
    <row r="74" ht="22.5" customHeight="1">
      <c r="A74" s="45"/>
      <c r="B74" s="47"/>
      <c r="C74" s="52"/>
      <c r="D74" s="20"/>
      <c r="E74" s="21"/>
      <c r="F74" s="7" t="str">
        <f t="shared" si="3"/>
        <v/>
      </c>
      <c r="G74" s="7"/>
      <c r="H74" s="46"/>
      <c r="I74" s="46"/>
      <c r="J74" s="10" t="str">
        <f>IFERROR(__xludf.DUMMYFUNCTION("TEXTJOIN("", "", TRUE, FILTER(OrderItem[Item],OrderItem[Nomor Order] = $A74))"),"")</f>
        <v/>
      </c>
      <c r="K74" s="11">
        <f>SUMIF(OrderItem[Nomor Order],Orders[Nomor Order],OrderItem[Total Biaya Order (IDR)])</f>
        <v>0</v>
      </c>
      <c r="L74" s="23"/>
      <c r="M74" s="23"/>
      <c r="N74" s="13">
        <f>Orders[Subtotal Item (IDR)]+Orders[Subtotal Ongkir Tertagih]-Orders[Diskon Ongkir]</f>
        <v>0</v>
      </c>
      <c r="O74" s="18"/>
      <c r="P74" s="13">
        <f>IF(AND(Orders[Jenis Pengantaran]="Fortuner",Orders[Jenis Pengambilan]="Fortuner"),0,Orders[Jarak Antar (km)]*(IF(Orders[Jenis Pengantaran]="Fortuner",1,2)*(IF(Orders[Jenis Pengambilan]="Fortuner",1,2)/10*6800)))</f>
        <v>0</v>
      </c>
      <c r="Q74" s="23"/>
      <c r="R74" s="24" t="b">
        <v>0</v>
      </c>
      <c r="S74" s="13">
        <f>Orders[Total Tagihan]-Orders[Nominal DP]</f>
        <v>0</v>
      </c>
      <c r="T74" s="42" t="b">
        <v>0</v>
      </c>
      <c r="U74" s="24" t="b">
        <v>0</v>
      </c>
      <c r="V74" s="42" t="b">
        <v>0</v>
      </c>
      <c r="W74" s="42" t="b">
        <v>0</v>
      </c>
      <c r="X74" s="43"/>
      <c r="Y74" s="17"/>
      <c r="Z74" s="17"/>
    </row>
    <row r="75" ht="22.5" customHeight="1">
      <c r="A75" s="45"/>
      <c r="B75" s="47"/>
      <c r="C75" s="52"/>
      <c r="D75" s="20"/>
      <c r="E75" s="21"/>
      <c r="F75" s="7" t="str">
        <f t="shared" si="3"/>
        <v/>
      </c>
      <c r="G75" s="7"/>
      <c r="H75" s="46"/>
      <c r="I75" s="46"/>
      <c r="J75" s="10" t="str">
        <f>IFERROR(__xludf.DUMMYFUNCTION("TEXTJOIN("", "", TRUE, FILTER(OrderItem[Item],OrderItem[Nomor Order] = $A75))"),"")</f>
        <v/>
      </c>
      <c r="K75" s="11">
        <f>SUMIF(OrderItem[Nomor Order],Orders[Nomor Order],OrderItem[Total Biaya Order (IDR)])</f>
        <v>0</v>
      </c>
      <c r="L75" s="23"/>
      <c r="M75" s="23"/>
      <c r="N75" s="13">
        <f>Orders[Subtotal Item (IDR)]+Orders[Subtotal Ongkir Tertagih]-Orders[Diskon Ongkir]</f>
        <v>0</v>
      </c>
      <c r="O75" s="18"/>
      <c r="P75" s="13">
        <f>IF(AND(Orders[Jenis Pengantaran]="Fortuner",Orders[Jenis Pengambilan]="Fortuner"),0,Orders[Jarak Antar (km)]*(IF(Orders[Jenis Pengantaran]="Fortuner",1,2)*(IF(Orders[Jenis Pengambilan]="Fortuner",1,2)/10*6800)))</f>
        <v>0</v>
      </c>
      <c r="Q75" s="23"/>
      <c r="R75" s="24" t="b">
        <v>0</v>
      </c>
      <c r="S75" s="13">
        <f>Orders[Total Tagihan]-Orders[Nominal DP]</f>
        <v>0</v>
      </c>
      <c r="T75" s="42" t="b">
        <v>0</v>
      </c>
      <c r="U75" s="24" t="b">
        <v>0</v>
      </c>
      <c r="V75" s="42" t="b">
        <v>0</v>
      </c>
      <c r="W75" s="42" t="b">
        <v>0</v>
      </c>
      <c r="X75" s="43"/>
      <c r="Y75" s="17"/>
      <c r="Z75" s="17"/>
    </row>
    <row r="76" ht="22.5" customHeight="1">
      <c r="A76" s="45"/>
      <c r="B76" s="47"/>
      <c r="C76" s="52"/>
      <c r="D76" s="20"/>
      <c r="E76" s="21"/>
      <c r="F76" s="7" t="str">
        <f t="shared" si="3"/>
        <v/>
      </c>
      <c r="G76" s="7"/>
      <c r="H76" s="46"/>
      <c r="I76" s="46"/>
      <c r="J76" s="10" t="str">
        <f>IFERROR(__xludf.DUMMYFUNCTION("TEXTJOIN("", "", TRUE, FILTER(OrderItem[Item],OrderItem[Nomor Order] = $A76))"),"")</f>
        <v/>
      </c>
      <c r="K76" s="11">
        <f>SUMIF(OrderItem[Nomor Order],Orders[Nomor Order],OrderItem[Total Biaya Order (IDR)])</f>
        <v>0</v>
      </c>
      <c r="L76" s="23"/>
      <c r="M76" s="23"/>
      <c r="N76" s="13">
        <f>Orders[Subtotal Item (IDR)]+Orders[Subtotal Ongkir Tertagih]-Orders[Diskon Ongkir]</f>
        <v>0</v>
      </c>
      <c r="O76" s="18"/>
      <c r="P76" s="13">
        <f>IF(AND(Orders[Jenis Pengantaran]="Fortuner",Orders[Jenis Pengambilan]="Fortuner"),0,Orders[Jarak Antar (km)]*(IF(Orders[Jenis Pengantaran]="Fortuner",1,2)*(IF(Orders[Jenis Pengambilan]="Fortuner",1,2)/10*6800)))</f>
        <v>0</v>
      </c>
      <c r="Q76" s="23"/>
      <c r="R76" s="24" t="b">
        <v>0</v>
      </c>
      <c r="S76" s="13">
        <f>Orders[Total Tagihan]-Orders[Nominal DP]</f>
        <v>0</v>
      </c>
      <c r="T76" s="42" t="b">
        <v>0</v>
      </c>
      <c r="U76" s="24" t="b">
        <v>0</v>
      </c>
      <c r="V76" s="42" t="b">
        <v>0</v>
      </c>
      <c r="W76" s="42" t="b">
        <v>0</v>
      </c>
      <c r="X76" s="43"/>
      <c r="Y76" s="17"/>
      <c r="Z76" s="17"/>
    </row>
    <row r="77" ht="22.5" customHeight="1">
      <c r="A77" s="45"/>
      <c r="B77" s="47"/>
      <c r="C77" s="52"/>
      <c r="D77" s="20"/>
      <c r="E77" s="21"/>
      <c r="F77" s="7" t="str">
        <f t="shared" si="3"/>
        <v/>
      </c>
      <c r="G77" s="7"/>
      <c r="H77" s="46"/>
      <c r="I77" s="46"/>
      <c r="J77" s="10" t="str">
        <f>IFERROR(__xludf.DUMMYFUNCTION("TEXTJOIN("", "", TRUE, FILTER(OrderItem[Item],OrderItem[Nomor Order] = $A77))"),"")</f>
        <v/>
      </c>
      <c r="K77" s="11">
        <f>SUMIF(OrderItem[Nomor Order],Orders[Nomor Order],OrderItem[Total Biaya Order (IDR)])</f>
        <v>0</v>
      </c>
      <c r="L77" s="23"/>
      <c r="M77" s="23"/>
      <c r="N77" s="13">
        <f>Orders[Subtotal Item (IDR)]+Orders[Subtotal Ongkir Tertagih]-Orders[Diskon Ongkir]</f>
        <v>0</v>
      </c>
      <c r="O77" s="18"/>
      <c r="P77" s="13">
        <f>IF(AND(Orders[Jenis Pengantaran]="Fortuner",Orders[Jenis Pengambilan]="Fortuner"),0,Orders[Jarak Antar (km)]*(IF(Orders[Jenis Pengantaran]="Fortuner",1,2)*(IF(Orders[Jenis Pengambilan]="Fortuner",1,2)/10*6800)))</f>
        <v>0</v>
      </c>
      <c r="Q77" s="23"/>
      <c r="R77" s="24" t="b">
        <v>0</v>
      </c>
      <c r="S77" s="13">
        <f>Orders[Total Tagihan]-Orders[Nominal DP]</f>
        <v>0</v>
      </c>
      <c r="T77" s="42" t="b">
        <v>0</v>
      </c>
      <c r="U77" s="24" t="b">
        <v>0</v>
      </c>
      <c r="V77" s="42" t="b">
        <v>0</v>
      </c>
      <c r="W77" s="42" t="b">
        <v>0</v>
      </c>
      <c r="X77" s="43"/>
      <c r="Y77" s="17"/>
      <c r="Z77" s="17"/>
    </row>
    <row r="78" ht="22.5" customHeight="1">
      <c r="A78" s="45"/>
      <c r="B78" s="47"/>
      <c r="C78" s="52"/>
      <c r="D78" s="20"/>
      <c r="E78" s="21"/>
      <c r="F78" s="7" t="str">
        <f t="shared" si="3"/>
        <v/>
      </c>
      <c r="G78" s="7"/>
      <c r="H78" s="46"/>
      <c r="I78" s="46"/>
      <c r="J78" s="10" t="str">
        <f>IFERROR(__xludf.DUMMYFUNCTION("TEXTJOIN("", "", TRUE, FILTER(OrderItem[Item],OrderItem[Nomor Order] = $A78))"),"")</f>
        <v/>
      </c>
      <c r="K78" s="11">
        <f>SUMIF(OrderItem[Nomor Order],Orders[Nomor Order],OrderItem[Total Biaya Order (IDR)])</f>
        <v>0</v>
      </c>
      <c r="L78" s="23"/>
      <c r="M78" s="23"/>
      <c r="N78" s="13">
        <f>Orders[Subtotal Item (IDR)]+Orders[Subtotal Ongkir Tertagih]-Orders[Diskon Ongkir]</f>
        <v>0</v>
      </c>
      <c r="O78" s="18"/>
      <c r="P78" s="13">
        <f>IF(AND(Orders[Jenis Pengantaran]="Fortuner",Orders[Jenis Pengambilan]="Fortuner"),0,Orders[Jarak Antar (km)]*(IF(Orders[Jenis Pengantaran]="Fortuner",1,2)*(IF(Orders[Jenis Pengambilan]="Fortuner",1,2)/10*6800)))</f>
        <v>0</v>
      </c>
      <c r="Q78" s="23"/>
      <c r="R78" s="24" t="b">
        <v>0</v>
      </c>
      <c r="S78" s="13">
        <f>Orders[Total Tagihan]-Orders[Nominal DP]</f>
        <v>0</v>
      </c>
      <c r="T78" s="42" t="b">
        <v>0</v>
      </c>
      <c r="U78" s="24" t="b">
        <v>0</v>
      </c>
      <c r="V78" s="42" t="b">
        <v>0</v>
      </c>
      <c r="W78" s="42" t="b">
        <v>0</v>
      </c>
      <c r="X78" s="43"/>
      <c r="Y78" s="17"/>
      <c r="Z78" s="17"/>
    </row>
    <row r="79" ht="22.5" customHeight="1">
      <c r="A79" s="45"/>
      <c r="B79" s="47"/>
      <c r="C79" s="52"/>
      <c r="D79" s="20"/>
      <c r="E79" s="21"/>
      <c r="F79" s="7" t="str">
        <f t="shared" si="3"/>
        <v/>
      </c>
      <c r="G79" s="7"/>
      <c r="H79" s="46"/>
      <c r="I79" s="46"/>
      <c r="J79" s="10" t="str">
        <f>IFERROR(__xludf.DUMMYFUNCTION("TEXTJOIN("", "", TRUE, FILTER(OrderItem[Item],OrderItem[Nomor Order] = $A79))"),"")</f>
        <v/>
      </c>
      <c r="K79" s="11">
        <f>SUMIF(OrderItem[Nomor Order],Orders[Nomor Order],OrderItem[Total Biaya Order (IDR)])</f>
        <v>0</v>
      </c>
      <c r="L79" s="23"/>
      <c r="M79" s="23"/>
      <c r="N79" s="13">
        <f>Orders[Subtotal Item (IDR)]+Orders[Subtotal Ongkir Tertagih]-Orders[Diskon Ongkir]</f>
        <v>0</v>
      </c>
      <c r="O79" s="18"/>
      <c r="P79" s="13">
        <f>IF(AND(Orders[Jenis Pengantaran]="Fortuner",Orders[Jenis Pengambilan]="Fortuner"),0,Orders[Jarak Antar (km)]*(IF(Orders[Jenis Pengantaran]="Fortuner",1,2)*(IF(Orders[Jenis Pengambilan]="Fortuner",1,2)/10*6800)))</f>
        <v>0</v>
      </c>
      <c r="Q79" s="23"/>
      <c r="R79" s="24" t="b">
        <v>0</v>
      </c>
      <c r="S79" s="13">
        <f>Orders[Total Tagihan]-Orders[Nominal DP]</f>
        <v>0</v>
      </c>
      <c r="T79" s="42" t="b">
        <v>0</v>
      </c>
      <c r="U79" s="24" t="b">
        <v>0</v>
      </c>
      <c r="V79" s="42" t="b">
        <v>0</v>
      </c>
      <c r="W79" s="42" t="b">
        <v>0</v>
      </c>
      <c r="X79" s="43"/>
      <c r="Y79" s="17"/>
      <c r="Z79" s="17"/>
    </row>
    <row r="80" ht="22.5" customHeight="1">
      <c r="A80" s="45"/>
      <c r="B80" s="47"/>
      <c r="C80" s="52"/>
      <c r="D80" s="20"/>
      <c r="E80" s="21"/>
      <c r="F80" s="7" t="str">
        <f t="shared" si="3"/>
        <v/>
      </c>
      <c r="G80" s="7"/>
      <c r="H80" s="46"/>
      <c r="I80" s="46"/>
      <c r="J80" s="10" t="str">
        <f>IFERROR(__xludf.DUMMYFUNCTION("TEXTJOIN("", "", TRUE, FILTER(OrderItem[Item],OrderItem[Nomor Order] = $A80))"),"")</f>
        <v/>
      </c>
      <c r="K80" s="11">
        <f>SUMIF(OrderItem[Nomor Order],Orders[Nomor Order],OrderItem[Total Biaya Order (IDR)])</f>
        <v>0</v>
      </c>
      <c r="L80" s="23"/>
      <c r="M80" s="23"/>
      <c r="N80" s="13">
        <f>Orders[Subtotal Item (IDR)]+Orders[Subtotal Ongkir Tertagih]-Orders[Diskon Ongkir]</f>
        <v>0</v>
      </c>
      <c r="O80" s="18"/>
      <c r="P80" s="13">
        <f>IF(AND(Orders[Jenis Pengantaran]="Fortuner",Orders[Jenis Pengambilan]="Fortuner"),0,Orders[Jarak Antar (km)]*(IF(Orders[Jenis Pengantaran]="Fortuner",1,2)*(IF(Orders[Jenis Pengambilan]="Fortuner",1,2)/10*6800)))</f>
        <v>0</v>
      </c>
      <c r="Q80" s="23"/>
      <c r="R80" s="24" t="b">
        <v>0</v>
      </c>
      <c r="S80" s="13">
        <f>Orders[Total Tagihan]-Orders[Nominal DP]</f>
        <v>0</v>
      </c>
      <c r="T80" s="42" t="b">
        <v>0</v>
      </c>
      <c r="U80" s="24" t="b">
        <v>0</v>
      </c>
      <c r="V80" s="42" t="b">
        <v>0</v>
      </c>
      <c r="W80" s="42" t="b">
        <v>0</v>
      </c>
      <c r="X80" s="43"/>
      <c r="Y80" s="17"/>
      <c r="Z80" s="17"/>
    </row>
    <row r="81" ht="22.5" customHeight="1">
      <c r="A81" s="53"/>
      <c r="B81" s="53"/>
      <c r="C81" s="53"/>
      <c r="D81" s="53"/>
      <c r="E81" s="53"/>
      <c r="F81" s="53"/>
      <c r="G81" s="53"/>
      <c r="H81" s="54"/>
      <c r="I81" s="54"/>
      <c r="J81" s="53"/>
      <c r="K81" s="53"/>
      <c r="L81" s="53"/>
      <c r="M81" s="53"/>
      <c r="N81" s="53"/>
      <c r="O81" s="53"/>
      <c r="P81" s="53"/>
      <c r="Q81" s="53"/>
      <c r="R81" s="55"/>
      <c r="T81" s="55"/>
      <c r="U81" s="55"/>
      <c r="V81" s="55"/>
      <c r="W81" s="15"/>
      <c r="X81" s="56"/>
      <c r="Y81" s="26"/>
      <c r="Z81" s="26"/>
    </row>
    <row r="82" ht="22.5" customHeight="1">
      <c r="A82" s="53"/>
      <c r="B82" s="53"/>
      <c r="C82" s="57"/>
      <c r="D82" s="58"/>
      <c r="E82" s="59">
        <f>SUM(Orders[Durasi (Hari)])</f>
        <v>153</v>
      </c>
      <c r="F82" s="58"/>
      <c r="G82" s="58"/>
      <c r="H82" s="60"/>
      <c r="I82" s="60"/>
      <c r="J82" s="60"/>
      <c r="K82" s="61">
        <f>SUM(Orders[Subtotal Item (IDR)])</f>
        <v>7152000</v>
      </c>
      <c r="L82" s="61">
        <f>SUM(Orders[Subtotal Ongkir Tertagih])</f>
        <v>399000</v>
      </c>
      <c r="M82" s="61">
        <f>SUM(Orders[Diskon Ongkir])</f>
        <v>120000</v>
      </c>
      <c r="N82" s="61">
        <f>SUM(Orders[Total Tagihan])</f>
        <v>7431000</v>
      </c>
      <c r="O82" s="53"/>
      <c r="P82" s="61">
        <f>SUM(Orders[Real Ongkir])</f>
        <v>309536</v>
      </c>
      <c r="Q82" s="61"/>
      <c r="R82" s="62" t="s">
        <v>201</v>
      </c>
      <c r="T82" s="62" t="s">
        <v>201</v>
      </c>
      <c r="U82" s="62" t="s">
        <v>201</v>
      </c>
      <c r="V82" s="62" t="s">
        <v>201</v>
      </c>
      <c r="W82" s="62" t="s">
        <v>201</v>
      </c>
      <c r="X82" s="25"/>
      <c r="Y82" s="26"/>
      <c r="Z82" s="26"/>
    </row>
    <row r="83">
      <c r="N83" s="63"/>
      <c r="W83" s="1"/>
    </row>
    <row r="84">
      <c r="W84" s="1"/>
    </row>
    <row r="85">
      <c r="W85" s="1"/>
    </row>
    <row r="86">
      <c r="W86" s="1"/>
    </row>
    <row r="87">
      <c r="W87" s="1"/>
    </row>
    <row r="88">
      <c r="C88" s="64"/>
      <c r="D88" s="65"/>
      <c r="E88" s="65"/>
      <c r="F88" s="66"/>
      <c r="G88" s="66"/>
      <c r="W88" s="1"/>
    </row>
    <row r="89">
      <c r="C89" s="64"/>
      <c r="D89" s="64"/>
      <c r="E89" s="64"/>
      <c r="F89" s="66"/>
      <c r="G89" s="66"/>
      <c r="W89" s="1"/>
    </row>
    <row r="90">
      <c r="C90" s="64"/>
      <c r="D90" s="64"/>
      <c r="E90" s="64"/>
      <c r="F90" s="66"/>
      <c r="G90" s="66"/>
      <c r="W90" s="1"/>
    </row>
    <row r="91">
      <c r="C91" s="64"/>
      <c r="D91" s="64"/>
      <c r="E91" s="64"/>
      <c r="F91" s="66"/>
      <c r="G91" s="66"/>
      <c r="W91" s="1"/>
    </row>
    <row r="92">
      <c r="C92" s="66"/>
      <c r="D92" s="65"/>
      <c r="E92" s="65"/>
      <c r="F92" s="66"/>
      <c r="G92" s="66"/>
      <c r="W92" s="1"/>
    </row>
    <row r="93">
      <c r="C93" s="66"/>
      <c r="D93" s="66"/>
      <c r="E93" s="66"/>
      <c r="F93" s="66"/>
      <c r="G93" s="66"/>
      <c r="W93" s="1"/>
    </row>
    <row r="94">
      <c r="W94" s="1"/>
    </row>
    <row r="95">
      <c r="W95" s="1"/>
    </row>
    <row r="96">
      <c r="W96" s="1"/>
    </row>
    <row r="97">
      <c r="W97" s="1"/>
    </row>
    <row r="98">
      <c r="W98" s="1"/>
    </row>
    <row r="99">
      <c r="W99" s="1"/>
    </row>
    <row r="100">
      <c r="W100" s="1"/>
    </row>
    <row r="101">
      <c r="W101" s="1"/>
    </row>
    <row r="102">
      <c r="W102" s="1"/>
    </row>
    <row r="103">
      <c r="W103" s="1"/>
    </row>
    <row r="104">
      <c r="W104" s="1"/>
    </row>
    <row r="105">
      <c r="W105" s="1"/>
    </row>
    <row r="106">
      <c r="F106" s="67"/>
      <c r="G106" s="67"/>
      <c r="H106" s="67"/>
      <c r="I106" s="67"/>
      <c r="J106" s="67"/>
      <c r="K106" s="67"/>
      <c r="W106" s="1"/>
    </row>
    <row r="107">
      <c r="H107" s="68"/>
      <c r="W107" s="1"/>
    </row>
    <row r="108">
      <c r="H108" s="68"/>
      <c r="W108" s="1"/>
    </row>
    <row r="109">
      <c r="H109" s="68"/>
      <c r="W109" s="1"/>
    </row>
    <row r="110">
      <c r="H110" s="68"/>
      <c r="W110" s="1"/>
    </row>
    <row r="111">
      <c r="H111" s="68"/>
      <c r="W111" s="1"/>
    </row>
    <row r="112">
      <c r="H112" s="68"/>
      <c r="W112" s="1"/>
    </row>
    <row r="113">
      <c r="H113" s="68"/>
      <c r="W113" s="1"/>
    </row>
    <row r="114">
      <c r="H114" s="68"/>
      <c r="W114" s="1"/>
    </row>
    <row r="115">
      <c r="H115" s="68"/>
      <c r="W115" s="1"/>
    </row>
    <row r="116">
      <c r="H116" s="68"/>
      <c r="W116" s="1"/>
    </row>
    <row r="117">
      <c r="H117" s="68"/>
      <c r="W117" s="1"/>
    </row>
    <row r="118">
      <c r="H118" s="68"/>
      <c r="W118" s="1"/>
    </row>
    <row r="119">
      <c r="H119" s="68"/>
      <c r="W119" s="1"/>
    </row>
    <row r="120">
      <c r="H120" s="68"/>
      <c r="W120" s="1"/>
    </row>
    <row r="121">
      <c r="H121" s="68"/>
      <c r="W121" s="1"/>
    </row>
    <row r="122">
      <c r="H122" s="68"/>
      <c r="W122" s="1"/>
    </row>
    <row r="123">
      <c r="H123" s="68"/>
      <c r="W123" s="1"/>
    </row>
    <row r="124">
      <c r="H124" s="68"/>
      <c r="W124" s="1"/>
    </row>
    <row r="125">
      <c r="H125" s="68"/>
      <c r="W125" s="1"/>
    </row>
    <row r="126">
      <c r="H126" s="68"/>
      <c r="W126" s="1"/>
    </row>
    <row r="127">
      <c r="H127" s="68"/>
      <c r="W127" s="1"/>
    </row>
    <row r="128">
      <c r="H128" s="68"/>
      <c r="W128" s="1"/>
    </row>
    <row r="129">
      <c r="H129" s="68"/>
      <c r="W129" s="1"/>
    </row>
    <row r="130">
      <c r="H130" s="68"/>
      <c r="W130" s="1"/>
    </row>
    <row r="131">
      <c r="H131" s="68"/>
      <c r="W131" s="1"/>
    </row>
    <row r="132">
      <c r="H132" s="68"/>
      <c r="W132" s="1"/>
    </row>
    <row r="133">
      <c r="H133" s="68"/>
      <c r="W133" s="1"/>
    </row>
    <row r="134">
      <c r="H134" s="68"/>
      <c r="W134" s="1"/>
    </row>
    <row r="135">
      <c r="H135" s="68"/>
      <c r="W135" s="1"/>
    </row>
    <row r="136">
      <c r="H136" s="68"/>
      <c r="W136" s="1"/>
    </row>
    <row r="137">
      <c r="H137" s="68"/>
      <c r="W137" s="1"/>
    </row>
    <row r="138">
      <c r="H138" s="68"/>
      <c r="W138" s="1"/>
    </row>
    <row r="139">
      <c r="H139" s="68"/>
      <c r="W139" s="1"/>
    </row>
    <row r="140">
      <c r="H140" s="68"/>
      <c r="W140" s="1"/>
    </row>
    <row r="141">
      <c r="H141" s="69"/>
      <c r="W141" s="1"/>
    </row>
    <row r="142">
      <c r="H142" s="69"/>
      <c r="W142" s="1"/>
    </row>
    <row r="143">
      <c r="H143" s="69"/>
      <c r="W143" s="1"/>
    </row>
    <row r="144">
      <c r="H144" s="69"/>
      <c r="W144" s="1"/>
    </row>
    <row r="145">
      <c r="W145" s="1"/>
    </row>
    <row r="146">
      <c r="W146" s="1"/>
    </row>
    <row r="147">
      <c r="W147" s="1"/>
    </row>
    <row r="148">
      <c r="W148" s="1"/>
    </row>
    <row r="149">
      <c r="W149" s="1"/>
    </row>
    <row r="150">
      <c r="W150" s="1"/>
    </row>
    <row r="151">
      <c r="W151" s="1"/>
    </row>
    <row r="152">
      <c r="W152" s="1"/>
    </row>
    <row r="153">
      <c r="W153" s="1"/>
    </row>
    <row r="154">
      <c r="W154" s="1"/>
    </row>
    <row r="155">
      <c r="W155" s="1"/>
    </row>
    <row r="156">
      <c r="W156" s="1"/>
    </row>
    <row r="157">
      <c r="W157" s="1"/>
    </row>
    <row r="158">
      <c r="W158" s="1"/>
    </row>
    <row r="159">
      <c r="W159" s="1"/>
    </row>
    <row r="160">
      <c r="W160" s="1"/>
    </row>
    <row r="161">
      <c r="W161" s="1"/>
    </row>
    <row r="162">
      <c r="W162" s="1"/>
    </row>
    <row r="163">
      <c r="W163" s="1"/>
    </row>
    <row r="164">
      <c r="W164" s="1"/>
    </row>
    <row r="165">
      <c r="W165" s="1"/>
    </row>
    <row r="166">
      <c r="W166" s="1"/>
    </row>
    <row r="167">
      <c r="W167" s="1"/>
    </row>
    <row r="168">
      <c r="W168" s="1"/>
    </row>
    <row r="169">
      <c r="W169" s="1"/>
    </row>
    <row r="170">
      <c r="W170" s="1"/>
    </row>
    <row r="171">
      <c r="W171" s="1"/>
    </row>
    <row r="172">
      <c r="W172" s="1"/>
    </row>
    <row r="173">
      <c r="W173" s="1"/>
    </row>
    <row r="174">
      <c r="W174" s="1"/>
    </row>
    <row r="175">
      <c r="W175" s="1"/>
    </row>
    <row r="176">
      <c r="W176" s="1"/>
    </row>
    <row r="177">
      <c r="W177" s="1"/>
    </row>
    <row r="178">
      <c r="W178" s="1"/>
    </row>
    <row r="179">
      <c r="W179" s="1"/>
    </row>
    <row r="180">
      <c r="W180" s="1"/>
    </row>
    <row r="181">
      <c r="W181" s="1"/>
    </row>
    <row r="182">
      <c r="W182" s="1"/>
    </row>
    <row r="183">
      <c r="W183" s="1"/>
    </row>
    <row r="184">
      <c r="W184" s="1"/>
    </row>
    <row r="185">
      <c r="W185" s="1"/>
    </row>
    <row r="186">
      <c r="W186" s="1"/>
    </row>
    <row r="187">
      <c r="W187" s="1"/>
    </row>
    <row r="188">
      <c r="W188" s="1"/>
    </row>
    <row r="189">
      <c r="W189" s="1"/>
    </row>
    <row r="190">
      <c r="W190" s="1"/>
    </row>
    <row r="191">
      <c r="W191" s="1"/>
    </row>
    <row r="192">
      <c r="W192" s="1"/>
    </row>
    <row r="193">
      <c r="W193" s="1"/>
    </row>
    <row r="194">
      <c r="W194" s="1"/>
    </row>
    <row r="195">
      <c r="W195" s="1"/>
    </row>
    <row r="196">
      <c r="W196" s="1"/>
    </row>
    <row r="197">
      <c r="W197" s="1"/>
    </row>
    <row r="198">
      <c r="W198" s="1"/>
    </row>
    <row r="199">
      <c r="W199" s="1"/>
    </row>
    <row r="200">
      <c r="W200" s="1"/>
    </row>
    <row r="201">
      <c r="W201" s="1"/>
    </row>
    <row r="202">
      <c r="W202" s="1"/>
    </row>
    <row r="203">
      <c r="W203" s="1"/>
    </row>
    <row r="204">
      <c r="W204" s="1"/>
    </row>
    <row r="205">
      <c r="W205" s="1"/>
    </row>
    <row r="206">
      <c r="W206" s="1"/>
    </row>
    <row r="207">
      <c r="W207" s="1"/>
    </row>
    <row r="208">
      <c r="W208" s="1"/>
    </row>
    <row r="209">
      <c r="W209" s="1"/>
    </row>
    <row r="210">
      <c r="W210" s="1"/>
    </row>
    <row r="211">
      <c r="W211" s="1"/>
    </row>
    <row r="212">
      <c r="W212" s="1"/>
    </row>
    <row r="213">
      <c r="W213" s="1"/>
    </row>
    <row r="214">
      <c r="W214" s="1"/>
    </row>
    <row r="215">
      <c r="W215" s="1"/>
    </row>
    <row r="216">
      <c r="W216" s="1"/>
    </row>
    <row r="217">
      <c r="W217" s="1"/>
    </row>
    <row r="218">
      <c r="W218" s="1"/>
    </row>
    <row r="219">
      <c r="W219" s="1"/>
    </row>
    <row r="220">
      <c r="W220" s="1"/>
    </row>
    <row r="221">
      <c r="W221" s="1"/>
    </row>
    <row r="222">
      <c r="W222" s="1"/>
    </row>
    <row r="223">
      <c r="W223" s="1"/>
    </row>
    <row r="224">
      <c r="W224" s="1"/>
    </row>
    <row r="225">
      <c r="W225" s="1"/>
    </row>
    <row r="226">
      <c r="W226" s="1"/>
    </row>
    <row r="227">
      <c r="W227" s="1"/>
    </row>
    <row r="228">
      <c r="W228" s="1"/>
    </row>
    <row r="229">
      <c r="W229" s="1"/>
    </row>
    <row r="230">
      <c r="W230" s="1"/>
    </row>
    <row r="231">
      <c r="W231" s="1"/>
    </row>
    <row r="232">
      <c r="W232" s="1"/>
    </row>
    <row r="233">
      <c r="W233" s="1"/>
    </row>
    <row r="234">
      <c r="W234" s="1"/>
    </row>
    <row r="235">
      <c r="W235" s="1"/>
    </row>
    <row r="236">
      <c r="W236" s="1"/>
    </row>
    <row r="237">
      <c r="W237" s="1"/>
    </row>
    <row r="238">
      <c r="W238" s="1"/>
    </row>
    <row r="239">
      <c r="W239" s="1"/>
    </row>
    <row r="240">
      <c r="W240" s="1"/>
    </row>
    <row r="241">
      <c r="W241" s="1"/>
    </row>
    <row r="242">
      <c r="W242" s="1"/>
    </row>
    <row r="243">
      <c r="W243" s="1"/>
    </row>
    <row r="244">
      <c r="W244" s="1"/>
    </row>
    <row r="245">
      <c r="W245" s="1"/>
    </row>
    <row r="246">
      <c r="W246" s="1"/>
    </row>
    <row r="247">
      <c r="W247" s="1"/>
    </row>
    <row r="248">
      <c r="W248" s="1"/>
    </row>
    <row r="249">
      <c r="W249" s="1"/>
    </row>
    <row r="250">
      <c r="W250" s="1"/>
    </row>
    <row r="251">
      <c r="W251" s="1"/>
    </row>
    <row r="252">
      <c r="W252" s="1"/>
    </row>
    <row r="253">
      <c r="W253" s="1"/>
    </row>
    <row r="254">
      <c r="W254" s="1"/>
    </row>
    <row r="255">
      <c r="W255" s="1"/>
    </row>
    <row r="256">
      <c r="W256" s="1"/>
    </row>
    <row r="257">
      <c r="W257" s="1"/>
    </row>
    <row r="258">
      <c r="W258" s="1"/>
    </row>
    <row r="259">
      <c r="W259" s="1"/>
    </row>
    <row r="260">
      <c r="W260" s="1"/>
    </row>
    <row r="261">
      <c r="W261" s="1"/>
    </row>
    <row r="262">
      <c r="W262" s="1"/>
    </row>
    <row r="263">
      <c r="W263" s="1"/>
    </row>
    <row r="264">
      <c r="W264" s="1"/>
    </row>
    <row r="265">
      <c r="W265" s="1"/>
    </row>
    <row r="266">
      <c r="W266" s="1"/>
    </row>
    <row r="267">
      <c r="W267" s="1"/>
    </row>
    <row r="268">
      <c r="W268" s="1"/>
    </row>
    <row r="269">
      <c r="W269" s="1"/>
    </row>
    <row r="270">
      <c r="W270" s="1"/>
    </row>
    <row r="271">
      <c r="W271" s="1"/>
    </row>
    <row r="272">
      <c r="W272" s="1"/>
    </row>
    <row r="273">
      <c r="W273" s="1"/>
    </row>
    <row r="274">
      <c r="W274" s="1"/>
    </row>
    <row r="275">
      <c r="W275" s="1"/>
    </row>
    <row r="276">
      <c r="W276" s="1"/>
    </row>
    <row r="277">
      <c r="W277" s="1"/>
    </row>
    <row r="278">
      <c r="W278" s="1"/>
    </row>
    <row r="279">
      <c r="W279" s="1"/>
    </row>
    <row r="280">
      <c r="W280" s="1"/>
    </row>
    <row r="281">
      <c r="W281" s="1"/>
    </row>
    <row r="282">
      <c r="W282" s="1"/>
    </row>
    <row r="283">
      <c r="W283" s="1"/>
    </row>
    <row r="284">
      <c r="W284" s="1"/>
    </row>
    <row r="285">
      <c r="W285" s="1"/>
    </row>
    <row r="286">
      <c r="W286" s="1"/>
    </row>
    <row r="287">
      <c r="W287" s="1"/>
    </row>
    <row r="288">
      <c r="W288" s="1"/>
    </row>
    <row r="289">
      <c r="W289" s="1"/>
    </row>
    <row r="290">
      <c r="W290" s="1"/>
    </row>
    <row r="291">
      <c r="W291" s="1"/>
    </row>
    <row r="292">
      <c r="W292" s="1"/>
    </row>
    <row r="293">
      <c r="W293" s="1"/>
    </row>
    <row r="294">
      <c r="W294" s="1"/>
    </row>
    <row r="295">
      <c r="W295" s="1"/>
    </row>
    <row r="296">
      <c r="W296" s="1"/>
    </row>
    <row r="297">
      <c r="W297" s="1"/>
    </row>
    <row r="298">
      <c r="W298" s="1"/>
    </row>
    <row r="299">
      <c r="W299" s="1"/>
    </row>
    <row r="300">
      <c r="W300" s="1"/>
    </row>
    <row r="301">
      <c r="W301" s="1"/>
    </row>
    <row r="302">
      <c r="W302" s="1"/>
    </row>
    <row r="303">
      <c r="W303" s="1"/>
    </row>
    <row r="304">
      <c r="W304" s="1"/>
    </row>
    <row r="305">
      <c r="W305" s="1"/>
    </row>
    <row r="306">
      <c r="W306" s="1"/>
    </row>
    <row r="307">
      <c r="W307" s="1"/>
    </row>
    <row r="308">
      <c r="W308" s="1"/>
    </row>
    <row r="309">
      <c r="W309" s="1"/>
    </row>
    <row r="310">
      <c r="W310" s="1"/>
    </row>
    <row r="311">
      <c r="W311" s="1"/>
    </row>
    <row r="312">
      <c r="W312" s="1"/>
    </row>
    <row r="313">
      <c r="W313" s="1"/>
    </row>
    <row r="314">
      <c r="W314" s="1"/>
    </row>
    <row r="315">
      <c r="W315" s="1"/>
    </row>
    <row r="316">
      <c r="W316" s="1"/>
    </row>
    <row r="317">
      <c r="W317" s="1"/>
    </row>
    <row r="318">
      <c r="W318" s="1"/>
    </row>
    <row r="319">
      <c r="W319" s="1"/>
    </row>
    <row r="320">
      <c r="W320" s="1"/>
    </row>
    <row r="321">
      <c r="W321" s="1"/>
    </row>
    <row r="322">
      <c r="W322" s="1"/>
    </row>
    <row r="323">
      <c r="W323" s="1"/>
    </row>
    <row r="324">
      <c r="W324" s="1"/>
    </row>
    <row r="325">
      <c r="W325" s="1"/>
    </row>
    <row r="326">
      <c r="W326" s="1"/>
    </row>
    <row r="327">
      <c r="W327" s="1"/>
    </row>
    <row r="328">
      <c r="W328" s="1"/>
    </row>
    <row r="329">
      <c r="W329" s="1"/>
    </row>
    <row r="330">
      <c r="W330" s="1"/>
    </row>
    <row r="331">
      <c r="W331" s="1"/>
    </row>
    <row r="332">
      <c r="W332" s="1"/>
    </row>
    <row r="333">
      <c r="W333" s="1"/>
    </row>
    <row r="334">
      <c r="W334" s="1"/>
    </row>
    <row r="335">
      <c r="W335" s="1"/>
    </row>
    <row r="336">
      <c r="W336" s="1"/>
    </row>
    <row r="337">
      <c r="W337" s="1"/>
    </row>
    <row r="338">
      <c r="W338" s="1"/>
    </row>
    <row r="339">
      <c r="W339" s="1"/>
    </row>
    <row r="340">
      <c r="W340" s="1"/>
    </row>
    <row r="341">
      <c r="W341" s="1"/>
    </row>
    <row r="342">
      <c r="W342" s="1"/>
    </row>
    <row r="343">
      <c r="W343" s="1"/>
    </row>
    <row r="344">
      <c r="W344" s="1"/>
    </row>
    <row r="345">
      <c r="W345" s="1"/>
    </row>
    <row r="346">
      <c r="W346" s="1"/>
    </row>
    <row r="347">
      <c r="W347" s="1"/>
    </row>
    <row r="348">
      <c r="W348" s="1"/>
    </row>
    <row r="349">
      <c r="W349" s="1"/>
    </row>
    <row r="350">
      <c r="W350" s="1"/>
    </row>
    <row r="351">
      <c r="W351" s="1"/>
    </row>
    <row r="352">
      <c r="W352" s="1"/>
    </row>
    <row r="353">
      <c r="W353" s="1"/>
    </row>
    <row r="354">
      <c r="W354" s="1"/>
    </row>
    <row r="355">
      <c r="W355" s="1"/>
    </row>
    <row r="356">
      <c r="W356" s="1"/>
    </row>
    <row r="357">
      <c r="W357" s="1"/>
    </row>
    <row r="358">
      <c r="W358" s="1"/>
    </row>
    <row r="359">
      <c r="W359" s="1"/>
    </row>
    <row r="360">
      <c r="W360" s="1"/>
    </row>
    <row r="361">
      <c r="W361" s="1"/>
    </row>
    <row r="362">
      <c r="W362" s="1"/>
    </row>
    <row r="363">
      <c r="W363" s="1"/>
    </row>
    <row r="364">
      <c r="W364" s="1"/>
    </row>
    <row r="365">
      <c r="W365" s="1"/>
    </row>
    <row r="366">
      <c r="W366" s="1"/>
    </row>
    <row r="367">
      <c r="W367" s="1"/>
    </row>
    <row r="368">
      <c r="W368" s="1"/>
    </row>
    <row r="369">
      <c r="W369" s="1"/>
    </row>
    <row r="370">
      <c r="W370" s="1"/>
    </row>
    <row r="371">
      <c r="W371" s="1"/>
    </row>
    <row r="372">
      <c r="W372" s="1"/>
    </row>
    <row r="373">
      <c r="W373" s="1"/>
    </row>
    <row r="374">
      <c r="W374" s="1"/>
    </row>
    <row r="375">
      <c r="W375" s="1"/>
    </row>
    <row r="376">
      <c r="W376" s="1"/>
    </row>
    <row r="377">
      <c r="W377" s="1"/>
    </row>
    <row r="378">
      <c r="W378" s="1"/>
    </row>
    <row r="379">
      <c r="W379" s="1"/>
    </row>
    <row r="380">
      <c r="W380" s="1"/>
    </row>
    <row r="381">
      <c r="W381" s="1"/>
    </row>
    <row r="382">
      <c r="W382" s="1"/>
    </row>
    <row r="383">
      <c r="W383" s="1"/>
    </row>
    <row r="384">
      <c r="W384" s="1"/>
    </row>
    <row r="385">
      <c r="W385" s="1"/>
    </row>
    <row r="386">
      <c r="W386" s="1"/>
    </row>
    <row r="387">
      <c r="W387" s="1"/>
    </row>
    <row r="388">
      <c r="W388" s="1"/>
    </row>
    <row r="389">
      <c r="W389" s="1"/>
    </row>
    <row r="390">
      <c r="W390" s="1"/>
    </row>
    <row r="391">
      <c r="W391" s="1"/>
    </row>
    <row r="392">
      <c r="W392" s="1"/>
    </row>
    <row r="393">
      <c r="W393" s="1"/>
    </row>
    <row r="394">
      <c r="W394" s="1"/>
    </row>
    <row r="395">
      <c r="W395" s="1"/>
    </row>
    <row r="396">
      <c r="W396" s="1"/>
    </row>
    <row r="397">
      <c r="W397" s="1"/>
    </row>
    <row r="398">
      <c r="W398" s="1"/>
    </row>
    <row r="399">
      <c r="W399" s="1"/>
    </row>
    <row r="400">
      <c r="W400" s="1"/>
    </row>
    <row r="401">
      <c r="W401" s="1"/>
    </row>
    <row r="402">
      <c r="W402" s="1"/>
    </row>
    <row r="403">
      <c r="W403" s="1"/>
    </row>
    <row r="404">
      <c r="W404" s="1"/>
    </row>
    <row r="405">
      <c r="W405" s="1"/>
    </row>
    <row r="406">
      <c r="W406" s="1"/>
    </row>
    <row r="407">
      <c r="W407" s="1"/>
    </row>
    <row r="408">
      <c r="W408" s="1"/>
    </row>
    <row r="409">
      <c r="W409" s="1"/>
    </row>
    <row r="410">
      <c r="W410" s="1"/>
    </row>
    <row r="411">
      <c r="W411" s="1"/>
    </row>
    <row r="412">
      <c r="W412" s="1"/>
    </row>
    <row r="413">
      <c r="W413" s="1"/>
    </row>
    <row r="414">
      <c r="W414" s="1"/>
    </row>
    <row r="415">
      <c r="W415" s="1"/>
    </row>
    <row r="416">
      <c r="W416" s="1"/>
    </row>
    <row r="417">
      <c r="W417" s="1"/>
    </row>
    <row r="418">
      <c r="W418" s="1"/>
    </row>
    <row r="419">
      <c r="W419" s="1"/>
    </row>
    <row r="420">
      <c r="W420" s="1"/>
    </row>
    <row r="421">
      <c r="W421" s="1"/>
    </row>
    <row r="422">
      <c r="W422" s="1"/>
    </row>
    <row r="423">
      <c r="W423" s="1"/>
    </row>
    <row r="424">
      <c r="W424" s="1"/>
    </row>
    <row r="425">
      <c r="W425" s="1"/>
    </row>
    <row r="426">
      <c r="W426" s="1"/>
    </row>
    <row r="427">
      <c r="W427" s="1"/>
    </row>
    <row r="428">
      <c r="W428" s="1"/>
    </row>
    <row r="429">
      <c r="W429" s="1"/>
    </row>
    <row r="430">
      <c r="W430" s="1"/>
    </row>
    <row r="431">
      <c r="W431" s="1"/>
    </row>
    <row r="432">
      <c r="W432" s="1"/>
    </row>
    <row r="433">
      <c r="W433" s="1"/>
    </row>
    <row r="434">
      <c r="W434" s="1"/>
    </row>
    <row r="435">
      <c r="W435" s="1"/>
    </row>
    <row r="436">
      <c r="W436" s="1"/>
    </row>
    <row r="437">
      <c r="W437" s="1"/>
    </row>
    <row r="438">
      <c r="W438" s="1"/>
    </row>
    <row r="439">
      <c r="W439" s="1"/>
    </row>
    <row r="440">
      <c r="W440" s="1"/>
    </row>
    <row r="441">
      <c r="W441" s="1"/>
    </row>
    <row r="442">
      <c r="W442" s="1"/>
    </row>
    <row r="443">
      <c r="W443" s="1"/>
    </row>
    <row r="444">
      <c r="W444" s="1"/>
    </row>
    <row r="445">
      <c r="W445" s="1"/>
    </row>
    <row r="446">
      <c r="W446" s="1"/>
    </row>
    <row r="447">
      <c r="W447" s="1"/>
    </row>
    <row r="448">
      <c r="W448" s="1"/>
    </row>
    <row r="449">
      <c r="W449" s="1"/>
    </row>
    <row r="450">
      <c r="W450" s="1"/>
    </row>
    <row r="451">
      <c r="W451" s="1"/>
    </row>
    <row r="452">
      <c r="W452" s="1"/>
    </row>
    <row r="453">
      <c r="W453" s="1"/>
    </row>
    <row r="454">
      <c r="W454" s="1"/>
    </row>
    <row r="455">
      <c r="W455" s="1"/>
    </row>
    <row r="456">
      <c r="W456" s="1"/>
    </row>
    <row r="457">
      <c r="W457" s="1"/>
    </row>
    <row r="458">
      <c r="W458" s="1"/>
    </row>
    <row r="459">
      <c r="W459" s="1"/>
    </row>
    <row r="460">
      <c r="W460" s="1"/>
    </row>
    <row r="461">
      <c r="W461" s="1"/>
    </row>
    <row r="462">
      <c r="W462" s="1"/>
    </row>
    <row r="463">
      <c r="W463" s="1"/>
    </row>
    <row r="464">
      <c r="W464" s="1"/>
    </row>
    <row r="465">
      <c r="W465" s="1"/>
    </row>
    <row r="466">
      <c r="W466" s="1"/>
    </row>
    <row r="467">
      <c r="W467" s="1"/>
    </row>
    <row r="468">
      <c r="W468" s="1"/>
    </row>
    <row r="469">
      <c r="W469" s="1"/>
    </row>
    <row r="470">
      <c r="W470" s="1"/>
    </row>
    <row r="471">
      <c r="W471" s="1"/>
    </row>
    <row r="472">
      <c r="W472" s="1"/>
    </row>
    <row r="473">
      <c r="W473" s="1"/>
    </row>
    <row r="474">
      <c r="W474" s="1"/>
    </row>
    <row r="475">
      <c r="W475" s="1"/>
    </row>
    <row r="476">
      <c r="W476" s="1"/>
    </row>
    <row r="477">
      <c r="W477" s="1"/>
    </row>
    <row r="478">
      <c r="W478" s="1"/>
    </row>
    <row r="479">
      <c r="W479" s="1"/>
    </row>
    <row r="480">
      <c r="W480" s="1"/>
    </row>
    <row r="481">
      <c r="W481" s="1"/>
    </row>
    <row r="482">
      <c r="W482" s="1"/>
    </row>
    <row r="483">
      <c r="W483" s="1"/>
    </row>
    <row r="484">
      <c r="W484" s="1"/>
    </row>
    <row r="485">
      <c r="W485" s="1"/>
    </row>
    <row r="486">
      <c r="W486" s="1"/>
    </row>
    <row r="487">
      <c r="W487" s="1"/>
    </row>
    <row r="488">
      <c r="W488" s="1"/>
    </row>
    <row r="489">
      <c r="W489" s="1"/>
    </row>
    <row r="490">
      <c r="W490" s="1"/>
    </row>
    <row r="491">
      <c r="W491" s="1"/>
    </row>
    <row r="492">
      <c r="W492" s="1"/>
    </row>
    <row r="493">
      <c r="W493" s="1"/>
    </row>
    <row r="494">
      <c r="W494" s="1"/>
    </row>
    <row r="495">
      <c r="W495" s="1"/>
    </row>
    <row r="496">
      <c r="W496" s="1"/>
    </row>
    <row r="497">
      <c r="W497" s="1"/>
    </row>
    <row r="498">
      <c r="W498" s="1"/>
    </row>
    <row r="499">
      <c r="W499" s="1"/>
    </row>
    <row r="500">
      <c r="W500" s="1"/>
    </row>
    <row r="501">
      <c r="W501" s="1"/>
    </row>
    <row r="502">
      <c r="W502" s="1"/>
    </row>
    <row r="503">
      <c r="W503" s="1"/>
    </row>
    <row r="504">
      <c r="W504" s="1"/>
    </row>
    <row r="505">
      <c r="W505" s="1"/>
    </row>
    <row r="506">
      <c r="W506" s="1"/>
    </row>
    <row r="507">
      <c r="W507" s="1"/>
    </row>
    <row r="508">
      <c r="W508" s="1"/>
    </row>
    <row r="509">
      <c r="W509" s="1"/>
    </row>
    <row r="510">
      <c r="W510" s="1"/>
    </row>
    <row r="511">
      <c r="W511" s="1"/>
    </row>
    <row r="512">
      <c r="W512" s="1"/>
    </row>
    <row r="513">
      <c r="W513" s="1"/>
    </row>
    <row r="514">
      <c r="W514" s="1"/>
    </row>
    <row r="515">
      <c r="W515" s="1"/>
    </row>
    <row r="516">
      <c r="W516" s="1"/>
    </row>
    <row r="517">
      <c r="W517" s="1"/>
    </row>
    <row r="518">
      <c r="W518" s="1"/>
    </row>
    <row r="519">
      <c r="W519" s="1"/>
    </row>
    <row r="520">
      <c r="W520" s="1"/>
    </row>
    <row r="521">
      <c r="W521" s="1"/>
    </row>
    <row r="522">
      <c r="W522" s="1"/>
    </row>
    <row r="523">
      <c r="W523" s="1"/>
    </row>
    <row r="524">
      <c r="W524" s="1"/>
    </row>
    <row r="525">
      <c r="W525" s="1"/>
    </row>
    <row r="526">
      <c r="W526" s="1"/>
    </row>
    <row r="527">
      <c r="W527" s="1"/>
    </row>
    <row r="528">
      <c r="W528" s="1"/>
    </row>
    <row r="529">
      <c r="W529" s="1"/>
    </row>
    <row r="530">
      <c r="W530" s="1"/>
    </row>
    <row r="531">
      <c r="W531" s="1"/>
    </row>
    <row r="532">
      <c r="W532" s="1"/>
    </row>
    <row r="533">
      <c r="W533" s="1"/>
    </row>
    <row r="534">
      <c r="W534" s="1"/>
    </row>
    <row r="535">
      <c r="W535" s="1"/>
    </row>
    <row r="536">
      <c r="W536" s="1"/>
    </row>
    <row r="537">
      <c r="W537" s="1"/>
    </row>
    <row r="538">
      <c r="W538" s="1"/>
    </row>
    <row r="539">
      <c r="W539" s="1"/>
    </row>
    <row r="540">
      <c r="W540" s="1"/>
    </row>
    <row r="541">
      <c r="W541" s="1"/>
    </row>
    <row r="542">
      <c r="W542" s="1"/>
    </row>
    <row r="543">
      <c r="W543" s="1"/>
    </row>
    <row r="544">
      <c r="W544" s="1"/>
    </row>
    <row r="545">
      <c r="W545" s="1"/>
    </row>
    <row r="546">
      <c r="W546" s="1"/>
    </row>
    <row r="547">
      <c r="W547" s="1"/>
    </row>
    <row r="548">
      <c r="W548" s="1"/>
    </row>
    <row r="549">
      <c r="W549" s="1"/>
    </row>
    <row r="550">
      <c r="W550" s="1"/>
    </row>
    <row r="551">
      <c r="W551" s="1"/>
    </row>
    <row r="552">
      <c r="W552" s="1"/>
    </row>
    <row r="553">
      <c r="W553" s="1"/>
    </row>
    <row r="554">
      <c r="W554" s="1"/>
    </row>
    <row r="555">
      <c r="W555" s="1"/>
    </row>
    <row r="556">
      <c r="W556" s="1"/>
    </row>
    <row r="557">
      <c r="W557" s="1"/>
    </row>
    <row r="558">
      <c r="W558" s="1"/>
    </row>
    <row r="559">
      <c r="W559" s="1"/>
    </row>
    <row r="560">
      <c r="W560" s="1"/>
    </row>
    <row r="561">
      <c r="W561" s="1"/>
    </row>
    <row r="562">
      <c r="W562" s="1"/>
    </row>
    <row r="563">
      <c r="W563" s="1"/>
    </row>
    <row r="564">
      <c r="W564" s="1"/>
    </row>
    <row r="565">
      <c r="W565" s="1"/>
    </row>
    <row r="566">
      <c r="W566" s="1"/>
    </row>
    <row r="567">
      <c r="W567" s="1"/>
    </row>
    <row r="568">
      <c r="W568" s="1"/>
    </row>
    <row r="569">
      <c r="W569" s="1"/>
    </row>
    <row r="570">
      <c r="W570" s="1"/>
    </row>
    <row r="571">
      <c r="W571" s="1"/>
    </row>
    <row r="572">
      <c r="W572" s="1"/>
    </row>
    <row r="573">
      <c r="W573" s="1"/>
    </row>
    <row r="574">
      <c r="W574" s="1"/>
    </row>
    <row r="575">
      <c r="W575" s="1"/>
    </row>
    <row r="576">
      <c r="W576" s="1"/>
    </row>
    <row r="577">
      <c r="W577" s="1"/>
    </row>
    <row r="578">
      <c r="W578" s="1"/>
    </row>
    <row r="579">
      <c r="W579" s="1"/>
    </row>
    <row r="580">
      <c r="W580" s="1"/>
    </row>
    <row r="581">
      <c r="W581" s="1"/>
    </row>
    <row r="582">
      <c r="W582" s="1"/>
    </row>
    <row r="583">
      <c r="W583" s="1"/>
    </row>
    <row r="584">
      <c r="W584" s="1"/>
    </row>
    <row r="585">
      <c r="W585" s="1"/>
    </row>
    <row r="586">
      <c r="W586" s="1"/>
    </row>
    <row r="587">
      <c r="W587" s="1"/>
    </row>
    <row r="588">
      <c r="W588" s="1"/>
    </row>
    <row r="589">
      <c r="W589" s="1"/>
    </row>
    <row r="590">
      <c r="W590" s="1"/>
    </row>
    <row r="591">
      <c r="W591" s="1"/>
    </row>
    <row r="592">
      <c r="W592" s="1"/>
    </row>
    <row r="593">
      <c r="W593" s="1"/>
    </row>
    <row r="594">
      <c r="W594" s="1"/>
    </row>
    <row r="595">
      <c r="W595" s="1"/>
    </row>
    <row r="596">
      <c r="W596" s="1"/>
    </row>
    <row r="597">
      <c r="W597" s="1"/>
    </row>
    <row r="598">
      <c r="W598" s="1"/>
    </row>
    <row r="599">
      <c r="W599" s="1"/>
    </row>
    <row r="600">
      <c r="W600" s="1"/>
    </row>
    <row r="601">
      <c r="W601" s="1"/>
    </row>
    <row r="602">
      <c r="W602" s="1"/>
    </row>
    <row r="603">
      <c r="W603" s="1"/>
    </row>
    <row r="604">
      <c r="W604" s="1"/>
    </row>
    <row r="605">
      <c r="W605" s="1"/>
    </row>
    <row r="606">
      <c r="W606" s="1"/>
    </row>
    <row r="607">
      <c r="W607" s="1"/>
    </row>
    <row r="608">
      <c r="W608" s="1"/>
    </row>
    <row r="609">
      <c r="W609" s="1"/>
    </row>
    <row r="610">
      <c r="W610" s="1"/>
    </row>
    <row r="611">
      <c r="W611" s="1"/>
    </row>
    <row r="612">
      <c r="W612" s="1"/>
    </row>
    <row r="613">
      <c r="W613" s="1"/>
    </row>
    <row r="614">
      <c r="W614" s="1"/>
    </row>
    <row r="615">
      <c r="W615" s="1"/>
    </row>
    <row r="616">
      <c r="W616" s="1"/>
    </row>
    <row r="617">
      <c r="W617" s="1"/>
    </row>
    <row r="618">
      <c r="W618" s="1"/>
    </row>
    <row r="619">
      <c r="W619" s="1"/>
    </row>
    <row r="620">
      <c r="W620" s="1"/>
    </row>
    <row r="621">
      <c r="W621" s="1"/>
    </row>
    <row r="622">
      <c r="W622" s="1"/>
    </row>
    <row r="623">
      <c r="W623" s="1"/>
    </row>
    <row r="624">
      <c r="W624" s="1"/>
    </row>
    <row r="625">
      <c r="W625" s="1"/>
    </row>
    <row r="626">
      <c r="W626" s="1"/>
    </row>
    <row r="627">
      <c r="W627" s="1"/>
    </row>
    <row r="628">
      <c r="W628" s="1"/>
    </row>
    <row r="629">
      <c r="W629" s="1"/>
    </row>
    <row r="630">
      <c r="W630" s="1"/>
    </row>
    <row r="631">
      <c r="W631" s="1"/>
    </row>
    <row r="632">
      <c r="W632" s="1"/>
    </row>
    <row r="633">
      <c r="W633" s="1"/>
    </row>
    <row r="634">
      <c r="W634" s="1"/>
    </row>
    <row r="635">
      <c r="W635" s="1"/>
    </row>
    <row r="636">
      <c r="W636" s="1"/>
    </row>
    <row r="637">
      <c r="W637" s="1"/>
    </row>
    <row r="638">
      <c r="W638" s="1"/>
    </row>
    <row r="639">
      <c r="W639" s="1"/>
    </row>
    <row r="640">
      <c r="W640" s="1"/>
    </row>
    <row r="641">
      <c r="W641" s="1"/>
    </row>
    <row r="642">
      <c r="W642" s="1"/>
    </row>
    <row r="643">
      <c r="W643" s="1"/>
    </row>
    <row r="644">
      <c r="W644" s="1"/>
    </row>
    <row r="645">
      <c r="W645" s="1"/>
    </row>
    <row r="646">
      <c r="W646" s="1"/>
    </row>
    <row r="647">
      <c r="W647" s="1"/>
    </row>
    <row r="648">
      <c r="W648" s="1"/>
    </row>
    <row r="649">
      <c r="W649" s="1"/>
    </row>
    <row r="650">
      <c r="W650" s="1"/>
    </row>
    <row r="651">
      <c r="W651" s="1"/>
    </row>
    <row r="652">
      <c r="W652" s="1"/>
    </row>
    <row r="653">
      <c r="W653" s="1"/>
    </row>
    <row r="654">
      <c r="W654" s="1"/>
    </row>
    <row r="655">
      <c r="W655" s="1"/>
    </row>
    <row r="656">
      <c r="W656" s="1"/>
    </row>
    <row r="657">
      <c r="W657" s="1"/>
    </row>
    <row r="658">
      <c r="W658" s="1"/>
    </row>
    <row r="659">
      <c r="W659" s="1"/>
    </row>
    <row r="660">
      <c r="W660" s="1"/>
    </row>
    <row r="661">
      <c r="W661" s="1"/>
    </row>
    <row r="662">
      <c r="W662" s="1"/>
    </row>
    <row r="663">
      <c r="W663" s="1"/>
    </row>
    <row r="664">
      <c r="W664" s="1"/>
    </row>
    <row r="665">
      <c r="W665" s="1"/>
    </row>
    <row r="666">
      <c r="W666" s="1"/>
    </row>
    <row r="667">
      <c r="W667" s="1"/>
    </row>
    <row r="668">
      <c r="W668" s="1"/>
    </row>
    <row r="669">
      <c r="W669" s="1"/>
    </row>
    <row r="670">
      <c r="W670" s="1"/>
    </row>
    <row r="671">
      <c r="W671" s="1"/>
    </row>
    <row r="672">
      <c r="W672" s="1"/>
    </row>
    <row r="673">
      <c r="W673" s="1"/>
    </row>
    <row r="674">
      <c r="W674" s="1"/>
    </row>
    <row r="675">
      <c r="W675" s="1"/>
    </row>
    <row r="676">
      <c r="W676" s="1"/>
    </row>
    <row r="677">
      <c r="W677" s="1"/>
    </row>
    <row r="678">
      <c r="W678" s="1"/>
    </row>
    <row r="679">
      <c r="W679" s="1"/>
    </row>
    <row r="680">
      <c r="W680" s="1"/>
    </row>
    <row r="681">
      <c r="W681" s="1"/>
    </row>
    <row r="682">
      <c r="W682" s="1"/>
    </row>
    <row r="683">
      <c r="W683" s="1"/>
    </row>
    <row r="684">
      <c r="W684" s="1"/>
    </row>
    <row r="685">
      <c r="W685" s="1"/>
    </row>
    <row r="686">
      <c r="W686" s="1"/>
    </row>
    <row r="687">
      <c r="W687" s="1"/>
    </row>
    <row r="688">
      <c r="W688" s="1"/>
    </row>
    <row r="689">
      <c r="W689" s="1"/>
    </row>
    <row r="690">
      <c r="W690" s="1"/>
    </row>
    <row r="691">
      <c r="W691" s="1"/>
    </row>
    <row r="692">
      <c r="W692" s="1"/>
    </row>
    <row r="693">
      <c r="W693" s="1"/>
    </row>
    <row r="694">
      <c r="W694" s="1"/>
    </row>
    <row r="695">
      <c r="W695" s="1"/>
    </row>
    <row r="696">
      <c r="W696" s="1"/>
    </row>
    <row r="697">
      <c r="W697" s="1"/>
    </row>
    <row r="698">
      <c r="W698" s="1"/>
    </row>
    <row r="699">
      <c r="W699" s="1"/>
    </row>
    <row r="700">
      <c r="W700" s="1"/>
    </row>
    <row r="701">
      <c r="W701" s="1"/>
    </row>
    <row r="702">
      <c r="W702" s="1"/>
    </row>
    <row r="703">
      <c r="W703" s="1"/>
    </row>
    <row r="704">
      <c r="W704" s="1"/>
    </row>
    <row r="705">
      <c r="W705" s="1"/>
    </row>
    <row r="706">
      <c r="W706" s="1"/>
    </row>
    <row r="707">
      <c r="W707" s="1"/>
    </row>
    <row r="708">
      <c r="W708" s="1"/>
    </row>
    <row r="709">
      <c r="W709" s="1"/>
    </row>
    <row r="710">
      <c r="W710" s="1"/>
    </row>
    <row r="711">
      <c r="W711" s="1"/>
    </row>
    <row r="712">
      <c r="W712" s="1"/>
    </row>
    <row r="713">
      <c r="W713" s="1"/>
    </row>
    <row r="714">
      <c r="W714" s="1"/>
    </row>
    <row r="715">
      <c r="W715" s="1"/>
    </row>
    <row r="716">
      <c r="W716" s="1"/>
    </row>
    <row r="717">
      <c r="W717" s="1"/>
    </row>
    <row r="718">
      <c r="W718" s="1"/>
    </row>
    <row r="719">
      <c r="W719" s="1"/>
    </row>
    <row r="720">
      <c r="W720" s="1"/>
    </row>
    <row r="721">
      <c r="W721" s="1"/>
    </row>
    <row r="722">
      <c r="W722" s="1"/>
    </row>
    <row r="723">
      <c r="W723" s="1"/>
    </row>
    <row r="724">
      <c r="W724" s="1"/>
    </row>
    <row r="725">
      <c r="W725" s="1"/>
    </row>
    <row r="726">
      <c r="W726" s="1"/>
    </row>
    <row r="727">
      <c r="W727" s="1"/>
    </row>
    <row r="728">
      <c r="W728" s="1"/>
    </row>
    <row r="729">
      <c r="W729" s="1"/>
    </row>
    <row r="730">
      <c r="W730" s="1"/>
    </row>
    <row r="731">
      <c r="W731" s="1"/>
    </row>
    <row r="732">
      <c r="W732" s="1"/>
    </row>
    <row r="733">
      <c r="W733" s="1"/>
    </row>
    <row r="734">
      <c r="W734" s="1"/>
    </row>
    <row r="735">
      <c r="W735" s="1"/>
    </row>
    <row r="736">
      <c r="W736" s="1"/>
    </row>
    <row r="737">
      <c r="W737" s="1"/>
    </row>
    <row r="738">
      <c r="W738" s="1"/>
    </row>
    <row r="739">
      <c r="W739" s="1"/>
    </row>
    <row r="740">
      <c r="W740" s="1"/>
    </row>
    <row r="741">
      <c r="W741" s="1"/>
    </row>
    <row r="742">
      <c r="W742" s="1"/>
    </row>
    <row r="743">
      <c r="W743" s="1"/>
    </row>
    <row r="744">
      <c r="W744" s="1"/>
    </row>
    <row r="745">
      <c r="W745" s="1"/>
    </row>
    <row r="746">
      <c r="W746" s="1"/>
    </row>
    <row r="747">
      <c r="W747" s="1"/>
    </row>
    <row r="748">
      <c r="W748" s="1"/>
    </row>
    <row r="749">
      <c r="W749" s="1"/>
    </row>
    <row r="750">
      <c r="W750" s="1"/>
    </row>
    <row r="751">
      <c r="W751" s="1"/>
    </row>
    <row r="752">
      <c r="W752" s="1"/>
    </row>
    <row r="753">
      <c r="W753" s="1"/>
    </row>
    <row r="754">
      <c r="W754" s="1"/>
    </row>
    <row r="755">
      <c r="W755" s="1"/>
    </row>
    <row r="756">
      <c r="W756" s="1"/>
    </row>
    <row r="757">
      <c r="W757" s="1"/>
    </row>
    <row r="758">
      <c r="W758" s="1"/>
    </row>
    <row r="759">
      <c r="W759" s="1"/>
    </row>
    <row r="760">
      <c r="W760" s="1"/>
    </row>
    <row r="761">
      <c r="W761" s="1"/>
    </row>
    <row r="762">
      <c r="W762" s="1"/>
    </row>
    <row r="763">
      <c r="W763" s="1"/>
    </row>
    <row r="764">
      <c r="W764" s="1"/>
    </row>
    <row r="765">
      <c r="W765" s="1"/>
    </row>
    <row r="766">
      <c r="W766" s="1"/>
    </row>
    <row r="767">
      <c r="W767" s="1"/>
    </row>
    <row r="768">
      <c r="W768" s="1"/>
    </row>
    <row r="769">
      <c r="W769" s="1"/>
    </row>
    <row r="770">
      <c r="W770" s="1"/>
    </row>
    <row r="771">
      <c r="W771" s="1"/>
    </row>
    <row r="772">
      <c r="W772" s="1"/>
    </row>
    <row r="773">
      <c r="W773" s="1"/>
    </row>
    <row r="774">
      <c r="W774" s="1"/>
    </row>
    <row r="775">
      <c r="W775" s="1"/>
    </row>
    <row r="776">
      <c r="W776" s="1"/>
    </row>
    <row r="777">
      <c r="W777" s="1"/>
    </row>
    <row r="778">
      <c r="W778" s="1"/>
    </row>
    <row r="779">
      <c r="W779" s="1"/>
    </row>
    <row r="780">
      <c r="W780" s="1"/>
    </row>
    <row r="781">
      <c r="W781" s="1"/>
    </row>
    <row r="782">
      <c r="W782" s="1"/>
    </row>
    <row r="783">
      <c r="W783" s="1"/>
    </row>
    <row r="784">
      <c r="W784" s="1"/>
    </row>
    <row r="785">
      <c r="W785" s="1"/>
    </row>
    <row r="786">
      <c r="W786" s="1"/>
    </row>
    <row r="787">
      <c r="W787" s="1"/>
    </row>
    <row r="788">
      <c r="W788" s="1"/>
    </row>
    <row r="789">
      <c r="W789" s="1"/>
    </row>
    <row r="790">
      <c r="W790" s="1"/>
    </row>
    <row r="791">
      <c r="W791" s="1"/>
    </row>
    <row r="792">
      <c r="W792" s="1"/>
    </row>
    <row r="793">
      <c r="W793" s="1"/>
    </row>
    <row r="794">
      <c r="W794" s="1"/>
    </row>
    <row r="795">
      <c r="W795" s="1"/>
    </row>
    <row r="796">
      <c r="W796" s="1"/>
    </row>
    <row r="797">
      <c r="W797" s="1"/>
    </row>
    <row r="798">
      <c r="W798" s="1"/>
    </row>
    <row r="799">
      <c r="W799" s="1"/>
    </row>
    <row r="800">
      <c r="W800" s="1"/>
    </row>
    <row r="801">
      <c r="W801" s="1"/>
    </row>
    <row r="802">
      <c r="W802" s="1"/>
    </row>
    <row r="803">
      <c r="W803" s="1"/>
    </row>
    <row r="804">
      <c r="W804" s="1"/>
    </row>
    <row r="805">
      <c r="W805" s="1"/>
    </row>
    <row r="806">
      <c r="W806" s="1"/>
    </row>
    <row r="807">
      <c r="W807" s="1"/>
    </row>
    <row r="808">
      <c r="W808" s="1"/>
    </row>
    <row r="809">
      <c r="W809" s="1"/>
    </row>
    <row r="810">
      <c r="W810" s="1"/>
    </row>
    <row r="811">
      <c r="W811" s="1"/>
    </row>
    <row r="812">
      <c r="W812" s="1"/>
    </row>
    <row r="813">
      <c r="W813" s="1"/>
    </row>
    <row r="814">
      <c r="W814" s="1"/>
    </row>
    <row r="815">
      <c r="W815" s="1"/>
    </row>
    <row r="816">
      <c r="W816" s="1"/>
    </row>
    <row r="817">
      <c r="W817" s="1"/>
    </row>
    <row r="818">
      <c r="W818" s="1"/>
    </row>
    <row r="819">
      <c r="W819" s="1"/>
    </row>
    <row r="820">
      <c r="W820" s="1"/>
    </row>
    <row r="821">
      <c r="W821" s="1"/>
    </row>
    <row r="822">
      <c r="W822" s="1"/>
    </row>
    <row r="823">
      <c r="W823" s="1"/>
    </row>
    <row r="824">
      <c r="W824" s="1"/>
    </row>
    <row r="825">
      <c r="W825" s="1"/>
    </row>
    <row r="826">
      <c r="W826" s="1"/>
    </row>
    <row r="827">
      <c r="W827" s="1"/>
    </row>
    <row r="828">
      <c r="W828" s="1"/>
    </row>
    <row r="829">
      <c r="W829" s="1"/>
    </row>
    <row r="830">
      <c r="W830" s="1"/>
    </row>
    <row r="831">
      <c r="W831" s="1"/>
    </row>
    <row r="832">
      <c r="W832" s="1"/>
    </row>
    <row r="833">
      <c r="W833" s="1"/>
    </row>
    <row r="834">
      <c r="W834" s="1"/>
    </row>
    <row r="835">
      <c r="W835" s="1"/>
    </row>
    <row r="836">
      <c r="W836" s="1"/>
    </row>
    <row r="837">
      <c r="W837" s="1"/>
    </row>
    <row r="838">
      <c r="W838" s="1"/>
    </row>
    <row r="839">
      <c r="W839" s="1"/>
    </row>
    <row r="840">
      <c r="W840" s="1"/>
    </row>
    <row r="841">
      <c r="W841" s="1"/>
    </row>
    <row r="842">
      <c r="W842" s="1"/>
    </row>
    <row r="843">
      <c r="W843" s="1"/>
    </row>
    <row r="844">
      <c r="W844" s="1"/>
    </row>
    <row r="845">
      <c r="W845" s="1"/>
    </row>
    <row r="846">
      <c r="W846" s="1"/>
    </row>
    <row r="847">
      <c r="W847" s="1"/>
    </row>
    <row r="848">
      <c r="W848" s="1"/>
    </row>
    <row r="849">
      <c r="W849" s="1"/>
    </row>
    <row r="850">
      <c r="W850" s="1"/>
    </row>
    <row r="851">
      <c r="W851" s="1"/>
    </row>
    <row r="852">
      <c r="W852" s="1"/>
    </row>
    <row r="853">
      <c r="W853" s="1"/>
    </row>
    <row r="854">
      <c r="W854" s="1"/>
    </row>
    <row r="855">
      <c r="W855" s="1"/>
    </row>
    <row r="856">
      <c r="W856" s="1"/>
    </row>
    <row r="857">
      <c r="W857" s="1"/>
    </row>
    <row r="858">
      <c r="W858" s="1"/>
    </row>
    <row r="859">
      <c r="W859" s="1"/>
    </row>
    <row r="860">
      <c r="W860" s="1"/>
    </row>
    <row r="861">
      <c r="W861" s="1"/>
    </row>
    <row r="862">
      <c r="W862" s="1"/>
    </row>
    <row r="863">
      <c r="W863" s="1"/>
    </row>
    <row r="864">
      <c r="W864" s="1"/>
    </row>
    <row r="865">
      <c r="W865" s="1"/>
    </row>
    <row r="866">
      <c r="W866" s="1"/>
    </row>
    <row r="867">
      <c r="W867" s="1"/>
    </row>
    <row r="868">
      <c r="W868" s="1"/>
    </row>
    <row r="869">
      <c r="W869" s="1"/>
    </row>
    <row r="870">
      <c r="W870" s="1"/>
    </row>
    <row r="871">
      <c r="W871" s="1"/>
    </row>
    <row r="872">
      <c r="W872" s="1"/>
    </row>
    <row r="873">
      <c r="W873" s="1"/>
    </row>
    <row r="874">
      <c r="W874" s="1"/>
    </row>
    <row r="875">
      <c r="W875" s="1"/>
    </row>
    <row r="876">
      <c r="W876" s="1"/>
    </row>
    <row r="877">
      <c r="W877" s="1"/>
    </row>
    <row r="878">
      <c r="W878" s="1"/>
    </row>
    <row r="879">
      <c r="W879" s="1"/>
    </row>
    <row r="880">
      <c r="W880" s="1"/>
    </row>
    <row r="881">
      <c r="W881" s="1"/>
    </row>
    <row r="882">
      <c r="W882" s="1"/>
    </row>
    <row r="883">
      <c r="W883" s="1"/>
    </row>
    <row r="884">
      <c r="W884" s="1"/>
    </row>
    <row r="885">
      <c r="W885" s="1"/>
    </row>
    <row r="886">
      <c r="W886" s="1"/>
    </row>
    <row r="887">
      <c r="W887" s="1"/>
    </row>
    <row r="888">
      <c r="W888" s="1"/>
    </row>
    <row r="889">
      <c r="W889" s="1"/>
    </row>
    <row r="890">
      <c r="W890" s="1"/>
    </row>
    <row r="891">
      <c r="W891" s="1"/>
    </row>
    <row r="892">
      <c r="W892" s="1"/>
    </row>
    <row r="893">
      <c r="W893" s="1"/>
    </row>
    <row r="894">
      <c r="W894" s="1"/>
    </row>
    <row r="895">
      <c r="W895" s="1"/>
    </row>
    <row r="896">
      <c r="W896" s="1"/>
    </row>
    <row r="897">
      <c r="W897" s="1"/>
    </row>
    <row r="898">
      <c r="W898" s="1"/>
    </row>
    <row r="899">
      <c r="W899" s="1"/>
    </row>
    <row r="900">
      <c r="W900" s="1"/>
    </row>
    <row r="901">
      <c r="W901" s="1"/>
    </row>
    <row r="902">
      <c r="W902" s="1"/>
    </row>
    <row r="903">
      <c r="W903" s="1"/>
    </row>
    <row r="904">
      <c r="W904" s="1"/>
    </row>
    <row r="905">
      <c r="W905" s="1"/>
    </row>
    <row r="906">
      <c r="W906" s="1"/>
    </row>
    <row r="907">
      <c r="W907" s="1"/>
    </row>
    <row r="908">
      <c r="W908" s="1"/>
    </row>
    <row r="909">
      <c r="W909" s="1"/>
    </row>
    <row r="910">
      <c r="W910" s="1"/>
    </row>
    <row r="911">
      <c r="W911" s="1"/>
    </row>
    <row r="912">
      <c r="W912" s="1"/>
    </row>
    <row r="913">
      <c r="W913" s="1"/>
    </row>
    <row r="914">
      <c r="W914" s="1"/>
    </row>
    <row r="915">
      <c r="W915" s="1"/>
    </row>
    <row r="916">
      <c r="W916" s="1"/>
    </row>
    <row r="917">
      <c r="W917" s="1"/>
    </row>
    <row r="918">
      <c r="W918" s="1"/>
    </row>
    <row r="919">
      <c r="W919" s="1"/>
    </row>
    <row r="920">
      <c r="W920" s="1"/>
    </row>
    <row r="921">
      <c r="W921" s="1"/>
    </row>
    <row r="922">
      <c r="W922" s="1"/>
    </row>
    <row r="923">
      <c r="W923" s="1"/>
    </row>
    <row r="924">
      <c r="W924" s="1"/>
    </row>
    <row r="925">
      <c r="W925" s="1"/>
    </row>
    <row r="926">
      <c r="W926" s="1"/>
    </row>
    <row r="927">
      <c r="W927" s="1"/>
    </row>
    <row r="928">
      <c r="W928" s="1"/>
    </row>
    <row r="929">
      <c r="W929" s="1"/>
    </row>
    <row r="930">
      <c r="W930" s="1"/>
    </row>
    <row r="931">
      <c r="W931" s="1"/>
    </row>
    <row r="932">
      <c r="W932" s="1"/>
    </row>
    <row r="933">
      <c r="W933" s="1"/>
    </row>
    <row r="934">
      <c r="W934" s="1"/>
    </row>
    <row r="935">
      <c r="W935" s="1"/>
    </row>
    <row r="936">
      <c r="W936" s="1"/>
    </row>
    <row r="937">
      <c r="W937" s="1"/>
    </row>
    <row r="938">
      <c r="W938" s="1"/>
    </row>
    <row r="939">
      <c r="W939" s="1"/>
    </row>
    <row r="940">
      <c r="W940" s="1"/>
    </row>
    <row r="941">
      <c r="W941" s="1"/>
    </row>
    <row r="942">
      <c r="W942" s="1"/>
    </row>
    <row r="943">
      <c r="W943" s="1"/>
    </row>
    <row r="944">
      <c r="W944" s="1"/>
    </row>
    <row r="945">
      <c r="W945" s="1"/>
    </row>
    <row r="946">
      <c r="W946" s="1"/>
    </row>
    <row r="947">
      <c r="W947" s="1"/>
    </row>
    <row r="948">
      <c r="W948" s="1"/>
    </row>
    <row r="949">
      <c r="W949" s="1"/>
    </row>
    <row r="950">
      <c r="W950" s="1"/>
    </row>
    <row r="951">
      <c r="W951" s="1"/>
    </row>
    <row r="952">
      <c r="W952" s="1"/>
    </row>
    <row r="953">
      <c r="W953" s="1"/>
    </row>
    <row r="954">
      <c r="W954" s="1"/>
    </row>
    <row r="955">
      <c r="W955" s="1"/>
    </row>
    <row r="956">
      <c r="W956" s="1"/>
    </row>
    <row r="957">
      <c r="W957" s="1"/>
    </row>
    <row r="958">
      <c r="W958" s="1"/>
    </row>
    <row r="959">
      <c r="W959" s="1"/>
    </row>
    <row r="960">
      <c r="W960" s="1"/>
    </row>
    <row r="961">
      <c r="W961" s="1"/>
    </row>
    <row r="962">
      <c r="W962" s="1"/>
    </row>
    <row r="963">
      <c r="W963" s="1"/>
    </row>
    <row r="964">
      <c r="W964" s="1"/>
    </row>
    <row r="965">
      <c r="W965" s="1"/>
    </row>
    <row r="966">
      <c r="W966" s="1"/>
    </row>
    <row r="967">
      <c r="W967" s="1"/>
    </row>
    <row r="968">
      <c r="W968" s="1"/>
    </row>
    <row r="969">
      <c r="W969" s="1"/>
    </row>
    <row r="970">
      <c r="W970" s="1"/>
    </row>
    <row r="971">
      <c r="W971" s="1"/>
    </row>
    <row r="972">
      <c r="W972" s="1"/>
    </row>
    <row r="973">
      <c r="W973" s="1"/>
    </row>
    <row r="974">
      <c r="W974" s="1"/>
    </row>
    <row r="975">
      <c r="W975" s="1"/>
    </row>
    <row r="976">
      <c r="W976" s="1"/>
    </row>
    <row r="977">
      <c r="W977" s="1"/>
    </row>
    <row r="978">
      <c r="W978" s="1"/>
    </row>
    <row r="979">
      <c r="W979" s="1"/>
    </row>
    <row r="980">
      <c r="W980" s="1"/>
    </row>
    <row r="981">
      <c r="W981" s="1"/>
    </row>
    <row r="982">
      <c r="W982" s="1"/>
    </row>
    <row r="983">
      <c r="W983" s="1"/>
    </row>
    <row r="984">
      <c r="W984" s="1"/>
    </row>
    <row r="985">
      <c r="W985" s="1"/>
    </row>
    <row r="986">
      <c r="W986" s="1"/>
    </row>
    <row r="987">
      <c r="W987" s="1"/>
    </row>
    <row r="988">
      <c r="W988" s="1"/>
    </row>
    <row r="989">
      <c r="W989" s="1"/>
    </row>
    <row r="990">
      <c r="W990" s="1"/>
    </row>
    <row r="991">
      <c r="W991" s="1"/>
    </row>
    <row r="992">
      <c r="W992" s="1"/>
    </row>
    <row r="993">
      <c r="W993" s="1"/>
    </row>
    <row r="994">
      <c r="W994" s="1"/>
    </row>
    <row r="995">
      <c r="W995" s="1"/>
    </row>
    <row r="996">
      <c r="W996" s="1"/>
    </row>
    <row r="997">
      <c r="W997" s="1"/>
    </row>
    <row r="998">
      <c r="W998" s="1"/>
    </row>
    <row r="999">
      <c r="W999" s="1"/>
    </row>
    <row r="1000">
      <c r="W1000" s="1"/>
    </row>
    <row r="1001">
      <c r="W1001" s="1"/>
    </row>
    <row r="1002">
      <c r="W1002" s="1"/>
    </row>
    <row r="1003">
      <c r="W1003" s="1"/>
    </row>
    <row r="1004">
      <c r="W1004" s="1"/>
    </row>
    <row r="1005">
      <c r="W1005" s="1"/>
    </row>
    <row r="1006">
      <c r="W1006" s="1"/>
    </row>
    <row r="1007">
      <c r="W1007" s="1"/>
    </row>
    <row r="1008">
      <c r="W1008" s="1"/>
    </row>
    <row r="1009">
      <c r="W1009" s="1"/>
    </row>
    <row r="1010">
      <c r="W1010" s="1"/>
    </row>
    <row r="1011">
      <c r="W1011" s="1"/>
    </row>
    <row r="1012">
      <c r="W1012" s="1"/>
    </row>
    <row r="1013">
      <c r="W1013" s="1"/>
    </row>
    <row r="1014">
      <c r="W1014" s="1"/>
    </row>
    <row r="1015">
      <c r="W1015" s="1"/>
    </row>
    <row r="1016">
      <c r="W1016" s="1"/>
    </row>
    <row r="1017">
      <c r="W1017" s="1"/>
    </row>
    <row r="1018">
      <c r="W1018" s="1"/>
    </row>
    <row r="1019">
      <c r="W1019" s="1"/>
    </row>
    <row r="1020">
      <c r="W1020" s="1"/>
    </row>
    <row r="1021">
      <c r="W1021" s="1"/>
    </row>
    <row r="1022">
      <c r="W1022" s="1"/>
    </row>
    <row r="1023">
      <c r="W1023" s="1"/>
    </row>
    <row r="1024">
      <c r="W1024" s="1"/>
    </row>
    <row r="1025">
      <c r="W1025" s="1"/>
    </row>
    <row r="1026">
      <c r="W1026" s="1"/>
    </row>
    <row r="1027">
      <c r="W1027" s="1"/>
    </row>
    <row r="1028">
      <c r="W1028" s="1"/>
    </row>
    <row r="1029">
      <c r="W1029" s="1"/>
    </row>
    <row r="1030">
      <c r="W1030" s="1"/>
    </row>
    <row r="1031">
      <c r="W1031" s="1"/>
    </row>
    <row r="1032">
      <c r="W1032" s="1"/>
    </row>
    <row r="1033">
      <c r="W1033" s="1"/>
    </row>
    <row r="1034">
      <c r="W1034" s="1"/>
    </row>
    <row r="1035">
      <c r="W1035" s="1"/>
    </row>
    <row r="1036">
      <c r="W1036" s="1"/>
    </row>
    <row r="1037">
      <c r="W1037" s="1"/>
    </row>
    <row r="1038">
      <c r="W1038" s="1"/>
    </row>
    <row r="1039">
      <c r="W1039" s="1"/>
    </row>
    <row r="1040">
      <c r="W1040" s="1"/>
    </row>
    <row r="1041">
      <c r="W1041" s="1"/>
    </row>
    <row r="1042">
      <c r="W1042" s="1"/>
    </row>
    <row r="1043">
      <c r="W1043" s="1"/>
    </row>
    <row r="1044">
      <c r="W1044" s="1"/>
    </row>
    <row r="1045">
      <c r="W1045" s="1"/>
    </row>
    <row r="1046">
      <c r="W1046" s="1"/>
    </row>
    <row r="1047">
      <c r="W1047" s="1"/>
    </row>
    <row r="1048">
      <c r="W1048" s="1"/>
    </row>
    <row r="1049">
      <c r="W1049" s="1"/>
    </row>
    <row r="1050">
      <c r="W1050" s="1"/>
    </row>
    <row r="1051">
      <c r="W1051" s="1"/>
    </row>
    <row r="1052">
      <c r="W1052" s="1"/>
    </row>
    <row r="1053">
      <c r="W1053" s="1"/>
    </row>
    <row r="1054">
      <c r="W1054" s="1"/>
    </row>
    <row r="1055">
      <c r="W1055" s="1"/>
    </row>
    <row r="1056">
      <c r="W1056" s="1"/>
    </row>
    <row r="1057">
      <c r="W1057" s="1"/>
    </row>
    <row r="1058">
      <c r="W1058" s="1"/>
    </row>
    <row r="1059">
      <c r="W1059" s="1"/>
    </row>
    <row r="1060">
      <c r="W1060" s="1"/>
    </row>
    <row r="1061">
      <c r="W1061" s="1"/>
    </row>
    <row r="1062">
      <c r="W1062" s="1"/>
    </row>
    <row r="1063">
      <c r="W1063" s="1"/>
    </row>
    <row r="1064">
      <c r="W1064" s="1"/>
    </row>
  </sheetData>
  <conditionalFormatting sqref="A6:E6 F6:K80 L6:Y6">
    <cfRule type="expression" dxfId="6" priority="1">
      <formula>if</formula>
    </cfRule>
  </conditionalFormatting>
  <dataValidations>
    <dataValidation type="list" allowBlank="1" sqref="J6:J81">
      <formula1>#REF!</formula1>
    </dataValidation>
    <dataValidation type="custom" allowBlank="1" showDropDown="1" sqref="D6:D81">
      <formula1>OR(NOT(ISERROR(DATEVALUE(D6))), AND(ISNUMBER(D6), LEFT(CELL("format", D6))="D"))</formula1>
    </dataValidation>
    <dataValidation type="custom" allowBlank="1" showDropDown="1" sqref="E6:E81 K6:K81">
      <formula1>AND(ISNUMBER(E6),(NOT(OR(NOT(ISERROR(DATEVALUE(E6))), AND(ISNUMBER(E6), LEFT(CELL("format", E6))="D")))))</formula1>
    </dataValidation>
    <dataValidation type="custom" allowBlank="1" showDropDown="1" sqref="F6:G81 X6:X81">
      <formula1>OR(NOT(ISERROR(DATEVALUE(F6))), AND(ISNUMBER(F6), LEFT(CELL("format", F6))="D"))</formula1>
    </dataValidation>
    <dataValidation type="list" allowBlank="1" sqref="H6:I81">
      <formula1>"Mandiri,Display,Fortuner"</formula1>
    </dataValidation>
    <dataValidation type="custom" allowBlank="1" showDropDown="1" sqref="M6:M81 P6:Q81">
      <formula1>AND(ISNUMBER(M6),(NOT(OR(NOT(ISERROR(DATEVALUE(M6))), AND(ISNUMBER(M6), LEFT(CELL("format", M6))="D")))))</formula1>
    </dataValidation>
  </dataValidations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Y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</hyperlinks>
  <drawing r:id="rId58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8.25"/>
    <col customWidth="1" min="4" max="4" width="23.63"/>
    <col customWidth="1" min="5" max="5" width="17.0"/>
    <col customWidth="1" min="6" max="6" width="11.0"/>
    <col customWidth="1" min="7" max="7" width="13.88"/>
    <col customWidth="1" min="8" max="8" width="10.63"/>
    <col customWidth="1" min="9" max="9" width="14.5"/>
    <col customWidth="1" min="10" max="10" width="14.38"/>
  </cols>
  <sheetData>
    <row r="5" ht="22.5" customHeight="1">
      <c r="B5" s="70" t="s">
        <v>0</v>
      </c>
      <c r="C5" s="70" t="s">
        <v>1</v>
      </c>
      <c r="D5" s="70" t="s">
        <v>3</v>
      </c>
      <c r="E5" s="70" t="s">
        <v>202</v>
      </c>
      <c r="F5" s="70" t="s">
        <v>203</v>
      </c>
      <c r="G5" s="70" t="s">
        <v>204</v>
      </c>
      <c r="H5" s="70" t="s">
        <v>4</v>
      </c>
      <c r="I5" s="70" t="s">
        <v>205</v>
      </c>
      <c r="J5" s="70" t="s">
        <v>206</v>
      </c>
    </row>
    <row r="6" ht="22.5" customHeight="1">
      <c r="B6" s="9" t="s">
        <v>26</v>
      </c>
      <c r="C6" s="5" t="str">
        <f>VLOOKUP(OrderItem[Nomor Order],Orders[],COLUMN(Orders[Nama Pelanggan]),false)</f>
        <v>Agashi</v>
      </c>
      <c r="D6" s="7">
        <f>VLOOKUP(OrderItem[Nomor Order],Orders[],COLUMN(Orders[Tanggal Mulai Sewa]),false)</f>
        <v>46052</v>
      </c>
      <c r="E6" s="9" t="s">
        <v>207</v>
      </c>
      <c r="F6" s="8">
        <v>1.0</v>
      </c>
      <c r="G6" s="12">
        <f>OrderItem[Total Biaya Order (IDR)]/OrderItem[Durasi (Hari)]/OrderItem[Jumlah Item]</f>
        <v>20000</v>
      </c>
      <c r="H6" s="8">
        <f>VLOOKUP(OrderItem[Nomor Order],Orders[],COLUMN(Orders[Durasi (Hari)]),false)</f>
        <v>2</v>
      </c>
      <c r="I6" s="12">
        <f>OrderItem[Total Biaya Order (IDR)]/OrderItem[Durasi (Hari)]</f>
        <v>20000</v>
      </c>
      <c r="J6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40000</v>
      </c>
    </row>
    <row r="7" ht="22.5" customHeight="1">
      <c r="B7" s="9" t="s">
        <v>31</v>
      </c>
      <c r="C7" s="5" t="str">
        <f>VLOOKUP(OrderItem[Nomor Order],Orders[],COLUMN(Orders[Nama Pelanggan]),false)</f>
        <v>Via</v>
      </c>
      <c r="D7" s="7">
        <f>VLOOKUP(OrderItem[Nomor Order],Orders[],COLUMN(Orders[Tanggal Mulai Sewa]),false)</f>
        <v>46058</v>
      </c>
      <c r="E7" s="9" t="s">
        <v>208</v>
      </c>
      <c r="F7" s="8">
        <v>1.0</v>
      </c>
      <c r="G7" s="12">
        <f>OrderItem[Total Biaya Order (IDR)]/OrderItem[Durasi (Hari)]/OrderItem[Jumlah Item]</f>
        <v>35000</v>
      </c>
      <c r="H7" s="8">
        <f>VLOOKUP(OrderItem[Nomor Order],Orders[],COLUMN(Orders[Durasi (Hari)]),false)</f>
        <v>4</v>
      </c>
      <c r="I7" s="12">
        <f>OrderItem[Total Biaya Order (IDR)]/OrderItem[Durasi (Hari)]</f>
        <v>35000</v>
      </c>
      <c r="J7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140000</v>
      </c>
    </row>
    <row r="8" ht="22.5" customHeight="1">
      <c r="B8" s="9" t="s">
        <v>34</v>
      </c>
      <c r="C8" s="5" t="str">
        <f>VLOOKUP(OrderItem[Nomor Order],Orders[],COLUMN(Orders[Nama Pelanggan]),false)</f>
        <v>Adani</v>
      </c>
      <c r="D8" s="7">
        <f>VLOOKUP(OrderItem[Nomor Order],Orders[],COLUMN(Orders[Tanggal Mulai Sewa]),false)</f>
        <v>46067</v>
      </c>
      <c r="E8" s="71" t="s">
        <v>209</v>
      </c>
      <c r="F8" s="8">
        <v>2.0</v>
      </c>
      <c r="G8" s="12">
        <f>OrderItem[Total Biaya Order (IDR)]/OrderItem[Durasi (Hari)]/OrderItem[Jumlah Item]</f>
        <v>55000</v>
      </c>
      <c r="H8" s="8">
        <f>VLOOKUP(OrderItem[Nomor Order],Orders[],COLUMN(Orders[Durasi (Hari)]),false)</f>
        <v>1</v>
      </c>
      <c r="I8" s="12">
        <f>OrderItem[Total Biaya Order (IDR)]/OrderItem[Durasi (Hari)]</f>
        <v>110000</v>
      </c>
      <c r="J8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110000</v>
      </c>
    </row>
    <row r="9" ht="22.5" customHeight="1">
      <c r="B9" s="9" t="s">
        <v>34</v>
      </c>
      <c r="C9" s="5" t="str">
        <f>VLOOKUP(OrderItem[Nomor Order],Orders[],COLUMN(Orders[Nama Pelanggan]),false)</f>
        <v>Adani</v>
      </c>
      <c r="D9" s="7">
        <f>VLOOKUP(OrderItem[Nomor Order],Orders[],COLUMN(Orders[Tanggal Mulai Sewa]),false)</f>
        <v>46067</v>
      </c>
      <c r="E9" s="9" t="s">
        <v>210</v>
      </c>
      <c r="F9" s="8">
        <v>4.0</v>
      </c>
      <c r="G9" s="12">
        <f>OrderItem[Total Biaya Order (IDR)]/OrderItem[Durasi (Hari)]/OrderItem[Jumlah Item]</f>
        <v>40000</v>
      </c>
      <c r="H9" s="8">
        <f>VLOOKUP(OrderItem[Nomor Order],Orders[],COLUMN(Orders[Durasi (Hari)]),false)</f>
        <v>1</v>
      </c>
      <c r="I9" s="12">
        <f>OrderItem[Total Biaya Order (IDR)]/OrderItem[Durasi (Hari)]</f>
        <v>160000</v>
      </c>
      <c r="J9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160000</v>
      </c>
    </row>
    <row r="10" ht="22.5" customHeight="1">
      <c r="B10" s="9" t="s">
        <v>38</v>
      </c>
      <c r="C10" s="5" t="str">
        <f>VLOOKUP(OrderItem[Nomor Order],Orders[],COLUMN(Orders[Nama Pelanggan]),false)</f>
        <v>Harza</v>
      </c>
      <c r="D10" s="7">
        <f>VLOOKUP(OrderItem[Nomor Order],Orders[],COLUMN(Orders[Tanggal Mulai Sewa]),false)</f>
        <v>46067</v>
      </c>
      <c r="E10" s="9" t="s">
        <v>211</v>
      </c>
      <c r="F10" s="8">
        <v>2.0</v>
      </c>
      <c r="G10" s="12">
        <f>OrderItem[Total Biaya Order (IDR)]/OrderItem[Durasi (Hari)]/OrderItem[Jumlah Item]</f>
        <v>45000</v>
      </c>
      <c r="H10" s="8">
        <f>VLOOKUP(OrderItem[Nomor Order],Orders[],COLUMN(Orders[Durasi (Hari)]),false)</f>
        <v>1</v>
      </c>
      <c r="I10" s="12">
        <f>OrderItem[Total Biaya Order (IDR)]/OrderItem[Durasi (Hari)]</f>
        <v>90000</v>
      </c>
      <c r="J10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90000</v>
      </c>
    </row>
    <row r="11" ht="22.5" customHeight="1">
      <c r="B11" s="9" t="s">
        <v>38</v>
      </c>
      <c r="C11" s="5" t="str">
        <f>VLOOKUP(OrderItem[Nomor Order],Orders[],COLUMN(Orders[Nama Pelanggan]),false)</f>
        <v>Harza</v>
      </c>
      <c r="D11" s="7">
        <f>VLOOKUP(OrderItem[Nomor Order],Orders[],COLUMN(Orders[Tanggal Mulai Sewa]),false)</f>
        <v>46067</v>
      </c>
      <c r="E11" s="9" t="s">
        <v>209</v>
      </c>
      <c r="F11" s="8">
        <v>4.0</v>
      </c>
      <c r="G11" s="12">
        <f>OrderItem[Total Biaya Order (IDR)]/OrderItem[Durasi (Hari)]/OrderItem[Jumlah Item]</f>
        <v>55000</v>
      </c>
      <c r="H11" s="8">
        <f>VLOOKUP(OrderItem[Nomor Order],Orders[],COLUMN(Orders[Durasi (Hari)]),false)</f>
        <v>1</v>
      </c>
      <c r="I11" s="12">
        <f>OrderItem[Total Biaya Order (IDR)]/OrderItem[Durasi (Hari)]</f>
        <v>220000</v>
      </c>
      <c r="J11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220000</v>
      </c>
    </row>
    <row r="12" ht="22.5" customHeight="1">
      <c r="B12" s="9" t="s">
        <v>41</v>
      </c>
      <c r="C12" s="5" t="str">
        <f>VLOOKUP(OrderItem[Nomor Order],Orders[],COLUMN(Orders[Nama Pelanggan]),false)</f>
        <v>Nisrina</v>
      </c>
      <c r="D12" s="7">
        <f>VLOOKUP(OrderItem[Nomor Order],Orders[],COLUMN(Orders[Tanggal Mulai Sewa]),false)</f>
        <v>46100</v>
      </c>
      <c r="E12" s="9" t="s">
        <v>209</v>
      </c>
      <c r="F12" s="8">
        <v>2.0</v>
      </c>
      <c r="G12" s="12">
        <f>OrderItem[Total Biaya Order (IDR)]/OrderItem[Durasi (Hari)]/OrderItem[Jumlah Item]</f>
        <v>59000</v>
      </c>
      <c r="H12" s="8">
        <f>VLOOKUP(OrderItem[Nomor Order],Orders[],COLUMN(Orders[Durasi (Hari)]),false)</f>
        <v>4</v>
      </c>
      <c r="I12" s="12">
        <f>OrderItem[Total Biaya Order (IDR)]/OrderItem[Durasi (Hari)]</f>
        <v>118000</v>
      </c>
      <c r="J12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472000</v>
      </c>
    </row>
    <row r="13" ht="22.5" customHeight="1">
      <c r="B13" s="9" t="s">
        <v>44</v>
      </c>
      <c r="C13" s="5" t="str">
        <f>VLOOKUP(OrderItem[Nomor Order],Orders[],COLUMN(Orders[Nama Pelanggan]),false)</f>
        <v>Vivi</v>
      </c>
      <c r="D13" s="7">
        <f>VLOOKUP(OrderItem[Nomor Order],Orders[],COLUMN(Orders[Tanggal Mulai Sewa]),false)</f>
        <v>46071</v>
      </c>
      <c r="E13" s="9" t="s">
        <v>209</v>
      </c>
      <c r="F13" s="8">
        <v>1.0</v>
      </c>
      <c r="G13" s="12">
        <f>OrderItem[Total Biaya Order (IDR)]/OrderItem[Durasi (Hari)]/OrderItem[Jumlah Item]</f>
        <v>55000</v>
      </c>
      <c r="H13" s="8">
        <f>VLOOKUP(OrderItem[Nomor Order],Orders[],COLUMN(Orders[Durasi (Hari)]),false)</f>
        <v>1</v>
      </c>
      <c r="I13" s="12">
        <f>OrderItem[Total Biaya Order (IDR)]/OrderItem[Durasi (Hari)]</f>
        <v>55000</v>
      </c>
      <c r="J13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55000</v>
      </c>
    </row>
    <row r="14" ht="22.5" customHeight="1">
      <c r="B14" s="9" t="s">
        <v>44</v>
      </c>
      <c r="C14" s="5" t="str">
        <f>VLOOKUP(OrderItem[Nomor Order],Orders[],COLUMN(Orders[Nama Pelanggan]),false)</f>
        <v>Vivi</v>
      </c>
      <c r="D14" s="7">
        <f>VLOOKUP(OrderItem[Nomor Order],Orders[],COLUMN(Orders[Tanggal Mulai Sewa]),false)</f>
        <v>46071</v>
      </c>
      <c r="E14" s="9" t="s">
        <v>212</v>
      </c>
      <c r="F14" s="8">
        <v>4.0</v>
      </c>
      <c r="G14" s="12">
        <f>OrderItem[Total Biaya Order (IDR)]/OrderItem[Durasi (Hari)]/OrderItem[Jumlah Item]</f>
        <v>6000</v>
      </c>
      <c r="H14" s="8">
        <f>VLOOKUP(OrderItem[Nomor Order],Orders[],COLUMN(Orders[Durasi (Hari)]),false)</f>
        <v>1</v>
      </c>
      <c r="I14" s="12">
        <f>OrderItem[Total Biaya Order (IDR)]/OrderItem[Durasi (Hari)]</f>
        <v>24000</v>
      </c>
      <c r="J14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24000</v>
      </c>
    </row>
    <row r="15" ht="22.5" customHeight="1">
      <c r="B15" s="9" t="s">
        <v>47</v>
      </c>
      <c r="C15" s="5" t="str">
        <f>VLOOKUP(OrderItem[Nomor Order],Orders[],COLUMN(Orders[Nama Pelanggan]),false)</f>
        <v>Danie</v>
      </c>
      <c r="D15" s="7">
        <f>VLOOKUP(OrderItem[Nomor Order],Orders[],COLUMN(Orders[Tanggal Mulai Sewa]),false)</f>
        <v>46073</v>
      </c>
      <c r="E15" s="9" t="s">
        <v>211</v>
      </c>
      <c r="F15" s="8">
        <v>1.0</v>
      </c>
      <c r="G15" s="12">
        <f>OrderItem[Total Biaya Order (IDR)]/OrderItem[Durasi (Hari)]/OrderItem[Jumlah Item]</f>
        <v>45000</v>
      </c>
      <c r="H15" s="8">
        <f>VLOOKUP(OrderItem[Nomor Order],Orders[],COLUMN(Orders[Durasi (Hari)]),false)</f>
        <v>2</v>
      </c>
      <c r="I15" s="12">
        <f>OrderItem[Total Biaya Order (IDR)]/OrderItem[Durasi (Hari)]</f>
        <v>45000</v>
      </c>
      <c r="J15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90000</v>
      </c>
    </row>
    <row r="16" ht="22.5" customHeight="1">
      <c r="B16" s="9" t="s">
        <v>50</v>
      </c>
      <c r="C16" s="5" t="str">
        <f>VLOOKUP(OrderItem[Nomor Order],Orders[],COLUMN(Orders[Nama Pelanggan]),false)</f>
        <v>Lucky Enjang</v>
      </c>
      <c r="D16" s="7">
        <f>VLOOKUP(OrderItem[Nomor Order],Orders[],COLUMN(Orders[Tanggal Mulai Sewa]),false)</f>
        <v>46098</v>
      </c>
      <c r="E16" s="9" t="s">
        <v>208</v>
      </c>
      <c r="F16" s="72">
        <v>1.0</v>
      </c>
      <c r="G16" s="12">
        <f>OrderItem[Total Biaya Order (IDR)]/OrderItem[Durasi (Hari)]/OrderItem[Jumlah Item]</f>
        <v>39000</v>
      </c>
      <c r="H16" s="8">
        <f>VLOOKUP(OrderItem[Nomor Order],Orders[],COLUMN(Orders[Durasi (Hari)]),false)</f>
        <v>1</v>
      </c>
      <c r="I16" s="12">
        <f>OrderItem[Total Biaya Order (IDR)]/OrderItem[Durasi (Hari)]</f>
        <v>39000</v>
      </c>
      <c r="J16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39000</v>
      </c>
    </row>
    <row r="17" ht="22.5" customHeight="1">
      <c r="B17" s="9" t="s">
        <v>53</v>
      </c>
      <c r="C17" s="5" t="str">
        <f>VLOOKUP(OrderItem[Nomor Order],Orders[],COLUMN(Orders[Nama Pelanggan]),false)</f>
        <v>Felis/Ella</v>
      </c>
      <c r="D17" s="7">
        <f>VLOOKUP(OrderItem[Nomor Order],Orders[],COLUMN(Orders[Tanggal Mulai Sewa]),false)</f>
        <v>46098</v>
      </c>
      <c r="E17" s="9" t="s">
        <v>209</v>
      </c>
      <c r="F17" s="72">
        <v>1.0</v>
      </c>
      <c r="G17" s="12">
        <f>OrderItem[Total Biaya Order (IDR)]/OrderItem[Durasi (Hari)]/OrderItem[Jumlah Item]</f>
        <v>59000</v>
      </c>
      <c r="H17" s="8">
        <f>VLOOKUP(OrderItem[Nomor Order],Orders[],COLUMN(Orders[Durasi (Hari)]),false)</f>
        <v>6</v>
      </c>
      <c r="I17" s="12">
        <f>OrderItem[Total Biaya Order (IDR)]/OrderItem[Durasi (Hari)]</f>
        <v>59000</v>
      </c>
      <c r="J17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354000</v>
      </c>
    </row>
    <row r="18" ht="22.5" customHeight="1">
      <c r="B18" s="9" t="s">
        <v>53</v>
      </c>
      <c r="C18" s="5" t="str">
        <f>VLOOKUP(OrderItem[Nomor Order],Orders[],COLUMN(Orders[Nama Pelanggan]),false)</f>
        <v>Felis/Ella</v>
      </c>
      <c r="D18" s="7">
        <f>VLOOKUP(OrderItem[Nomor Order],Orders[],COLUMN(Orders[Tanggal Mulai Sewa]),false)</f>
        <v>46098</v>
      </c>
      <c r="E18" s="9" t="s">
        <v>210</v>
      </c>
      <c r="F18" s="72">
        <v>1.0</v>
      </c>
      <c r="G18" s="12">
        <f>OrderItem[Total Biaya Order (IDR)]/OrderItem[Durasi (Hari)]/OrderItem[Jumlah Item]</f>
        <v>44000</v>
      </c>
      <c r="H18" s="8">
        <f>VLOOKUP(OrderItem[Nomor Order],Orders[],COLUMN(Orders[Durasi (Hari)]),false)</f>
        <v>6</v>
      </c>
      <c r="I18" s="12">
        <f>OrderItem[Total Biaya Order (IDR)]/OrderItem[Durasi (Hari)]</f>
        <v>44000</v>
      </c>
      <c r="J18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264000</v>
      </c>
    </row>
    <row r="19" ht="22.5" customHeight="1">
      <c r="B19" s="9" t="s">
        <v>56</v>
      </c>
      <c r="C19" s="5" t="str">
        <f>VLOOKUP(OrderItem[Nomor Order],Orders[],COLUMN(Orders[Nama Pelanggan]),false)</f>
        <v>Yani Andari</v>
      </c>
      <c r="D19" s="7">
        <f>VLOOKUP(OrderItem[Nomor Order],Orders[],COLUMN(Orders[Tanggal Mulai Sewa]),false)</f>
        <v>46099</v>
      </c>
      <c r="E19" s="9" t="s">
        <v>209</v>
      </c>
      <c r="F19" s="62">
        <v>2.0</v>
      </c>
      <c r="G19" s="12">
        <f>OrderItem[Total Biaya Order (IDR)]/OrderItem[Durasi (Hari)]/OrderItem[Jumlah Item]</f>
        <v>59000</v>
      </c>
      <c r="H19" s="8">
        <f>VLOOKUP(OrderItem[Nomor Order],Orders[],COLUMN(Orders[Durasi (Hari)]),false)</f>
        <v>6</v>
      </c>
      <c r="I19" s="12">
        <f>OrderItem[Total Biaya Order (IDR)]/OrderItem[Durasi (Hari)]</f>
        <v>118000</v>
      </c>
      <c r="J19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708000</v>
      </c>
    </row>
    <row r="20" ht="22.5" customHeight="1">
      <c r="B20" s="9" t="s">
        <v>56</v>
      </c>
      <c r="C20" s="5" t="str">
        <f>VLOOKUP(OrderItem[Nomor Order],Orders[],COLUMN(Orders[Nama Pelanggan]),false)</f>
        <v>Yani Andari</v>
      </c>
      <c r="D20" s="7">
        <f>VLOOKUP(OrderItem[Nomor Order],Orders[],COLUMN(Orders[Tanggal Mulai Sewa]),false)</f>
        <v>46099</v>
      </c>
      <c r="E20" s="9" t="s">
        <v>210</v>
      </c>
      <c r="F20" s="8">
        <v>1.0</v>
      </c>
      <c r="G20" s="12">
        <f>OrderItem[Total Biaya Order (IDR)]/OrderItem[Durasi (Hari)]/OrderItem[Jumlah Item]</f>
        <v>44000</v>
      </c>
      <c r="H20" s="8">
        <f>VLOOKUP(OrderItem[Nomor Order],Orders[],COLUMN(Orders[Durasi (Hari)]),false)</f>
        <v>6</v>
      </c>
      <c r="I20" s="12">
        <f>OrderItem[Total Biaya Order (IDR)]/OrderItem[Durasi (Hari)]</f>
        <v>44000</v>
      </c>
      <c r="J20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264000</v>
      </c>
    </row>
    <row r="21" ht="22.5" customHeight="1">
      <c r="B21" s="9" t="s">
        <v>56</v>
      </c>
      <c r="C21" s="5" t="str">
        <f>VLOOKUP(OrderItem[Nomor Order],Orders[],COLUMN(Orders[Nama Pelanggan]),false)</f>
        <v>Yani Andari</v>
      </c>
      <c r="D21" s="7">
        <f>VLOOKUP(OrderItem[Nomor Order],Orders[],COLUMN(Orders[Tanggal Mulai Sewa]),false)</f>
        <v>46099</v>
      </c>
      <c r="E21" s="9" t="s">
        <v>208</v>
      </c>
      <c r="F21" s="8">
        <v>1.0</v>
      </c>
      <c r="G21" s="12">
        <f>OrderItem[Total Biaya Order (IDR)]/OrderItem[Durasi (Hari)]/OrderItem[Jumlah Item]</f>
        <v>39000</v>
      </c>
      <c r="H21" s="8">
        <f>VLOOKUP(OrderItem[Nomor Order],Orders[],COLUMN(Orders[Durasi (Hari)]),false)</f>
        <v>6</v>
      </c>
      <c r="I21" s="12">
        <f>OrderItem[Total Biaya Order (IDR)]/OrderItem[Durasi (Hari)]</f>
        <v>39000</v>
      </c>
      <c r="J21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234000</v>
      </c>
    </row>
    <row r="22" ht="22.5" customHeight="1">
      <c r="B22" s="9" t="s">
        <v>60</v>
      </c>
      <c r="C22" s="5" t="str">
        <f>VLOOKUP(OrderItem[Nomor Order],Orders[],COLUMN(Orders[Nama Pelanggan]),false)</f>
        <v>Abdul Azis</v>
      </c>
      <c r="D22" s="7">
        <f>VLOOKUP(OrderItem[Nomor Order],Orders[],COLUMN(Orders[Tanggal Mulai Sewa]),false)</f>
        <v>46096</v>
      </c>
      <c r="E22" s="9" t="s">
        <v>209</v>
      </c>
      <c r="F22" s="8">
        <v>1.0</v>
      </c>
      <c r="G22" s="12">
        <f>OrderItem[Total Biaya Order (IDR)]/OrderItem[Durasi (Hari)]/OrderItem[Jumlah Item]</f>
        <v>59000</v>
      </c>
      <c r="H22" s="8">
        <f>VLOOKUP(OrderItem[Nomor Order],Orders[],COLUMN(Orders[Durasi (Hari)]),false)</f>
        <v>2</v>
      </c>
      <c r="I22" s="12">
        <f>OrderItem[Total Biaya Order (IDR)]/OrderItem[Durasi (Hari)]</f>
        <v>59000</v>
      </c>
      <c r="J22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118000</v>
      </c>
    </row>
    <row r="23" ht="22.5" customHeight="1">
      <c r="B23" s="9" t="s">
        <v>63</v>
      </c>
      <c r="C23" s="5" t="str">
        <f>VLOOKUP(OrderItem[Nomor Order],Orders[],COLUMN(Orders[Nama Pelanggan]),false)</f>
        <v>Intan</v>
      </c>
      <c r="D23" s="7">
        <f>VLOOKUP(OrderItem[Nomor Order],Orders[],COLUMN(Orders[Tanggal Mulai Sewa]),false)</f>
        <v>46098</v>
      </c>
      <c r="E23" s="9" t="s">
        <v>211</v>
      </c>
      <c r="F23" s="8">
        <v>1.0</v>
      </c>
      <c r="G23" s="12">
        <f>OrderItem[Total Biaya Order (IDR)]/OrderItem[Durasi (Hari)]/OrderItem[Jumlah Item]</f>
        <v>49000</v>
      </c>
      <c r="H23" s="8">
        <f>VLOOKUP(OrderItem[Nomor Order],Orders[],COLUMN(Orders[Durasi (Hari)]),false)</f>
        <v>3</v>
      </c>
      <c r="I23" s="12">
        <f>OrderItem[Total Biaya Order (IDR)]/OrderItem[Durasi (Hari)]</f>
        <v>49000</v>
      </c>
      <c r="J23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147000</v>
      </c>
    </row>
    <row r="24" ht="22.5" customHeight="1">
      <c r="B24" s="9" t="s">
        <v>66</v>
      </c>
      <c r="C24" s="5" t="str">
        <f>VLOOKUP(OrderItem[Nomor Order],Orders[],COLUMN(Orders[Nama Pelanggan]),false)</f>
        <v>Fendy</v>
      </c>
      <c r="D24" s="7">
        <f>VLOOKUP(OrderItem[Nomor Order],Orders[],COLUMN(Orders[Tanggal Mulai Sewa]),false)</f>
        <v>46099</v>
      </c>
      <c r="E24" s="9" t="s">
        <v>210</v>
      </c>
      <c r="F24" s="8">
        <v>2.0</v>
      </c>
      <c r="G24" s="12">
        <f>OrderItem[Total Biaya Order (IDR)]/OrderItem[Durasi (Hari)]/OrderItem[Jumlah Item]</f>
        <v>44000</v>
      </c>
      <c r="H24" s="8">
        <f>VLOOKUP(OrderItem[Nomor Order],Orders[],COLUMN(Orders[Durasi (Hari)]),false)</f>
        <v>10</v>
      </c>
      <c r="I24" s="12">
        <f>OrderItem[Total Biaya Order (IDR)]/OrderItem[Durasi (Hari)]</f>
        <v>88000</v>
      </c>
      <c r="J24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880000</v>
      </c>
    </row>
    <row r="25" ht="22.5" customHeight="1">
      <c r="B25" s="9" t="s">
        <v>69</v>
      </c>
      <c r="C25" s="5" t="str">
        <f>VLOOKUP(OrderItem[Nomor Order],Orders[],COLUMN(Orders[Nama Pelanggan]),false)</f>
        <v>Antoni</v>
      </c>
      <c r="D25" s="7">
        <f>VLOOKUP(OrderItem[Nomor Order],Orders[],COLUMN(Orders[Tanggal Mulai Sewa]),false)</f>
        <v>46101</v>
      </c>
      <c r="E25" s="9" t="s">
        <v>211</v>
      </c>
      <c r="F25" s="8">
        <v>4.0</v>
      </c>
      <c r="G25" s="12">
        <f>OrderItem[Total Biaya Order (IDR)]/OrderItem[Durasi (Hari)]/OrderItem[Jumlah Item]</f>
        <v>49000</v>
      </c>
      <c r="H25" s="8">
        <f>VLOOKUP(OrderItem[Nomor Order],Orders[],COLUMN(Orders[Durasi (Hari)]),false)</f>
        <v>4</v>
      </c>
      <c r="I25" s="12">
        <f>OrderItem[Total Biaya Order (IDR)]/OrderItem[Durasi (Hari)]</f>
        <v>196000</v>
      </c>
      <c r="J25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784000</v>
      </c>
    </row>
    <row r="26" ht="22.5" customHeight="1">
      <c r="B26" s="9" t="s">
        <v>72</v>
      </c>
      <c r="C26" s="5" t="str">
        <f>VLOOKUP(OrderItem[Nomor Order],Orders[],COLUMN(Orders[Nama Pelanggan]),false)</f>
        <v>Feris</v>
      </c>
      <c r="D26" s="7">
        <f>VLOOKUP(OrderItem[Nomor Order],Orders[],COLUMN(Orders[Tanggal Mulai Sewa]),false)</f>
        <v>46104</v>
      </c>
      <c r="E26" s="9" t="s">
        <v>210</v>
      </c>
      <c r="F26" s="8">
        <v>1.0</v>
      </c>
      <c r="G26" s="12">
        <f>OrderItem[Total Biaya Order (IDR)]/OrderItem[Durasi (Hari)]/OrderItem[Jumlah Item]</f>
        <v>44000</v>
      </c>
      <c r="H26" s="8">
        <f>VLOOKUP(OrderItem[Nomor Order],Orders[],COLUMN(Orders[Durasi (Hari)]),false)</f>
        <v>2</v>
      </c>
      <c r="I26" s="12">
        <f>OrderItem[Total Biaya Order (IDR)]/OrderItem[Durasi (Hari)]</f>
        <v>44000</v>
      </c>
      <c r="J26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88000</v>
      </c>
    </row>
    <row r="27" ht="22.5" customHeight="1">
      <c r="B27" s="9" t="s">
        <v>72</v>
      </c>
      <c r="C27" s="5" t="str">
        <f>VLOOKUP(OrderItem[Nomor Order],Orders[],COLUMN(Orders[Nama Pelanggan]),false)</f>
        <v>Feris</v>
      </c>
      <c r="D27" s="7">
        <f>VLOOKUP(OrderItem[Nomor Order],Orders[],COLUMN(Orders[Tanggal Mulai Sewa]),false)</f>
        <v>46104</v>
      </c>
      <c r="E27" s="9" t="s">
        <v>211</v>
      </c>
      <c r="F27" s="8">
        <v>2.0</v>
      </c>
      <c r="G27" s="12">
        <f>OrderItem[Total Biaya Order (IDR)]/OrderItem[Durasi (Hari)]/OrderItem[Jumlah Item]</f>
        <v>49000</v>
      </c>
      <c r="H27" s="8">
        <f>VLOOKUP(OrderItem[Nomor Order],Orders[],COLUMN(Orders[Durasi (Hari)]),false)</f>
        <v>2</v>
      </c>
      <c r="I27" s="12">
        <f>OrderItem[Total Biaya Order (IDR)]/OrderItem[Durasi (Hari)]</f>
        <v>98000</v>
      </c>
      <c r="J27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196000</v>
      </c>
    </row>
    <row r="28" ht="22.5" customHeight="1">
      <c r="B28" s="9" t="s">
        <v>72</v>
      </c>
      <c r="C28" s="5" t="str">
        <f>VLOOKUP(OrderItem[Nomor Order],Orders[],COLUMN(Orders[Nama Pelanggan]),false)</f>
        <v>Feris</v>
      </c>
      <c r="D28" s="7">
        <f>VLOOKUP(OrderItem[Nomor Order],Orders[],COLUMN(Orders[Tanggal Mulai Sewa]),false)</f>
        <v>46104</v>
      </c>
      <c r="E28" s="9" t="s">
        <v>209</v>
      </c>
      <c r="F28" s="8">
        <v>3.0</v>
      </c>
      <c r="G28" s="12">
        <f>OrderItem[Total Biaya Order (IDR)]/OrderItem[Durasi (Hari)]/OrderItem[Jumlah Item]</f>
        <v>59000</v>
      </c>
      <c r="H28" s="8">
        <f>VLOOKUP(OrderItem[Nomor Order],Orders[],COLUMN(Orders[Durasi (Hari)]),false)</f>
        <v>2</v>
      </c>
      <c r="I28" s="12">
        <f>OrderItem[Total Biaya Order (IDR)]/OrderItem[Durasi (Hari)]</f>
        <v>177000</v>
      </c>
      <c r="J28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354000</v>
      </c>
    </row>
    <row r="29" ht="22.5" customHeight="1">
      <c r="B29" s="9" t="s">
        <v>75</v>
      </c>
      <c r="C29" s="5" t="str">
        <f>VLOOKUP(OrderItem[Nomor Order],Orders[],COLUMN(Orders[Nama Pelanggan]),false)</f>
        <v>Abdul Azis</v>
      </c>
      <c r="D29" s="7">
        <f>VLOOKUP(OrderItem[Nomor Order],Orders[],COLUMN(Orders[Tanggal Mulai Sewa]),false)</f>
        <v>46100</v>
      </c>
      <c r="E29" s="9" t="s">
        <v>209</v>
      </c>
      <c r="F29" s="8">
        <v>1.0</v>
      </c>
      <c r="G29" s="12">
        <f>OrderItem[Total Biaya Order (IDR)]/OrderItem[Durasi (Hari)]/OrderItem[Jumlah Item]</f>
        <v>59000</v>
      </c>
      <c r="H29" s="8">
        <f>VLOOKUP(OrderItem[Nomor Order],Orders[],COLUMN(Orders[Durasi (Hari)]),false)</f>
        <v>3</v>
      </c>
      <c r="I29" s="12">
        <f>OrderItem[Total Biaya Order (IDR)]/OrderItem[Durasi (Hari)]</f>
        <v>59000</v>
      </c>
      <c r="J29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177000</v>
      </c>
    </row>
    <row r="30" ht="22.5" customHeight="1">
      <c r="B30" s="9" t="s">
        <v>75</v>
      </c>
      <c r="C30" s="5" t="str">
        <f>VLOOKUP(OrderItem[Nomor Order],Orders[],COLUMN(Orders[Nama Pelanggan]),false)</f>
        <v>Abdul Azis</v>
      </c>
      <c r="D30" s="7">
        <f>VLOOKUP(OrderItem[Nomor Order],Orders[],COLUMN(Orders[Tanggal Mulai Sewa]),false)</f>
        <v>46100</v>
      </c>
      <c r="E30" s="9" t="s">
        <v>211</v>
      </c>
      <c r="F30" s="8">
        <v>1.0</v>
      </c>
      <c r="G30" s="12">
        <f>OrderItem[Total Biaya Order (IDR)]/OrderItem[Durasi (Hari)]/OrderItem[Jumlah Item]</f>
        <v>49000</v>
      </c>
      <c r="H30" s="8">
        <f>VLOOKUP(OrderItem[Nomor Order],Orders[],COLUMN(Orders[Durasi (Hari)]),false)</f>
        <v>3</v>
      </c>
      <c r="I30" s="12">
        <f>OrderItem[Total Biaya Order (IDR)]/OrderItem[Durasi (Hari)]</f>
        <v>49000</v>
      </c>
      <c r="J30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147000</v>
      </c>
    </row>
    <row r="31" ht="22.5" customHeight="1">
      <c r="B31" s="9" t="s">
        <v>76</v>
      </c>
      <c r="C31" s="5" t="str">
        <f>VLOOKUP(OrderItem[Nomor Order],Orders[],COLUMN(Orders[Nama Pelanggan]),false)</f>
        <v>Alfrida</v>
      </c>
      <c r="D31" s="7">
        <f>VLOOKUP(OrderItem[Nomor Order],Orders[],COLUMN(Orders[Tanggal Mulai Sewa]),false)</f>
        <v>46104</v>
      </c>
      <c r="E31" s="9" t="s">
        <v>209</v>
      </c>
      <c r="F31" s="8">
        <v>1.0</v>
      </c>
      <c r="G31" s="12">
        <f>OrderItem[Total Biaya Order (IDR)]/OrderItem[Durasi (Hari)]/OrderItem[Jumlah Item]</f>
        <v>59000</v>
      </c>
      <c r="H31" s="8">
        <f>VLOOKUP(OrderItem[Nomor Order],Orders[],COLUMN(Orders[Durasi (Hari)]),false)</f>
        <v>4</v>
      </c>
      <c r="I31" s="12">
        <f>OrderItem[Total Biaya Order (IDR)]/OrderItem[Durasi (Hari)]</f>
        <v>59000</v>
      </c>
      <c r="J31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236000</v>
      </c>
    </row>
    <row r="32" ht="22.5" customHeight="1">
      <c r="B32" s="9" t="s">
        <v>76</v>
      </c>
      <c r="C32" s="5" t="str">
        <f>VLOOKUP(OrderItem[Nomor Order],Orders[],COLUMN(Orders[Nama Pelanggan]),false)</f>
        <v>Alfrida</v>
      </c>
      <c r="D32" s="7">
        <f>VLOOKUP(OrderItem[Nomor Order],Orders[],COLUMN(Orders[Tanggal Mulai Sewa]),false)</f>
        <v>46104</v>
      </c>
      <c r="E32" s="9" t="s">
        <v>213</v>
      </c>
      <c r="F32" s="8">
        <v>4.0</v>
      </c>
      <c r="G32" s="12">
        <f>OrderItem[Total Biaya Order (IDR)]/OrderItem[Durasi (Hari)]/OrderItem[Jumlah Item]</f>
        <v>7000</v>
      </c>
      <c r="H32" s="8">
        <f>VLOOKUP(OrderItem[Nomor Order],Orders[],COLUMN(Orders[Durasi (Hari)]),false)</f>
        <v>4</v>
      </c>
      <c r="I32" s="12">
        <f>OrderItem[Total Biaya Order (IDR)]/OrderItem[Durasi (Hari)]</f>
        <v>28000</v>
      </c>
      <c r="J32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112000</v>
      </c>
    </row>
    <row r="33" ht="22.5" customHeight="1">
      <c r="B33" s="9" t="s">
        <v>79</v>
      </c>
      <c r="C33" s="5" t="str">
        <f>VLOOKUP(OrderItem[Nomor Order],Orders[],COLUMN(Orders[Nama Pelanggan]),false)</f>
        <v>Dzaky</v>
      </c>
      <c r="D33" s="7">
        <f>VLOOKUP(OrderItem[Nomor Order],Orders[],COLUMN(Orders[Tanggal Mulai Sewa]),false)</f>
        <v>46107</v>
      </c>
      <c r="E33" s="9" t="s">
        <v>209</v>
      </c>
      <c r="F33" s="8">
        <v>3.0</v>
      </c>
      <c r="G33" s="12">
        <f>OrderItem[Total Biaya Order (IDR)]/OrderItem[Durasi (Hari)]/OrderItem[Jumlah Item]</f>
        <v>59000</v>
      </c>
      <c r="H33" s="8">
        <f>VLOOKUP(OrderItem[Nomor Order],Orders[],COLUMN(Orders[Durasi (Hari)]),false)</f>
        <v>3</v>
      </c>
      <c r="I33" s="12">
        <f>OrderItem[Total Biaya Order (IDR)]/OrderItem[Durasi (Hari)]</f>
        <v>177000</v>
      </c>
      <c r="J33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531000</v>
      </c>
    </row>
    <row r="34" ht="22.5" customHeight="1">
      <c r="B34" s="9" t="s">
        <v>82</v>
      </c>
      <c r="C34" s="5" t="str">
        <f>VLOOKUP(OrderItem[Nomor Order],Orders[],COLUMN(Orders[Nama Pelanggan]),false)</f>
        <v>Eksperian</v>
      </c>
      <c r="D34" s="7">
        <f>VLOOKUP(OrderItem[Nomor Order],Orders[],COLUMN(Orders[Tanggal Mulai Sewa]),false)</f>
        <v>46105</v>
      </c>
      <c r="E34" s="9" t="s">
        <v>209</v>
      </c>
      <c r="F34" s="8">
        <v>1.0</v>
      </c>
      <c r="G34" s="12">
        <f>OrderItem[Total Biaya Order (IDR)]/OrderItem[Durasi (Hari)]/OrderItem[Jumlah Item]</f>
        <v>59000</v>
      </c>
      <c r="H34" s="8">
        <f>VLOOKUP(OrderItem[Nomor Order],Orders[],COLUMN(Orders[Durasi (Hari)]),false)</f>
        <v>2</v>
      </c>
      <c r="I34" s="12">
        <f>OrderItem[Total Biaya Order (IDR)]/OrderItem[Durasi (Hari)]</f>
        <v>59000</v>
      </c>
      <c r="J34" s="11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118000</v>
      </c>
    </row>
    <row r="35" ht="22.5" customHeight="1">
      <c r="B35" s="71"/>
      <c r="C35" s="5" t="str">
        <f>VLOOKUP(OrderItem[Nomor Order],Orders[],COLUMN(Orders[Nama Pelanggan]),false)</f>
        <v>#N/A</v>
      </c>
      <c r="D35" s="7" t="str">
        <f>VLOOKUP(OrderItem[Nomor Order],Orders[],COLUMN(Orders[Tanggal Mulai Sewa]),false)</f>
        <v>#N/A</v>
      </c>
      <c r="E35" s="71"/>
      <c r="F35" s="8"/>
      <c r="G35" s="12" t="str">
        <f>OrderItem[Total Biaya Order (IDR)]/OrderItem[Durasi (Hari)]/OrderItem[Jumlah Item]</f>
        <v>#N/A</v>
      </c>
      <c r="H35" s="8" t="str">
        <f>VLOOKUP(OrderItem[Nomor Order],Orders[],COLUMN(Orders[Durasi (Hari)]),false)</f>
        <v>#N/A</v>
      </c>
      <c r="I35" s="12" t="str">
        <f>OrderItem[Total Biaya Order (IDR)]/OrderItem[Durasi (Hari)]</f>
        <v>#N/A</v>
      </c>
      <c r="J35" s="11" t="str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#N/A</v>
      </c>
    </row>
    <row r="36" ht="22.5" customHeight="1">
      <c r="B36" s="71"/>
      <c r="C36" s="5" t="str">
        <f>VLOOKUP(OrderItem[Nomor Order],Orders[],COLUMN(Orders[Nama Pelanggan]),false)</f>
        <v>#N/A</v>
      </c>
      <c r="D36" s="7" t="str">
        <f>VLOOKUP(OrderItem[Nomor Order],Orders[],COLUMN(Orders[Tanggal Mulai Sewa]),false)</f>
        <v>#N/A</v>
      </c>
      <c r="E36" s="71"/>
      <c r="F36" s="8"/>
      <c r="G36" s="12" t="str">
        <f>OrderItem[Total Biaya Order (IDR)]/OrderItem[Durasi (Hari)]/OrderItem[Jumlah Item]</f>
        <v>#N/A</v>
      </c>
      <c r="H36" s="8" t="str">
        <f>VLOOKUP(OrderItem[Nomor Order],Orders[],COLUMN(Orders[Durasi (Hari)]),false)</f>
        <v>#N/A</v>
      </c>
      <c r="I36" s="12" t="str">
        <f>OrderItem[Total Biaya Order (IDR)]/OrderItem[Durasi (Hari)]</f>
        <v>#N/A</v>
      </c>
      <c r="J36" s="11" t="str">
        <f>
(SUMIFS(
  Items[Harga Sewa Harian],
  Items[Item], OrderItem[Item],
  Items[Tanggal Mulai Berlaku], "&lt;="&amp;OrderItem[Tanggal Mulai Sewa],
  Items[Tanggal Berakhir], "&gt;="&amp;OrderItem[Tanggal Mulai Sewa]
)
+
SUMIFS(
  Items[Harga Sewa Harian],
  Items[Item], OrderItem[Item],
  Items[Tanggal Mulai Berlaku], "&lt;="&amp;OrderItem[Tanggal Mulai Sewa],
  Items[Tanggal Berakhir], ""
))*OrderItem[Durasi (Hari)]*OrderItem[Jumlah Item]
</f>
        <v>#N/A</v>
      </c>
    </row>
  </sheetData>
  <customSheetViews>
    <customSheetView guid="{E74C8AA3-AEED-4F5C-B19C-50B24A3D1832}" filter="1" showAutoFilter="1">
      <autoFilter ref="$B$5:$J$36"/>
    </customSheetView>
  </customSheetViews>
  <dataValidations>
    <dataValidation type="list" allowBlank="1" sqref="E6:E36">
      <formula1>#REF!</formula1>
    </dataValidation>
    <dataValidation type="custom" allowBlank="1" showDropDown="1" sqref="D6:D36">
      <formula1>OR(NOT(ISERROR(DATEVALUE(D6))), AND(ISNUMBER(D6), LEFT(CELL("format", D6))="D"))</formula1>
    </dataValidation>
    <dataValidation type="custom" allowBlank="1" showDropDown="1" sqref="H6:H36 J6:J36">
      <formula1>AND(ISNUMBER(H6),(NOT(OR(NOT(ISERROR(DATEVALUE(H6))), AND(ISNUMBER(H6), LEFT(CELL("format", H6))="D")))))</formula1>
    </dataValidation>
    <dataValidation type="custom" allowBlank="1" showDropDown="1" sqref="G6:G36 I6:I36">
      <formula1>AND(ISNUMBER(G6),(NOT(OR(NOT(ISERROR(DATEVALUE(G6))), AND(ISNUMBER(G6), LEFT(CELL("format", G6))="D")))))</formula1>
    </dataValidation>
    <dataValidation type="list" allowBlank="1" sqref="B6:B36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0.63"/>
    <col customWidth="1" min="4" max="5" width="20.13"/>
  </cols>
  <sheetData>
    <row r="2" ht="22.5" customHeight="1">
      <c r="B2" s="73" t="s">
        <v>202</v>
      </c>
      <c r="C2" s="73" t="s">
        <v>214</v>
      </c>
      <c r="D2" s="73" t="s">
        <v>215</v>
      </c>
      <c r="E2" s="73" t="s">
        <v>216</v>
      </c>
    </row>
    <row r="3" ht="22.5" customHeight="1">
      <c r="B3" s="9" t="s">
        <v>207</v>
      </c>
      <c r="C3" s="7">
        <v>46051.0</v>
      </c>
      <c r="D3" s="7">
        <v>46054.0</v>
      </c>
      <c r="E3" s="74">
        <v>20000.0</v>
      </c>
    </row>
    <row r="4" ht="22.5" customHeight="1">
      <c r="B4" s="9" t="s">
        <v>207</v>
      </c>
      <c r="C4" s="7">
        <v>46054.0</v>
      </c>
      <c r="D4" s="7"/>
      <c r="E4" s="74">
        <v>25000.0</v>
      </c>
    </row>
    <row r="5" ht="22.5" customHeight="1">
      <c r="B5" s="71" t="s">
        <v>209</v>
      </c>
      <c r="C5" s="7">
        <v>46051.0</v>
      </c>
      <c r="D5" s="7">
        <v>46091.0</v>
      </c>
      <c r="E5" s="74">
        <v>55000.0</v>
      </c>
    </row>
    <row r="6" ht="22.5" customHeight="1">
      <c r="B6" s="9" t="s">
        <v>209</v>
      </c>
      <c r="C6" s="7">
        <v>46092.0</v>
      </c>
      <c r="D6" s="7"/>
      <c r="E6" s="74">
        <v>59000.0</v>
      </c>
    </row>
    <row r="7" ht="22.5" customHeight="1">
      <c r="B7" s="71" t="s">
        <v>210</v>
      </c>
      <c r="C7" s="7">
        <v>46051.0</v>
      </c>
      <c r="D7" s="7">
        <v>46091.0</v>
      </c>
      <c r="E7" s="74">
        <v>40000.0</v>
      </c>
    </row>
    <row r="8" ht="22.5" customHeight="1">
      <c r="B8" s="75" t="s">
        <v>210</v>
      </c>
      <c r="C8" s="76">
        <v>46092.0</v>
      </c>
      <c r="D8" s="58"/>
      <c r="E8" s="74">
        <v>44000.0</v>
      </c>
      <c r="G8" s="77"/>
    </row>
    <row r="9" ht="22.5" customHeight="1">
      <c r="B9" s="9" t="s">
        <v>211</v>
      </c>
      <c r="C9" s="7">
        <v>46054.0</v>
      </c>
      <c r="D9" s="7">
        <v>46091.0</v>
      </c>
      <c r="E9" s="74">
        <v>45000.0</v>
      </c>
    </row>
    <row r="10" ht="22.5" customHeight="1">
      <c r="B10" s="75" t="s">
        <v>211</v>
      </c>
      <c r="C10" s="76">
        <v>46092.0</v>
      </c>
      <c r="D10" s="58"/>
      <c r="E10" s="74">
        <v>49000.0</v>
      </c>
    </row>
    <row r="11" ht="22.5" customHeight="1">
      <c r="B11" s="22" t="s">
        <v>212</v>
      </c>
      <c r="C11" s="7">
        <v>46070.0</v>
      </c>
      <c r="D11" s="20">
        <v>46091.0</v>
      </c>
      <c r="E11" s="78">
        <v>6000.0</v>
      </c>
    </row>
    <row r="12" ht="22.5" customHeight="1">
      <c r="B12" s="22" t="s">
        <v>213</v>
      </c>
      <c r="C12" s="7">
        <v>46092.0</v>
      </c>
      <c r="D12" s="20"/>
      <c r="E12" s="78">
        <v>7000.0</v>
      </c>
    </row>
    <row r="13" ht="22.5" customHeight="1">
      <c r="B13" s="22" t="s">
        <v>212</v>
      </c>
      <c r="C13" s="7">
        <v>46092.0</v>
      </c>
      <c r="D13" s="20"/>
      <c r="E13" s="78">
        <v>7000.0</v>
      </c>
    </row>
    <row r="14" ht="22.5" customHeight="1">
      <c r="B14" s="71" t="s">
        <v>208</v>
      </c>
      <c r="C14" s="7">
        <v>46054.0</v>
      </c>
      <c r="D14" s="7">
        <v>46091.0</v>
      </c>
      <c r="E14" s="74">
        <v>35000.0</v>
      </c>
    </row>
    <row r="15" ht="22.5" customHeight="1">
      <c r="B15" s="9" t="s">
        <v>208</v>
      </c>
      <c r="C15" s="7">
        <v>46092.0</v>
      </c>
      <c r="D15" s="7"/>
      <c r="E15" s="74">
        <v>39000.0</v>
      </c>
    </row>
    <row r="16" ht="22.5" customHeight="1">
      <c r="B16" s="9" t="s">
        <v>217</v>
      </c>
      <c r="C16" s="7">
        <v>46105.0</v>
      </c>
      <c r="D16" s="7"/>
      <c r="E16" s="74">
        <v>10000.0</v>
      </c>
    </row>
  </sheetData>
  <customSheetViews>
    <customSheetView guid="{F6A9CAB2-6422-41DE-85BA-183F30969CEB}" filter="1" showAutoFilter="1">
      <autoFilter ref="$B$2:$E$16">
        <sortState ref="B2:E16">
          <sortCondition ref="B2:B16"/>
        </sortState>
      </autoFilter>
    </customSheetView>
  </customSheetViews>
  <dataValidations>
    <dataValidation type="list" allowBlank="1" sqref="B3:B16">
      <formula1>"Paket 90x200,Paket 100x200,Paket 120x200,Paket 160x200,Kasur 90x200,Ekstra Guling,Ekstra Bantal,Ekstra Selimut"</formula1>
    </dataValidation>
    <dataValidation type="custom" allowBlank="1" showDropDown="1" sqref="C3:D16">
      <formula1>OR(NOT(ISERROR(DATEVALUE(C3))), AND(ISNUMBER(C3), LEFT(CELL("format", C3))="D"))</formula1>
    </dataValidation>
    <dataValidation type="custom" allowBlank="1" showDropDown="1" sqref="E3:E16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88"/>
    <col customWidth="1" min="2" max="2" width="13.63"/>
    <col customWidth="1" min="3" max="3" width="23.5"/>
    <col customWidth="1" min="4" max="4" width="14.63"/>
    <col customWidth="1" min="5" max="5" width="8.88"/>
    <col customWidth="1" min="6" max="6" width="5.63"/>
    <col customWidth="1" min="7" max="7" width="15.63"/>
    <col customWidth="1" min="8" max="8" width="8.75"/>
    <col customWidth="1" min="9" max="9" width="5.13"/>
    <col customWidth="1" min="10" max="10" width="23.88"/>
    <col customWidth="1" min="14" max="14" width="14.75"/>
    <col customWidth="1" min="17" max="17" width="17.63"/>
    <col customWidth="1" min="18" max="18" width="36.0"/>
  </cols>
  <sheetData>
    <row r="1">
      <c r="A1" s="79"/>
      <c r="B1" s="79"/>
      <c r="C1" s="79"/>
      <c r="D1" s="79"/>
      <c r="E1" s="79"/>
      <c r="F1" s="79"/>
      <c r="G1" s="79"/>
      <c r="H1" s="79"/>
      <c r="I1" s="79"/>
      <c r="J1" s="79"/>
      <c r="K1" s="80"/>
      <c r="M1" s="80"/>
      <c r="N1" s="80"/>
      <c r="O1" s="66"/>
    </row>
    <row r="2">
      <c r="A2" s="81" t="s">
        <v>218</v>
      </c>
      <c r="B2" s="82" t="s">
        <v>219</v>
      </c>
      <c r="C2" s="82" t="s">
        <v>220</v>
      </c>
      <c r="D2" s="83" t="s">
        <v>221</v>
      </c>
      <c r="E2" s="83" t="s">
        <v>222</v>
      </c>
      <c r="F2" s="82" t="s">
        <v>223</v>
      </c>
      <c r="G2" s="84" t="s">
        <v>224</v>
      </c>
      <c r="H2" s="84" t="s">
        <v>225</v>
      </c>
      <c r="I2" s="82" t="s">
        <v>223</v>
      </c>
      <c r="J2" s="82" t="s">
        <v>226</v>
      </c>
      <c r="K2" s="85" t="s">
        <v>227</v>
      </c>
      <c r="L2" s="86"/>
      <c r="M2" s="87" t="s">
        <v>228</v>
      </c>
      <c r="N2" s="87" t="s">
        <v>229</v>
      </c>
      <c r="O2" s="88" t="s">
        <v>230</v>
      </c>
    </row>
    <row r="3">
      <c r="A3" s="89">
        <v>1.0</v>
      </c>
      <c r="B3" s="90" t="s">
        <v>231</v>
      </c>
      <c r="C3" s="90" t="s">
        <v>232</v>
      </c>
      <c r="D3" s="91">
        <v>46096.0</v>
      </c>
      <c r="E3" s="92" t="s">
        <v>29</v>
      </c>
      <c r="F3" s="90" t="b">
        <v>1</v>
      </c>
      <c r="G3" s="93">
        <v>46098.0</v>
      </c>
      <c r="H3" s="94" t="s">
        <v>29</v>
      </c>
      <c r="I3" s="90" t="b">
        <v>1</v>
      </c>
      <c r="J3" s="90" t="s">
        <v>233</v>
      </c>
      <c r="K3" s="95">
        <v>0.0</v>
      </c>
      <c r="L3" s="86"/>
      <c r="M3" s="87">
        <v>128000.0</v>
      </c>
      <c r="N3" s="80"/>
      <c r="O3" s="66"/>
    </row>
    <row r="4">
      <c r="A4" s="89">
        <v>2.0</v>
      </c>
      <c r="B4" s="90" t="s">
        <v>51</v>
      </c>
      <c r="C4" s="90" t="s">
        <v>234</v>
      </c>
      <c r="D4" s="91">
        <v>46098.0</v>
      </c>
      <c r="E4" s="92" t="s">
        <v>30</v>
      </c>
      <c r="F4" s="90" t="b">
        <v>1</v>
      </c>
      <c r="G4" s="93">
        <v>46099.0</v>
      </c>
      <c r="H4" s="94" t="s">
        <v>30</v>
      </c>
      <c r="I4" s="90" t="b">
        <v>1</v>
      </c>
      <c r="J4" s="90" t="s">
        <v>235</v>
      </c>
      <c r="K4" s="95">
        <v>0.0</v>
      </c>
      <c r="L4" s="86"/>
      <c r="M4" s="87">
        <v>93000.0</v>
      </c>
      <c r="N4" s="87">
        <v>35000.0</v>
      </c>
      <c r="O4" s="66"/>
    </row>
    <row r="5">
      <c r="A5" s="89">
        <v>3.0</v>
      </c>
      <c r="B5" s="90" t="s">
        <v>236</v>
      </c>
      <c r="C5" s="96" t="s">
        <v>237</v>
      </c>
      <c r="D5" s="91">
        <v>46098.0</v>
      </c>
      <c r="E5" s="92" t="s">
        <v>29</v>
      </c>
      <c r="F5" s="90" t="b">
        <v>1</v>
      </c>
      <c r="G5" s="93">
        <v>46104.0</v>
      </c>
      <c r="H5" s="94" t="s">
        <v>29</v>
      </c>
      <c r="I5" s="90" t="b">
        <v>1</v>
      </c>
      <c r="J5" s="90" t="s">
        <v>238</v>
      </c>
      <c r="K5" s="95">
        <v>0.0</v>
      </c>
      <c r="L5" s="97" t="s">
        <v>239</v>
      </c>
      <c r="M5" s="87">
        <v>618000.0</v>
      </c>
      <c r="N5" s="80"/>
      <c r="O5" s="66"/>
    </row>
    <row r="6">
      <c r="A6" s="89">
        <v>4.0</v>
      </c>
      <c r="B6" s="90" t="s">
        <v>64</v>
      </c>
      <c r="C6" s="98" t="s">
        <v>240</v>
      </c>
      <c r="D6" s="91">
        <v>46098.0</v>
      </c>
      <c r="E6" s="92" t="s">
        <v>29</v>
      </c>
      <c r="F6" s="90" t="b">
        <v>1</v>
      </c>
      <c r="G6" s="93">
        <v>46101.0</v>
      </c>
      <c r="H6" s="94" t="s">
        <v>30</v>
      </c>
      <c r="I6" s="90" t="b">
        <v>1</v>
      </c>
      <c r="J6" s="90" t="s">
        <v>241</v>
      </c>
      <c r="K6" s="95">
        <v>0.0</v>
      </c>
      <c r="L6" s="97"/>
      <c r="M6" s="87">
        <v>168000.0</v>
      </c>
      <c r="N6" s="80"/>
      <c r="O6" s="66"/>
    </row>
    <row r="7">
      <c r="A7" s="89">
        <v>5.0</v>
      </c>
      <c r="B7" s="90" t="s">
        <v>67</v>
      </c>
      <c r="C7" s="96" t="s">
        <v>242</v>
      </c>
      <c r="D7" s="99">
        <v>46099.0</v>
      </c>
      <c r="E7" s="92" t="s">
        <v>29</v>
      </c>
      <c r="F7" s="90" t="b">
        <v>1</v>
      </c>
      <c r="G7" s="93">
        <v>46109.0</v>
      </c>
      <c r="H7" s="94" t="s">
        <v>30</v>
      </c>
      <c r="I7" s="90" t="b">
        <v>1</v>
      </c>
      <c r="J7" s="90" t="s">
        <v>243</v>
      </c>
      <c r="K7" s="95">
        <v>0.0</v>
      </c>
      <c r="L7" s="97" t="s">
        <v>239</v>
      </c>
      <c r="M7" s="87">
        <v>906000.0</v>
      </c>
      <c r="N7" s="80"/>
      <c r="O7" s="66"/>
    </row>
    <row r="8">
      <c r="A8" s="89">
        <v>6.0</v>
      </c>
      <c r="B8" s="90" t="s">
        <v>244</v>
      </c>
      <c r="C8" s="96" t="s">
        <v>245</v>
      </c>
      <c r="D8" s="99">
        <v>46099.0</v>
      </c>
      <c r="E8" s="92" t="s">
        <v>29</v>
      </c>
      <c r="F8" s="90" t="b">
        <v>1</v>
      </c>
      <c r="G8" s="93">
        <v>46105.0</v>
      </c>
      <c r="H8" s="94" t="s">
        <v>29</v>
      </c>
      <c r="I8" s="90" t="b">
        <v>1</v>
      </c>
      <c r="J8" s="90" t="s">
        <v>246</v>
      </c>
      <c r="K8" s="95">
        <v>0.0</v>
      </c>
      <c r="L8" s="97" t="s">
        <v>239</v>
      </c>
      <c r="M8" s="87">
        <v>1342000.0</v>
      </c>
      <c r="N8" s="80"/>
      <c r="O8" s="88">
        <v>24000.0</v>
      </c>
    </row>
    <row r="9">
      <c r="A9" s="89">
        <v>7.0</v>
      </c>
      <c r="B9" s="90" t="s">
        <v>42</v>
      </c>
      <c r="C9" s="96" t="s">
        <v>247</v>
      </c>
      <c r="D9" s="91">
        <v>46100.0</v>
      </c>
      <c r="E9" s="92" t="s">
        <v>29</v>
      </c>
      <c r="F9" s="90" t="b">
        <v>1</v>
      </c>
      <c r="G9" s="93">
        <v>46104.0</v>
      </c>
      <c r="H9" s="94" t="s">
        <v>29</v>
      </c>
      <c r="I9" s="90" t="b">
        <v>1</v>
      </c>
      <c r="J9" s="90" t="s">
        <v>248</v>
      </c>
      <c r="K9" s="95">
        <v>0.0</v>
      </c>
      <c r="L9" s="86"/>
      <c r="M9" s="87">
        <v>518000.0</v>
      </c>
      <c r="N9" s="80"/>
      <c r="O9" s="88">
        <v>60000.0</v>
      </c>
    </row>
    <row r="10">
      <c r="A10" s="89">
        <v>8.0</v>
      </c>
      <c r="B10" s="90" t="s">
        <v>231</v>
      </c>
      <c r="C10" s="98" t="s">
        <v>232</v>
      </c>
      <c r="D10" s="91">
        <v>46100.0</v>
      </c>
      <c r="E10" s="92" t="s">
        <v>29</v>
      </c>
      <c r="F10" s="90" t="b">
        <v>1</v>
      </c>
      <c r="G10" s="93">
        <v>46103.0</v>
      </c>
      <c r="H10" s="94" t="s">
        <v>29</v>
      </c>
      <c r="I10" s="90" t="b">
        <v>1</v>
      </c>
      <c r="J10" s="90" t="s">
        <v>249</v>
      </c>
      <c r="K10" s="95">
        <v>0.0</v>
      </c>
      <c r="L10" s="97" t="s">
        <v>239</v>
      </c>
      <c r="M10" s="87">
        <v>324000.0</v>
      </c>
      <c r="N10" s="87">
        <v>75000.0</v>
      </c>
      <c r="O10" s="66"/>
    </row>
    <row r="11">
      <c r="A11" s="89">
        <v>9.0</v>
      </c>
      <c r="B11" s="90" t="s">
        <v>250</v>
      </c>
      <c r="C11" s="96" t="s">
        <v>251</v>
      </c>
      <c r="D11" s="91">
        <v>46101.0</v>
      </c>
      <c r="E11" s="92" t="s">
        <v>29</v>
      </c>
      <c r="F11" s="90" t="b">
        <v>1</v>
      </c>
      <c r="G11" s="93">
        <v>46105.0</v>
      </c>
      <c r="H11" s="94" t="s">
        <v>29</v>
      </c>
      <c r="I11" s="90" t="b">
        <v>1</v>
      </c>
      <c r="J11" s="90" t="s">
        <v>252</v>
      </c>
      <c r="K11" s="95">
        <v>0.0</v>
      </c>
      <c r="L11" s="97"/>
      <c r="M11" s="87">
        <v>804000.0</v>
      </c>
      <c r="N11" s="80"/>
      <c r="O11" s="66"/>
    </row>
    <row r="12">
      <c r="A12" s="89">
        <v>10.0</v>
      </c>
      <c r="B12" s="90" t="s">
        <v>73</v>
      </c>
      <c r="C12" s="96" t="s">
        <v>253</v>
      </c>
      <c r="D12" s="91">
        <v>46104.0</v>
      </c>
      <c r="E12" s="92" t="s">
        <v>29</v>
      </c>
      <c r="F12" s="90" t="b">
        <v>1</v>
      </c>
      <c r="G12" s="93">
        <v>46106.0</v>
      </c>
      <c r="H12" s="94" t="s">
        <v>29</v>
      </c>
      <c r="I12" s="90" t="b">
        <v>1</v>
      </c>
      <c r="J12" s="90" t="s">
        <v>254</v>
      </c>
      <c r="K12" s="95">
        <v>0.0</v>
      </c>
      <c r="L12" s="97" t="s">
        <v>239</v>
      </c>
      <c r="M12" s="87">
        <v>665000.0</v>
      </c>
      <c r="N12" s="80"/>
      <c r="O12" s="88">
        <v>50000.0</v>
      </c>
    </row>
    <row r="13">
      <c r="A13" s="89">
        <v>11.0</v>
      </c>
      <c r="B13" s="90" t="s">
        <v>255</v>
      </c>
      <c r="C13" s="96" t="s">
        <v>256</v>
      </c>
      <c r="D13" s="91">
        <v>46106.0</v>
      </c>
      <c r="E13" s="92" t="s">
        <v>257</v>
      </c>
      <c r="F13" s="90" t="b">
        <v>1</v>
      </c>
      <c r="G13" s="93">
        <v>46107.0</v>
      </c>
      <c r="H13" s="94" t="s">
        <v>29</v>
      </c>
      <c r="I13" s="90" t="b">
        <v>1</v>
      </c>
      <c r="J13" s="90" t="s">
        <v>258</v>
      </c>
      <c r="K13" s="95">
        <v>0.0</v>
      </c>
      <c r="L13" s="97"/>
      <c r="M13" s="87">
        <v>239000.0</v>
      </c>
      <c r="N13" s="80"/>
      <c r="O13" s="66"/>
    </row>
    <row r="14">
      <c r="A14" s="89">
        <v>12.0</v>
      </c>
      <c r="B14" s="90" t="s">
        <v>255</v>
      </c>
      <c r="C14" s="96" t="s">
        <v>259</v>
      </c>
      <c r="D14" s="91">
        <v>46107.0</v>
      </c>
      <c r="E14" s="92" t="s">
        <v>257</v>
      </c>
      <c r="F14" s="90" t="b">
        <v>1</v>
      </c>
      <c r="G14" s="93">
        <v>46108.0</v>
      </c>
      <c r="H14" s="94" t="s">
        <v>29</v>
      </c>
      <c r="I14" s="90" t="b">
        <v>1</v>
      </c>
      <c r="J14" s="90" t="s">
        <v>260</v>
      </c>
      <c r="K14" s="95">
        <v>0.0</v>
      </c>
      <c r="L14" s="97"/>
      <c r="M14" s="87">
        <v>131000.0</v>
      </c>
      <c r="N14" s="80"/>
      <c r="O14" s="66"/>
    </row>
    <row r="15">
      <c r="A15" s="89">
        <v>13.0</v>
      </c>
      <c r="B15" s="90" t="s">
        <v>77</v>
      </c>
      <c r="C15" s="96" t="s">
        <v>261</v>
      </c>
      <c r="D15" s="91">
        <v>46104.0</v>
      </c>
      <c r="E15" s="92" t="s">
        <v>29</v>
      </c>
      <c r="F15" s="90" t="b">
        <v>1</v>
      </c>
      <c r="G15" s="93">
        <v>46108.0</v>
      </c>
      <c r="H15" s="94" t="s">
        <v>29</v>
      </c>
      <c r="I15" s="90" t="b">
        <v>1</v>
      </c>
      <c r="J15" s="90" t="s">
        <v>262</v>
      </c>
      <c r="K15" s="95">
        <v>0.0</v>
      </c>
      <c r="L15" s="97" t="s">
        <v>239</v>
      </c>
      <c r="M15" s="87">
        <v>370000.0</v>
      </c>
      <c r="N15" s="80"/>
      <c r="O15" s="66"/>
    </row>
    <row r="16">
      <c r="A16" s="89">
        <v>14.0</v>
      </c>
      <c r="B16" s="90" t="s">
        <v>263</v>
      </c>
      <c r="C16" s="98" t="s">
        <v>264</v>
      </c>
      <c r="D16" s="91">
        <v>46105.0</v>
      </c>
      <c r="E16" s="92" t="s">
        <v>257</v>
      </c>
      <c r="F16" s="90" t="b">
        <v>1</v>
      </c>
      <c r="G16" s="93">
        <v>46106.0</v>
      </c>
      <c r="H16" s="94" t="s">
        <v>29</v>
      </c>
      <c r="I16" s="90" t="b">
        <v>1</v>
      </c>
      <c r="J16" s="90" t="s">
        <v>265</v>
      </c>
      <c r="K16" s="95">
        <v>0.0</v>
      </c>
      <c r="L16" s="97" t="s">
        <v>239</v>
      </c>
      <c r="M16" s="87">
        <v>80000.0</v>
      </c>
      <c r="N16" s="80"/>
      <c r="O16" s="66"/>
    </row>
    <row r="17">
      <c r="A17" s="89">
        <v>15.0</v>
      </c>
      <c r="B17" s="90" t="s">
        <v>266</v>
      </c>
      <c r="C17" s="98" t="s">
        <v>267</v>
      </c>
      <c r="D17" s="91">
        <v>46105.0</v>
      </c>
      <c r="E17" s="92" t="s">
        <v>29</v>
      </c>
      <c r="F17" s="90" t="b">
        <v>1</v>
      </c>
      <c r="G17" s="93">
        <v>46110.0</v>
      </c>
      <c r="H17" s="94" t="s">
        <v>29</v>
      </c>
      <c r="I17" s="90" t="b">
        <v>1</v>
      </c>
      <c r="J17" s="90" t="s">
        <v>265</v>
      </c>
      <c r="K17" s="95">
        <v>0.0</v>
      </c>
      <c r="L17" s="86"/>
      <c r="M17" s="87">
        <v>313000.0</v>
      </c>
      <c r="N17" s="80"/>
      <c r="O17" s="66"/>
    </row>
    <row r="18">
      <c r="A18" s="89">
        <v>16.0</v>
      </c>
      <c r="B18" s="90" t="s">
        <v>86</v>
      </c>
      <c r="C18" s="96" t="s">
        <v>268</v>
      </c>
      <c r="D18" s="91">
        <v>46105.0</v>
      </c>
      <c r="E18" s="92" t="s">
        <v>29</v>
      </c>
      <c r="F18" s="90" t="b">
        <v>1</v>
      </c>
      <c r="G18" s="93">
        <v>46108.0</v>
      </c>
      <c r="H18" s="94" t="s">
        <v>29</v>
      </c>
      <c r="I18" s="90" t="b">
        <v>1</v>
      </c>
      <c r="J18" s="90" t="s">
        <v>269</v>
      </c>
      <c r="K18" s="95">
        <v>0.0</v>
      </c>
      <c r="L18" s="86"/>
      <c r="M18" s="87">
        <v>824000.0</v>
      </c>
      <c r="N18" s="80"/>
      <c r="O18" s="66"/>
    </row>
    <row r="19">
      <c r="A19" s="89">
        <v>17.0</v>
      </c>
      <c r="B19" s="100" t="s">
        <v>80</v>
      </c>
      <c r="C19" s="101" t="s">
        <v>270</v>
      </c>
      <c r="D19" s="102">
        <v>46107.0</v>
      </c>
      <c r="E19" s="103" t="s">
        <v>29</v>
      </c>
      <c r="F19" s="104" t="b">
        <v>1</v>
      </c>
      <c r="G19" s="105">
        <v>46110.0</v>
      </c>
      <c r="H19" s="106" t="s">
        <v>29</v>
      </c>
      <c r="I19" s="104" t="b">
        <v>1</v>
      </c>
      <c r="J19" s="104" t="s">
        <v>271</v>
      </c>
      <c r="K19" s="107">
        <v>0.0</v>
      </c>
      <c r="L19" s="86"/>
      <c r="M19" s="87">
        <v>552000.0</v>
      </c>
      <c r="N19" s="80"/>
      <c r="O19" s="66"/>
    </row>
    <row r="20">
      <c r="A20" s="89">
        <v>18.0</v>
      </c>
      <c r="B20" s="90" t="s">
        <v>89</v>
      </c>
      <c r="C20" s="96" t="s">
        <v>272</v>
      </c>
      <c r="D20" s="108">
        <v>46109.0</v>
      </c>
      <c r="E20" s="92" t="s">
        <v>29</v>
      </c>
      <c r="F20" s="90" t="b">
        <v>1</v>
      </c>
      <c r="G20" s="109">
        <v>46111.0</v>
      </c>
      <c r="H20" s="94" t="s">
        <v>29</v>
      </c>
      <c r="I20" s="90" t="b">
        <v>1</v>
      </c>
      <c r="J20" s="104" t="s">
        <v>273</v>
      </c>
      <c r="K20" s="95">
        <v>0.0</v>
      </c>
      <c r="L20" s="97" t="s">
        <v>239</v>
      </c>
      <c r="M20" s="87">
        <v>183000.0</v>
      </c>
      <c r="N20" s="80"/>
      <c r="O20" s="66"/>
    </row>
    <row r="21">
      <c r="A21" s="110">
        <v>46113.0</v>
      </c>
      <c r="C21" s="111"/>
      <c r="D21" s="111"/>
      <c r="E21" s="111"/>
      <c r="F21" s="111"/>
      <c r="G21" s="111"/>
      <c r="H21" s="111"/>
      <c r="I21" s="111"/>
      <c r="J21" s="111"/>
      <c r="K21" s="80"/>
      <c r="L21" s="86"/>
      <c r="M21" s="80"/>
      <c r="N21" s="80"/>
      <c r="O21" s="66"/>
    </row>
    <row r="22">
      <c r="C22" s="111"/>
      <c r="D22" s="111"/>
      <c r="E22" s="111"/>
      <c r="F22" s="111"/>
      <c r="G22" s="111"/>
      <c r="H22" s="111"/>
      <c r="I22" s="111"/>
      <c r="J22" s="111"/>
      <c r="K22" s="80"/>
      <c r="L22" s="112" t="s">
        <v>274</v>
      </c>
      <c r="M22" s="113">
        <f t="shared" ref="M22:O22" si="1">SUM(M3:M20)</f>
        <v>8258000</v>
      </c>
      <c r="N22" s="80">
        <f t="shared" si="1"/>
        <v>110000</v>
      </c>
      <c r="O22" s="66">
        <f t="shared" si="1"/>
        <v>134000</v>
      </c>
    </row>
    <row r="23">
      <c r="C23" s="114"/>
      <c r="D23" s="115"/>
      <c r="E23" s="114"/>
      <c r="F23" s="114"/>
      <c r="G23" s="115"/>
      <c r="H23" s="111"/>
      <c r="I23" s="111"/>
      <c r="J23" s="114"/>
      <c r="K23" s="87"/>
      <c r="L23" s="97"/>
      <c r="M23" s="87"/>
      <c r="N23" s="80"/>
      <c r="O23" s="66"/>
    </row>
    <row r="24">
      <c r="A24" s="89">
        <v>1.0</v>
      </c>
      <c r="B24" s="90" t="s">
        <v>92</v>
      </c>
      <c r="C24" s="90" t="s">
        <v>275</v>
      </c>
      <c r="D24" s="91">
        <v>46114.0</v>
      </c>
      <c r="E24" s="92" t="s">
        <v>30</v>
      </c>
      <c r="F24" s="90" t="b">
        <v>1</v>
      </c>
      <c r="G24" s="116">
        <v>46122.0</v>
      </c>
      <c r="H24" s="94" t="s">
        <v>30</v>
      </c>
      <c r="I24" s="90" t="b">
        <v>1</v>
      </c>
      <c r="J24" s="90" t="s">
        <v>276</v>
      </c>
      <c r="K24" s="95">
        <v>0.0</v>
      </c>
      <c r="L24" s="97" t="s">
        <v>239</v>
      </c>
      <c r="M24" s="87">
        <v>770000.0</v>
      </c>
      <c r="N24" s="80"/>
      <c r="O24" s="66"/>
    </row>
    <row r="25">
      <c r="A25" s="89">
        <v>2.0</v>
      </c>
      <c r="B25" s="90" t="s">
        <v>95</v>
      </c>
      <c r="C25" s="90" t="s">
        <v>277</v>
      </c>
      <c r="D25" s="91">
        <v>46115.0</v>
      </c>
      <c r="E25" s="92" t="s">
        <v>29</v>
      </c>
      <c r="F25" s="90" t="b">
        <v>1</v>
      </c>
      <c r="G25" s="93">
        <v>46118.0</v>
      </c>
      <c r="H25" s="94" t="s">
        <v>29</v>
      </c>
      <c r="I25" s="90" t="b">
        <v>1</v>
      </c>
      <c r="J25" s="90" t="s">
        <v>278</v>
      </c>
      <c r="K25" s="95">
        <v>0.0</v>
      </c>
      <c r="L25" s="86"/>
      <c r="M25" s="87">
        <v>715000.0</v>
      </c>
      <c r="N25" s="80"/>
      <c r="O25" s="66"/>
    </row>
    <row r="26">
      <c r="A26" s="89">
        <v>3.0</v>
      </c>
      <c r="B26" s="90" t="s">
        <v>99</v>
      </c>
      <c r="C26" s="90" t="s">
        <v>279</v>
      </c>
      <c r="D26" s="91">
        <v>46118.0</v>
      </c>
      <c r="E26" s="92" t="s">
        <v>30</v>
      </c>
      <c r="F26" s="90" t="b">
        <v>1</v>
      </c>
      <c r="G26" s="93">
        <v>46122.0</v>
      </c>
      <c r="H26" s="94" t="s">
        <v>30</v>
      </c>
      <c r="I26" s="90" t="b">
        <v>1</v>
      </c>
      <c r="J26" s="90" t="s">
        <v>280</v>
      </c>
      <c r="K26" s="95">
        <v>0.0</v>
      </c>
      <c r="L26" s="97" t="s">
        <v>239</v>
      </c>
      <c r="M26" s="87">
        <v>205000.0</v>
      </c>
      <c r="N26" s="80"/>
      <c r="O26" s="66"/>
    </row>
    <row r="27">
      <c r="A27" s="89">
        <v>4.0</v>
      </c>
      <c r="B27" s="90" t="s">
        <v>102</v>
      </c>
      <c r="C27" s="90" t="s">
        <v>281</v>
      </c>
      <c r="D27" s="91">
        <v>46121.0</v>
      </c>
      <c r="E27" s="92" t="s">
        <v>29</v>
      </c>
      <c r="F27" s="90" t="b">
        <v>1</v>
      </c>
      <c r="G27" s="93">
        <v>46128.0</v>
      </c>
      <c r="H27" s="94" t="s">
        <v>29</v>
      </c>
      <c r="I27" s="90" t="b">
        <v>1</v>
      </c>
      <c r="J27" s="90" t="s">
        <v>282</v>
      </c>
      <c r="K27" s="95">
        <v>0.0</v>
      </c>
      <c r="L27" s="97" t="s">
        <v>239</v>
      </c>
      <c r="M27" s="87">
        <v>1500000.0</v>
      </c>
      <c r="N27" s="80"/>
      <c r="O27" s="66"/>
    </row>
    <row r="28">
      <c r="A28" s="89">
        <v>5.0</v>
      </c>
      <c r="B28" s="90" t="s">
        <v>105</v>
      </c>
      <c r="C28" s="90" t="s">
        <v>283</v>
      </c>
      <c r="D28" s="91">
        <v>46122.0</v>
      </c>
      <c r="E28" s="92" t="s">
        <v>30</v>
      </c>
      <c r="F28" s="90" t="b">
        <v>1</v>
      </c>
      <c r="G28" s="93">
        <v>46123.0</v>
      </c>
      <c r="H28" s="117" t="s">
        <v>30</v>
      </c>
      <c r="I28" s="90" t="b">
        <v>1</v>
      </c>
      <c r="J28" s="118" t="s">
        <v>241</v>
      </c>
      <c r="K28" s="95">
        <v>0.0</v>
      </c>
      <c r="L28" s="86"/>
      <c r="M28" s="87">
        <v>60000.0</v>
      </c>
      <c r="N28" s="80"/>
      <c r="O28" s="66"/>
    </row>
    <row r="29">
      <c r="A29" s="89">
        <v>6.0</v>
      </c>
      <c r="B29" s="90" t="s">
        <v>108</v>
      </c>
      <c r="C29" s="90" t="s">
        <v>284</v>
      </c>
      <c r="D29" s="91">
        <v>46122.0</v>
      </c>
      <c r="E29" s="92" t="s">
        <v>30</v>
      </c>
      <c r="F29" s="90" t="b">
        <v>1</v>
      </c>
      <c r="G29" s="93">
        <v>46124.0</v>
      </c>
      <c r="H29" s="117" t="s">
        <v>29</v>
      </c>
      <c r="I29" s="119" t="b">
        <v>0</v>
      </c>
      <c r="J29" s="118" t="s">
        <v>285</v>
      </c>
      <c r="K29" s="95">
        <v>0.0</v>
      </c>
      <c r="L29" s="86"/>
      <c r="M29" s="87">
        <v>420000.0</v>
      </c>
      <c r="N29" s="80"/>
      <c r="O29" s="66"/>
    </row>
    <row r="30">
      <c r="A30" s="89">
        <v>7.0</v>
      </c>
      <c r="B30" s="119" t="s">
        <v>111</v>
      </c>
      <c r="C30" s="119" t="s">
        <v>286</v>
      </c>
      <c r="D30" s="120">
        <v>46123.0</v>
      </c>
      <c r="E30" s="92" t="s">
        <v>29</v>
      </c>
      <c r="F30" s="90" t="b">
        <v>1</v>
      </c>
      <c r="G30" s="116">
        <v>46125.0</v>
      </c>
      <c r="H30" s="117" t="s">
        <v>29</v>
      </c>
      <c r="I30" s="119" t="b">
        <v>0</v>
      </c>
      <c r="J30" s="118" t="s">
        <v>248</v>
      </c>
      <c r="K30" s="95">
        <v>0.0</v>
      </c>
      <c r="L30" s="86" t="s">
        <v>239</v>
      </c>
      <c r="M30" s="87">
        <v>255000.0</v>
      </c>
      <c r="N30" s="80"/>
      <c r="O30" s="66"/>
    </row>
    <row r="31">
      <c r="A31" s="89">
        <v>8.0</v>
      </c>
      <c r="B31" s="90" t="s">
        <v>114</v>
      </c>
      <c r="C31" s="90" t="s">
        <v>287</v>
      </c>
      <c r="D31" s="91">
        <v>46123.0</v>
      </c>
      <c r="E31" s="92" t="s">
        <v>30</v>
      </c>
      <c r="F31" s="90" t="b">
        <v>1</v>
      </c>
      <c r="G31" s="116">
        <v>46124.0</v>
      </c>
      <c r="H31" s="94" t="s">
        <v>30</v>
      </c>
      <c r="I31" s="119" t="b">
        <v>0</v>
      </c>
      <c r="J31" s="90" t="s">
        <v>288</v>
      </c>
      <c r="K31" s="95">
        <v>0.0</v>
      </c>
      <c r="L31" s="97"/>
      <c r="M31" s="87">
        <v>145000.0</v>
      </c>
      <c r="N31" s="80"/>
      <c r="O31" s="66"/>
    </row>
    <row r="32">
      <c r="A32" s="89">
        <v>9.0</v>
      </c>
      <c r="B32" s="90" t="s">
        <v>117</v>
      </c>
      <c r="C32" s="90" t="s">
        <v>289</v>
      </c>
      <c r="D32" s="91">
        <v>46124.0</v>
      </c>
      <c r="E32" s="92" t="s">
        <v>30</v>
      </c>
      <c r="F32" s="119" t="b">
        <v>0</v>
      </c>
      <c r="G32" s="116">
        <v>46125.0</v>
      </c>
      <c r="H32" s="94" t="s">
        <v>30</v>
      </c>
      <c r="I32" s="119" t="b">
        <v>0</v>
      </c>
      <c r="J32" s="90" t="s">
        <v>241</v>
      </c>
      <c r="K32" s="95">
        <v>0.0</v>
      </c>
      <c r="L32" s="97"/>
      <c r="M32" s="87">
        <v>60000.0</v>
      </c>
      <c r="N32" s="80"/>
      <c r="O32" s="66"/>
    </row>
    <row r="33">
      <c r="A33" s="89">
        <v>10.0</v>
      </c>
      <c r="B33" s="90" t="s">
        <v>120</v>
      </c>
      <c r="C33" s="90" t="s">
        <v>290</v>
      </c>
      <c r="D33" s="91">
        <v>46130.0</v>
      </c>
      <c r="E33" s="92" t="s">
        <v>29</v>
      </c>
      <c r="F33" s="119" t="b">
        <v>0</v>
      </c>
      <c r="G33" s="93">
        <v>46131.0</v>
      </c>
      <c r="H33" s="94" t="s">
        <v>29</v>
      </c>
      <c r="I33" s="119" t="b">
        <v>0</v>
      </c>
      <c r="J33" s="90" t="s">
        <v>291</v>
      </c>
      <c r="K33" s="95">
        <v>0.0</v>
      </c>
      <c r="L33" s="97" t="s">
        <v>239</v>
      </c>
      <c r="M33" s="87">
        <v>455000.0</v>
      </c>
      <c r="N33" s="80"/>
      <c r="O33" s="66"/>
    </row>
    <row r="34">
      <c r="A34" s="121">
        <v>11.0</v>
      </c>
      <c r="B34" s="118" t="s">
        <v>123</v>
      </c>
      <c r="C34" s="118" t="s">
        <v>292</v>
      </c>
      <c r="D34" s="122">
        <v>46130.0</v>
      </c>
      <c r="E34" s="123" t="s">
        <v>29</v>
      </c>
      <c r="F34" s="119" t="b">
        <v>0</v>
      </c>
      <c r="G34" s="116">
        <v>46131.0</v>
      </c>
      <c r="H34" s="117" t="s">
        <v>293</v>
      </c>
      <c r="I34" s="119" t="b">
        <v>0</v>
      </c>
      <c r="J34" s="118" t="s">
        <v>248</v>
      </c>
      <c r="K34" s="124">
        <v>0.0</v>
      </c>
      <c r="L34" s="97" t="s">
        <v>239</v>
      </c>
      <c r="M34" s="87">
        <v>140000.0</v>
      </c>
      <c r="N34" s="80"/>
      <c r="O34" s="66"/>
    </row>
    <row r="35">
      <c r="A35" s="125" t="s">
        <v>294</v>
      </c>
      <c r="C35" s="111"/>
      <c r="D35" s="111"/>
      <c r="E35" s="111"/>
      <c r="F35" s="111"/>
      <c r="G35" s="111"/>
      <c r="H35" s="111"/>
      <c r="I35" s="111"/>
      <c r="J35" s="111"/>
      <c r="K35" s="80"/>
      <c r="L35" s="86"/>
      <c r="M35" s="80"/>
      <c r="N35" s="80"/>
      <c r="O35" s="66"/>
    </row>
    <row r="36">
      <c r="C36" s="111"/>
      <c r="D36" s="111"/>
      <c r="E36" s="111"/>
      <c r="F36" s="111"/>
      <c r="G36" s="111"/>
      <c r="H36" s="111"/>
      <c r="I36" s="111"/>
      <c r="J36" s="111"/>
      <c r="K36" s="80"/>
      <c r="L36" s="112" t="s">
        <v>295</v>
      </c>
      <c r="M36" s="113">
        <f>SUM(M24:M34)</f>
        <v>4725000</v>
      </c>
      <c r="N36" s="80"/>
      <c r="O36" s="66"/>
    </row>
    <row r="37">
      <c r="C37" s="111"/>
      <c r="D37" s="111"/>
      <c r="E37" s="111"/>
      <c r="F37" s="111"/>
      <c r="G37" s="111"/>
      <c r="H37" s="111"/>
      <c r="I37" s="111"/>
      <c r="J37" s="111"/>
      <c r="K37" s="80"/>
      <c r="L37" s="86"/>
      <c r="M37" s="80"/>
      <c r="N37" s="80"/>
      <c r="O37" s="66"/>
    </row>
    <row r="38">
      <c r="A38" s="89">
        <v>1.0</v>
      </c>
      <c r="B38" s="90" t="s">
        <v>126</v>
      </c>
      <c r="C38" s="90" t="s">
        <v>296</v>
      </c>
      <c r="D38" s="126">
        <v>46143.0</v>
      </c>
      <c r="E38" s="90" t="s">
        <v>297</v>
      </c>
      <c r="F38" s="90" t="b">
        <v>1</v>
      </c>
      <c r="G38" s="126">
        <v>46145.0</v>
      </c>
      <c r="H38" s="90" t="s">
        <v>293</v>
      </c>
      <c r="I38" s="90" t="b">
        <v>1</v>
      </c>
      <c r="J38" s="127" t="s">
        <v>298</v>
      </c>
      <c r="K38" s="95">
        <v>0.0</v>
      </c>
      <c r="L38" s="86"/>
      <c r="M38" s="87">
        <v>690000.0</v>
      </c>
      <c r="N38" s="80"/>
      <c r="O38" s="66"/>
    </row>
    <row r="39">
      <c r="A39" s="89">
        <v>2.0</v>
      </c>
      <c r="B39" s="90" t="s">
        <v>299</v>
      </c>
      <c r="C39" s="90" t="s">
        <v>300</v>
      </c>
      <c r="D39" s="126">
        <v>46143.0</v>
      </c>
      <c r="E39" s="90" t="s">
        <v>297</v>
      </c>
      <c r="F39" s="90" t="b">
        <v>1</v>
      </c>
      <c r="G39" s="126">
        <v>46145.0</v>
      </c>
      <c r="H39" s="90" t="s">
        <v>293</v>
      </c>
      <c r="I39" s="90" t="b">
        <v>1</v>
      </c>
      <c r="J39" s="90" t="s">
        <v>301</v>
      </c>
      <c r="K39" s="95">
        <v>0.0</v>
      </c>
      <c r="L39" s="97" t="s">
        <v>239</v>
      </c>
      <c r="M39" s="87">
        <v>210000.0</v>
      </c>
      <c r="N39" s="80"/>
      <c r="O39" s="66"/>
    </row>
    <row r="40">
      <c r="A40" s="89">
        <v>3.0</v>
      </c>
      <c r="B40" s="90" t="s">
        <v>132</v>
      </c>
      <c r="C40" s="90" t="s">
        <v>279</v>
      </c>
      <c r="D40" s="126">
        <v>46149.0</v>
      </c>
      <c r="E40" s="90" t="s">
        <v>293</v>
      </c>
      <c r="F40" s="90" t="b">
        <v>1</v>
      </c>
      <c r="G40" s="126">
        <v>46151.0</v>
      </c>
      <c r="H40" s="90" t="s">
        <v>293</v>
      </c>
      <c r="I40" s="90" t="b">
        <v>1</v>
      </c>
      <c r="J40" s="90" t="s">
        <v>302</v>
      </c>
      <c r="K40" s="95">
        <v>0.0</v>
      </c>
      <c r="L40" s="97" t="s">
        <v>239</v>
      </c>
      <c r="M40" s="87">
        <v>1134000.0</v>
      </c>
      <c r="N40" s="80"/>
      <c r="O40" s="66"/>
    </row>
    <row r="41">
      <c r="A41" s="89">
        <v>4.0</v>
      </c>
      <c r="B41" s="90" t="s">
        <v>135</v>
      </c>
      <c r="C41" s="90" t="s">
        <v>303</v>
      </c>
      <c r="D41" s="126">
        <v>46151.0</v>
      </c>
      <c r="E41" s="90" t="s">
        <v>293</v>
      </c>
      <c r="F41" s="90" t="b">
        <v>1</v>
      </c>
      <c r="G41" s="126">
        <v>46152.0</v>
      </c>
      <c r="H41" s="90" t="s">
        <v>293</v>
      </c>
      <c r="I41" s="90" t="b">
        <v>1</v>
      </c>
      <c r="J41" s="90" t="s">
        <v>304</v>
      </c>
      <c r="K41" s="95">
        <v>0.0</v>
      </c>
      <c r="L41" s="97"/>
      <c r="M41" s="87">
        <v>105000.0</v>
      </c>
      <c r="N41" s="80"/>
      <c r="O41" s="66"/>
    </row>
    <row r="42">
      <c r="A42" s="89">
        <v>5.0</v>
      </c>
      <c r="B42" s="90" t="s">
        <v>138</v>
      </c>
      <c r="C42" s="90" t="s">
        <v>305</v>
      </c>
      <c r="D42" s="126">
        <v>46151.0</v>
      </c>
      <c r="E42" s="90" t="s">
        <v>293</v>
      </c>
      <c r="F42" s="90" t="b">
        <v>1</v>
      </c>
      <c r="G42" s="126">
        <v>46152.0</v>
      </c>
      <c r="H42" s="90" t="s">
        <v>293</v>
      </c>
      <c r="I42" s="90" t="b">
        <v>1</v>
      </c>
      <c r="J42" s="90" t="s">
        <v>306</v>
      </c>
      <c r="K42" s="95">
        <v>0.0</v>
      </c>
      <c r="L42" s="97" t="s">
        <v>239</v>
      </c>
      <c r="M42" s="87">
        <v>185000.0</v>
      </c>
      <c r="N42" s="80"/>
      <c r="O42" s="66"/>
    </row>
    <row r="43">
      <c r="A43" s="89">
        <v>6.0</v>
      </c>
      <c r="B43" s="90" t="s">
        <v>141</v>
      </c>
      <c r="C43" s="90" t="s">
        <v>307</v>
      </c>
      <c r="D43" s="126">
        <v>46153.0</v>
      </c>
      <c r="E43" s="90" t="s">
        <v>308</v>
      </c>
      <c r="F43" s="90" t="b">
        <v>1</v>
      </c>
      <c r="G43" s="126">
        <v>46155.0</v>
      </c>
      <c r="H43" s="90" t="s">
        <v>293</v>
      </c>
      <c r="I43" s="90" t="b">
        <v>1</v>
      </c>
      <c r="J43" s="90" t="s">
        <v>309</v>
      </c>
      <c r="K43" s="95">
        <v>0.0</v>
      </c>
      <c r="L43" s="97"/>
      <c r="M43" s="87">
        <v>155000.0</v>
      </c>
      <c r="N43" s="80"/>
      <c r="O43" s="66"/>
    </row>
    <row r="44">
      <c r="A44" s="89">
        <v>7.0</v>
      </c>
      <c r="B44" s="90" t="s">
        <v>144</v>
      </c>
      <c r="C44" s="90" t="s">
        <v>310</v>
      </c>
      <c r="D44" s="126">
        <v>46155.0</v>
      </c>
      <c r="E44" s="90" t="s">
        <v>293</v>
      </c>
      <c r="F44" s="90" t="b">
        <v>1</v>
      </c>
      <c r="G44" s="126">
        <v>46157.0</v>
      </c>
      <c r="H44" s="90" t="s">
        <v>293</v>
      </c>
      <c r="I44" s="90" t="b">
        <v>1</v>
      </c>
      <c r="J44" s="90" t="s">
        <v>311</v>
      </c>
      <c r="K44" s="95">
        <v>0.0</v>
      </c>
      <c r="L44" s="97" t="s">
        <v>239</v>
      </c>
      <c r="M44" s="87">
        <v>125000.0</v>
      </c>
      <c r="N44" s="80"/>
      <c r="O44" s="66"/>
    </row>
    <row r="45">
      <c r="A45" s="89">
        <v>8.0</v>
      </c>
      <c r="B45" s="90" t="s">
        <v>147</v>
      </c>
      <c r="C45" s="90" t="s">
        <v>312</v>
      </c>
      <c r="D45" s="126">
        <v>46156.0</v>
      </c>
      <c r="E45" s="90" t="s">
        <v>293</v>
      </c>
      <c r="F45" s="90" t="b">
        <v>1</v>
      </c>
      <c r="G45" s="126">
        <v>46159.0</v>
      </c>
      <c r="H45" s="90" t="s">
        <v>293</v>
      </c>
      <c r="I45" s="90" t="b">
        <v>1</v>
      </c>
      <c r="J45" s="90" t="s">
        <v>248</v>
      </c>
      <c r="K45" s="95">
        <v>0.0</v>
      </c>
      <c r="L45" s="97"/>
      <c r="M45" s="87">
        <v>375000.0</v>
      </c>
      <c r="N45" s="80"/>
      <c r="O45" s="66"/>
    </row>
    <row r="46">
      <c r="A46" s="89">
        <v>9.0</v>
      </c>
      <c r="B46" s="90" t="s">
        <v>150</v>
      </c>
      <c r="C46" s="90" t="s">
        <v>279</v>
      </c>
      <c r="D46" s="126">
        <v>46156.0</v>
      </c>
      <c r="E46" s="90" t="s">
        <v>293</v>
      </c>
      <c r="F46" s="90" t="b">
        <v>1</v>
      </c>
      <c r="G46" s="126">
        <v>46159.0</v>
      </c>
      <c r="H46" s="90" t="s">
        <v>293</v>
      </c>
      <c r="I46" s="90" t="b">
        <v>1</v>
      </c>
      <c r="J46" s="90" t="s">
        <v>313</v>
      </c>
      <c r="K46" s="95">
        <v>0.0</v>
      </c>
      <c r="L46" s="97" t="s">
        <v>239</v>
      </c>
      <c r="M46" s="87">
        <v>135000.0</v>
      </c>
      <c r="N46" s="80"/>
      <c r="O46" s="66"/>
    </row>
    <row r="47">
      <c r="A47" s="89">
        <v>10.0</v>
      </c>
      <c r="B47" s="128" t="s">
        <v>153</v>
      </c>
      <c r="C47" s="128" t="s">
        <v>314</v>
      </c>
      <c r="D47" s="126">
        <v>46156.0</v>
      </c>
      <c r="E47" s="90" t="s">
        <v>293</v>
      </c>
      <c r="F47" s="90" t="b">
        <v>1</v>
      </c>
      <c r="G47" s="126">
        <v>46159.0</v>
      </c>
      <c r="H47" s="128" t="s">
        <v>293</v>
      </c>
      <c r="I47" s="90" t="b">
        <v>1</v>
      </c>
      <c r="J47" s="90" t="s">
        <v>233</v>
      </c>
      <c r="K47" s="129">
        <v>0.0</v>
      </c>
      <c r="L47" s="130"/>
      <c r="M47" s="131">
        <v>200000.0</v>
      </c>
      <c r="N47" s="80"/>
      <c r="O47" s="66"/>
    </row>
    <row r="48">
      <c r="A48" s="89">
        <v>11.0</v>
      </c>
      <c r="B48" s="128" t="s">
        <v>156</v>
      </c>
      <c r="C48" s="128" t="s">
        <v>315</v>
      </c>
      <c r="D48" s="126">
        <v>46156.0</v>
      </c>
      <c r="E48" s="90" t="s">
        <v>308</v>
      </c>
      <c r="F48" s="90" t="b">
        <v>1</v>
      </c>
      <c r="G48" s="126">
        <v>46157.0</v>
      </c>
      <c r="H48" s="128" t="s">
        <v>308</v>
      </c>
      <c r="I48" s="90" t="b">
        <v>1</v>
      </c>
      <c r="J48" s="90" t="s">
        <v>316</v>
      </c>
      <c r="K48" s="129">
        <v>0.0</v>
      </c>
      <c r="L48" s="130"/>
      <c r="M48" s="131">
        <v>90000.0</v>
      </c>
      <c r="N48" s="80"/>
      <c r="O48" s="66"/>
    </row>
    <row r="49">
      <c r="A49" s="89">
        <v>12.0</v>
      </c>
      <c r="B49" s="128" t="s">
        <v>159</v>
      </c>
      <c r="C49" s="128" t="s">
        <v>317</v>
      </c>
      <c r="D49" s="126">
        <v>46157.0</v>
      </c>
      <c r="E49" s="90" t="s">
        <v>308</v>
      </c>
      <c r="F49" s="90" t="b">
        <v>1</v>
      </c>
      <c r="G49" s="126">
        <v>46158.0</v>
      </c>
      <c r="H49" s="128" t="s">
        <v>308</v>
      </c>
      <c r="I49" s="90" t="b">
        <v>1</v>
      </c>
      <c r="J49" s="90" t="s">
        <v>309</v>
      </c>
      <c r="K49" s="129">
        <v>0.0</v>
      </c>
      <c r="L49" s="130"/>
      <c r="M49" s="131">
        <v>90000.0</v>
      </c>
      <c r="N49" s="80"/>
      <c r="O49" s="66"/>
    </row>
    <row r="50">
      <c r="A50" s="89">
        <v>13.0</v>
      </c>
      <c r="B50" s="132" t="s">
        <v>162</v>
      </c>
      <c r="C50" s="132" t="s">
        <v>318</v>
      </c>
      <c r="D50" s="133">
        <v>46158.0</v>
      </c>
      <c r="E50" s="128" t="s">
        <v>293</v>
      </c>
      <c r="F50" s="90" t="b">
        <v>1</v>
      </c>
      <c r="G50" s="133">
        <v>46159.0</v>
      </c>
      <c r="H50" s="128" t="s">
        <v>293</v>
      </c>
      <c r="I50" s="90" t="b">
        <v>1</v>
      </c>
      <c r="J50" s="132" t="s">
        <v>319</v>
      </c>
      <c r="K50" s="129">
        <v>0.0</v>
      </c>
      <c r="L50" s="130"/>
      <c r="M50" s="134">
        <v>235000.0</v>
      </c>
      <c r="N50" s="80"/>
      <c r="O50" s="66"/>
    </row>
    <row r="51">
      <c r="A51" s="89">
        <v>14.0</v>
      </c>
      <c r="B51" s="132" t="s">
        <v>165</v>
      </c>
      <c r="C51" s="132" t="s">
        <v>320</v>
      </c>
      <c r="D51" s="135">
        <v>46159.0</v>
      </c>
      <c r="E51" s="136" t="s">
        <v>293</v>
      </c>
      <c r="F51" s="90" t="b">
        <v>1</v>
      </c>
      <c r="G51" s="135">
        <v>46160.0</v>
      </c>
      <c r="H51" s="136" t="s">
        <v>293</v>
      </c>
      <c r="I51" s="90" t="b">
        <v>1</v>
      </c>
      <c r="J51" s="137" t="s">
        <v>321</v>
      </c>
      <c r="K51" s="107">
        <v>0.0</v>
      </c>
      <c r="L51" s="130"/>
      <c r="M51" s="134">
        <v>186000.0</v>
      </c>
      <c r="N51" s="80"/>
      <c r="O51" s="66"/>
    </row>
    <row r="52">
      <c r="A52" s="89">
        <v>15.0</v>
      </c>
      <c r="B52" s="132" t="s">
        <v>168</v>
      </c>
      <c r="C52" s="132" t="s">
        <v>322</v>
      </c>
      <c r="D52" s="135">
        <v>46162.0</v>
      </c>
      <c r="E52" s="136" t="s">
        <v>308</v>
      </c>
      <c r="F52" s="90" t="b">
        <v>1</v>
      </c>
      <c r="G52" s="138">
        <v>46166.0</v>
      </c>
      <c r="H52" s="136" t="s">
        <v>308</v>
      </c>
      <c r="I52" s="90" t="b">
        <v>1</v>
      </c>
      <c r="J52" s="137" t="s">
        <v>323</v>
      </c>
      <c r="K52" s="139">
        <v>0.0</v>
      </c>
      <c r="L52" s="140" t="s">
        <v>239</v>
      </c>
      <c r="M52" s="131">
        <v>390000.0</v>
      </c>
      <c r="N52" s="80"/>
      <c r="O52" s="66"/>
    </row>
    <row r="53">
      <c r="A53" s="89">
        <v>16.0</v>
      </c>
      <c r="B53" s="128" t="s">
        <v>171</v>
      </c>
      <c r="C53" s="128" t="s">
        <v>324</v>
      </c>
      <c r="D53" s="138">
        <v>46162.0</v>
      </c>
      <c r="E53" s="136" t="s">
        <v>308</v>
      </c>
      <c r="F53" s="90" t="b">
        <v>1</v>
      </c>
      <c r="G53" s="138">
        <v>46167.0</v>
      </c>
      <c r="H53" s="136" t="s">
        <v>308</v>
      </c>
      <c r="I53" s="90" t="b">
        <v>1</v>
      </c>
      <c r="J53" s="141" t="s">
        <v>325</v>
      </c>
      <c r="K53" s="129">
        <v>0.0</v>
      </c>
      <c r="L53" s="142" t="s">
        <v>239</v>
      </c>
      <c r="M53" s="131">
        <v>295000.0</v>
      </c>
      <c r="N53" s="80"/>
      <c r="O53" s="66"/>
    </row>
    <row r="54">
      <c r="A54" s="89">
        <v>17.0</v>
      </c>
      <c r="B54" s="128" t="s">
        <v>173</v>
      </c>
      <c r="C54" s="128" t="s">
        <v>326</v>
      </c>
      <c r="D54" s="135">
        <v>46163.0</v>
      </c>
      <c r="E54" s="136" t="s">
        <v>293</v>
      </c>
      <c r="F54" s="90" t="b">
        <v>1</v>
      </c>
      <c r="G54" s="138">
        <v>46164.0</v>
      </c>
      <c r="H54" s="136" t="s">
        <v>293</v>
      </c>
      <c r="I54" s="90" t="b">
        <v>1</v>
      </c>
      <c r="J54" s="141" t="s">
        <v>327</v>
      </c>
      <c r="K54" s="129">
        <v>0.0</v>
      </c>
      <c r="L54" s="142" t="s">
        <v>239</v>
      </c>
      <c r="M54" s="131">
        <v>94000.0</v>
      </c>
      <c r="N54" s="80"/>
      <c r="O54" s="66"/>
    </row>
    <row r="55">
      <c r="A55" s="89">
        <v>18.0</v>
      </c>
      <c r="B55" s="128" t="s">
        <v>176</v>
      </c>
      <c r="C55" s="128" t="s">
        <v>328</v>
      </c>
      <c r="D55" s="138">
        <v>46165.0</v>
      </c>
      <c r="E55" s="136" t="s">
        <v>293</v>
      </c>
      <c r="F55" s="90" t="b">
        <v>1</v>
      </c>
      <c r="G55" s="138">
        <v>46168.0</v>
      </c>
      <c r="H55" s="136" t="s">
        <v>329</v>
      </c>
      <c r="I55" s="119" t="b">
        <v>0</v>
      </c>
      <c r="J55" s="141" t="s">
        <v>330</v>
      </c>
      <c r="K55" s="129">
        <v>0.0</v>
      </c>
      <c r="L55" s="142" t="s">
        <v>239</v>
      </c>
      <c r="M55" s="131">
        <v>430000.0</v>
      </c>
      <c r="N55" s="87">
        <v>-84000.0</v>
      </c>
      <c r="O55" s="66"/>
    </row>
    <row r="56">
      <c r="A56" s="89">
        <v>19.0</v>
      </c>
      <c r="B56" s="128" t="s">
        <v>176</v>
      </c>
      <c r="C56" s="128" t="s">
        <v>328</v>
      </c>
      <c r="D56" s="138">
        <v>46167.0</v>
      </c>
      <c r="E56" s="136" t="s">
        <v>308</v>
      </c>
      <c r="F56" s="90" t="b">
        <v>1</v>
      </c>
      <c r="G56" s="138">
        <v>46168.0</v>
      </c>
      <c r="H56" s="136" t="s">
        <v>329</v>
      </c>
      <c r="I56" s="119" t="b">
        <v>0</v>
      </c>
      <c r="J56" s="141" t="s">
        <v>331</v>
      </c>
      <c r="K56" s="129">
        <v>0.0</v>
      </c>
      <c r="L56" s="130"/>
      <c r="M56" s="131">
        <v>100000.0</v>
      </c>
      <c r="N56" s="80"/>
      <c r="O56" s="66"/>
    </row>
    <row r="57">
      <c r="A57" s="89">
        <v>20.0</v>
      </c>
      <c r="B57" s="132" t="s">
        <v>180</v>
      </c>
      <c r="C57" s="132" t="s">
        <v>322</v>
      </c>
      <c r="D57" s="135">
        <v>46168.0</v>
      </c>
      <c r="E57" s="136" t="s">
        <v>293</v>
      </c>
      <c r="F57" s="90" t="b">
        <v>1</v>
      </c>
      <c r="G57" s="135">
        <v>46172.0</v>
      </c>
      <c r="H57" s="136" t="s">
        <v>329</v>
      </c>
      <c r="I57" s="119" t="b">
        <v>0</v>
      </c>
      <c r="J57" s="137" t="s">
        <v>332</v>
      </c>
      <c r="K57" s="143">
        <v>525000.0</v>
      </c>
      <c r="L57" s="130"/>
      <c r="M57" s="134">
        <v>745000.0</v>
      </c>
      <c r="N57" s="80"/>
      <c r="O57" s="66"/>
    </row>
    <row r="58">
      <c r="A58" s="89">
        <v>21.0</v>
      </c>
      <c r="B58" s="144" t="s">
        <v>183</v>
      </c>
      <c r="C58" s="144" t="s">
        <v>333</v>
      </c>
      <c r="D58" s="135">
        <v>46168.0</v>
      </c>
      <c r="E58" s="136" t="s">
        <v>293</v>
      </c>
      <c r="F58" s="90" t="b">
        <v>1</v>
      </c>
      <c r="G58" s="135">
        <v>46174.0</v>
      </c>
      <c r="H58" s="141" t="s">
        <v>329</v>
      </c>
      <c r="I58" s="119" t="b">
        <v>0</v>
      </c>
      <c r="J58" s="137" t="s">
        <v>233</v>
      </c>
      <c r="K58" s="143">
        <v>248000.0</v>
      </c>
      <c r="L58" s="86"/>
      <c r="M58" s="134">
        <v>355000.0</v>
      </c>
      <c r="N58" s="80"/>
      <c r="O58" s="66"/>
    </row>
    <row r="59">
      <c r="A59" s="89">
        <v>22.0</v>
      </c>
      <c r="B59" s="128" t="s">
        <v>334</v>
      </c>
      <c r="C59" s="128" t="s">
        <v>335</v>
      </c>
      <c r="D59" s="138">
        <v>46170.0</v>
      </c>
      <c r="E59" s="136" t="s">
        <v>329</v>
      </c>
      <c r="F59" s="90" t="b">
        <v>0</v>
      </c>
      <c r="G59" s="138">
        <v>46174.0</v>
      </c>
      <c r="H59" s="141"/>
      <c r="I59" s="119" t="b">
        <v>0</v>
      </c>
      <c r="J59" s="141" t="s">
        <v>316</v>
      </c>
      <c r="K59" s="129">
        <v>105000.0</v>
      </c>
      <c r="L59" s="97"/>
      <c r="M59" s="131">
        <v>205000.0</v>
      </c>
      <c r="N59" s="80"/>
      <c r="O59" s="66"/>
    </row>
    <row r="60">
      <c r="A60" s="89">
        <v>23.0</v>
      </c>
      <c r="B60" s="128" t="s">
        <v>185</v>
      </c>
      <c r="C60" s="128" t="s">
        <v>336</v>
      </c>
      <c r="D60" s="138">
        <v>46171.0</v>
      </c>
      <c r="E60" s="136" t="s">
        <v>329</v>
      </c>
      <c r="F60" s="90" t="b">
        <v>0</v>
      </c>
      <c r="G60" s="138">
        <v>46174.0</v>
      </c>
      <c r="H60" s="141" t="s">
        <v>337</v>
      </c>
      <c r="I60" s="119" t="b">
        <v>0</v>
      </c>
      <c r="J60" s="141" t="s">
        <v>338</v>
      </c>
      <c r="K60" s="129">
        <v>137000.0</v>
      </c>
      <c r="L60" s="97" t="s">
        <v>239</v>
      </c>
      <c r="M60" s="131">
        <v>196000.0</v>
      </c>
      <c r="N60" s="80"/>
      <c r="O60" s="66"/>
    </row>
    <row r="61">
      <c r="A61" s="89">
        <v>24.0</v>
      </c>
      <c r="B61" s="128" t="s">
        <v>188</v>
      </c>
      <c r="C61" s="128" t="s">
        <v>339</v>
      </c>
      <c r="D61" s="138">
        <v>46172.0</v>
      </c>
      <c r="E61" s="136" t="s">
        <v>340</v>
      </c>
      <c r="F61" s="90" t="b">
        <v>0</v>
      </c>
      <c r="G61" s="138">
        <v>46174.0</v>
      </c>
      <c r="H61" s="141" t="s">
        <v>329</v>
      </c>
      <c r="I61" s="119" t="b">
        <v>0</v>
      </c>
      <c r="J61" s="141" t="s">
        <v>341</v>
      </c>
      <c r="K61" s="129">
        <v>665000.0</v>
      </c>
      <c r="L61" s="86"/>
      <c r="M61" s="131">
        <v>965000.0</v>
      </c>
      <c r="N61" s="80"/>
      <c r="O61" s="66"/>
    </row>
    <row r="62">
      <c r="A62" s="89">
        <v>25.0</v>
      </c>
      <c r="B62" s="128" t="s">
        <v>191</v>
      </c>
      <c r="C62" s="128" t="s">
        <v>342</v>
      </c>
      <c r="D62" s="138">
        <v>46172.0</v>
      </c>
      <c r="E62" s="136" t="s">
        <v>329</v>
      </c>
      <c r="F62" s="90" t="b">
        <v>0</v>
      </c>
      <c r="G62" s="138">
        <v>46174.0</v>
      </c>
      <c r="H62" s="141" t="s">
        <v>337</v>
      </c>
      <c r="I62" s="119" t="b">
        <v>0</v>
      </c>
      <c r="J62" s="141" t="s">
        <v>343</v>
      </c>
      <c r="K62" s="145">
        <v>301000.0</v>
      </c>
      <c r="L62" s="86"/>
      <c r="M62" s="131">
        <v>430000.0</v>
      </c>
      <c r="N62" s="80"/>
      <c r="O62" s="66"/>
    </row>
    <row r="63">
      <c r="A63" s="89">
        <v>26.0</v>
      </c>
      <c r="B63" s="128" t="s">
        <v>194</v>
      </c>
      <c r="C63" s="128" t="s">
        <v>344</v>
      </c>
      <c r="D63" s="138">
        <v>46172.0</v>
      </c>
      <c r="E63" s="136" t="s">
        <v>329</v>
      </c>
      <c r="F63" s="137"/>
      <c r="G63" s="138">
        <v>46173.0</v>
      </c>
      <c r="H63" s="137"/>
      <c r="I63" s="146"/>
      <c r="J63" s="141" t="s">
        <v>345</v>
      </c>
      <c r="K63" s="129">
        <v>154000.0</v>
      </c>
      <c r="L63" s="86"/>
      <c r="M63" s="131">
        <v>220000.0</v>
      </c>
      <c r="N63" s="80"/>
      <c r="O63" s="80"/>
      <c r="P63" s="86"/>
      <c r="Q63" s="86"/>
    </row>
    <row r="64">
      <c r="A64" s="89"/>
      <c r="B64" s="147"/>
      <c r="C64" s="147"/>
      <c r="D64" s="135"/>
      <c r="E64" s="148"/>
      <c r="F64" s="137"/>
      <c r="G64" s="135"/>
      <c r="H64" s="137"/>
      <c r="I64" s="146"/>
      <c r="J64" s="137"/>
      <c r="K64" s="149"/>
      <c r="L64" s="86"/>
      <c r="M64" s="134"/>
      <c r="N64" s="80"/>
      <c r="O64" s="66"/>
    </row>
    <row r="65">
      <c r="A65" s="125" t="s">
        <v>346</v>
      </c>
      <c r="C65" s="111"/>
      <c r="D65" s="111"/>
      <c r="E65" s="111"/>
      <c r="F65" s="111"/>
      <c r="G65" s="111"/>
      <c r="H65" s="111"/>
      <c r="I65" s="111"/>
      <c r="J65" s="111"/>
      <c r="K65" s="80"/>
      <c r="L65" s="86"/>
      <c r="M65" s="80"/>
      <c r="N65" s="80"/>
      <c r="O65" s="66"/>
    </row>
    <row r="66">
      <c r="C66" s="111"/>
      <c r="D66" s="111"/>
      <c r="E66" s="111"/>
      <c r="F66" s="111"/>
      <c r="G66" s="111"/>
      <c r="H66" s="111"/>
      <c r="I66" s="111"/>
      <c r="J66" s="111"/>
      <c r="K66" s="80"/>
      <c r="L66" s="97" t="s">
        <v>347</v>
      </c>
      <c r="M66" s="150">
        <f>SUM(M38:M64)</f>
        <v>8340000</v>
      </c>
      <c r="N66" s="80"/>
      <c r="O66" s="66"/>
    </row>
    <row r="67">
      <c r="C67" s="111"/>
      <c r="D67" s="111"/>
      <c r="E67" s="111"/>
      <c r="F67" s="111"/>
      <c r="G67" s="111"/>
      <c r="H67" s="111"/>
      <c r="I67" s="111"/>
      <c r="J67" s="111"/>
      <c r="K67" s="80"/>
      <c r="L67" s="86"/>
      <c r="M67" s="80"/>
      <c r="N67" s="80"/>
      <c r="O67" s="66"/>
    </row>
    <row r="68">
      <c r="A68" s="89">
        <v>1.0</v>
      </c>
      <c r="B68" s="90" t="s">
        <v>348</v>
      </c>
      <c r="C68" s="90" t="s">
        <v>349</v>
      </c>
      <c r="D68" s="126">
        <v>46178.0</v>
      </c>
      <c r="E68" s="90"/>
      <c r="F68" s="119" t="b">
        <v>0</v>
      </c>
      <c r="G68" s="126">
        <v>46179.0</v>
      </c>
      <c r="H68" s="90"/>
      <c r="I68" s="119" t="b">
        <v>0</v>
      </c>
      <c r="J68" s="127" t="s">
        <v>350</v>
      </c>
      <c r="K68" s="95">
        <v>410000.0</v>
      </c>
      <c r="L68" s="86"/>
      <c r="M68" s="87">
        <v>810000.0</v>
      </c>
      <c r="N68" s="80"/>
      <c r="O68" s="66"/>
    </row>
    <row r="69">
      <c r="A69" s="89">
        <v>2.0</v>
      </c>
      <c r="B69" s="90"/>
      <c r="C69" s="90"/>
      <c r="D69" s="126"/>
      <c r="E69" s="90"/>
      <c r="F69" s="119" t="b">
        <v>0</v>
      </c>
      <c r="G69" s="126"/>
      <c r="H69" s="90"/>
      <c r="I69" s="119" t="b">
        <v>0</v>
      </c>
      <c r="J69" s="90"/>
      <c r="K69" s="95"/>
      <c r="L69" s="86"/>
      <c r="M69" s="80"/>
      <c r="N69" s="80"/>
      <c r="O69" s="66"/>
    </row>
    <row r="70">
      <c r="A70" s="89">
        <v>3.0</v>
      </c>
      <c r="B70" s="90"/>
      <c r="C70" s="90"/>
      <c r="D70" s="126"/>
      <c r="E70" s="90"/>
      <c r="F70" s="119" t="b">
        <v>0</v>
      </c>
      <c r="G70" s="126"/>
      <c r="H70" s="90"/>
      <c r="I70" s="119" t="b">
        <v>0</v>
      </c>
      <c r="J70" s="90"/>
      <c r="K70" s="95"/>
      <c r="L70" s="86"/>
      <c r="M70" s="80"/>
      <c r="N70" s="80"/>
      <c r="O70" s="66"/>
    </row>
    <row r="71">
      <c r="A71" s="89">
        <v>4.0</v>
      </c>
      <c r="B71" s="90"/>
      <c r="C71" s="90"/>
      <c r="D71" s="126"/>
      <c r="E71" s="90"/>
      <c r="F71" s="119" t="b">
        <v>0</v>
      </c>
      <c r="G71" s="126"/>
      <c r="H71" s="90"/>
      <c r="I71" s="119" t="b">
        <v>0</v>
      </c>
      <c r="J71" s="90"/>
      <c r="K71" s="95"/>
      <c r="L71" s="86"/>
      <c r="M71" s="80"/>
      <c r="N71" s="80"/>
      <c r="O71" s="66"/>
    </row>
    <row r="72">
      <c r="A72" s="89">
        <v>5.0</v>
      </c>
      <c r="B72" s="90"/>
      <c r="C72" s="90"/>
      <c r="D72" s="126"/>
      <c r="E72" s="90"/>
      <c r="F72" s="119" t="b">
        <v>0</v>
      </c>
      <c r="G72" s="126"/>
      <c r="H72" s="90"/>
      <c r="I72" s="119" t="b">
        <v>0</v>
      </c>
      <c r="J72" s="90"/>
      <c r="K72" s="95"/>
      <c r="L72" s="86"/>
      <c r="M72" s="80"/>
      <c r="N72" s="80"/>
      <c r="O72" s="66"/>
    </row>
    <row r="73">
      <c r="A73" s="89">
        <v>6.0</v>
      </c>
      <c r="B73" s="90"/>
      <c r="C73" s="90"/>
      <c r="D73" s="126"/>
      <c r="E73" s="90"/>
      <c r="F73" s="119" t="b">
        <v>0</v>
      </c>
      <c r="G73" s="126"/>
      <c r="H73" s="90"/>
      <c r="I73" s="119" t="b">
        <v>0</v>
      </c>
      <c r="J73" s="90"/>
      <c r="K73" s="95"/>
      <c r="L73" s="86"/>
      <c r="M73" s="80"/>
      <c r="N73" s="80"/>
      <c r="O73" s="66"/>
    </row>
    <row r="74">
      <c r="A74" s="89">
        <v>7.0</v>
      </c>
      <c r="B74" s="90"/>
      <c r="C74" s="90"/>
      <c r="D74" s="126"/>
      <c r="E74" s="90"/>
      <c r="F74" s="119" t="b">
        <v>0</v>
      </c>
      <c r="G74" s="126"/>
      <c r="H74" s="90"/>
      <c r="I74" s="119" t="b">
        <v>0</v>
      </c>
      <c r="J74" s="90"/>
      <c r="K74" s="95"/>
      <c r="L74" s="86"/>
      <c r="M74" s="80"/>
      <c r="N74" s="80"/>
      <c r="O74" s="66"/>
    </row>
    <row r="75">
      <c r="A75" s="79"/>
      <c r="B75" s="111"/>
      <c r="C75" s="111"/>
      <c r="D75" s="111"/>
      <c r="E75" s="111"/>
      <c r="F75" s="111"/>
      <c r="G75" s="111"/>
      <c r="H75" s="111"/>
      <c r="I75" s="111"/>
      <c r="J75" s="111"/>
      <c r="K75" s="80"/>
      <c r="L75" s="86"/>
      <c r="M75" s="80"/>
      <c r="N75" s="80"/>
      <c r="O75" s="66"/>
    </row>
    <row r="76">
      <c r="A76" s="79"/>
      <c r="B76" s="111"/>
      <c r="C76" s="111"/>
      <c r="D76" s="111"/>
      <c r="E76" s="111"/>
      <c r="F76" s="111"/>
      <c r="G76" s="111"/>
      <c r="H76" s="111"/>
      <c r="I76" s="111"/>
      <c r="J76" s="111"/>
      <c r="K76" s="80"/>
      <c r="L76" s="86"/>
      <c r="M76" s="80"/>
      <c r="N76" s="80"/>
      <c r="O76" s="66"/>
    </row>
    <row r="77">
      <c r="A77" s="79"/>
      <c r="B77" s="111"/>
      <c r="C77" s="111"/>
      <c r="D77" s="111"/>
      <c r="E77" s="111"/>
      <c r="F77" s="111"/>
      <c r="G77" s="111"/>
      <c r="H77" s="111"/>
      <c r="I77" s="111"/>
      <c r="J77" s="111"/>
      <c r="K77" s="80"/>
      <c r="L77" s="86"/>
      <c r="M77" s="80"/>
      <c r="N77" s="80"/>
      <c r="O77" s="66"/>
    </row>
    <row r="78">
      <c r="A78" s="79"/>
      <c r="B78" s="111"/>
      <c r="C78" s="111"/>
      <c r="D78" s="111"/>
      <c r="E78" s="111"/>
      <c r="F78" s="111"/>
      <c r="G78" s="111"/>
      <c r="H78" s="111"/>
      <c r="I78" s="111"/>
      <c r="J78" s="111"/>
      <c r="K78" s="80"/>
      <c r="L78" s="86"/>
      <c r="M78" s="80"/>
      <c r="N78" s="80"/>
      <c r="O78" s="66"/>
    </row>
    <row r="79">
      <c r="A79" s="79"/>
      <c r="B79" s="111"/>
      <c r="C79" s="111"/>
      <c r="D79" s="111"/>
      <c r="E79" s="111"/>
      <c r="F79" s="111"/>
      <c r="G79" s="111"/>
      <c r="H79" s="111"/>
      <c r="I79" s="111"/>
      <c r="J79" s="111"/>
      <c r="K79" s="80"/>
      <c r="L79" s="86"/>
      <c r="M79" s="80"/>
      <c r="N79" s="80"/>
      <c r="O79" s="66"/>
    </row>
    <row r="80" ht="22.5" customHeight="1">
      <c r="A80" s="79"/>
      <c r="B80" s="151" t="s">
        <v>351</v>
      </c>
      <c r="C80" s="151" t="s">
        <v>352</v>
      </c>
      <c r="D80" s="151" t="s">
        <v>353</v>
      </c>
      <c r="E80" s="151" t="s">
        <v>354</v>
      </c>
      <c r="F80" s="152" t="s">
        <v>355</v>
      </c>
      <c r="G80" s="151" t="s">
        <v>202</v>
      </c>
      <c r="H80" s="111"/>
      <c r="I80" s="111"/>
      <c r="J80" s="111"/>
      <c r="K80" s="80"/>
      <c r="L80" s="86"/>
      <c r="M80" s="80"/>
      <c r="N80" s="80"/>
      <c r="O80" s="66"/>
    </row>
    <row r="81" ht="46.5" customHeight="1">
      <c r="A81" s="79"/>
      <c r="B81" s="7">
        <v>46098.0</v>
      </c>
      <c r="C81" s="5" t="s">
        <v>222</v>
      </c>
      <c r="D81" s="9" t="s">
        <v>29</v>
      </c>
      <c r="E81" s="5" t="s">
        <v>54</v>
      </c>
      <c r="F81" s="5"/>
      <c r="G81" s="5" t="s">
        <v>356</v>
      </c>
      <c r="H81" s="111"/>
      <c r="I81" s="111"/>
      <c r="J81" s="111"/>
      <c r="K81" s="80"/>
      <c r="L81" s="86"/>
      <c r="M81" s="80"/>
      <c r="N81" s="80"/>
      <c r="O81" s="66"/>
    </row>
    <row r="82" ht="46.5" customHeight="1">
      <c r="A82" s="79"/>
      <c r="B82" s="7">
        <v>46098.0</v>
      </c>
      <c r="C82" s="5" t="s">
        <v>222</v>
      </c>
      <c r="D82" s="9" t="s">
        <v>30</v>
      </c>
      <c r="E82" s="5" t="s">
        <v>357</v>
      </c>
      <c r="F82" s="5"/>
      <c r="G82" s="5" t="s">
        <v>208</v>
      </c>
      <c r="H82" s="111"/>
      <c r="I82" s="111"/>
      <c r="J82" s="111"/>
      <c r="K82" s="80"/>
      <c r="L82" s="86"/>
      <c r="M82" s="80"/>
      <c r="N82" s="80"/>
      <c r="O82" s="66"/>
    </row>
    <row r="83" ht="46.5" customHeight="1">
      <c r="A83" s="79"/>
      <c r="B83" s="7">
        <v>46099.0</v>
      </c>
      <c r="C83" s="5" t="s">
        <v>225</v>
      </c>
      <c r="D83" s="9" t="s">
        <v>30</v>
      </c>
      <c r="E83" s="5" t="s">
        <v>357</v>
      </c>
      <c r="F83" s="5"/>
      <c r="G83" s="5" t="s">
        <v>208</v>
      </c>
      <c r="H83" s="111"/>
      <c r="I83" s="111"/>
      <c r="J83" s="111"/>
      <c r="K83" s="80"/>
      <c r="L83" s="86"/>
      <c r="M83" s="80"/>
      <c r="N83" s="80"/>
      <c r="O83" s="66"/>
    </row>
    <row r="84" ht="46.5" customHeight="1">
      <c r="A84" s="79"/>
      <c r="B84" s="7">
        <v>46099.0</v>
      </c>
      <c r="C84" s="5" t="s">
        <v>222</v>
      </c>
      <c r="D84" s="9" t="s">
        <v>29</v>
      </c>
      <c r="E84" s="5" t="s">
        <v>57</v>
      </c>
      <c r="F84" s="5"/>
      <c r="G84" s="5" t="s">
        <v>358</v>
      </c>
      <c r="H84" s="111"/>
      <c r="I84" s="111"/>
      <c r="J84" s="111"/>
      <c r="K84" s="80"/>
      <c r="L84" s="86"/>
      <c r="M84" s="80"/>
      <c r="N84" s="80"/>
      <c r="O84" s="66"/>
    </row>
    <row r="85" ht="46.5" customHeight="1">
      <c r="A85" s="79"/>
      <c r="B85" s="7">
        <v>46100.0</v>
      </c>
      <c r="C85" s="5" t="s">
        <v>222</v>
      </c>
      <c r="D85" s="9" t="s">
        <v>37</v>
      </c>
      <c r="E85" s="5" t="s">
        <v>42</v>
      </c>
      <c r="F85" s="5"/>
      <c r="G85" s="5" t="s">
        <v>248</v>
      </c>
      <c r="H85" s="111"/>
      <c r="I85" s="114"/>
      <c r="J85" s="114"/>
      <c r="K85" s="80"/>
      <c r="L85" s="86"/>
      <c r="M85" s="80"/>
      <c r="N85" s="80"/>
      <c r="O85" s="66"/>
    </row>
    <row r="86" ht="46.5" customHeight="1">
      <c r="A86" s="79"/>
      <c r="B86" s="7">
        <v>46103.0</v>
      </c>
      <c r="C86" s="5" t="s">
        <v>222</v>
      </c>
      <c r="D86" s="9" t="s">
        <v>29</v>
      </c>
      <c r="E86" s="5" t="s">
        <v>359</v>
      </c>
      <c r="F86" s="5"/>
      <c r="G86" s="5" t="s">
        <v>210</v>
      </c>
      <c r="H86" s="111"/>
      <c r="I86" s="111"/>
      <c r="J86" s="111"/>
      <c r="K86" s="80"/>
      <c r="L86" s="86"/>
      <c r="M86" s="80"/>
      <c r="N86" s="80"/>
      <c r="O86" s="66"/>
    </row>
    <row r="87" ht="46.5" customHeight="1">
      <c r="A87" s="79"/>
      <c r="B87" s="7">
        <v>46103.0</v>
      </c>
      <c r="C87" s="5" t="s">
        <v>222</v>
      </c>
      <c r="D87" s="9" t="s">
        <v>29</v>
      </c>
      <c r="E87" s="5" t="s">
        <v>360</v>
      </c>
      <c r="F87" s="5"/>
      <c r="G87" s="5" t="s">
        <v>361</v>
      </c>
      <c r="H87" s="111"/>
      <c r="I87" s="111"/>
      <c r="J87" s="111"/>
      <c r="K87" s="80"/>
      <c r="M87" s="80"/>
      <c r="N87" s="80"/>
      <c r="O87" s="66"/>
    </row>
    <row r="88" ht="46.5" customHeight="1">
      <c r="A88" s="79"/>
      <c r="B88" s="7">
        <v>46104.0</v>
      </c>
      <c r="C88" s="5" t="s">
        <v>225</v>
      </c>
      <c r="D88" s="9" t="s">
        <v>37</v>
      </c>
      <c r="E88" s="5" t="s">
        <v>54</v>
      </c>
      <c r="F88" s="5"/>
      <c r="G88" s="5" t="s">
        <v>238</v>
      </c>
      <c r="H88" s="111"/>
      <c r="I88" s="111"/>
      <c r="J88" s="111"/>
      <c r="K88" s="80"/>
      <c r="M88" s="80"/>
      <c r="N88" s="80"/>
      <c r="O88" s="66"/>
    </row>
    <row r="89" ht="46.5" customHeight="1">
      <c r="A89" s="79"/>
      <c r="B89" s="7">
        <v>46104.0</v>
      </c>
      <c r="C89" s="5" t="s">
        <v>225</v>
      </c>
      <c r="D89" s="9" t="s">
        <v>37</v>
      </c>
      <c r="E89" s="5" t="s">
        <v>42</v>
      </c>
      <c r="F89" s="5"/>
      <c r="G89" s="5" t="s">
        <v>248</v>
      </c>
      <c r="H89" s="79"/>
      <c r="I89" s="79"/>
      <c r="J89" s="79"/>
      <c r="K89" s="80"/>
      <c r="M89" s="80"/>
      <c r="N89" s="80"/>
      <c r="O89" s="66"/>
    </row>
    <row r="90" ht="46.5" customHeight="1">
      <c r="A90" s="79"/>
      <c r="B90" s="7">
        <v>46104.0</v>
      </c>
      <c r="C90" s="5" t="s">
        <v>225</v>
      </c>
      <c r="D90" s="9" t="s">
        <v>37</v>
      </c>
      <c r="E90" s="5" t="s">
        <v>360</v>
      </c>
      <c r="F90" s="5"/>
      <c r="G90" s="5" t="s">
        <v>362</v>
      </c>
      <c r="H90" s="79"/>
      <c r="I90" s="79"/>
      <c r="J90" s="79"/>
      <c r="K90" s="80"/>
      <c r="M90" s="80"/>
      <c r="N90" s="80"/>
      <c r="O90" s="66"/>
    </row>
    <row r="91" ht="46.5" customHeight="1">
      <c r="A91" s="79"/>
      <c r="B91" s="7">
        <v>46105.0</v>
      </c>
      <c r="C91" s="5" t="s">
        <v>225</v>
      </c>
      <c r="D91" s="9" t="s">
        <v>29</v>
      </c>
      <c r="E91" s="5" t="s">
        <v>57</v>
      </c>
      <c r="F91" s="5"/>
      <c r="G91" s="5" t="s">
        <v>358</v>
      </c>
      <c r="H91" s="79"/>
      <c r="I91" s="79"/>
      <c r="J91" s="79"/>
      <c r="K91" s="80"/>
      <c r="M91" s="80"/>
      <c r="N91" s="80"/>
      <c r="O91" s="66"/>
    </row>
    <row r="92" ht="46.5" customHeight="1">
      <c r="A92" s="79"/>
      <c r="B92" s="7">
        <v>46109.0</v>
      </c>
      <c r="C92" s="5" t="s">
        <v>225</v>
      </c>
      <c r="D92" s="9" t="s">
        <v>29</v>
      </c>
      <c r="E92" s="5" t="s">
        <v>359</v>
      </c>
      <c r="F92" s="5"/>
      <c r="G92" s="5" t="s">
        <v>210</v>
      </c>
      <c r="H92" s="79"/>
      <c r="I92" s="79"/>
      <c r="J92" s="79"/>
      <c r="K92" s="80"/>
      <c r="M92" s="80"/>
      <c r="N92" s="80"/>
      <c r="O92" s="6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0"/>
      <c r="M93" s="80"/>
      <c r="N93" s="80"/>
      <c r="O93" s="6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0"/>
      <c r="M94" s="80"/>
      <c r="N94" s="80"/>
      <c r="O94" s="6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0"/>
      <c r="M95" s="80"/>
      <c r="N95" s="80"/>
      <c r="O95" s="6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0"/>
      <c r="M96" s="80"/>
      <c r="N96" s="80"/>
      <c r="O96" s="6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0"/>
      <c r="M97" s="80"/>
      <c r="N97" s="80"/>
      <c r="O97" s="6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0"/>
      <c r="M98" s="80"/>
      <c r="N98" s="80"/>
      <c r="O98" s="6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0"/>
      <c r="M99" s="80"/>
      <c r="N99" s="80"/>
      <c r="O99" s="66"/>
    </row>
    <row r="100">
      <c r="K100" s="80"/>
      <c r="M100" s="80"/>
      <c r="N100" s="80"/>
      <c r="O100" s="66"/>
    </row>
    <row r="101">
      <c r="K101" s="80"/>
      <c r="M101" s="80"/>
      <c r="N101" s="80"/>
      <c r="O101" s="66"/>
    </row>
    <row r="102">
      <c r="K102" s="80"/>
      <c r="M102" s="80"/>
      <c r="N102" s="80"/>
      <c r="O102" s="66"/>
    </row>
    <row r="103">
      <c r="K103" s="80"/>
      <c r="M103" s="80"/>
      <c r="N103" s="80"/>
      <c r="O103" s="66"/>
    </row>
    <row r="104">
      <c r="K104" s="80"/>
      <c r="M104" s="80"/>
      <c r="N104" s="80"/>
      <c r="O104" s="66"/>
    </row>
    <row r="105">
      <c r="K105" s="80"/>
      <c r="M105" s="80"/>
      <c r="N105" s="80"/>
      <c r="O105" s="66"/>
    </row>
    <row r="106">
      <c r="K106" s="80"/>
      <c r="M106" s="80"/>
      <c r="N106" s="80"/>
      <c r="O106" s="66"/>
    </row>
    <row r="107">
      <c r="K107" s="80"/>
      <c r="M107" s="80"/>
      <c r="N107" s="80"/>
      <c r="O107" s="66"/>
    </row>
    <row r="108">
      <c r="K108" s="80"/>
      <c r="M108" s="80"/>
      <c r="N108" s="80"/>
      <c r="O108" s="66"/>
    </row>
    <row r="109">
      <c r="K109" s="80"/>
      <c r="M109" s="80"/>
      <c r="N109" s="80"/>
      <c r="O109" s="66"/>
    </row>
    <row r="110">
      <c r="K110" s="80"/>
      <c r="M110" s="80"/>
      <c r="N110" s="80"/>
      <c r="O110" s="66"/>
    </row>
    <row r="111">
      <c r="K111" s="80"/>
      <c r="M111" s="80"/>
      <c r="N111" s="80"/>
      <c r="O111" s="66"/>
    </row>
    <row r="112">
      <c r="K112" s="80"/>
      <c r="M112" s="80"/>
      <c r="N112" s="80"/>
      <c r="O112" s="66"/>
    </row>
    <row r="113">
      <c r="K113" s="80"/>
      <c r="M113" s="80"/>
      <c r="N113" s="80"/>
      <c r="O113" s="66"/>
    </row>
    <row r="114">
      <c r="K114" s="80"/>
      <c r="M114" s="80"/>
      <c r="N114" s="80"/>
      <c r="O114" s="66"/>
    </row>
    <row r="115">
      <c r="K115" s="80"/>
      <c r="M115" s="80"/>
      <c r="N115" s="80"/>
      <c r="O115" s="66"/>
    </row>
    <row r="116">
      <c r="K116" s="80"/>
      <c r="M116" s="80"/>
      <c r="N116" s="80"/>
      <c r="O116" s="66"/>
    </row>
    <row r="117">
      <c r="K117" s="80"/>
      <c r="M117" s="80"/>
      <c r="N117" s="80"/>
      <c r="O117" s="66"/>
    </row>
    <row r="118">
      <c r="K118" s="80"/>
      <c r="M118" s="80"/>
      <c r="N118" s="80"/>
      <c r="O118" s="66"/>
    </row>
    <row r="119">
      <c r="K119" s="80"/>
      <c r="M119" s="80"/>
      <c r="N119" s="80"/>
      <c r="O119" s="66"/>
    </row>
    <row r="120">
      <c r="K120" s="80"/>
      <c r="M120" s="80"/>
      <c r="N120" s="80"/>
      <c r="O120" s="66"/>
    </row>
    <row r="121">
      <c r="K121" s="80"/>
      <c r="M121" s="80"/>
      <c r="N121" s="80"/>
      <c r="O121" s="66"/>
    </row>
    <row r="122">
      <c r="K122" s="80"/>
      <c r="M122" s="80"/>
      <c r="N122" s="80"/>
      <c r="O122" s="66"/>
    </row>
    <row r="123">
      <c r="K123" s="80"/>
      <c r="M123" s="80"/>
      <c r="N123" s="80"/>
      <c r="O123" s="66"/>
    </row>
    <row r="124">
      <c r="K124" s="80"/>
      <c r="M124" s="80"/>
      <c r="N124" s="80"/>
      <c r="O124" s="66"/>
    </row>
    <row r="125">
      <c r="K125" s="80"/>
      <c r="M125" s="80"/>
      <c r="N125" s="80"/>
      <c r="O125" s="66"/>
    </row>
    <row r="126">
      <c r="K126" s="80"/>
      <c r="M126" s="80"/>
      <c r="N126" s="80"/>
      <c r="O126" s="66"/>
    </row>
    <row r="127">
      <c r="K127" s="80"/>
      <c r="M127" s="80"/>
      <c r="N127" s="80"/>
      <c r="O127" s="66"/>
    </row>
    <row r="128">
      <c r="K128" s="80"/>
      <c r="M128" s="80"/>
      <c r="N128" s="80"/>
      <c r="O128" s="66"/>
    </row>
    <row r="129">
      <c r="K129" s="80"/>
      <c r="M129" s="80"/>
      <c r="N129" s="80"/>
      <c r="O129" s="66"/>
    </row>
    <row r="130">
      <c r="K130" s="80"/>
      <c r="M130" s="80"/>
      <c r="N130" s="80"/>
      <c r="O130" s="66"/>
    </row>
    <row r="131">
      <c r="K131" s="80"/>
      <c r="M131" s="80"/>
      <c r="N131" s="80"/>
      <c r="O131" s="66"/>
    </row>
    <row r="132">
      <c r="K132" s="80"/>
      <c r="M132" s="80"/>
      <c r="N132" s="80"/>
      <c r="O132" s="66"/>
    </row>
    <row r="133">
      <c r="K133" s="80"/>
      <c r="M133" s="80"/>
      <c r="N133" s="80"/>
      <c r="O133" s="66"/>
    </row>
    <row r="134">
      <c r="K134" s="80"/>
      <c r="M134" s="80"/>
      <c r="N134" s="80"/>
      <c r="O134" s="66"/>
    </row>
    <row r="135">
      <c r="K135" s="80"/>
      <c r="M135" s="80"/>
      <c r="N135" s="80"/>
      <c r="O135" s="66"/>
    </row>
    <row r="136">
      <c r="K136" s="80"/>
      <c r="M136" s="80"/>
      <c r="N136" s="80"/>
      <c r="O136" s="66"/>
    </row>
    <row r="137">
      <c r="K137" s="80"/>
      <c r="M137" s="80"/>
      <c r="N137" s="80"/>
      <c r="O137" s="66"/>
    </row>
    <row r="138">
      <c r="K138" s="80"/>
      <c r="M138" s="80"/>
      <c r="N138" s="80"/>
      <c r="O138" s="66"/>
    </row>
    <row r="139">
      <c r="K139" s="80"/>
      <c r="M139" s="80"/>
      <c r="N139" s="80"/>
      <c r="O139" s="66"/>
    </row>
    <row r="140">
      <c r="K140" s="80"/>
      <c r="M140" s="80"/>
      <c r="N140" s="80"/>
      <c r="O140" s="66"/>
    </row>
    <row r="141">
      <c r="K141" s="80"/>
      <c r="M141" s="80"/>
      <c r="N141" s="80"/>
      <c r="O141" s="66"/>
    </row>
    <row r="142">
      <c r="K142" s="80"/>
      <c r="M142" s="80"/>
      <c r="N142" s="80"/>
      <c r="O142" s="66"/>
    </row>
    <row r="143">
      <c r="K143" s="80"/>
      <c r="M143" s="80"/>
      <c r="N143" s="80"/>
      <c r="O143" s="66"/>
    </row>
    <row r="144">
      <c r="K144" s="80"/>
      <c r="M144" s="80"/>
      <c r="N144" s="80"/>
      <c r="O144" s="66"/>
    </row>
    <row r="145">
      <c r="K145" s="80"/>
      <c r="M145" s="80"/>
      <c r="N145" s="80"/>
      <c r="O145" s="66"/>
    </row>
    <row r="146">
      <c r="K146" s="80"/>
      <c r="M146" s="80"/>
      <c r="N146" s="80"/>
      <c r="O146" s="66"/>
    </row>
    <row r="147">
      <c r="K147" s="80"/>
      <c r="M147" s="80"/>
      <c r="N147" s="80"/>
      <c r="O147" s="66"/>
    </row>
    <row r="148">
      <c r="K148" s="80"/>
      <c r="M148" s="80"/>
      <c r="N148" s="80"/>
      <c r="O148" s="66"/>
    </row>
    <row r="149">
      <c r="K149" s="80"/>
      <c r="M149" s="80"/>
      <c r="N149" s="80"/>
      <c r="O149" s="66"/>
    </row>
    <row r="150">
      <c r="K150" s="80"/>
      <c r="M150" s="80"/>
      <c r="N150" s="80"/>
      <c r="O150" s="66"/>
    </row>
    <row r="151">
      <c r="K151" s="80"/>
      <c r="M151" s="80"/>
      <c r="N151" s="80"/>
      <c r="O151" s="66"/>
    </row>
    <row r="152">
      <c r="K152" s="80"/>
      <c r="M152" s="80"/>
      <c r="N152" s="80"/>
      <c r="O152" s="66"/>
    </row>
    <row r="153">
      <c r="K153" s="80"/>
      <c r="M153" s="80"/>
      <c r="N153" s="80"/>
      <c r="O153" s="66"/>
    </row>
    <row r="154">
      <c r="K154" s="80"/>
      <c r="M154" s="80"/>
      <c r="N154" s="80"/>
      <c r="O154" s="66"/>
    </row>
    <row r="155">
      <c r="K155" s="80"/>
      <c r="M155" s="80"/>
      <c r="N155" s="80"/>
      <c r="O155" s="66"/>
    </row>
    <row r="156">
      <c r="K156" s="80"/>
      <c r="M156" s="80"/>
      <c r="N156" s="80"/>
      <c r="O156" s="66"/>
    </row>
    <row r="157">
      <c r="K157" s="80"/>
      <c r="M157" s="80"/>
      <c r="N157" s="80"/>
      <c r="O157" s="66"/>
    </row>
    <row r="158">
      <c r="K158" s="80"/>
      <c r="M158" s="80"/>
      <c r="N158" s="80"/>
      <c r="O158" s="66"/>
    </row>
    <row r="159">
      <c r="K159" s="80"/>
      <c r="M159" s="80"/>
      <c r="N159" s="80"/>
      <c r="O159" s="66"/>
    </row>
    <row r="160">
      <c r="K160" s="80"/>
      <c r="M160" s="80"/>
      <c r="N160" s="80"/>
      <c r="O160" s="66"/>
    </row>
    <row r="161">
      <c r="K161" s="80"/>
      <c r="M161" s="80"/>
      <c r="N161" s="80"/>
      <c r="O161" s="66"/>
    </row>
    <row r="162">
      <c r="K162" s="80"/>
      <c r="M162" s="80"/>
      <c r="N162" s="80"/>
      <c r="O162" s="66"/>
    </row>
    <row r="163">
      <c r="K163" s="80"/>
      <c r="M163" s="80"/>
      <c r="N163" s="80"/>
      <c r="O163" s="66"/>
    </row>
    <row r="164">
      <c r="K164" s="80"/>
      <c r="M164" s="80"/>
      <c r="N164" s="80"/>
      <c r="O164" s="66"/>
    </row>
    <row r="165">
      <c r="K165" s="80"/>
      <c r="M165" s="80"/>
      <c r="N165" s="80"/>
      <c r="O165" s="66"/>
    </row>
    <row r="166">
      <c r="K166" s="80"/>
      <c r="M166" s="80"/>
      <c r="N166" s="80"/>
      <c r="O166" s="66"/>
    </row>
    <row r="167">
      <c r="K167" s="80"/>
      <c r="M167" s="80"/>
      <c r="N167" s="80"/>
      <c r="O167" s="66"/>
    </row>
    <row r="168">
      <c r="K168" s="80"/>
      <c r="M168" s="80"/>
      <c r="N168" s="80"/>
      <c r="O168" s="66"/>
    </row>
    <row r="169">
      <c r="K169" s="80"/>
      <c r="M169" s="80"/>
      <c r="N169" s="80"/>
      <c r="O169" s="66"/>
    </row>
    <row r="170">
      <c r="K170" s="80"/>
      <c r="M170" s="80"/>
      <c r="N170" s="80"/>
      <c r="O170" s="66"/>
    </row>
    <row r="171">
      <c r="K171" s="80"/>
      <c r="M171" s="80"/>
      <c r="N171" s="80"/>
      <c r="O171" s="66"/>
    </row>
    <row r="172">
      <c r="K172" s="80"/>
      <c r="M172" s="80"/>
      <c r="N172" s="80"/>
      <c r="O172" s="66"/>
    </row>
    <row r="173">
      <c r="K173" s="80"/>
      <c r="M173" s="80"/>
      <c r="N173" s="80"/>
      <c r="O173" s="66"/>
    </row>
    <row r="174">
      <c r="K174" s="80"/>
      <c r="M174" s="80"/>
      <c r="N174" s="80"/>
      <c r="O174" s="66"/>
    </row>
    <row r="175">
      <c r="K175" s="80"/>
      <c r="M175" s="80"/>
      <c r="N175" s="80"/>
      <c r="O175" s="66"/>
    </row>
    <row r="176">
      <c r="K176" s="80"/>
      <c r="M176" s="80"/>
      <c r="N176" s="80"/>
      <c r="O176" s="66"/>
    </row>
    <row r="177">
      <c r="K177" s="80"/>
      <c r="M177" s="80"/>
      <c r="N177" s="80"/>
      <c r="O177" s="66"/>
    </row>
    <row r="178">
      <c r="K178" s="80"/>
      <c r="M178" s="80"/>
      <c r="N178" s="80"/>
      <c r="O178" s="66"/>
    </row>
    <row r="179">
      <c r="K179" s="80"/>
      <c r="M179" s="80"/>
      <c r="N179" s="80"/>
      <c r="O179" s="66"/>
    </row>
    <row r="180">
      <c r="K180" s="80"/>
      <c r="M180" s="80"/>
      <c r="N180" s="80"/>
      <c r="O180" s="66"/>
    </row>
    <row r="181">
      <c r="K181" s="80"/>
      <c r="M181" s="80"/>
      <c r="N181" s="80"/>
      <c r="O181" s="66"/>
    </row>
    <row r="182">
      <c r="K182" s="80"/>
      <c r="M182" s="80"/>
      <c r="N182" s="80"/>
      <c r="O182" s="66"/>
    </row>
    <row r="183">
      <c r="K183" s="80"/>
      <c r="M183" s="80"/>
      <c r="N183" s="80"/>
      <c r="O183" s="66"/>
    </row>
    <row r="184">
      <c r="K184" s="80"/>
      <c r="M184" s="80"/>
      <c r="N184" s="80"/>
      <c r="O184" s="66"/>
    </row>
    <row r="185">
      <c r="K185" s="80"/>
      <c r="M185" s="80"/>
      <c r="N185" s="80"/>
      <c r="O185" s="66"/>
    </row>
    <row r="186">
      <c r="K186" s="80"/>
      <c r="M186" s="80"/>
      <c r="N186" s="80"/>
      <c r="O186" s="66"/>
    </row>
    <row r="187">
      <c r="K187" s="80"/>
      <c r="M187" s="80"/>
      <c r="N187" s="80"/>
      <c r="O187" s="66"/>
    </row>
    <row r="188">
      <c r="K188" s="80"/>
      <c r="M188" s="80"/>
      <c r="N188" s="80"/>
      <c r="O188" s="66"/>
    </row>
    <row r="189">
      <c r="K189" s="80"/>
      <c r="M189" s="80"/>
      <c r="N189" s="80"/>
      <c r="O189" s="66"/>
    </row>
    <row r="190">
      <c r="K190" s="80"/>
      <c r="M190" s="80"/>
      <c r="N190" s="80"/>
      <c r="O190" s="66"/>
    </row>
    <row r="191">
      <c r="K191" s="80"/>
      <c r="M191" s="80"/>
      <c r="N191" s="80"/>
      <c r="O191" s="66"/>
    </row>
    <row r="192">
      <c r="K192" s="80"/>
      <c r="M192" s="80"/>
      <c r="N192" s="80"/>
      <c r="O192" s="66"/>
    </row>
    <row r="193">
      <c r="K193" s="80"/>
      <c r="M193" s="80"/>
      <c r="N193" s="80"/>
      <c r="O193" s="66"/>
    </row>
    <row r="194">
      <c r="K194" s="80"/>
      <c r="M194" s="80"/>
      <c r="N194" s="80"/>
      <c r="O194" s="66"/>
    </row>
    <row r="195">
      <c r="K195" s="80"/>
      <c r="M195" s="80"/>
      <c r="N195" s="80"/>
      <c r="O195" s="66"/>
    </row>
    <row r="196">
      <c r="K196" s="80"/>
      <c r="M196" s="80"/>
      <c r="N196" s="80"/>
      <c r="O196" s="66"/>
    </row>
    <row r="197">
      <c r="K197" s="80"/>
      <c r="M197" s="80"/>
      <c r="N197" s="80"/>
      <c r="O197" s="66"/>
    </row>
    <row r="198">
      <c r="K198" s="80"/>
      <c r="M198" s="80"/>
      <c r="N198" s="80"/>
      <c r="O198" s="66"/>
    </row>
    <row r="199">
      <c r="K199" s="80"/>
      <c r="M199" s="80"/>
      <c r="N199" s="80"/>
      <c r="O199" s="66"/>
    </row>
    <row r="200">
      <c r="K200" s="80"/>
      <c r="M200" s="80"/>
      <c r="N200" s="80"/>
      <c r="O200" s="66"/>
    </row>
    <row r="201">
      <c r="K201" s="80"/>
      <c r="M201" s="80"/>
      <c r="N201" s="80"/>
      <c r="O201" s="66"/>
    </row>
    <row r="202">
      <c r="K202" s="80"/>
      <c r="M202" s="80"/>
      <c r="N202" s="80"/>
      <c r="O202" s="66"/>
    </row>
    <row r="203">
      <c r="K203" s="80"/>
      <c r="M203" s="80"/>
      <c r="N203" s="80"/>
      <c r="O203" s="66"/>
    </row>
    <row r="204">
      <c r="K204" s="80"/>
      <c r="M204" s="80"/>
      <c r="N204" s="80"/>
      <c r="O204" s="66"/>
    </row>
    <row r="205">
      <c r="K205" s="80"/>
      <c r="M205" s="80"/>
      <c r="N205" s="80"/>
      <c r="O205" s="66"/>
    </row>
    <row r="206">
      <c r="K206" s="80"/>
      <c r="M206" s="80"/>
      <c r="N206" s="80"/>
      <c r="O206" s="66"/>
    </row>
    <row r="207">
      <c r="K207" s="80"/>
      <c r="M207" s="80"/>
      <c r="N207" s="80"/>
      <c r="O207" s="66"/>
    </row>
    <row r="208">
      <c r="K208" s="80"/>
      <c r="M208" s="80"/>
      <c r="N208" s="80"/>
      <c r="O208" s="66"/>
    </row>
    <row r="209">
      <c r="K209" s="80"/>
      <c r="M209" s="80"/>
      <c r="N209" s="80"/>
      <c r="O209" s="66"/>
    </row>
    <row r="210">
      <c r="K210" s="80"/>
      <c r="M210" s="80"/>
      <c r="N210" s="80"/>
      <c r="O210" s="66"/>
    </row>
    <row r="211">
      <c r="K211" s="80"/>
      <c r="M211" s="80"/>
      <c r="N211" s="80"/>
      <c r="O211" s="66"/>
    </row>
    <row r="212">
      <c r="K212" s="80"/>
      <c r="M212" s="80"/>
      <c r="N212" s="80"/>
      <c r="O212" s="66"/>
    </row>
    <row r="213">
      <c r="K213" s="80"/>
      <c r="M213" s="80"/>
      <c r="N213" s="80"/>
      <c r="O213" s="66"/>
    </row>
    <row r="214">
      <c r="K214" s="80"/>
      <c r="M214" s="80"/>
      <c r="N214" s="80"/>
      <c r="O214" s="66"/>
    </row>
    <row r="215">
      <c r="K215" s="80"/>
      <c r="M215" s="80"/>
      <c r="N215" s="80"/>
      <c r="O215" s="66"/>
    </row>
    <row r="216">
      <c r="K216" s="80"/>
      <c r="M216" s="80"/>
      <c r="N216" s="80"/>
      <c r="O216" s="66"/>
    </row>
    <row r="217">
      <c r="K217" s="80"/>
      <c r="M217" s="80"/>
      <c r="N217" s="80"/>
      <c r="O217" s="66"/>
    </row>
    <row r="218">
      <c r="K218" s="80"/>
      <c r="M218" s="80"/>
      <c r="N218" s="80"/>
      <c r="O218" s="66"/>
    </row>
    <row r="219">
      <c r="K219" s="80"/>
      <c r="M219" s="80"/>
      <c r="N219" s="80"/>
      <c r="O219" s="66"/>
    </row>
    <row r="220">
      <c r="K220" s="80"/>
      <c r="M220" s="80"/>
      <c r="N220" s="80"/>
      <c r="O220" s="66"/>
    </row>
    <row r="221">
      <c r="K221" s="80"/>
      <c r="M221" s="80"/>
      <c r="N221" s="80"/>
      <c r="O221" s="66"/>
    </row>
    <row r="222">
      <c r="K222" s="80"/>
      <c r="M222" s="80"/>
      <c r="N222" s="80"/>
      <c r="O222" s="66"/>
    </row>
    <row r="223">
      <c r="K223" s="80"/>
      <c r="M223" s="80"/>
      <c r="N223" s="80"/>
      <c r="O223" s="66"/>
    </row>
    <row r="224">
      <c r="K224" s="80"/>
      <c r="M224" s="80"/>
      <c r="N224" s="80"/>
      <c r="O224" s="66"/>
    </row>
    <row r="225">
      <c r="K225" s="80"/>
      <c r="M225" s="80"/>
      <c r="N225" s="80"/>
      <c r="O225" s="66"/>
    </row>
    <row r="226">
      <c r="K226" s="80"/>
      <c r="M226" s="80"/>
      <c r="N226" s="80"/>
      <c r="O226" s="66"/>
    </row>
    <row r="227">
      <c r="K227" s="80"/>
      <c r="M227" s="80"/>
      <c r="N227" s="80"/>
      <c r="O227" s="66"/>
    </row>
    <row r="228">
      <c r="K228" s="80"/>
      <c r="M228" s="80"/>
      <c r="N228" s="80"/>
      <c r="O228" s="66"/>
    </row>
    <row r="229">
      <c r="K229" s="80"/>
      <c r="M229" s="80"/>
      <c r="N229" s="80"/>
      <c r="O229" s="66"/>
    </row>
    <row r="230">
      <c r="K230" s="80"/>
      <c r="M230" s="80"/>
      <c r="N230" s="80"/>
      <c r="O230" s="66"/>
    </row>
    <row r="231">
      <c r="K231" s="80"/>
      <c r="M231" s="80"/>
      <c r="N231" s="80"/>
      <c r="O231" s="66"/>
    </row>
    <row r="232">
      <c r="K232" s="80"/>
      <c r="M232" s="80"/>
      <c r="N232" s="80"/>
      <c r="O232" s="66"/>
    </row>
    <row r="233">
      <c r="K233" s="80"/>
      <c r="M233" s="80"/>
      <c r="N233" s="80"/>
      <c r="O233" s="66"/>
    </row>
    <row r="234">
      <c r="K234" s="80"/>
      <c r="M234" s="80"/>
      <c r="N234" s="80"/>
      <c r="O234" s="66"/>
    </row>
    <row r="235">
      <c r="K235" s="80"/>
      <c r="M235" s="80"/>
      <c r="N235" s="80"/>
      <c r="O235" s="66"/>
    </row>
    <row r="236">
      <c r="K236" s="80"/>
      <c r="M236" s="80"/>
      <c r="N236" s="80"/>
      <c r="O236" s="66"/>
    </row>
    <row r="237">
      <c r="K237" s="80"/>
      <c r="M237" s="80"/>
      <c r="N237" s="80"/>
      <c r="O237" s="66"/>
    </row>
    <row r="238">
      <c r="K238" s="80"/>
      <c r="M238" s="80"/>
      <c r="N238" s="80"/>
      <c r="O238" s="66"/>
    </row>
    <row r="239">
      <c r="K239" s="80"/>
      <c r="M239" s="80"/>
      <c r="N239" s="80"/>
      <c r="O239" s="66"/>
    </row>
    <row r="240">
      <c r="K240" s="80"/>
      <c r="M240" s="80"/>
      <c r="N240" s="80"/>
      <c r="O240" s="66"/>
    </row>
    <row r="241">
      <c r="K241" s="80"/>
      <c r="M241" s="80"/>
      <c r="N241" s="80"/>
      <c r="O241" s="66"/>
    </row>
    <row r="242">
      <c r="K242" s="80"/>
      <c r="M242" s="80"/>
      <c r="N242" s="80"/>
      <c r="O242" s="66"/>
    </row>
    <row r="243">
      <c r="K243" s="80"/>
      <c r="M243" s="80"/>
      <c r="N243" s="80"/>
      <c r="O243" s="66"/>
    </row>
    <row r="244">
      <c r="K244" s="80"/>
      <c r="M244" s="80"/>
      <c r="N244" s="80"/>
      <c r="O244" s="66"/>
    </row>
    <row r="245">
      <c r="K245" s="80"/>
      <c r="M245" s="80"/>
      <c r="N245" s="80"/>
      <c r="O245" s="66"/>
    </row>
    <row r="246">
      <c r="K246" s="80"/>
      <c r="M246" s="80"/>
      <c r="N246" s="80"/>
      <c r="O246" s="66"/>
    </row>
    <row r="247">
      <c r="K247" s="80"/>
      <c r="M247" s="80"/>
      <c r="N247" s="80"/>
      <c r="O247" s="66"/>
    </row>
    <row r="248">
      <c r="K248" s="80"/>
      <c r="M248" s="80"/>
      <c r="N248" s="80"/>
      <c r="O248" s="66"/>
    </row>
    <row r="249">
      <c r="K249" s="80"/>
      <c r="M249" s="80"/>
      <c r="N249" s="80"/>
      <c r="O249" s="66"/>
    </row>
    <row r="250">
      <c r="K250" s="80"/>
      <c r="M250" s="80"/>
      <c r="N250" s="80"/>
      <c r="O250" s="66"/>
    </row>
    <row r="251">
      <c r="K251" s="80"/>
      <c r="M251" s="80"/>
      <c r="N251" s="80"/>
      <c r="O251" s="66"/>
    </row>
    <row r="252">
      <c r="K252" s="80"/>
      <c r="M252" s="80"/>
      <c r="N252" s="80"/>
      <c r="O252" s="66"/>
    </row>
    <row r="253">
      <c r="K253" s="80"/>
      <c r="M253" s="80"/>
      <c r="N253" s="80"/>
      <c r="O253" s="66"/>
    </row>
    <row r="254">
      <c r="K254" s="80"/>
      <c r="M254" s="80"/>
      <c r="N254" s="80"/>
      <c r="O254" s="66"/>
    </row>
    <row r="255">
      <c r="K255" s="80"/>
      <c r="M255" s="80"/>
      <c r="N255" s="80"/>
      <c r="O255" s="66"/>
    </row>
    <row r="256">
      <c r="K256" s="80"/>
      <c r="M256" s="80"/>
      <c r="N256" s="80"/>
      <c r="O256" s="66"/>
    </row>
    <row r="257">
      <c r="K257" s="80"/>
      <c r="M257" s="80"/>
      <c r="N257" s="80"/>
      <c r="O257" s="66"/>
    </row>
    <row r="258">
      <c r="K258" s="80"/>
      <c r="M258" s="80"/>
      <c r="N258" s="80"/>
      <c r="O258" s="66"/>
    </row>
    <row r="259">
      <c r="K259" s="80"/>
      <c r="M259" s="80"/>
      <c r="N259" s="80"/>
      <c r="O259" s="66"/>
    </row>
    <row r="260">
      <c r="K260" s="80"/>
      <c r="M260" s="80"/>
      <c r="N260" s="80"/>
      <c r="O260" s="66"/>
    </row>
    <row r="261">
      <c r="K261" s="80"/>
      <c r="M261" s="80"/>
      <c r="N261" s="80"/>
      <c r="O261" s="66"/>
    </row>
    <row r="262">
      <c r="K262" s="80"/>
      <c r="M262" s="80"/>
      <c r="N262" s="80"/>
      <c r="O262" s="66"/>
    </row>
    <row r="263">
      <c r="K263" s="80"/>
      <c r="M263" s="80"/>
      <c r="N263" s="80"/>
      <c r="O263" s="66"/>
    </row>
    <row r="264">
      <c r="K264" s="80"/>
      <c r="M264" s="80"/>
      <c r="N264" s="80"/>
      <c r="O264" s="66"/>
    </row>
    <row r="265">
      <c r="K265" s="80"/>
      <c r="M265" s="80"/>
      <c r="N265" s="80"/>
      <c r="O265" s="66"/>
    </row>
    <row r="266">
      <c r="K266" s="80"/>
      <c r="M266" s="80"/>
      <c r="N266" s="80"/>
      <c r="O266" s="66"/>
    </row>
    <row r="267">
      <c r="K267" s="80"/>
      <c r="M267" s="80"/>
      <c r="N267" s="80"/>
      <c r="O267" s="66"/>
    </row>
    <row r="268">
      <c r="K268" s="80"/>
      <c r="M268" s="80"/>
      <c r="N268" s="80"/>
      <c r="O268" s="66"/>
    </row>
    <row r="269">
      <c r="K269" s="80"/>
      <c r="M269" s="80"/>
      <c r="N269" s="80"/>
      <c r="O269" s="66"/>
    </row>
    <row r="270">
      <c r="K270" s="80"/>
      <c r="M270" s="80"/>
      <c r="N270" s="80"/>
      <c r="O270" s="66"/>
    </row>
    <row r="271">
      <c r="K271" s="80"/>
      <c r="M271" s="80"/>
      <c r="N271" s="80"/>
      <c r="O271" s="66"/>
    </row>
    <row r="272">
      <c r="K272" s="80"/>
      <c r="M272" s="80"/>
      <c r="N272" s="80"/>
      <c r="O272" s="66"/>
    </row>
    <row r="273">
      <c r="K273" s="80"/>
      <c r="M273" s="80"/>
      <c r="N273" s="80"/>
      <c r="O273" s="66"/>
    </row>
    <row r="274">
      <c r="K274" s="80"/>
      <c r="M274" s="80"/>
      <c r="N274" s="80"/>
      <c r="O274" s="66"/>
    </row>
    <row r="275">
      <c r="K275" s="80"/>
      <c r="M275" s="80"/>
      <c r="N275" s="80"/>
      <c r="O275" s="66"/>
    </row>
    <row r="276">
      <c r="K276" s="80"/>
      <c r="M276" s="80"/>
      <c r="N276" s="80"/>
      <c r="O276" s="66"/>
    </row>
    <row r="277">
      <c r="K277" s="80"/>
      <c r="M277" s="80"/>
      <c r="N277" s="80"/>
      <c r="O277" s="66"/>
    </row>
    <row r="278">
      <c r="K278" s="80"/>
      <c r="M278" s="80"/>
      <c r="N278" s="80"/>
      <c r="O278" s="66"/>
    </row>
    <row r="279">
      <c r="K279" s="80"/>
      <c r="M279" s="80"/>
      <c r="N279" s="80"/>
      <c r="O279" s="66"/>
    </row>
    <row r="280">
      <c r="K280" s="80"/>
      <c r="M280" s="80"/>
      <c r="N280" s="80"/>
      <c r="O280" s="66"/>
    </row>
    <row r="281">
      <c r="K281" s="80"/>
      <c r="M281" s="80"/>
      <c r="N281" s="80"/>
      <c r="O281" s="66"/>
    </row>
    <row r="282">
      <c r="K282" s="80"/>
      <c r="M282" s="80"/>
      <c r="N282" s="80"/>
      <c r="O282" s="66"/>
    </row>
    <row r="283">
      <c r="K283" s="80"/>
      <c r="M283" s="80"/>
      <c r="N283" s="80"/>
      <c r="O283" s="66"/>
    </row>
    <row r="284">
      <c r="K284" s="80"/>
      <c r="M284" s="80"/>
      <c r="N284" s="80"/>
      <c r="O284" s="66"/>
    </row>
    <row r="285">
      <c r="K285" s="80"/>
      <c r="M285" s="80"/>
      <c r="N285" s="80"/>
      <c r="O285" s="66"/>
    </row>
    <row r="286">
      <c r="K286" s="80"/>
      <c r="M286" s="80"/>
      <c r="N286" s="80"/>
      <c r="O286" s="66"/>
    </row>
    <row r="287">
      <c r="K287" s="80"/>
      <c r="M287" s="80"/>
      <c r="N287" s="80"/>
      <c r="O287" s="66"/>
    </row>
    <row r="288">
      <c r="K288" s="80"/>
      <c r="M288" s="80"/>
      <c r="N288" s="80"/>
      <c r="O288" s="66"/>
    </row>
    <row r="289">
      <c r="K289" s="80"/>
      <c r="M289" s="80"/>
      <c r="N289" s="80"/>
      <c r="O289" s="66"/>
    </row>
    <row r="290">
      <c r="K290" s="80"/>
      <c r="M290" s="80"/>
      <c r="N290" s="80"/>
      <c r="O290" s="66"/>
    </row>
    <row r="291">
      <c r="K291" s="80"/>
      <c r="M291" s="80"/>
      <c r="N291" s="80"/>
      <c r="O291" s="66"/>
    </row>
    <row r="292">
      <c r="K292" s="80"/>
      <c r="M292" s="80"/>
      <c r="N292" s="80"/>
      <c r="O292" s="66"/>
    </row>
    <row r="293">
      <c r="K293" s="80"/>
      <c r="M293" s="80"/>
      <c r="N293" s="80"/>
      <c r="O293" s="66"/>
    </row>
    <row r="294">
      <c r="K294" s="80"/>
      <c r="M294" s="80"/>
      <c r="N294" s="80"/>
      <c r="O294" s="66"/>
    </row>
    <row r="295">
      <c r="K295" s="80"/>
      <c r="M295" s="80"/>
      <c r="N295" s="80"/>
      <c r="O295" s="66"/>
    </row>
    <row r="296">
      <c r="K296" s="80"/>
      <c r="M296" s="80"/>
      <c r="N296" s="80"/>
      <c r="O296" s="66"/>
    </row>
    <row r="297">
      <c r="K297" s="80"/>
      <c r="M297" s="80"/>
      <c r="N297" s="80"/>
      <c r="O297" s="66"/>
    </row>
    <row r="298">
      <c r="K298" s="80"/>
      <c r="M298" s="80"/>
      <c r="N298" s="80"/>
      <c r="O298" s="66"/>
    </row>
    <row r="299">
      <c r="K299" s="80"/>
      <c r="M299" s="80"/>
      <c r="N299" s="80"/>
      <c r="O299" s="66"/>
    </row>
    <row r="300">
      <c r="K300" s="80"/>
      <c r="M300" s="80"/>
      <c r="N300" s="80"/>
      <c r="O300" s="66"/>
    </row>
    <row r="301">
      <c r="K301" s="80"/>
      <c r="M301" s="80"/>
      <c r="N301" s="80"/>
      <c r="O301" s="66"/>
    </row>
    <row r="302">
      <c r="K302" s="80"/>
      <c r="M302" s="80"/>
      <c r="N302" s="80"/>
      <c r="O302" s="66"/>
    </row>
    <row r="303">
      <c r="K303" s="80"/>
      <c r="M303" s="80"/>
      <c r="N303" s="80"/>
      <c r="O303" s="66"/>
    </row>
    <row r="304">
      <c r="K304" s="80"/>
      <c r="M304" s="80"/>
      <c r="N304" s="80"/>
      <c r="O304" s="66"/>
    </row>
    <row r="305">
      <c r="K305" s="80"/>
      <c r="M305" s="80"/>
      <c r="N305" s="80"/>
      <c r="O305" s="66"/>
    </row>
    <row r="306">
      <c r="K306" s="80"/>
      <c r="M306" s="80"/>
      <c r="N306" s="80"/>
      <c r="O306" s="66"/>
    </row>
    <row r="307">
      <c r="K307" s="80"/>
      <c r="M307" s="80"/>
      <c r="N307" s="80"/>
      <c r="O307" s="66"/>
    </row>
    <row r="308">
      <c r="K308" s="80"/>
      <c r="M308" s="80"/>
      <c r="N308" s="80"/>
      <c r="O308" s="66"/>
    </row>
    <row r="309">
      <c r="K309" s="80"/>
      <c r="M309" s="80"/>
      <c r="N309" s="80"/>
      <c r="O309" s="66"/>
    </row>
    <row r="310">
      <c r="K310" s="80"/>
      <c r="M310" s="80"/>
      <c r="N310" s="80"/>
      <c r="O310" s="66"/>
    </row>
    <row r="311">
      <c r="K311" s="80"/>
      <c r="M311" s="80"/>
      <c r="N311" s="80"/>
      <c r="O311" s="66"/>
    </row>
    <row r="312">
      <c r="K312" s="80"/>
      <c r="M312" s="80"/>
      <c r="N312" s="80"/>
      <c r="O312" s="66"/>
    </row>
    <row r="313">
      <c r="K313" s="80"/>
      <c r="M313" s="80"/>
      <c r="N313" s="80"/>
      <c r="O313" s="66"/>
    </row>
    <row r="314">
      <c r="K314" s="80"/>
      <c r="M314" s="80"/>
      <c r="N314" s="80"/>
      <c r="O314" s="66"/>
    </row>
    <row r="315">
      <c r="K315" s="80"/>
      <c r="M315" s="80"/>
      <c r="N315" s="80"/>
      <c r="O315" s="66"/>
    </row>
    <row r="316">
      <c r="K316" s="80"/>
      <c r="M316" s="80"/>
      <c r="N316" s="80"/>
      <c r="O316" s="66"/>
    </row>
    <row r="317">
      <c r="K317" s="80"/>
      <c r="M317" s="80"/>
      <c r="N317" s="80"/>
      <c r="O317" s="66"/>
    </row>
    <row r="318">
      <c r="K318" s="80"/>
      <c r="M318" s="80"/>
      <c r="N318" s="80"/>
      <c r="O318" s="66"/>
    </row>
    <row r="319">
      <c r="K319" s="80"/>
      <c r="M319" s="80"/>
      <c r="N319" s="80"/>
      <c r="O319" s="66"/>
    </row>
    <row r="320">
      <c r="K320" s="80"/>
      <c r="M320" s="80"/>
      <c r="N320" s="80"/>
      <c r="O320" s="66"/>
    </row>
    <row r="321">
      <c r="K321" s="80"/>
      <c r="M321" s="80"/>
      <c r="N321" s="80"/>
      <c r="O321" s="66"/>
    </row>
    <row r="322">
      <c r="K322" s="80"/>
      <c r="M322" s="80"/>
      <c r="N322" s="80"/>
      <c r="O322" s="66"/>
    </row>
    <row r="323">
      <c r="K323" s="80"/>
      <c r="M323" s="80"/>
      <c r="N323" s="80"/>
      <c r="O323" s="66"/>
    </row>
    <row r="324">
      <c r="K324" s="80"/>
      <c r="M324" s="80"/>
      <c r="N324" s="80"/>
      <c r="O324" s="66"/>
    </row>
    <row r="325">
      <c r="K325" s="80"/>
      <c r="M325" s="80"/>
      <c r="N325" s="80"/>
      <c r="O325" s="66"/>
    </row>
    <row r="326">
      <c r="K326" s="80"/>
      <c r="M326" s="80"/>
      <c r="N326" s="80"/>
      <c r="O326" s="66"/>
    </row>
    <row r="327">
      <c r="K327" s="80"/>
      <c r="M327" s="80"/>
      <c r="N327" s="80"/>
      <c r="O327" s="66"/>
    </row>
    <row r="328">
      <c r="K328" s="80"/>
      <c r="M328" s="80"/>
      <c r="N328" s="80"/>
      <c r="O328" s="66"/>
    </row>
    <row r="329">
      <c r="K329" s="80"/>
      <c r="M329" s="80"/>
      <c r="N329" s="80"/>
      <c r="O329" s="66"/>
    </row>
    <row r="330">
      <c r="K330" s="80"/>
      <c r="M330" s="80"/>
      <c r="N330" s="80"/>
      <c r="O330" s="66"/>
    </row>
    <row r="331">
      <c r="K331" s="80"/>
      <c r="M331" s="80"/>
      <c r="N331" s="80"/>
      <c r="O331" s="66"/>
    </row>
    <row r="332">
      <c r="K332" s="80"/>
      <c r="M332" s="80"/>
      <c r="N332" s="80"/>
      <c r="O332" s="66"/>
    </row>
    <row r="333">
      <c r="K333" s="80"/>
      <c r="M333" s="80"/>
      <c r="N333" s="80"/>
      <c r="O333" s="66"/>
    </row>
    <row r="334">
      <c r="K334" s="80"/>
      <c r="M334" s="80"/>
      <c r="N334" s="80"/>
      <c r="O334" s="66"/>
    </row>
    <row r="335">
      <c r="K335" s="80"/>
      <c r="M335" s="80"/>
      <c r="N335" s="80"/>
      <c r="O335" s="66"/>
    </row>
    <row r="336">
      <c r="K336" s="80"/>
      <c r="M336" s="80"/>
      <c r="N336" s="80"/>
      <c r="O336" s="66"/>
    </row>
    <row r="337">
      <c r="K337" s="80"/>
      <c r="M337" s="80"/>
      <c r="N337" s="80"/>
      <c r="O337" s="66"/>
    </row>
    <row r="338">
      <c r="K338" s="80"/>
      <c r="M338" s="80"/>
      <c r="N338" s="80"/>
      <c r="O338" s="66"/>
    </row>
    <row r="339">
      <c r="K339" s="80"/>
      <c r="M339" s="80"/>
      <c r="N339" s="80"/>
      <c r="O339" s="66"/>
    </row>
    <row r="340">
      <c r="K340" s="80"/>
      <c r="M340" s="80"/>
      <c r="N340" s="80"/>
      <c r="O340" s="66"/>
    </row>
    <row r="341">
      <c r="K341" s="80"/>
      <c r="M341" s="80"/>
      <c r="N341" s="80"/>
      <c r="O341" s="66"/>
    </row>
    <row r="342">
      <c r="K342" s="80"/>
      <c r="M342" s="80"/>
      <c r="N342" s="80"/>
      <c r="O342" s="66"/>
    </row>
    <row r="343">
      <c r="K343" s="80"/>
      <c r="M343" s="80"/>
      <c r="N343" s="80"/>
      <c r="O343" s="66"/>
    </row>
    <row r="344">
      <c r="K344" s="80"/>
      <c r="M344" s="80"/>
      <c r="N344" s="80"/>
      <c r="O344" s="66"/>
    </row>
    <row r="345">
      <c r="K345" s="80"/>
      <c r="M345" s="80"/>
      <c r="N345" s="80"/>
      <c r="O345" s="66"/>
    </row>
    <row r="346">
      <c r="K346" s="80"/>
      <c r="M346" s="80"/>
      <c r="N346" s="80"/>
      <c r="O346" s="66"/>
    </row>
    <row r="347">
      <c r="K347" s="80"/>
      <c r="M347" s="80"/>
      <c r="N347" s="80"/>
      <c r="O347" s="66"/>
    </row>
    <row r="348">
      <c r="K348" s="80"/>
      <c r="M348" s="80"/>
      <c r="N348" s="80"/>
      <c r="O348" s="66"/>
    </row>
    <row r="349">
      <c r="K349" s="80"/>
      <c r="M349" s="80"/>
      <c r="N349" s="80"/>
      <c r="O349" s="66"/>
    </row>
    <row r="350">
      <c r="K350" s="80"/>
      <c r="M350" s="80"/>
      <c r="N350" s="80"/>
      <c r="O350" s="66"/>
    </row>
    <row r="351">
      <c r="K351" s="80"/>
      <c r="M351" s="80"/>
      <c r="N351" s="80"/>
      <c r="O351" s="66"/>
    </row>
    <row r="352">
      <c r="K352" s="80"/>
      <c r="M352" s="80"/>
      <c r="N352" s="80"/>
      <c r="O352" s="66"/>
    </row>
    <row r="353">
      <c r="K353" s="80"/>
      <c r="M353" s="80"/>
      <c r="N353" s="80"/>
      <c r="O353" s="66"/>
    </row>
    <row r="354">
      <c r="K354" s="80"/>
      <c r="M354" s="80"/>
      <c r="N354" s="80"/>
      <c r="O354" s="66"/>
    </row>
    <row r="355">
      <c r="K355" s="80"/>
      <c r="M355" s="80"/>
      <c r="N355" s="80"/>
      <c r="O355" s="66"/>
    </row>
    <row r="356">
      <c r="K356" s="80"/>
      <c r="M356" s="80"/>
      <c r="N356" s="80"/>
      <c r="O356" s="66"/>
    </row>
    <row r="357">
      <c r="K357" s="80"/>
      <c r="M357" s="80"/>
      <c r="N357" s="80"/>
      <c r="O357" s="66"/>
    </row>
    <row r="358">
      <c r="K358" s="80"/>
      <c r="M358" s="80"/>
      <c r="N358" s="80"/>
      <c r="O358" s="66"/>
    </row>
    <row r="359">
      <c r="K359" s="80"/>
      <c r="M359" s="80"/>
      <c r="N359" s="80"/>
      <c r="O359" s="66"/>
    </row>
    <row r="360">
      <c r="K360" s="80"/>
      <c r="M360" s="80"/>
      <c r="N360" s="80"/>
      <c r="O360" s="66"/>
    </row>
    <row r="361">
      <c r="K361" s="80"/>
      <c r="M361" s="80"/>
      <c r="N361" s="80"/>
      <c r="O361" s="66"/>
    </row>
    <row r="362">
      <c r="K362" s="80"/>
      <c r="M362" s="80"/>
      <c r="N362" s="80"/>
      <c r="O362" s="66"/>
    </row>
    <row r="363">
      <c r="K363" s="80"/>
      <c r="M363" s="80"/>
      <c r="N363" s="80"/>
      <c r="O363" s="66"/>
    </row>
    <row r="364">
      <c r="K364" s="80"/>
      <c r="M364" s="80"/>
      <c r="N364" s="80"/>
      <c r="O364" s="66"/>
    </row>
    <row r="365">
      <c r="K365" s="80"/>
      <c r="M365" s="80"/>
      <c r="N365" s="80"/>
      <c r="O365" s="66"/>
    </row>
    <row r="366">
      <c r="K366" s="80"/>
      <c r="M366" s="80"/>
      <c r="N366" s="80"/>
      <c r="O366" s="66"/>
    </row>
    <row r="367">
      <c r="K367" s="80"/>
      <c r="M367" s="80"/>
      <c r="N367" s="80"/>
      <c r="O367" s="66"/>
    </row>
    <row r="368">
      <c r="K368" s="80"/>
      <c r="M368" s="80"/>
      <c r="N368" s="80"/>
      <c r="O368" s="66"/>
    </row>
    <row r="369">
      <c r="K369" s="80"/>
      <c r="M369" s="80"/>
      <c r="N369" s="80"/>
      <c r="O369" s="66"/>
    </row>
    <row r="370">
      <c r="K370" s="80"/>
      <c r="M370" s="80"/>
      <c r="N370" s="80"/>
      <c r="O370" s="66"/>
    </row>
    <row r="371">
      <c r="K371" s="80"/>
      <c r="M371" s="80"/>
      <c r="N371" s="80"/>
      <c r="O371" s="66"/>
    </row>
    <row r="372">
      <c r="K372" s="80"/>
      <c r="M372" s="80"/>
      <c r="N372" s="80"/>
      <c r="O372" s="66"/>
    </row>
    <row r="373">
      <c r="K373" s="80"/>
      <c r="M373" s="80"/>
      <c r="N373" s="80"/>
      <c r="O373" s="66"/>
    </row>
    <row r="374">
      <c r="K374" s="80"/>
      <c r="M374" s="80"/>
      <c r="N374" s="80"/>
      <c r="O374" s="66"/>
    </row>
    <row r="375">
      <c r="K375" s="80"/>
      <c r="M375" s="80"/>
      <c r="N375" s="80"/>
      <c r="O375" s="66"/>
    </row>
    <row r="376">
      <c r="K376" s="80"/>
      <c r="M376" s="80"/>
      <c r="N376" s="80"/>
      <c r="O376" s="66"/>
    </row>
    <row r="377">
      <c r="K377" s="80"/>
      <c r="M377" s="80"/>
      <c r="N377" s="80"/>
      <c r="O377" s="66"/>
    </row>
    <row r="378">
      <c r="K378" s="80"/>
      <c r="M378" s="80"/>
      <c r="N378" s="80"/>
      <c r="O378" s="66"/>
    </row>
    <row r="379">
      <c r="K379" s="80"/>
      <c r="M379" s="80"/>
      <c r="N379" s="80"/>
      <c r="O379" s="66"/>
    </row>
    <row r="380">
      <c r="K380" s="80"/>
      <c r="M380" s="80"/>
      <c r="N380" s="80"/>
      <c r="O380" s="66"/>
    </row>
    <row r="381">
      <c r="K381" s="80"/>
      <c r="M381" s="80"/>
      <c r="N381" s="80"/>
      <c r="O381" s="66"/>
    </row>
    <row r="382">
      <c r="K382" s="80"/>
      <c r="M382" s="80"/>
      <c r="N382" s="80"/>
      <c r="O382" s="66"/>
    </row>
    <row r="383">
      <c r="K383" s="80"/>
      <c r="M383" s="80"/>
      <c r="N383" s="80"/>
      <c r="O383" s="66"/>
    </row>
    <row r="384">
      <c r="K384" s="80"/>
      <c r="M384" s="80"/>
      <c r="N384" s="80"/>
      <c r="O384" s="66"/>
    </row>
    <row r="385">
      <c r="K385" s="80"/>
      <c r="M385" s="80"/>
      <c r="N385" s="80"/>
      <c r="O385" s="66"/>
    </row>
    <row r="386">
      <c r="K386" s="80"/>
      <c r="M386" s="80"/>
      <c r="N386" s="80"/>
      <c r="O386" s="66"/>
    </row>
    <row r="387">
      <c r="K387" s="80"/>
      <c r="M387" s="80"/>
      <c r="N387" s="80"/>
      <c r="O387" s="66"/>
    </row>
    <row r="388">
      <c r="K388" s="80"/>
      <c r="M388" s="80"/>
      <c r="N388" s="80"/>
      <c r="O388" s="66"/>
    </row>
    <row r="389">
      <c r="K389" s="80"/>
      <c r="M389" s="80"/>
      <c r="N389" s="80"/>
      <c r="O389" s="66"/>
    </row>
    <row r="390">
      <c r="K390" s="80"/>
      <c r="M390" s="80"/>
      <c r="N390" s="80"/>
      <c r="O390" s="66"/>
    </row>
    <row r="391">
      <c r="K391" s="80"/>
      <c r="M391" s="80"/>
      <c r="N391" s="80"/>
      <c r="O391" s="66"/>
    </row>
    <row r="392">
      <c r="K392" s="80"/>
      <c r="M392" s="80"/>
      <c r="N392" s="80"/>
      <c r="O392" s="66"/>
    </row>
    <row r="393">
      <c r="K393" s="80"/>
      <c r="M393" s="80"/>
      <c r="N393" s="80"/>
      <c r="O393" s="66"/>
    </row>
    <row r="394">
      <c r="K394" s="80"/>
      <c r="M394" s="80"/>
      <c r="N394" s="80"/>
      <c r="O394" s="66"/>
    </row>
    <row r="395">
      <c r="K395" s="80"/>
      <c r="M395" s="80"/>
      <c r="N395" s="80"/>
      <c r="O395" s="66"/>
    </row>
    <row r="396">
      <c r="K396" s="80"/>
      <c r="M396" s="80"/>
      <c r="N396" s="80"/>
      <c r="O396" s="66"/>
    </row>
    <row r="397">
      <c r="K397" s="80"/>
      <c r="M397" s="80"/>
      <c r="N397" s="80"/>
      <c r="O397" s="66"/>
    </row>
    <row r="398">
      <c r="K398" s="80"/>
      <c r="M398" s="80"/>
      <c r="N398" s="80"/>
      <c r="O398" s="66"/>
    </row>
    <row r="399">
      <c r="K399" s="80"/>
      <c r="M399" s="80"/>
      <c r="N399" s="80"/>
      <c r="O399" s="66"/>
    </row>
    <row r="400">
      <c r="K400" s="80"/>
      <c r="M400" s="80"/>
      <c r="N400" s="80"/>
      <c r="O400" s="66"/>
    </row>
    <row r="401">
      <c r="K401" s="80"/>
      <c r="M401" s="80"/>
      <c r="N401" s="80"/>
      <c r="O401" s="66"/>
    </row>
    <row r="402">
      <c r="K402" s="80"/>
      <c r="M402" s="80"/>
      <c r="N402" s="80"/>
      <c r="O402" s="66"/>
    </row>
    <row r="403">
      <c r="K403" s="80"/>
      <c r="M403" s="80"/>
      <c r="N403" s="80"/>
      <c r="O403" s="66"/>
    </row>
    <row r="404">
      <c r="K404" s="80"/>
      <c r="M404" s="80"/>
      <c r="N404" s="80"/>
      <c r="O404" s="66"/>
    </row>
    <row r="405">
      <c r="K405" s="80"/>
      <c r="M405" s="80"/>
      <c r="N405" s="80"/>
      <c r="O405" s="66"/>
    </row>
    <row r="406">
      <c r="K406" s="80"/>
      <c r="M406" s="80"/>
      <c r="N406" s="80"/>
      <c r="O406" s="66"/>
    </row>
    <row r="407">
      <c r="K407" s="80"/>
      <c r="M407" s="80"/>
      <c r="N407" s="80"/>
      <c r="O407" s="66"/>
    </row>
    <row r="408">
      <c r="K408" s="80"/>
      <c r="M408" s="80"/>
      <c r="N408" s="80"/>
      <c r="O408" s="66"/>
    </row>
    <row r="409">
      <c r="K409" s="80"/>
      <c r="M409" s="80"/>
      <c r="N409" s="80"/>
      <c r="O409" s="66"/>
    </row>
    <row r="410">
      <c r="K410" s="80"/>
      <c r="M410" s="80"/>
      <c r="N410" s="80"/>
      <c r="O410" s="66"/>
    </row>
    <row r="411">
      <c r="K411" s="80"/>
      <c r="M411" s="80"/>
      <c r="N411" s="80"/>
      <c r="O411" s="66"/>
    </row>
    <row r="412">
      <c r="K412" s="80"/>
      <c r="M412" s="80"/>
      <c r="N412" s="80"/>
      <c r="O412" s="66"/>
    </row>
    <row r="413">
      <c r="K413" s="80"/>
      <c r="M413" s="80"/>
      <c r="N413" s="80"/>
      <c r="O413" s="66"/>
    </row>
    <row r="414">
      <c r="K414" s="80"/>
      <c r="M414" s="80"/>
      <c r="N414" s="80"/>
      <c r="O414" s="66"/>
    </row>
    <row r="415">
      <c r="K415" s="80"/>
      <c r="M415" s="80"/>
      <c r="N415" s="80"/>
      <c r="O415" s="66"/>
    </row>
    <row r="416">
      <c r="K416" s="80"/>
      <c r="M416" s="80"/>
      <c r="N416" s="80"/>
      <c r="O416" s="66"/>
    </row>
    <row r="417">
      <c r="K417" s="80"/>
      <c r="M417" s="80"/>
      <c r="N417" s="80"/>
      <c r="O417" s="66"/>
    </row>
    <row r="418">
      <c r="K418" s="80"/>
      <c r="M418" s="80"/>
      <c r="N418" s="80"/>
      <c r="O418" s="66"/>
    </row>
    <row r="419">
      <c r="K419" s="80"/>
      <c r="M419" s="80"/>
      <c r="N419" s="80"/>
      <c r="O419" s="66"/>
    </row>
    <row r="420">
      <c r="K420" s="80"/>
      <c r="M420" s="80"/>
      <c r="N420" s="80"/>
      <c r="O420" s="66"/>
    </row>
    <row r="421">
      <c r="K421" s="80"/>
      <c r="M421" s="80"/>
      <c r="N421" s="80"/>
      <c r="O421" s="66"/>
    </row>
    <row r="422">
      <c r="K422" s="80"/>
      <c r="M422" s="80"/>
      <c r="N422" s="80"/>
      <c r="O422" s="66"/>
    </row>
    <row r="423">
      <c r="K423" s="80"/>
      <c r="M423" s="80"/>
      <c r="N423" s="80"/>
      <c r="O423" s="66"/>
    </row>
    <row r="424">
      <c r="K424" s="80"/>
      <c r="M424" s="80"/>
      <c r="N424" s="80"/>
      <c r="O424" s="66"/>
    </row>
    <row r="425">
      <c r="K425" s="80"/>
      <c r="M425" s="80"/>
      <c r="N425" s="80"/>
      <c r="O425" s="66"/>
    </row>
    <row r="426">
      <c r="K426" s="80"/>
      <c r="M426" s="80"/>
      <c r="N426" s="80"/>
      <c r="O426" s="66"/>
    </row>
    <row r="427">
      <c r="K427" s="80"/>
      <c r="M427" s="80"/>
      <c r="N427" s="80"/>
      <c r="O427" s="66"/>
    </row>
    <row r="428">
      <c r="K428" s="80"/>
      <c r="M428" s="80"/>
      <c r="N428" s="80"/>
      <c r="O428" s="66"/>
    </row>
    <row r="429">
      <c r="K429" s="80"/>
      <c r="M429" s="80"/>
      <c r="N429" s="80"/>
      <c r="O429" s="66"/>
    </row>
    <row r="430">
      <c r="K430" s="80"/>
      <c r="M430" s="80"/>
      <c r="N430" s="80"/>
      <c r="O430" s="66"/>
    </row>
    <row r="431">
      <c r="K431" s="80"/>
      <c r="M431" s="80"/>
      <c r="N431" s="80"/>
      <c r="O431" s="66"/>
    </row>
    <row r="432">
      <c r="K432" s="80"/>
      <c r="M432" s="80"/>
      <c r="N432" s="80"/>
      <c r="O432" s="66"/>
    </row>
    <row r="433">
      <c r="K433" s="80"/>
      <c r="M433" s="80"/>
      <c r="N433" s="80"/>
      <c r="O433" s="66"/>
    </row>
    <row r="434">
      <c r="K434" s="80"/>
      <c r="M434" s="80"/>
      <c r="N434" s="80"/>
      <c r="O434" s="66"/>
    </row>
    <row r="435">
      <c r="K435" s="80"/>
      <c r="M435" s="80"/>
      <c r="N435" s="80"/>
      <c r="O435" s="66"/>
    </row>
    <row r="436">
      <c r="K436" s="80"/>
      <c r="M436" s="80"/>
      <c r="N436" s="80"/>
      <c r="O436" s="66"/>
    </row>
    <row r="437">
      <c r="K437" s="80"/>
      <c r="M437" s="80"/>
      <c r="N437" s="80"/>
      <c r="O437" s="66"/>
    </row>
    <row r="438">
      <c r="K438" s="80"/>
      <c r="M438" s="80"/>
      <c r="N438" s="80"/>
      <c r="O438" s="66"/>
    </row>
    <row r="439">
      <c r="K439" s="80"/>
      <c r="M439" s="80"/>
      <c r="N439" s="80"/>
      <c r="O439" s="66"/>
    </row>
    <row r="440">
      <c r="K440" s="80"/>
      <c r="M440" s="80"/>
      <c r="N440" s="80"/>
      <c r="O440" s="66"/>
    </row>
    <row r="441">
      <c r="K441" s="80"/>
      <c r="M441" s="80"/>
      <c r="N441" s="80"/>
      <c r="O441" s="66"/>
    </row>
    <row r="442">
      <c r="K442" s="80"/>
      <c r="M442" s="80"/>
      <c r="N442" s="80"/>
      <c r="O442" s="66"/>
    </row>
    <row r="443">
      <c r="K443" s="80"/>
      <c r="M443" s="80"/>
      <c r="N443" s="80"/>
      <c r="O443" s="66"/>
    </row>
    <row r="444">
      <c r="K444" s="80"/>
      <c r="M444" s="80"/>
      <c r="N444" s="80"/>
      <c r="O444" s="66"/>
    </row>
    <row r="445">
      <c r="K445" s="80"/>
      <c r="M445" s="80"/>
      <c r="N445" s="80"/>
      <c r="O445" s="66"/>
    </row>
    <row r="446">
      <c r="K446" s="80"/>
      <c r="M446" s="80"/>
      <c r="N446" s="80"/>
      <c r="O446" s="66"/>
    </row>
    <row r="447">
      <c r="K447" s="80"/>
      <c r="M447" s="80"/>
      <c r="N447" s="80"/>
      <c r="O447" s="66"/>
    </row>
    <row r="448">
      <c r="K448" s="80"/>
      <c r="M448" s="80"/>
      <c r="N448" s="80"/>
      <c r="O448" s="66"/>
    </row>
    <row r="449">
      <c r="K449" s="80"/>
      <c r="M449" s="80"/>
      <c r="N449" s="80"/>
      <c r="O449" s="66"/>
    </row>
    <row r="450">
      <c r="K450" s="80"/>
      <c r="M450" s="80"/>
      <c r="N450" s="80"/>
      <c r="O450" s="66"/>
    </row>
    <row r="451">
      <c r="K451" s="80"/>
      <c r="M451" s="80"/>
      <c r="N451" s="80"/>
      <c r="O451" s="66"/>
    </row>
    <row r="452">
      <c r="K452" s="80"/>
      <c r="M452" s="80"/>
      <c r="N452" s="80"/>
      <c r="O452" s="66"/>
    </row>
    <row r="453">
      <c r="K453" s="80"/>
      <c r="M453" s="80"/>
      <c r="N453" s="80"/>
      <c r="O453" s="66"/>
    </row>
    <row r="454">
      <c r="K454" s="80"/>
      <c r="M454" s="80"/>
      <c r="N454" s="80"/>
      <c r="O454" s="66"/>
    </row>
    <row r="455">
      <c r="K455" s="80"/>
      <c r="M455" s="80"/>
      <c r="N455" s="80"/>
      <c r="O455" s="66"/>
    </row>
    <row r="456">
      <c r="K456" s="80"/>
      <c r="M456" s="80"/>
      <c r="N456" s="80"/>
      <c r="O456" s="66"/>
    </row>
    <row r="457">
      <c r="K457" s="80"/>
      <c r="M457" s="80"/>
      <c r="N457" s="80"/>
      <c r="O457" s="66"/>
    </row>
    <row r="458">
      <c r="K458" s="80"/>
      <c r="M458" s="80"/>
      <c r="N458" s="80"/>
      <c r="O458" s="66"/>
    </row>
    <row r="459">
      <c r="K459" s="80"/>
      <c r="M459" s="80"/>
      <c r="N459" s="80"/>
      <c r="O459" s="66"/>
    </row>
    <row r="460">
      <c r="K460" s="80"/>
      <c r="M460" s="80"/>
      <c r="N460" s="80"/>
      <c r="O460" s="66"/>
    </row>
    <row r="461">
      <c r="K461" s="80"/>
      <c r="M461" s="80"/>
      <c r="N461" s="80"/>
      <c r="O461" s="66"/>
    </row>
    <row r="462">
      <c r="K462" s="80"/>
      <c r="M462" s="80"/>
      <c r="N462" s="80"/>
      <c r="O462" s="66"/>
    </row>
    <row r="463">
      <c r="K463" s="80"/>
      <c r="M463" s="80"/>
      <c r="N463" s="80"/>
      <c r="O463" s="66"/>
    </row>
    <row r="464">
      <c r="K464" s="80"/>
      <c r="M464" s="80"/>
      <c r="N464" s="80"/>
      <c r="O464" s="66"/>
    </row>
    <row r="465">
      <c r="K465" s="80"/>
      <c r="M465" s="80"/>
      <c r="N465" s="80"/>
      <c r="O465" s="66"/>
    </row>
    <row r="466">
      <c r="K466" s="80"/>
      <c r="M466" s="80"/>
      <c r="N466" s="80"/>
      <c r="O466" s="66"/>
    </row>
    <row r="467">
      <c r="K467" s="80"/>
      <c r="M467" s="80"/>
      <c r="N467" s="80"/>
      <c r="O467" s="66"/>
    </row>
    <row r="468">
      <c r="K468" s="80"/>
      <c r="M468" s="80"/>
      <c r="N468" s="80"/>
      <c r="O468" s="66"/>
    </row>
    <row r="469">
      <c r="K469" s="80"/>
      <c r="M469" s="80"/>
      <c r="N469" s="80"/>
      <c r="O469" s="66"/>
    </row>
    <row r="470">
      <c r="K470" s="80"/>
      <c r="M470" s="80"/>
      <c r="N470" s="80"/>
      <c r="O470" s="66"/>
    </row>
    <row r="471">
      <c r="K471" s="80"/>
      <c r="M471" s="80"/>
      <c r="N471" s="80"/>
      <c r="O471" s="66"/>
    </row>
    <row r="472">
      <c r="K472" s="80"/>
      <c r="M472" s="80"/>
      <c r="N472" s="80"/>
      <c r="O472" s="66"/>
    </row>
    <row r="473">
      <c r="K473" s="80"/>
      <c r="M473" s="80"/>
      <c r="N473" s="80"/>
      <c r="O473" s="66"/>
    </row>
    <row r="474">
      <c r="K474" s="80"/>
      <c r="M474" s="80"/>
      <c r="N474" s="80"/>
      <c r="O474" s="66"/>
    </row>
    <row r="475">
      <c r="K475" s="80"/>
      <c r="M475" s="80"/>
      <c r="N475" s="80"/>
      <c r="O475" s="66"/>
    </row>
    <row r="476">
      <c r="K476" s="80"/>
      <c r="M476" s="80"/>
      <c r="N476" s="80"/>
      <c r="O476" s="66"/>
    </row>
    <row r="477">
      <c r="K477" s="80"/>
      <c r="M477" s="80"/>
      <c r="N477" s="80"/>
      <c r="O477" s="66"/>
    </row>
    <row r="478">
      <c r="K478" s="80"/>
      <c r="M478" s="80"/>
      <c r="N478" s="80"/>
      <c r="O478" s="66"/>
    </row>
    <row r="479">
      <c r="K479" s="80"/>
      <c r="M479" s="80"/>
      <c r="N479" s="80"/>
      <c r="O479" s="66"/>
    </row>
    <row r="480">
      <c r="K480" s="80"/>
      <c r="M480" s="80"/>
      <c r="N480" s="80"/>
      <c r="O480" s="66"/>
    </row>
    <row r="481">
      <c r="K481" s="80"/>
      <c r="M481" s="80"/>
      <c r="N481" s="80"/>
      <c r="O481" s="66"/>
    </row>
    <row r="482">
      <c r="K482" s="80"/>
      <c r="M482" s="80"/>
      <c r="N482" s="80"/>
      <c r="O482" s="66"/>
    </row>
    <row r="483">
      <c r="K483" s="80"/>
      <c r="M483" s="80"/>
      <c r="N483" s="80"/>
      <c r="O483" s="66"/>
    </row>
    <row r="484">
      <c r="K484" s="80"/>
      <c r="M484" s="80"/>
      <c r="N484" s="80"/>
      <c r="O484" s="66"/>
    </row>
    <row r="485">
      <c r="K485" s="80"/>
      <c r="M485" s="80"/>
      <c r="N485" s="80"/>
      <c r="O485" s="66"/>
    </row>
    <row r="486">
      <c r="K486" s="80"/>
      <c r="M486" s="80"/>
      <c r="N486" s="80"/>
      <c r="O486" s="66"/>
    </row>
    <row r="487">
      <c r="K487" s="80"/>
      <c r="M487" s="80"/>
      <c r="N487" s="80"/>
      <c r="O487" s="66"/>
    </row>
    <row r="488">
      <c r="K488" s="80"/>
      <c r="M488" s="80"/>
      <c r="N488" s="80"/>
      <c r="O488" s="66"/>
    </row>
    <row r="489">
      <c r="K489" s="80"/>
      <c r="M489" s="80"/>
      <c r="N489" s="80"/>
      <c r="O489" s="66"/>
    </row>
    <row r="490">
      <c r="K490" s="80"/>
      <c r="M490" s="80"/>
      <c r="N490" s="80"/>
      <c r="O490" s="66"/>
    </row>
    <row r="491">
      <c r="K491" s="80"/>
      <c r="M491" s="80"/>
      <c r="N491" s="80"/>
      <c r="O491" s="66"/>
    </row>
    <row r="492">
      <c r="K492" s="80"/>
      <c r="M492" s="80"/>
      <c r="N492" s="80"/>
      <c r="O492" s="66"/>
    </row>
    <row r="493">
      <c r="K493" s="80"/>
      <c r="M493" s="80"/>
      <c r="N493" s="80"/>
      <c r="O493" s="66"/>
    </row>
    <row r="494">
      <c r="K494" s="80"/>
      <c r="M494" s="80"/>
      <c r="N494" s="80"/>
      <c r="O494" s="66"/>
    </row>
    <row r="495">
      <c r="K495" s="80"/>
      <c r="M495" s="80"/>
      <c r="N495" s="80"/>
      <c r="O495" s="66"/>
    </row>
    <row r="496">
      <c r="K496" s="80"/>
      <c r="M496" s="80"/>
      <c r="N496" s="80"/>
      <c r="O496" s="66"/>
    </row>
    <row r="497">
      <c r="K497" s="80"/>
      <c r="M497" s="80"/>
      <c r="N497" s="80"/>
      <c r="O497" s="66"/>
    </row>
    <row r="498">
      <c r="K498" s="80"/>
      <c r="M498" s="80"/>
      <c r="N498" s="80"/>
      <c r="O498" s="66"/>
    </row>
    <row r="499">
      <c r="K499" s="80"/>
      <c r="M499" s="80"/>
      <c r="N499" s="80"/>
      <c r="O499" s="66"/>
    </row>
    <row r="500">
      <c r="K500" s="80"/>
      <c r="M500" s="80"/>
      <c r="N500" s="80"/>
      <c r="O500" s="66"/>
    </row>
    <row r="501">
      <c r="K501" s="80"/>
      <c r="M501" s="80"/>
      <c r="N501" s="80"/>
      <c r="O501" s="66"/>
    </row>
    <row r="502">
      <c r="K502" s="80"/>
      <c r="M502" s="80"/>
      <c r="N502" s="80"/>
      <c r="O502" s="66"/>
    </row>
    <row r="503">
      <c r="K503" s="80"/>
      <c r="M503" s="80"/>
      <c r="N503" s="80"/>
      <c r="O503" s="66"/>
    </row>
    <row r="504">
      <c r="K504" s="80"/>
      <c r="M504" s="80"/>
      <c r="N504" s="80"/>
      <c r="O504" s="66"/>
    </row>
    <row r="505">
      <c r="K505" s="80"/>
      <c r="M505" s="80"/>
      <c r="N505" s="80"/>
      <c r="O505" s="66"/>
    </row>
    <row r="506">
      <c r="K506" s="80"/>
      <c r="M506" s="80"/>
      <c r="N506" s="80"/>
      <c r="O506" s="66"/>
    </row>
    <row r="507">
      <c r="K507" s="80"/>
      <c r="M507" s="80"/>
      <c r="N507" s="80"/>
      <c r="O507" s="66"/>
    </row>
    <row r="508">
      <c r="K508" s="80"/>
      <c r="M508" s="80"/>
      <c r="N508" s="80"/>
      <c r="O508" s="66"/>
    </row>
    <row r="509">
      <c r="K509" s="80"/>
      <c r="M509" s="80"/>
      <c r="N509" s="80"/>
      <c r="O509" s="66"/>
    </row>
    <row r="510">
      <c r="K510" s="80"/>
      <c r="M510" s="80"/>
      <c r="N510" s="80"/>
      <c r="O510" s="66"/>
    </row>
    <row r="511">
      <c r="K511" s="80"/>
      <c r="M511" s="80"/>
      <c r="N511" s="80"/>
      <c r="O511" s="66"/>
    </row>
    <row r="512">
      <c r="K512" s="80"/>
      <c r="M512" s="80"/>
      <c r="N512" s="80"/>
      <c r="O512" s="66"/>
    </row>
    <row r="513">
      <c r="K513" s="80"/>
      <c r="M513" s="80"/>
      <c r="N513" s="80"/>
      <c r="O513" s="66"/>
    </row>
    <row r="514">
      <c r="K514" s="80"/>
      <c r="M514" s="80"/>
      <c r="N514" s="80"/>
      <c r="O514" s="66"/>
    </row>
    <row r="515">
      <c r="K515" s="80"/>
      <c r="M515" s="80"/>
      <c r="N515" s="80"/>
      <c r="O515" s="66"/>
    </row>
    <row r="516">
      <c r="K516" s="80"/>
      <c r="M516" s="80"/>
      <c r="N516" s="80"/>
      <c r="O516" s="66"/>
    </row>
    <row r="517">
      <c r="K517" s="80"/>
      <c r="M517" s="80"/>
      <c r="N517" s="80"/>
      <c r="O517" s="66"/>
    </row>
    <row r="518">
      <c r="K518" s="80"/>
      <c r="M518" s="80"/>
      <c r="N518" s="80"/>
      <c r="O518" s="66"/>
    </row>
    <row r="519">
      <c r="K519" s="80"/>
      <c r="M519" s="80"/>
      <c r="N519" s="80"/>
      <c r="O519" s="66"/>
    </row>
    <row r="520">
      <c r="K520" s="80"/>
      <c r="M520" s="80"/>
      <c r="N520" s="80"/>
      <c r="O520" s="66"/>
    </row>
    <row r="521">
      <c r="K521" s="80"/>
      <c r="M521" s="80"/>
      <c r="N521" s="80"/>
      <c r="O521" s="66"/>
    </row>
    <row r="522">
      <c r="K522" s="80"/>
      <c r="M522" s="80"/>
      <c r="N522" s="80"/>
      <c r="O522" s="66"/>
    </row>
    <row r="523">
      <c r="K523" s="80"/>
      <c r="M523" s="80"/>
      <c r="N523" s="80"/>
      <c r="O523" s="66"/>
    </row>
    <row r="524">
      <c r="K524" s="80"/>
      <c r="M524" s="80"/>
      <c r="N524" s="80"/>
      <c r="O524" s="66"/>
    </row>
    <row r="525">
      <c r="K525" s="80"/>
      <c r="M525" s="80"/>
      <c r="N525" s="80"/>
      <c r="O525" s="66"/>
    </row>
    <row r="526">
      <c r="K526" s="80"/>
      <c r="M526" s="80"/>
      <c r="N526" s="80"/>
      <c r="O526" s="66"/>
    </row>
    <row r="527">
      <c r="K527" s="80"/>
      <c r="M527" s="80"/>
      <c r="N527" s="80"/>
      <c r="O527" s="66"/>
    </row>
    <row r="528">
      <c r="K528" s="80"/>
      <c r="M528" s="80"/>
      <c r="N528" s="80"/>
      <c r="O528" s="66"/>
    </row>
    <row r="529">
      <c r="K529" s="80"/>
      <c r="M529" s="80"/>
      <c r="N529" s="80"/>
      <c r="O529" s="66"/>
    </row>
    <row r="530">
      <c r="K530" s="80"/>
      <c r="M530" s="80"/>
      <c r="N530" s="80"/>
      <c r="O530" s="66"/>
    </row>
    <row r="531">
      <c r="K531" s="80"/>
      <c r="M531" s="80"/>
      <c r="N531" s="80"/>
      <c r="O531" s="66"/>
    </row>
    <row r="532">
      <c r="K532" s="80"/>
      <c r="M532" s="80"/>
      <c r="N532" s="80"/>
      <c r="O532" s="66"/>
    </row>
    <row r="533">
      <c r="K533" s="80"/>
      <c r="M533" s="80"/>
      <c r="N533" s="80"/>
      <c r="O533" s="66"/>
    </row>
    <row r="534">
      <c r="K534" s="80"/>
      <c r="M534" s="80"/>
      <c r="N534" s="80"/>
      <c r="O534" s="66"/>
    </row>
    <row r="535">
      <c r="K535" s="80"/>
      <c r="M535" s="80"/>
      <c r="N535" s="80"/>
      <c r="O535" s="66"/>
    </row>
    <row r="536">
      <c r="K536" s="80"/>
      <c r="M536" s="80"/>
      <c r="N536" s="80"/>
      <c r="O536" s="66"/>
    </row>
    <row r="537">
      <c r="K537" s="80"/>
      <c r="M537" s="80"/>
      <c r="N537" s="80"/>
      <c r="O537" s="66"/>
    </row>
    <row r="538">
      <c r="K538" s="80"/>
      <c r="M538" s="80"/>
      <c r="N538" s="80"/>
      <c r="O538" s="66"/>
    </row>
    <row r="539">
      <c r="K539" s="80"/>
      <c r="M539" s="80"/>
      <c r="N539" s="80"/>
      <c r="O539" s="66"/>
    </row>
    <row r="540">
      <c r="K540" s="80"/>
      <c r="M540" s="80"/>
      <c r="N540" s="80"/>
      <c r="O540" s="66"/>
    </row>
    <row r="541">
      <c r="K541" s="80"/>
      <c r="M541" s="80"/>
      <c r="N541" s="80"/>
      <c r="O541" s="66"/>
    </row>
    <row r="542">
      <c r="K542" s="80"/>
      <c r="M542" s="80"/>
      <c r="N542" s="80"/>
      <c r="O542" s="66"/>
    </row>
    <row r="543">
      <c r="K543" s="80"/>
      <c r="M543" s="80"/>
      <c r="N543" s="80"/>
      <c r="O543" s="66"/>
    </row>
    <row r="544">
      <c r="K544" s="80"/>
      <c r="M544" s="80"/>
      <c r="N544" s="80"/>
      <c r="O544" s="66"/>
    </row>
    <row r="545">
      <c r="K545" s="80"/>
      <c r="M545" s="80"/>
      <c r="N545" s="80"/>
      <c r="O545" s="66"/>
    </row>
    <row r="546">
      <c r="K546" s="80"/>
      <c r="M546" s="80"/>
      <c r="N546" s="80"/>
      <c r="O546" s="66"/>
    </row>
    <row r="547">
      <c r="K547" s="80"/>
      <c r="M547" s="80"/>
      <c r="N547" s="80"/>
      <c r="O547" s="66"/>
    </row>
    <row r="548">
      <c r="K548" s="80"/>
      <c r="M548" s="80"/>
      <c r="N548" s="80"/>
      <c r="O548" s="66"/>
    </row>
    <row r="549">
      <c r="K549" s="80"/>
      <c r="M549" s="80"/>
      <c r="N549" s="80"/>
      <c r="O549" s="66"/>
    </row>
    <row r="550">
      <c r="K550" s="80"/>
      <c r="M550" s="80"/>
      <c r="N550" s="80"/>
      <c r="O550" s="66"/>
    </row>
    <row r="551">
      <c r="K551" s="80"/>
      <c r="M551" s="80"/>
      <c r="N551" s="80"/>
      <c r="O551" s="66"/>
    </row>
    <row r="552">
      <c r="K552" s="80"/>
      <c r="M552" s="80"/>
      <c r="N552" s="80"/>
      <c r="O552" s="66"/>
    </row>
    <row r="553">
      <c r="K553" s="80"/>
      <c r="M553" s="80"/>
      <c r="N553" s="80"/>
      <c r="O553" s="66"/>
    </row>
    <row r="554">
      <c r="K554" s="80"/>
      <c r="M554" s="80"/>
      <c r="N554" s="80"/>
      <c r="O554" s="66"/>
    </row>
    <row r="555">
      <c r="K555" s="80"/>
      <c r="M555" s="80"/>
      <c r="N555" s="80"/>
      <c r="O555" s="66"/>
    </row>
    <row r="556">
      <c r="K556" s="80"/>
      <c r="M556" s="80"/>
      <c r="N556" s="80"/>
      <c r="O556" s="66"/>
    </row>
    <row r="557">
      <c r="K557" s="80"/>
      <c r="M557" s="80"/>
      <c r="N557" s="80"/>
      <c r="O557" s="66"/>
    </row>
    <row r="558">
      <c r="K558" s="80"/>
      <c r="M558" s="80"/>
      <c r="N558" s="80"/>
      <c r="O558" s="66"/>
    </row>
    <row r="559">
      <c r="K559" s="80"/>
      <c r="M559" s="80"/>
      <c r="N559" s="80"/>
      <c r="O559" s="66"/>
    </row>
    <row r="560">
      <c r="K560" s="80"/>
      <c r="M560" s="80"/>
      <c r="N560" s="80"/>
      <c r="O560" s="66"/>
    </row>
    <row r="561">
      <c r="K561" s="80"/>
      <c r="M561" s="80"/>
      <c r="N561" s="80"/>
      <c r="O561" s="66"/>
    </row>
    <row r="562">
      <c r="K562" s="80"/>
      <c r="M562" s="80"/>
      <c r="N562" s="80"/>
      <c r="O562" s="66"/>
    </row>
    <row r="563">
      <c r="K563" s="80"/>
      <c r="M563" s="80"/>
      <c r="N563" s="80"/>
      <c r="O563" s="66"/>
    </row>
    <row r="564">
      <c r="K564" s="80"/>
      <c r="M564" s="80"/>
      <c r="N564" s="80"/>
      <c r="O564" s="66"/>
    </row>
    <row r="565">
      <c r="K565" s="80"/>
      <c r="M565" s="80"/>
      <c r="N565" s="80"/>
      <c r="O565" s="66"/>
    </row>
    <row r="566">
      <c r="K566" s="80"/>
      <c r="M566" s="80"/>
      <c r="N566" s="80"/>
      <c r="O566" s="66"/>
    </row>
    <row r="567">
      <c r="K567" s="80"/>
      <c r="M567" s="80"/>
      <c r="N567" s="80"/>
      <c r="O567" s="66"/>
    </row>
    <row r="568">
      <c r="K568" s="80"/>
      <c r="M568" s="80"/>
      <c r="N568" s="80"/>
      <c r="O568" s="66"/>
    </row>
    <row r="569">
      <c r="K569" s="80"/>
      <c r="M569" s="80"/>
      <c r="N569" s="80"/>
      <c r="O569" s="66"/>
    </row>
    <row r="570">
      <c r="K570" s="80"/>
      <c r="M570" s="80"/>
      <c r="N570" s="80"/>
      <c r="O570" s="66"/>
    </row>
    <row r="571">
      <c r="K571" s="80"/>
      <c r="M571" s="80"/>
      <c r="N571" s="80"/>
      <c r="O571" s="66"/>
    </row>
    <row r="572">
      <c r="K572" s="80"/>
      <c r="M572" s="80"/>
      <c r="N572" s="80"/>
      <c r="O572" s="66"/>
    </row>
    <row r="573">
      <c r="K573" s="80"/>
      <c r="M573" s="80"/>
      <c r="N573" s="80"/>
      <c r="O573" s="66"/>
    </row>
    <row r="574">
      <c r="K574" s="80"/>
      <c r="M574" s="80"/>
      <c r="N574" s="80"/>
      <c r="O574" s="66"/>
    </row>
    <row r="575">
      <c r="K575" s="80"/>
      <c r="M575" s="80"/>
      <c r="N575" s="80"/>
      <c r="O575" s="66"/>
    </row>
    <row r="576">
      <c r="K576" s="80"/>
      <c r="M576" s="80"/>
      <c r="N576" s="80"/>
      <c r="O576" s="66"/>
    </row>
    <row r="577">
      <c r="K577" s="80"/>
      <c r="M577" s="80"/>
      <c r="N577" s="80"/>
      <c r="O577" s="66"/>
    </row>
    <row r="578">
      <c r="K578" s="80"/>
      <c r="M578" s="80"/>
      <c r="N578" s="80"/>
      <c r="O578" s="66"/>
    </row>
    <row r="579">
      <c r="K579" s="80"/>
      <c r="M579" s="80"/>
      <c r="N579" s="80"/>
      <c r="O579" s="66"/>
    </row>
    <row r="580">
      <c r="K580" s="80"/>
      <c r="M580" s="80"/>
      <c r="N580" s="80"/>
      <c r="O580" s="66"/>
    </row>
    <row r="581">
      <c r="K581" s="80"/>
      <c r="M581" s="80"/>
      <c r="N581" s="80"/>
      <c r="O581" s="66"/>
    </row>
    <row r="582">
      <c r="K582" s="80"/>
      <c r="M582" s="80"/>
      <c r="N582" s="80"/>
      <c r="O582" s="66"/>
    </row>
    <row r="583">
      <c r="K583" s="80"/>
      <c r="M583" s="80"/>
      <c r="N583" s="80"/>
      <c r="O583" s="66"/>
    </row>
    <row r="584">
      <c r="K584" s="80"/>
      <c r="M584" s="80"/>
      <c r="N584" s="80"/>
      <c r="O584" s="66"/>
    </row>
    <row r="585">
      <c r="K585" s="80"/>
      <c r="M585" s="80"/>
      <c r="N585" s="80"/>
      <c r="O585" s="66"/>
    </row>
    <row r="586">
      <c r="K586" s="80"/>
      <c r="M586" s="80"/>
      <c r="N586" s="80"/>
      <c r="O586" s="66"/>
    </row>
    <row r="587">
      <c r="K587" s="80"/>
      <c r="M587" s="80"/>
      <c r="N587" s="80"/>
      <c r="O587" s="66"/>
    </row>
    <row r="588">
      <c r="K588" s="80"/>
      <c r="M588" s="80"/>
      <c r="N588" s="80"/>
      <c r="O588" s="66"/>
    </row>
    <row r="589">
      <c r="K589" s="80"/>
      <c r="M589" s="80"/>
      <c r="N589" s="80"/>
      <c r="O589" s="66"/>
    </row>
    <row r="590">
      <c r="K590" s="80"/>
      <c r="M590" s="80"/>
      <c r="N590" s="80"/>
      <c r="O590" s="66"/>
    </row>
    <row r="591">
      <c r="K591" s="80"/>
      <c r="M591" s="80"/>
      <c r="N591" s="80"/>
      <c r="O591" s="66"/>
    </row>
    <row r="592">
      <c r="K592" s="80"/>
      <c r="M592" s="80"/>
      <c r="N592" s="80"/>
      <c r="O592" s="66"/>
    </row>
    <row r="593">
      <c r="K593" s="80"/>
      <c r="M593" s="80"/>
      <c r="N593" s="80"/>
      <c r="O593" s="66"/>
    </row>
    <row r="594">
      <c r="K594" s="80"/>
      <c r="M594" s="80"/>
      <c r="N594" s="80"/>
      <c r="O594" s="66"/>
    </row>
    <row r="595">
      <c r="K595" s="80"/>
      <c r="M595" s="80"/>
      <c r="N595" s="80"/>
      <c r="O595" s="66"/>
    </row>
    <row r="596">
      <c r="K596" s="80"/>
      <c r="M596" s="80"/>
      <c r="N596" s="80"/>
      <c r="O596" s="66"/>
    </row>
    <row r="597">
      <c r="K597" s="80"/>
      <c r="M597" s="80"/>
      <c r="N597" s="80"/>
      <c r="O597" s="66"/>
    </row>
    <row r="598">
      <c r="K598" s="80"/>
      <c r="M598" s="80"/>
      <c r="N598" s="80"/>
      <c r="O598" s="66"/>
    </row>
    <row r="599">
      <c r="K599" s="80"/>
      <c r="M599" s="80"/>
      <c r="N599" s="80"/>
      <c r="O599" s="66"/>
    </row>
    <row r="600">
      <c r="K600" s="80"/>
      <c r="M600" s="80"/>
      <c r="N600" s="80"/>
      <c r="O600" s="66"/>
    </row>
    <row r="601">
      <c r="K601" s="80"/>
      <c r="M601" s="80"/>
      <c r="N601" s="80"/>
      <c r="O601" s="66"/>
    </row>
    <row r="602">
      <c r="K602" s="80"/>
      <c r="M602" s="80"/>
      <c r="N602" s="80"/>
      <c r="O602" s="66"/>
    </row>
    <row r="603">
      <c r="K603" s="80"/>
      <c r="M603" s="80"/>
      <c r="N603" s="80"/>
      <c r="O603" s="66"/>
    </row>
    <row r="604">
      <c r="K604" s="80"/>
      <c r="M604" s="80"/>
      <c r="N604" s="80"/>
      <c r="O604" s="66"/>
    </row>
    <row r="605">
      <c r="K605" s="80"/>
      <c r="M605" s="80"/>
      <c r="N605" s="80"/>
      <c r="O605" s="66"/>
    </row>
    <row r="606">
      <c r="K606" s="80"/>
      <c r="M606" s="80"/>
      <c r="N606" s="80"/>
      <c r="O606" s="66"/>
    </row>
    <row r="607">
      <c r="K607" s="80"/>
      <c r="M607" s="80"/>
      <c r="N607" s="80"/>
      <c r="O607" s="66"/>
    </row>
    <row r="608">
      <c r="K608" s="80"/>
      <c r="M608" s="80"/>
      <c r="N608" s="80"/>
      <c r="O608" s="66"/>
    </row>
    <row r="609">
      <c r="K609" s="80"/>
      <c r="M609" s="80"/>
      <c r="N609" s="80"/>
      <c r="O609" s="66"/>
    </row>
    <row r="610">
      <c r="K610" s="80"/>
      <c r="M610" s="80"/>
      <c r="N610" s="80"/>
      <c r="O610" s="66"/>
    </row>
    <row r="611">
      <c r="K611" s="80"/>
      <c r="M611" s="80"/>
      <c r="N611" s="80"/>
      <c r="O611" s="66"/>
    </row>
    <row r="612">
      <c r="K612" s="80"/>
      <c r="M612" s="80"/>
      <c r="N612" s="80"/>
      <c r="O612" s="66"/>
    </row>
    <row r="613">
      <c r="K613" s="80"/>
      <c r="M613" s="80"/>
      <c r="N613" s="80"/>
      <c r="O613" s="66"/>
    </row>
    <row r="614">
      <c r="K614" s="80"/>
      <c r="M614" s="80"/>
      <c r="N614" s="80"/>
      <c r="O614" s="66"/>
    </row>
    <row r="615">
      <c r="K615" s="80"/>
      <c r="M615" s="80"/>
      <c r="N615" s="80"/>
      <c r="O615" s="66"/>
    </row>
    <row r="616">
      <c r="K616" s="80"/>
      <c r="M616" s="80"/>
      <c r="N616" s="80"/>
      <c r="O616" s="66"/>
    </row>
    <row r="617">
      <c r="K617" s="80"/>
      <c r="M617" s="80"/>
      <c r="N617" s="80"/>
      <c r="O617" s="66"/>
    </row>
    <row r="618">
      <c r="K618" s="80"/>
      <c r="M618" s="80"/>
      <c r="N618" s="80"/>
      <c r="O618" s="66"/>
    </row>
    <row r="619">
      <c r="K619" s="80"/>
      <c r="M619" s="80"/>
      <c r="N619" s="80"/>
      <c r="O619" s="66"/>
    </row>
    <row r="620">
      <c r="K620" s="80"/>
      <c r="M620" s="80"/>
      <c r="N620" s="80"/>
      <c r="O620" s="66"/>
    </row>
    <row r="621">
      <c r="K621" s="80"/>
      <c r="M621" s="80"/>
      <c r="N621" s="80"/>
      <c r="O621" s="66"/>
    </row>
    <row r="622">
      <c r="K622" s="80"/>
      <c r="M622" s="80"/>
      <c r="N622" s="80"/>
      <c r="O622" s="66"/>
    </row>
    <row r="623">
      <c r="K623" s="80"/>
      <c r="M623" s="80"/>
      <c r="N623" s="80"/>
      <c r="O623" s="66"/>
    </row>
    <row r="624">
      <c r="K624" s="80"/>
      <c r="M624" s="80"/>
      <c r="N624" s="80"/>
      <c r="O624" s="66"/>
    </row>
    <row r="625">
      <c r="K625" s="80"/>
      <c r="M625" s="80"/>
      <c r="N625" s="80"/>
      <c r="O625" s="66"/>
    </row>
    <row r="626">
      <c r="K626" s="80"/>
      <c r="M626" s="80"/>
      <c r="N626" s="80"/>
      <c r="O626" s="66"/>
    </row>
    <row r="627">
      <c r="K627" s="80"/>
      <c r="M627" s="80"/>
      <c r="N627" s="80"/>
      <c r="O627" s="66"/>
    </row>
    <row r="628">
      <c r="K628" s="80"/>
      <c r="M628" s="80"/>
      <c r="N628" s="80"/>
      <c r="O628" s="66"/>
    </row>
    <row r="629">
      <c r="K629" s="80"/>
      <c r="M629" s="80"/>
      <c r="N629" s="80"/>
      <c r="O629" s="66"/>
    </row>
    <row r="630">
      <c r="K630" s="80"/>
      <c r="M630" s="80"/>
      <c r="N630" s="80"/>
      <c r="O630" s="66"/>
    </row>
    <row r="631">
      <c r="K631" s="80"/>
      <c r="M631" s="80"/>
      <c r="N631" s="80"/>
      <c r="O631" s="66"/>
    </row>
    <row r="632">
      <c r="K632" s="80"/>
      <c r="M632" s="80"/>
      <c r="N632" s="80"/>
      <c r="O632" s="66"/>
    </row>
    <row r="633">
      <c r="K633" s="80"/>
      <c r="M633" s="80"/>
      <c r="N633" s="80"/>
      <c r="O633" s="66"/>
    </row>
    <row r="634">
      <c r="K634" s="80"/>
      <c r="M634" s="80"/>
      <c r="N634" s="80"/>
      <c r="O634" s="66"/>
    </row>
    <row r="635">
      <c r="K635" s="80"/>
      <c r="M635" s="80"/>
      <c r="N635" s="80"/>
      <c r="O635" s="66"/>
    </row>
    <row r="636">
      <c r="K636" s="80"/>
      <c r="M636" s="80"/>
      <c r="N636" s="80"/>
      <c r="O636" s="66"/>
    </row>
    <row r="637">
      <c r="K637" s="80"/>
      <c r="M637" s="80"/>
      <c r="N637" s="80"/>
      <c r="O637" s="66"/>
    </row>
    <row r="638">
      <c r="K638" s="80"/>
      <c r="M638" s="80"/>
      <c r="N638" s="80"/>
      <c r="O638" s="66"/>
    </row>
    <row r="639">
      <c r="K639" s="80"/>
      <c r="M639" s="80"/>
      <c r="N639" s="80"/>
      <c r="O639" s="66"/>
    </row>
    <row r="640">
      <c r="K640" s="80"/>
      <c r="M640" s="80"/>
      <c r="N640" s="80"/>
      <c r="O640" s="66"/>
    </row>
    <row r="641">
      <c r="K641" s="80"/>
      <c r="M641" s="80"/>
      <c r="N641" s="80"/>
      <c r="O641" s="66"/>
    </row>
    <row r="642">
      <c r="K642" s="80"/>
      <c r="M642" s="80"/>
      <c r="N642" s="80"/>
      <c r="O642" s="66"/>
    </row>
    <row r="643">
      <c r="K643" s="80"/>
      <c r="M643" s="80"/>
      <c r="N643" s="80"/>
      <c r="O643" s="66"/>
    </row>
    <row r="644">
      <c r="K644" s="80"/>
      <c r="M644" s="80"/>
      <c r="N644" s="80"/>
      <c r="O644" s="66"/>
    </row>
    <row r="645">
      <c r="K645" s="80"/>
      <c r="M645" s="80"/>
      <c r="N645" s="80"/>
      <c r="O645" s="66"/>
    </row>
    <row r="646">
      <c r="K646" s="80"/>
      <c r="M646" s="80"/>
      <c r="N646" s="80"/>
      <c r="O646" s="66"/>
    </row>
    <row r="647">
      <c r="K647" s="80"/>
      <c r="M647" s="80"/>
      <c r="N647" s="80"/>
      <c r="O647" s="66"/>
    </row>
    <row r="648">
      <c r="K648" s="80"/>
      <c r="M648" s="80"/>
      <c r="N648" s="80"/>
      <c r="O648" s="66"/>
    </row>
    <row r="649">
      <c r="K649" s="80"/>
      <c r="M649" s="80"/>
      <c r="N649" s="80"/>
      <c r="O649" s="66"/>
    </row>
    <row r="650">
      <c r="K650" s="80"/>
      <c r="M650" s="80"/>
      <c r="N650" s="80"/>
      <c r="O650" s="66"/>
    </row>
    <row r="651">
      <c r="K651" s="80"/>
      <c r="M651" s="80"/>
      <c r="N651" s="80"/>
      <c r="O651" s="66"/>
    </row>
    <row r="652">
      <c r="K652" s="80"/>
      <c r="M652" s="80"/>
      <c r="N652" s="80"/>
      <c r="O652" s="66"/>
    </row>
    <row r="653">
      <c r="K653" s="80"/>
      <c r="M653" s="80"/>
      <c r="N653" s="80"/>
      <c r="O653" s="66"/>
    </row>
    <row r="654">
      <c r="K654" s="80"/>
      <c r="M654" s="80"/>
      <c r="N654" s="80"/>
      <c r="O654" s="66"/>
    </row>
    <row r="655">
      <c r="K655" s="80"/>
      <c r="M655" s="80"/>
      <c r="N655" s="80"/>
      <c r="O655" s="66"/>
    </row>
    <row r="656">
      <c r="K656" s="80"/>
      <c r="M656" s="80"/>
      <c r="N656" s="80"/>
      <c r="O656" s="66"/>
    </row>
    <row r="657">
      <c r="K657" s="80"/>
      <c r="M657" s="80"/>
      <c r="N657" s="80"/>
      <c r="O657" s="66"/>
    </row>
    <row r="658">
      <c r="K658" s="80"/>
      <c r="M658" s="80"/>
      <c r="N658" s="80"/>
      <c r="O658" s="66"/>
    </row>
    <row r="659">
      <c r="K659" s="80"/>
      <c r="M659" s="80"/>
      <c r="N659" s="80"/>
      <c r="O659" s="66"/>
    </row>
    <row r="660">
      <c r="K660" s="80"/>
      <c r="M660" s="80"/>
      <c r="N660" s="80"/>
      <c r="O660" s="66"/>
    </row>
    <row r="661">
      <c r="K661" s="80"/>
      <c r="M661" s="80"/>
      <c r="N661" s="80"/>
      <c r="O661" s="66"/>
    </row>
    <row r="662">
      <c r="K662" s="80"/>
      <c r="M662" s="80"/>
      <c r="N662" s="80"/>
      <c r="O662" s="66"/>
    </row>
    <row r="663">
      <c r="K663" s="80"/>
      <c r="M663" s="80"/>
      <c r="N663" s="80"/>
      <c r="O663" s="66"/>
    </row>
    <row r="664">
      <c r="K664" s="80"/>
      <c r="M664" s="80"/>
      <c r="N664" s="80"/>
      <c r="O664" s="66"/>
    </row>
    <row r="665">
      <c r="K665" s="80"/>
      <c r="M665" s="80"/>
      <c r="N665" s="80"/>
      <c r="O665" s="66"/>
    </row>
    <row r="666">
      <c r="K666" s="80"/>
      <c r="M666" s="80"/>
      <c r="N666" s="80"/>
      <c r="O666" s="66"/>
    </row>
    <row r="667">
      <c r="K667" s="80"/>
      <c r="M667" s="80"/>
      <c r="N667" s="80"/>
      <c r="O667" s="66"/>
    </row>
    <row r="668">
      <c r="K668" s="80"/>
      <c r="M668" s="80"/>
      <c r="N668" s="80"/>
      <c r="O668" s="66"/>
    </row>
    <row r="669">
      <c r="K669" s="80"/>
      <c r="M669" s="80"/>
      <c r="N669" s="80"/>
      <c r="O669" s="66"/>
    </row>
    <row r="670">
      <c r="K670" s="80"/>
      <c r="M670" s="80"/>
      <c r="N670" s="80"/>
      <c r="O670" s="66"/>
    </row>
    <row r="671">
      <c r="K671" s="80"/>
      <c r="M671" s="80"/>
      <c r="N671" s="80"/>
      <c r="O671" s="66"/>
    </row>
    <row r="672">
      <c r="K672" s="80"/>
      <c r="M672" s="80"/>
      <c r="N672" s="80"/>
      <c r="O672" s="66"/>
    </row>
    <row r="673">
      <c r="K673" s="80"/>
      <c r="M673" s="80"/>
      <c r="N673" s="80"/>
      <c r="O673" s="66"/>
    </row>
    <row r="674">
      <c r="K674" s="80"/>
      <c r="M674" s="80"/>
      <c r="N674" s="80"/>
      <c r="O674" s="66"/>
    </row>
    <row r="675">
      <c r="K675" s="80"/>
      <c r="M675" s="80"/>
      <c r="N675" s="80"/>
      <c r="O675" s="66"/>
    </row>
    <row r="676">
      <c r="K676" s="80"/>
      <c r="M676" s="80"/>
      <c r="N676" s="80"/>
      <c r="O676" s="66"/>
    </row>
    <row r="677">
      <c r="K677" s="80"/>
      <c r="M677" s="80"/>
      <c r="N677" s="80"/>
      <c r="O677" s="66"/>
    </row>
    <row r="678">
      <c r="K678" s="80"/>
      <c r="M678" s="80"/>
      <c r="N678" s="80"/>
      <c r="O678" s="66"/>
    </row>
    <row r="679">
      <c r="K679" s="80"/>
      <c r="M679" s="80"/>
      <c r="N679" s="80"/>
      <c r="O679" s="66"/>
    </row>
    <row r="680">
      <c r="K680" s="80"/>
      <c r="M680" s="80"/>
      <c r="N680" s="80"/>
      <c r="O680" s="66"/>
    </row>
    <row r="681">
      <c r="K681" s="80"/>
      <c r="M681" s="80"/>
      <c r="N681" s="80"/>
      <c r="O681" s="66"/>
    </row>
    <row r="682">
      <c r="K682" s="80"/>
      <c r="M682" s="80"/>
      <c r="N682" s="80"/>
      <c r="O682" s="66"/>
    </row>
    <row r="683">
      <c r="K683" s="80"/>
      <c r="M683" s="80"/>
      <c r="N683" s="80"/>
      <c r="O683" s="66"/>
    </row>
    <row r="684">
      <c r="K684" s="80"/>
      <c r="M684" s="80"/>
      <c r="N684" s="80"/>
      <c r="O684" s="66"/>
    </row>
    <row r="685">
      <c r="K685" s="80"/>
      <c r="M685" s="80"/>
      <c r="N685" s="80"/>
      <c r="O685" s="66"/>
    </row>
    <row r="686">
      <c r="K686" s="80"/>
      <c r="M686" s="80"/>
      <c r="N686" s="80"/>
      <c r="O686" s="66"/>
    </row>
    <row r="687">
      <c r="K687" s="80"/>
      <c r="M687" s="80"/>
      <c r="N687" s="80"/>
      <c r="O687" s="66"/>
    </row>
    <row r="688">
      <c r="K688" s="80"/>
      <c r="M688" s="80"/>
      <c r="N688" s="80"/>
      <c r="O688" s="66"/>
    </row>
    <row r="689">
      <c r="K689" s="80"/>
      <c r="M689" s="80"/>
      <c r="N689" s="80"/>
      <c r="O689" s="66"/>
    </row>
    <row r="690">
      <c r="K690" s="80"/>
      <c r="M690" s="80"/>
      <c r="N690" s="80"/>
      <c r="O690" s="66"/>
    </row>
    <row r="691">
      <c r="K691" s="80"/>
      <c r="M691" s="80"/>
      <c r="N691" s="80"/>
      <c r="O691" s="66"/>
    </row>
    <row r="692">
      <c r="K692" s="80"/>
      <c r="M692" s="80"/>
      <c r="N692" s="80"/>
      <c r="O692" s="66"/>
    </row>
    <row r="693">
      <c r="K693" s="80"/>
      <c r="M693" s="80"/>
      <c r="N693" s="80"/>
      <c r="O693" s="66"/>
    </row>
    <row r="694">
      <c r="K694" s="80"/>
      <c r="M694" s="80"/>
      <c r="N694" s="80"/>
      <c r="O694" s="66"/>
    </row>
    <row r="695">
      <c r="K695" s="80"/>
      <c r="M695" s="80"/>
      <c r="N695" s="80"/>
      <c r="O695" s="66"/>
    </row>
    <row r="696">
      <c r="K696" s="80"/>
      <c r="M696" s="80"/>
      <c r="N696" s="80"/>
      <c r="O696" s="66"/>
    </row>
    <row r="697">
      <c r="K697" s="80"/>
      <c r="M697" s="80"/>
      <c r="N697" s="80"/>
      <c r="O697" s="66"/>
    </row>
    <row r="698">
      <c r="K698" s="80"/>
      <c r="M698" s="80"/>
      <c r="N698" s="80"/>
      <c r="O698" s="66"/>
    </row>
    <row r="699">
      <c r="K699" s="80"/>
      <c r="M699" s="80"/>
      <c r="N699" s="80"/>
      <c r="O699" s="66"/>
    </row>
    <row r="700">
      <c r="K700" s="80"/>
      <c r="M700" s="80"/>
      <c r="N700" s="80"/>
      <c r="O700" s="66"/>
    </row>
    <row r="701">
      <c r="K701" s="80"/>
      <c r="M701" s="80"/>
      <c r="N701" s="80"/>
      <c r="O701" s="66"/>
    </row>
    <row r="702">
      <c r="K702" s="80"/>
      <c r="M702" s="80"/>
      <c r="N702" s="80"/>
      <c r="O702" s="66"/>
    </row>
    <row r="703">
      <c r="K703" s="80"/>
      <c r="M703" s="80"/>
      <c r="N703" s="80"/>
      <c r="O703" s="66"/>
    </row>
    <row r="704">
      <c r="K704" s="80"/>
      <c r="M704" s="80"/>
      <c r="N704" s="80"/>
      <c r="O704" s="66"/>
    </row>
    <row r="705">
      <c r="K705" s="80"/>
      <c r="M705" s="80"/>
      <c r="N705" s="80"/>
      <c r="O705" s="66"/>
    </row>
    <row r="706">
      <c r="K706" s="80"/>
      <c r="M706" s="80"/>
      <c r="N706" s="80"/>
      <c r="O706" s="66"/>
    </row>
    <row r="707">
      <c r="K707" s="80"/>
      <c r="M707" s="80"/>
      <c r="N707" s="80"/>
      <c r="O707" s="66"/>
    </row>
    <row r="708">
      <c r="K708" s="80"/>
      <c r="M708" s="80"/>
      <c r="N708" s="80"/>
      <c r="O708" s="66"/>
    </row>
    <row r="709">
      <c r="K709" s="80"/>
      <c r="M709" s="80"/>
      <c r="N709" s="80"/>
      <c r="O709" s="66"/>
    </row>
    <row r="710">
      <c r="K710" s="80"/>
      <c r="M710" s="80"/>
      <c r="N710" s="80"/>
      <c r="O710" s="66"/>
    </row>
    <row r="711">
      <c r="K711" s="80"/>
      <c r="M711" s="80"/>
      <c r="N711" s="80"/>
      <c r="O711" s="66"/>
    </row>
    <row r="712">
      <c r="K712" s="80"/>
      <c r="M712" s="80"/>
      <c r="N712" s="80"/>
      <c r="O712" s="66"/>
    </row>
    <row r="713">
      <c r="K713" s="80"/>
      <c r="M713" s="80"/>
      <c r="N713" s="80"/>
      <c r="O713" s="66"/>
    </row>
    <row r="714">
      <c r="K714" s="80"/>
      <c r="M714" s="80"/>
      <c r="N714" s="80"/>
      <c r="O714" s="66"/>
    </row>
    <row r="715">
      <c r="K715" s="80"/>
      <c r="M715" s="80"/>
      <c r="N715" s="80"/>
      <c r="O715" s="66"/>
    </row>
    <row r="716">
      <c r="K716" s="80"/>
      <c r="M716" s="80"/>
      <c r="N716" s="80"/>
      <c r="O716" s="66"/>
    </row>
    <row r="717">
      <c r="K717" s="80"/>
      <c r="M717" s="80"/>
      <c r="N717" s="80"/>
      <c r="O717" s="66"/>
    </row>
    <row r="718">
      <c r="K718" s="80"/>
      <c r="M718" s="80"/>
      <c r="N718" s="80"/>
      <c r="O718" s="66"/>
    </row>
    <row r="719">
      <c r="K719" s="80"/>
      <c r="M719" s="80"/>
      <c r="N719" s="80"/>
      <c r="O719" s="66"/>
    </row>
    <row r="720">
      <c r="K720" s="80"/>
      <c r="M720" s="80"/>
      <c r="N720" s="80"/>
      <c r="O720" s="66"/>
    </row>
    <row r="721">
      <c r="K721" s="80"/>
      <c r="M721" s="80"/>
      <c r="N721" s="80"/>
      <c r="O721" s="66"/>
    </row>
    <row r="722">
      <c r="K722" s="80"/>
      <c r="M722" s="80"/>
      <c r="N722" s="80"/>
      <c r="O722" s="66"/>
    </row>
    <row r="723">
      <c r="K723" s="80"/>
      <c r="M723" s="80"/>
      <c r="N723" s="80"/>
      <c r="O723" s="66"/>
    </row>
    <row r="724">
      <c r="K724" s="80"/>
      <c r="M724" s="80"/>
      <c r="N724" s="80"/>
      <c r="O724" s="66"/>
    </row>
    <row r="725">
      <c r="K725" s="80"/>
      <c r="M725" s="80"/>
      <c r="N725" s="80"/>
      <c r="O725" s="66"/>
    </row>
    <row r="726">
      <c r="K726" s="80"/>
      <c r="M726" s="80"/>
      <c r="N726" s="80"/>
      <c r="O726" s="66"/>
    </row>
    <row r="727">
      <c r="K727" s="80"/>
      <c r="M727" s="80"/>
      <c r="N727" s="80"/>
      <c r="O727" s="66"/>
    </row>
    <row r="728">
      <c r="K728" s="80"/>
      <c r="M728" s="80"/>
      <c r="N728" s="80"/>
      <c r="O728" s="66"/>
    </row>
    <row r="729">
      <c r="K729" s="80"/>
      <c r="M729" s="80"/>
      <c r="N729" s="80"/>
      <c r="O729" s="66"/>
    </row>
    <row r="730">
      <c r="K730" s="80"/>
      <c r="M730" s="80"/>
      <c r="N730" s="80"/>
      <c r="O730" s="66"/>
    </row>
    <row r="731">
      <c r="K731" s="80"/>
      <c r="M731" s="80"/>
      <c r="N731" s="80"/>
      <c r="O731" s="66"/>
    </row>
    <row r="732">
      <c r="K732" s="80"/>
      <c r="M732" s="80"/>
      <c r="N732" s="80"/>
      <c r="O732" s="66"/>
    </row>
    <row r="733">
      <c r="K733" s="80"/>
      <c r="M733" s="80"/>
      <c r="N733" s="80"/>
      <c r="O733" s="66"/>
    </row>
    <row r="734">
      <c r="K734" s="80"/>
      <c r="M734" s="80"/>
      <c r="N734" s="80"/>
      <c r="O734" s="66"/>
    </row>
    <row r="735">
      <c r="K735" s="80"/>
      <c r="M735" s="80"/>
      <c r="N735" s="80"/>
      <c r="O735" s="66"/>
    </row>
    <row r="736">
      <c r="K736" s="80"/>
      <c r="M736" s="80"/>
      <c r="N736" s="80"/>
      <c r="O736" s="66"/>
    </row>
    <row r="737">
      <c r="K737" s="80"/>
      <c r="M737" s="80"/>
      <c r="N737" s="80"/>
      <c r="O737" s="66"/>
    </row>
    <row r="738">
      <c r="K738" s="80"/>
      <c r="M738" s="80"/>
      <c r="N738" s="80"/>
      <c r="O738" s="66"/>
    </row>
    <row r="739">
      <c r="K739" s="80"/>
      <c r="M739" s="80"/>
      <c r="N739" s="80"/>
      <c r="O739" s="66"/>
    </row>
    <row r="740">
      <c r="K740" s="80"/>
      <c r="M740" s="80"/>
      <c r="N740" s="80"/>
      <c r="O740" s="66"/>
    </row>
    <row r="741">
      <c r="K741" s="80"/>
      <c r="M741" s="80"/>
      <c r="N741" s="80"/>
      <c r="O741" s="66"/>
    </row>
    <row r="742">
      <c r="K742" s="80"/>
      <c r="M742" s="80"/>
      <c r="N742" s="80"/>
      <c r="O742" s="66"/>
    </row>
    <row r="743">
      <c r="K743" s="80"/>
      <c r="M743" s="80"/>
      <c r="N743" s="80"/>
      <c r="O743" s="66"/>
    </row>
    <row r="744">
      <c r="K744" s="80"/>
      <c r="M744" s="80"/>
      <c r="N744" s="80"/>
      <c r="O744" s="66"/>
    </row>
    <row r="745">
      <c r="K745" s="80"/>
      <c r="M745" s="80"/>
      <c r="N745" s="80"/>
      <c r="O745" s="66"/>
    </row>
    <row r="746">
      <c r="K746" s="80"/>
      <c r="M746" s="80"/>
      <c r="N746" s="80"/>
      <c r="O746" s="66"/>
    </row>
    <row r="747">
      <c r="K747" s="80"/>
      <c r="M747" s="80"/>
      <c r="N747" s="80"/>
      <c r="O747" s="66"/>
    </row>
    <row r="748">
      <c r="K748" s="80"/>
      <c r="M748" s="80"/>
      <c r="N748" s="80"/>
      <c r="O748" s="66"/>
    </row>
    <row r="749">
      <c r="K749" s="80"/>
      <c r="M749" s="80"/>
      <c r="N749" s="80"/>
      <c r="O749" s="66"/>
    </row>
    <row r="750">
      <c r="K750" s="80"/>
      <c r="M750" s="80"/>
      <c r="N750" s="80"/>
      <c r="O750" s="66"/>
    </row>
    <row r="751">
      <c r="K751" s="80"/>
      <c r="M751" s="80"/>
      <c r="N751" s="80"/>
      <c r="O751" s="66"/>
    </row>
    <row r="752">
      <c r="K752" s="80"/>
      <c r="M752" s="80"/>
      <c r="N752" s="80"/>
      <c r="O752" s="66"/>
    </row>
    <row r="753">
      <c r="K753" s="80"/>
      <c r="M753" s="80"/>
      <c r="N753" s="80"/>
      <c r="O753" s="66"/>
    </row>
    <row r="754">
      <c r="K754" s="80"/>
      <c r="M754" s="80"/>
      <c r="N754" s="80"/>
      <c r="O754" s="66"/>
    </row>
    <row r="755">
      <c r="K755" s="80"/>
      <c r="M755" s="80"/>
      <c r="N755" s="80"/>
      <c r="O755" s="66"/>
    </row>
    <row r="756">
      <c r="K756" s="80"/>
      <c r="M756" s="80"/>
      <c r="N756" s="80"/>
      <c r="O756" s="66"/>
    </row>
    <row r="757">
      <c r="K757" s="80"/>
      <c r="M757" s="80"/>
      <c r="N757" s="80"/>
      <c r="O757" s="66"/>
    </row>
    <row r="758">
      <c r="K758" s="80"/>
      <c r="M758" s="80"/>
      <c r="N758" s="80"/>
      <c r="O758" s="66"/>
    </row>
    <row r="759">
      <c r="K759" s="80"/>
      <c r="M759" s="80"/>
      <c r="N759" s="80"/>
      <c r="O759" s="66"/>
    </row>
    <row r="760">
      <c r="K760" s="80"/>
      <c r="M760" s="80"/>
      <c r="N760" s="80"/>
      <c r="O760" s="66"/>
    </row>
    <row r="761">
      <c r="K761" s="80"/>
      <c r="M761" s="80"/>
      <c r="N761" s="80"/>
      <c r="O761" s="66"/>
    </row>
    <row r="762">
      <c r="K762" s="80"/>
      <c r="M762" s="80"/>
      <c r="N762" s="80"/>
      <c r="O762" s="66"/>
    </row>
    <row r="763">
      <c r="K763" s="80"/>
      <c r="M763" s="80"/>
      <c r="N763" s="80"/>
      <c r="O763" s="66"/>
    </row>
    <row r="764">
      <c r="K764" s="80"/>
      <c r="M764" s="80"/>
      <c r="N764" s="80"/>
      <c r="O764" s="66"/>
    </row>
    <row r="765">
      <c r="K765" s="80"/>
      <c r="M765" s="80"/>
      <c r="N765" s="80"/>
      <c r="O765" s="66"/>
    </row>
    <row r="766">
      <c r="K766" s="80"/>
      <c r="M766" s="80"/>
      <c r="N766" s="80"/>
      <c r="O766" s="66"/>
    </row>
    <row r="767">
      <c r="K767" s="80"/>
      <c r="M767" s="80"/>
      <c r="N767" s="80"/>
      <c r="O767" s="66"/>
    </row>
    <row r="768">
      <c r="K768" s="80"/>
      <c r="M768" s="80"/>
      <c r="N768" s="80"/>
      <c r="O768" s="66"/>
    </row>
    <row r="769">
      <c r="K769" s="80"/>
      <c r="M769" s="80"/>
      <c r="N769" s="80"/>
      <c r="O769" s="66"/>
    </row>
    <row r="770">
      <c r="K770" s="80"/>
      <c r="M770" s="80"/>
      <c r="N770" s="80"/>
      <c r="O770" s="66"/>
    </row>
    <row r="771">
      <c r="K771" s="80"/>
      <c r="M771" s="80"/>
      <c r="N771" s="80"/>
      <c r="O771" s="66"/>
    </row>
    <row r="772">
      <c r="K772" s="80"/>
      <c r="M772" s="80"/>
      <c r="N772" s="80"/>
      <c r="O772" s="66"/>
    </row>
    <row r="773">
      <c r="K773" s="80"/>
      <c r="M773" s="80"/>
      <c r="N773" s="80"/>
      <c r="O773" s="66"/>
    </row>
    <row r="774">
      <c r="K774" s="80"/>
      <c r="M774" s="80"/>
      <c r="N774" s="80"/>
      <c r="O774" s="66"/>
    </row>
    <row r="775">
      <c r="K775" s="80"/>
      <c r="M775" s="80"/>
      <c r="N775" s="80"/>
      <c r="O775" s="66"/>
    </row>
    <row r="776">
      <c r="K776" s="80"/>
      <c r="M776" s="80"/>
      <c r="N776" s="80"/>
      <c r="O776" s="66"/>
    </row>
    <row r="777">
      <c r="K777" s="80"/>
      <c r="M777" s="80"/>
      <c r="N777" s="80"/>
      <c r="O777" s="66"/>
    </row>
    <row r="778">
      <c r="K778" s="80"/>
      <c r="M778" s="80"/>
      <c r="N778" s="80"/>
      <c r="O778" s="66"/>
    </row>
    <row r="779">
      <c r="K779" s="80"/>
      <c r="M779" s="80"/>
      <c r="N779" s="80"/>
      <c r="O779" s="66"/>
    </row>
    <row r="780">
      <c r="K780" s="80"/>
      <c r="M780" s="80"/>
      <c r="N780" s="80"/>
      <c r="O780" s="66"/>
    </row>
    <row r="781">
      <c r="K781" s="80"/>
      <c r="M781" s="80"/>
      <c r="N781" s="80"/>
      <c r="O781" s="66"/>
    </row>
    <row r="782">
      <c r="K782" s="80"/>
      <c r="M782" s="80"/>
      <c r="N782" s="80"/>
      <c r="O782" s="66"/>
    </row>
    <row r="783">
      <c r="K783" s="80"/>
      <c r="M783" s="80"/>
      <c r="N783" s="80"/>
      <c r="O783" s="66"/>
    </row>
    <row r="784">
      <c r="K784" s="80"/>
      <c r="M784" s="80"/>
      <c r="N784" s="80"/>
      <c r="O784" s="66"/>
    </row>
    <row r="785">
      <c r="K785" s="80"/>
      <c r="M785" s="80"/>
      <c r="N785" s="80"/>
      <c r="O785" s="66"/>
    </row>
    <row r="786">
      <c r="K786" s="80"/>
      <c r="M786" s="80"/>
      <c r="N786" s="80"/>
      <c r="O786" s="66"/>
    </row>
    <row r="787">
      <c r="K787" s="80"/>
      <c r="M787" s="80"/>
      <c r="N787" s="80"/>
      <c r="O787" s="66"/>
    </row>
    <row r="788">
      <c r="K788" s="80"/>
      <c r="M788" s="80"/>
      <c r="N788" s="80"/>
      <c r="O788" s="66"/>
    </row>
    <row r="789">
      <c r="K789" s="80"/>
      <c r="M789" s="80"/>
      <c r="N789" s="80"/>
      <c r="O789" s="66"/>
    </row>
    <row r="790">
      <c r="K790" s="80"/>
      <c r="M790" s="80"/>
      <c r="N790" s="80"/>
      <c r="O790" s="66"/>
    </row>
    <row r="791">
      <c r="K791" s="80"/>
      <c r="M791" s="80"/>
      <c r="N791" s="80"/>
      <c r="O791" s="66"/>
    </row>
    <row r="792">
      <c r="K792" s="80"/>
      <c r="M792" s="80"/>
      <c r="N792" s="80"/>
      <c r="O792" s="66"/>
    </row>
    <row r="793">
      <c r="K793" s="80"/>
      <c r="M793" s="80"/>
      <c r="N793" s="80"/>
      <c r="O793" s="66"/>
    </row>
    <row r="794">
      <c r="K794" s="80"/>
      <c r="M794" s="80"/>
      <c r="N794" s="80"/>
      <c r="O794" s="66"/>
    </row>
    <row r="795">
      <c r="K795" s="80"/>
      <c r="M795" s="80"/>
      <c r="N795" s="80"/>
      <c r="O795" s="66"/>
    </row>
    <row r="796">
      <c r="K796" s="80"/>
      <c r="M796" s="80"/>
      <c r="N796" s="80"/>
      <c r="O796" s="66"/>
    </row>
    <row r="797">
      <c r="K797" s="80"/>
      <c r="M797" s="80"/>
      <c r="N797" s="80"/>
      <c r="O797" s="66"/>
    </row>
    <row r="798">
      <c r="K798" s="80"/>
      <c r="M798" s="80"/>
      <c r="N798" s="80"/>
      <c r="O798" s="66"/>
    </row>
    <row r="799">
      <c r="K799" s="80"/>
      <c r="M799" s="80"/>
      <c r="N799" s="80"/>
      <c r="O799" s="66"/>
    </row>
    <row r="800">
      <c r="K800" s="80"/>
      <c r="M800" s="80"/>
      <c r="N800" s="80"/>
      <c r="O800" s="66"/>
    </row>
    <row r="801">
      <c r="K801" s="80"/>
      <c r="M801" s="80"/>
      <c r="N801" s="80"/>
      <c r="O801" s="66"/>
    </row>
    <row r="802">
      <c r="K802" s="80"/>
      <c r="M802" s="80"/>
      <c r="N802" s="80"/>
      <c r="O802" s="66"/>
    </row>
    <row r="803">
      <c r="K803" s="80"/>
      <c r="M803" s="80"/>
      <c r="N803" s="80"/>
      <c r="O803" s="66"/>
    </row>
    <row r="804">
      <c r="K804" s="80"/>
      <c r="M804" s="80"/>
      <c r="N804" s="80"/>
      <c r="O804" s="66"/>
    </row>
    <row r="805">
      <c r="K805" s="80"/>
      <c r="M805" s="80"/>
      <c r="N805" s="80"/>
      <c r="O805" s="66"/>
    </row>
    <row r="806">
      <c r="K806" s="80"/>
      <c r="M806" s="80"/>
      <c r="N806" s="80"/>
      <c r="O806" s="66"/>
    </row>
    <row r="807">
      <c r="K807" s="80"/>
      <c r="M807" s="80"/>
      <c r="N807" s="80"/>
      <c r="O807" s="66"/>
    </row>
    <row r="808">
      <c r="K808" s="80"/>
      <c r="M808" s="80"/>
      <c r="N808" s="80"/>
      <c r="O808" s="66"/>
    </row>
    <row r="809">
      <c r="K809" s="80"/>
      <c r="M809" s="80"/>
      <c r="N809" s="80"/>
      <c r="O809" s="66"/>
    </row>
    <row r="810">
      <c r="K810" s="80"/>
      <c r="M810" s="80"/>
      <c r="N810" s="80"/>
      <c r="O810" s="66"/>
    </row>
    <row r="811">
      <c r="K811" s="80"/>
      <c r="M811" s="80"/>
      <c r="N811" s="80"/>
      <c r="O811" s="66"/>
    </row>
    <row r="812">
      <c r="K812" s="80"/>
      <c r="M812" s="80"/>
      <c r="N812" s="80"/>
      <c r="O812" s="66"/>
    </row>
    <row r="813">
      <c r="K813" s="80"/>
      <c r="M813" s="80"/>
      <c r="N813" s="80"/>
      <c r="O813" s="66"/>
    </row>
    <row r="814">
      <c r="K814" s="80"/>
      <c r="M814" s="80"/>
      <c r="N814" s="80"/>
      <c r="O814" s="66"/>
    </row>
    <row r="815">
      <c r="K815" s="80"/>
      <c r="M815" s="80"/>
      <c r="N815" s="80"/>
      <c r="O815" s="66"/>
    </row>
    <row r="816">
      <c r="K816" s="80"/>
      <c r="M816" s="80"/>
      <c r="N816" s="80"/>
      <c r="O816" s="66"/>
    </row>
    <row r="817">
      <c r="K817" s="80"/>
      <c r="M817" s="80"/>
      <c r="N817" s="80"/>
      <c r="O817" s="66"/>
    </row>
    <row r="818">
      <c r="K818" s="80"/>
      <c r="M818" s="80"/>
      <c r="N818" s="80"/>
      <c r="O818" s="66"/>
    </row>
    <row r="819">
      <c r="K819" s="80"/>
      <c r="M819" s="80"/>
      <c r="N819" s="80"/>
      <c r="O819" s="66"/>
    </row>
    <row r="820">
      <c r="K820" s="80"/>
      <c r="M820" s="80"/>
      <c r="N820" s="80"/>
      <c r="O820" s="66"/>
    </row>
    <row r="821">
      <c r="K821" s="80"/>
      <c r="M821" s="80"/>
      <c r="N821" s="80"/>
      <c r="O821" s="66"/>
    </row>
    <row r="822">
      <c r="K822" s="80"/>
      <c r="M822" s="80"/>
      <c r="N822" s="80"/>
      <c r="O822" s="66"/>
    </row>
    <row r="823">
      <c r="K823" s="80"/>
      <c r="M823" s="80"/>
      <c r="N823" s="80"/>
      <c r="O823" s="66"/>
    </row>
    <row r="824">
      <c r="K824" s="80"/>
      <c r="M824" s="80"/>
      <c r="N824" s="80"/>
      <c r="O824" s="66"/>
    </row>
    <row r="825">
      <c r="K825" s="80"/>
      <c r="M825" s="80"/>
      <c r="N825" s="80"/>
      <c r="O825" s="66"/>
    </row>
    <row r="826">
      <c r="K826" s="80"/>
      <c r="M826" s="80"/>
      <c r="N826" s="80"/>
      <c r="O826" s="66"/>
    </row>
    <row r="827">
      <c r="K827" s="80"/>
      <c r="M827" s="80"/>
      <c r="N827" s="80"/>
      <c r="O827" s="66"/>
    </row>
    <row r="828">
      <c r="K828" s="80"/>
      <c r="M828" s="80"/>
      <c r="N828" s="80"/>
      <c r="O828" s="66"/>
    </row>
    <row r="829">
      <c r="K829" s="80"/>
      <c r="M829" s="80"/>
      <c r="N829" s="80"/>
      <c r="O829" s="66"/>
    </row>
    <row r="830">
      <c r="K830" s="80"/>
      <c r="M830" s="80"/>
      <c r="N830" s="80"/>
      <c r="O830" s="66"/>
    </row>
    <row r="831">
      <c r="K831" s="80"/>
      <c r="M831" s="80"/>
      <c r="N831" s="80"/>
      <c r="O831" s="66"/>
    </row>
    <row r="832">
      <c r="K832" s="80"/>
      <c r="M832" s="80"/>
      <c r="N832" s="80"/>
      <c r="O832" s="66"/>
    </row>
    <row r="833">
      <c r="K833" s="80"/>
      <c r="M833" s="80"/>
      <c r="N833" s="80"/>
      <c r="O833" s="66"/>
    </row>
    <row r="834">
      <c r="K834" s="80"/>
      <c r="M834" s="80"/>
      <c r="N834" s="80"/>
      <c r="O834" s="66"/>
    </row>
    <row r="835">
      <c r="K835" s="80"/>
      <c r="M835" s="80"/>
      <c r="N835" s="80"/>
      <c r="O835" s="66"/>
    </row>
    <row r="836">
      <c r="K836" s="80"/>
      <c r="M836" s="80"/>
      <c r="N836" s="80"/>
      <c r="O836" s="66"/>
    </row>
    <row r="837">
      <c r="K837" s="80"/>
      <c r="M837" s="80"/>
      <c r="N837" s="80"/>
      <c r="O837" s="66"/>
    </row>
    <row r="838">
      <c r="K838" s="80"/>
      <c r="M838" s="80"/>
      <c r="N838" s="80"/>
      <c r="O838" s="66"/>
    </row>
    <row r="839">
      <c r="K839" s="80"/>
      <c r="M839" s="80"/>
      <c r="N839" s="80"/>
      <c r="O839" s="66"/>
    </row>
    <row r="840">
      <c r="K840" s="80"/>
      <c r="M840" s="80"/>
      <c r="N840" s="80"/>
      <c r="O840" s="66"/>
    </row>
    <row r="841">
      <c r="K841" s="80"/>
      <c r="M841" s="80"/>
      <c r="N841" s="80"/>
      <c r="O841" s="66"/>
    </row>
    <row r="842">
      <c r="K842" s="80"/>
      <c r="M842" s="80"/>
      <c r="N842" s="80"/>
      <c r="O842" s="66"/>
    </row>
    <row r="843">
      <c r="K843" s="80"/>
      <c r="M843" s="80"/>
      <c r="N843" s="80"/>
      <c r="O843" s="66"/>
    </row>
    <row r="844">
      <c r="K844" s="80"/>
      <c r="M844" s="80"/>
      <c r="N844" s="80"/>
      <c r="O844" s="66"/>
    </row>
    <row r="845">
      <c r="K845" s="80"/>
      <c r="M845" s="80"/>
      <c r="N845" s="80"/>
      <c r="O845" s="66"/>
    </row>
    <row r="846">
      <c r="K846" s="80"/>
      <c r="M846" s="80"/>
      <c r="N846" s="80"/>
      <c r="O846" s="66"/>
    </row>
    <row r="847">
      <c r="K847" s="80"/>
      <c r="M847" s="80"/>
      <c r="N847" s="80"/>
      <c r="O847" s="66"/>
    </row>
    <row r="848">
      <c r="K848" s="80"/>
      <c r="M848" s="80"/>
      <c r="N848" s="80"/>
      <c r="O848" s="66"/>
    </row>
    <row r="849">
      <c r="K849" s="80"/>
      <c r="M849" s="80"/>
      <c r="N849" s="80"/>
      <c r="O849" s="66"/>
    </row>
    <row r="850">
      <c r="K850" s="80"/>
      <c r="M850" s="80"/>
      <c r="N850" s="80"/>
      <c r="O850" s="66"/>
    </row>
    <row r="851">
      <c r="K851" s="80"/>
      <c r="M851" s="80"/>
      <c r="N851" s="80"/>
      <c r="O851" s="66"/>
    </row>
    <row r="852">
      <c r="K852" s="80"/>
      <c r="M852" s="80"/>
      <c r="N852" s="80"/>
      <c r="O852" s="66"/>
    </row>
    <row r="853">
      <c r="K853" s="80"/>
      <c r="M853" s="80"/>
      <c r="N853" s="80"/>
      <c r="O853" s="66"/>
    </row>
    <row r="854">
      <c r="K854" s="80"/>
      <c r="M854" s="80"/>
      <c r="N854" s="80"/>
      <c r="O854" s="66"/>
    </row>
    <row r="855">
      <c r="K855" s="80"/>
      <c r="M855" s="80"/>
      <c r="N855" s="80"/>
      <c r="O855" s="66"/>
    </row>
    <row r="856">
      <c r="K856" s="80"/>
      <c r="M856" s="80"/>
      <c r="N856" s="80"/>
      <c r="O856" s="66"/>
    </row>
    <row r="857">
      <c r="K857" s="80"/>
      <c r="M857" s="80"/>
      <c r="N857" s="80"/>
      <c r="O857" s="66"/>
    </row>
    <row r="858">
      <c r="K858" s="80"/>
      <c r="M858" s="80"/>
      <c r="N858" s="80"/>
      <c r="O858" s="66"/>
    </row>
    <row r="859">
      <c r="K859" s="80"/>
      <c r="M859" s="80"/>
      <c r="N859" s="80"/>
      <c r="O859" s="66"/>
    </row>
    <row r="860">
      <c r="K860" s="80"/>
      <c r="M860" s="80"/>
      <c r="N860" s="80"/>
      <c r="O860" s="66"/>
    </row>
    <row r="861">
      <c r="K861" s="80"/>
      <c r="M861" s="80"/>
      <c r="N861" s="80"/>
      <c r="O861" s="66"/>
    </row>
    <row r="862">
      <c r="K862" s="80"/>
      <c r="M862" s="80"/>
      <c r="N862" s="80"/>
      <c r="O862" s="66"/>
    </row>
    <row r="863">
      <c r="K863" s="80"/>
      <c r="M863" s="80"/>
      <c r="N863" s="80"/>
      <c r="O863" s="66"/>
    </row>
    <row r="864">
      <c r="K864" s="80"/>
      <c r="M864" s="80"/>
      <c r="N864" s="80"/>
      <c r="O864" s="66"/>
    </row>
    <row r="865">
      <c r="K865" s="80"/>
      <c r="M865" s="80"/>
      <c r="N865" s="80"/>
      <c r="O865" s="66"/>
    </row>
    <row r="866">
      <c r="K866" s="80"/>
      <c r="M866" s="80"/>
      <c r="N866" s="80"/>
      <c r="O866" s="66"/>
    </row>
    <row r="867">
      <c r="K867" s="80"/>
      <c r="M867" s="80"/>
      <c r="N867" s="80"/>
      <c r="O867" s="66"/>
    </row>
    <row r="868">
      <c r="K868" s="80"/>
      <c r="M868" s="80"/>
      <c r="N868" s="80"/>
      <c r="O868" s="66"/>
    </row>
    <row r="869">
      <c r="K869" s="80"/>
      <c r="M869" s="80"/>
      <c r="N869" s="80"/>
      <c r="O869" s="66"/>
    </row>
    <row r="870">
      <c r="K870" s="80"/>
      <c r="M870" s="80"/>
      <c r="N870" s="80"/>
      <c r="O870" s="66"/>
    </row>
    <row r="871">
      <c r="K871" s="80"/>
      <c r="M871" s="80"/>
      <c r="N871" s="80"/>
      <c r="O871" s="66"/>
    </row>
    <row r="872">
      <c r="K872" s="80"/>
      <c r="M872" s="80"/>
      <c r="N872" s="80"/>
      <c r="O872" s="66"/>
    </row>
    <row r="873">
      <c r="K873" s="80"/>
      <c r="M873" s="80"/>
      <c r="N873" s="80"/>
      <c r="O873" s="66"/>
    </row>
    <row r="874">
      <c r="K874" s="80"/>
      <c r="M874" s="80"/>
      <c r="N874" s="80"/>
      <c r="O874" s="66"/>
    </row>
    <row r="875">
      <c r="K875" s="80"/>
      <c r="M875" s="80"/>
      <c r="N875" s="80"/>
      <c r="O875" s="66"/>
    </row>
    <row r="876">
      <c r="K876" s="80"/>
      <c r="M876" s="80"/>
      <c r="N876" s="80"/>
      <c r="O876" s="66"/>
    </row>
    <row r="877">
      <c r="K877" s="80"/>
      <c r="M877" s="80"/>
      <c r="N877" s="80"/>
      <c r="O877" s="66"/>
    </row>
    <row r="878">
      <c r="K878" s="80"/>
      <c r="M878" s="80"/>
      <c r="N878" s="80"/>
      <c r="O878" s="66"/>
    </row>
    <row r="879">
      <c r="K879" s="80"/>
      <c r="M879" s="80"/>
      <c r="N879" s="80"/>
      <c r="O879" s="66"/>
    </row>
    <row r="880">
      <c r="K880" s="80"/>
      <c r="M880" s="80"/>
      <c r="N880" s="80"/>
      <c r="O880" s="66"/>
    </row>
    <row r="881">
      <c r="K881" s="80"/>
      <c r="M881" s="80"/>
      <c r="N881" s="80"/>
      <c r="O881" s="66"/>
    </row>
    <row r="882">
      <c r="K882" s="80"/>
      <c r="M882" s="80"/>
      <c r="N882" s="80"/>
      <c r="O882" s="66"/>
    </row>
    <row r="883">
      <c r="K883" s="80"/>
      <c r="M883" s="80"/>
      <c r="N883" s="80"/>
      <c r="O883" s="66"/>
    </row>
    <row r="884">
      <c r="K884" s="80"/>
      <c r="M884" s="80"/>
      <c r="N884" s="80"/>
      <c r="O884" s="66"/>
    </row>
    <row r="885">
      <c r="K885" s="80"/>
      <c r="M885" s="80"/>
      <c r="N885" s="80"/>
      <c r="O885" s="66"/>
    </row>
    <row r="886">
      <c r="K886" s="80"/>
      <c r="M886" s="80"/>
      <c r="N886" s="80"/>
      <c r="O886" s="66"/>
    </row>
    <row r="887">
      <c r="K887" s="80"/>
      <c r="M887" s="80"/>
      <c r="N887" s="80"/>
      <c r="O887" s="66"/>
    </row>
    <row r="888">
      <c r="K888" s="80"/>
      <c r="M888" s="80"/>
      <c r="N888" s="80"/>
      <c r="O888" s="66"/>
    </row>
    <row r="889">
      <c r="K889" s="80"/>
      <c r="M889" s="80"/>
      <c r="N889" s="80"/>
      <c r="O889" s="66"/>
    </row>
    <row r="890">
      <c r="K890" s="80"/>
      <c r="M890" s="80"/>
      <c r="N890" s="80"/>
      <c r="O890" s="66"/>
    </row>
    <row r="891">
      <c r="K891" s="80"/>
      <c r="M891" s="80"/>
      <c r="N891" s="80"/>
      <c r="O891" s="66"/>
    </row>
    <row r="892">
      <c r="K892" s="80"/>
      <c r="M892" s="80"/>
      <c r="N892" s="80"/>
      <c r="O892" s="66"/>
    </row>
    <row r="893">
      <c r="K893" s="80"/>
      <c r="M893" s="80"/>
      <c r="N893" s="80"/>
      <c r="O893" s="66"/>
    </row>
    <row r="894">
      <c r="K894" s="80"/>
      <c r="M894" s="80"/>
      <c r="N894" s="80"/>
      <c r="O894" s="66"/>
    </row>
    <row r="895">
      <c r="K895" s="80"/>
      <c r="M895" s="80"/>
      <c r="N895" s="80"/>
      <c r="O895" s="66"/>
    </row>
    <row r="896">
      <c r="K896" s="80"/>
      <c r="M896" s="80"/>
      <c r="N896" s="80"/>
      <c r="O896" s="66"/>
    </row>
    <row r="897">
      <c r="K897" s="80"/>
      <c r="M897" s="80"/>
      <c r="N897" s="80"/>
      <c r="O897" s="66"/>
    </row>
    <row r="898">
      <c r="K898" s="80"/>
      <c r="M898" s="80"/>
      <c r="N898" s="80"/>
      <c r="O898" s="66"/>
    </row>
    <row r="899">
      <c r="K899" s="80"/>
      <c r="M899" s="80"/>
      <c r="N899" s="80"/>
      <c r="O899" s="66"/>
    </row>
    <row r="900">
      <c r="K900" s="80"/>
      <c r="M900" s="80"/>
      <c r="N900" s="80"/>
      <c r="O900" s="66"/>
    </row>
    <row r="901">
      <c r="K901" s="80"/>
      <c r="M901" s="80"/>
      <c r="N901" s="80"/>
      <c r="O901" s="66"/>
    </row>
    <row r="902">
      <c r="K902" s="80"/>
      <c r="M902" s="80"/>
      <c r="N902" s="80"/>
      <c r="O902" s="66"/>
    </row>
    <row r="903">
      <c r="K903" s="80"/>
      <c r="M903" s="80"/>
      <c r="N903" s="80"/>
      <c r="O903" s="66"/>
    </row>
    <row r="904">
      <c r="K904" s="80"/>
      <c r="M904" s="80"/>
      <c r="N904" s="80"/>
      <c r="O904" s="66"/>
    </row>
    <row r="905">
      <c r="K905" s="80"/>
      <c r="M905" s="80"/>
      <c r="N905" s="80"/>
      <c r="O905" s="66"/>
    </row>
    <row r="906">
      <c r="K906" s="80"/>
      <c r="M906" s="80"/>
      <c r="N906" s="80"/>
      <c r="O906" s="66"/>
    </row>
    <row r="907">
      <c r="K907" s="80"/>
      <c r="M907" s="80"/>
      <c r="N907" s="80"/>
      <c r="O907" s="66"/>
    </row>
    <row r="908">
      <c r="K908" s="80"/>
      <c r="M908" s="80"/>
      <c r="N908" s="80"/>
      <c r="O908" s="66"/>
    </row>
    <row r="909">
      <c r="K909" s="80"/>
      <c r="M909" s="80"/>
      <c r="N909" s="80"/>
      <c r="O909" s="66"/>
    </row>
    <row r="910">
      <c r="K910" s="80"/>
      <c r="M910" s="80"/>
      <c r="N910" s="80"/>
      <c r="O910" s="66"/>
    </row>
    <row r="911">
      <c r="K911" s="80"/>
      <c r="M911" s="80"/>
      <c r="N911" s="80"/>
      <c r="O911" s="66"/>
    </row>
    <row r="912">
      <c r="K912" s="80"/>
      <c r="M912" s="80"/>
      <c r="N912" s="80"/>
      <c r="O912" s="66"/>
    </row>
    <row r="913">
      <c r="K913" s="80"/>
      <c r="M913" s="80"/>
      <c r="N913" s="80"/>
      <c r="O913" s="66"/>
    </row>
    <row r="914">
      <c r="K914" s="80"/>
      <c r="M914" s="80"/>
      <c r="N914" s="80"/>
      <c r="O914" s="66"/>
    </row>
    <row r="915">
      <c r="K915" s="80"/>
      <c r="M915" s="80"/>
      <c r="N915" s="80"/>
      <c r="O915" s="66"/>
    </row>
    <row r="916">
      <c r="K916" s="80"/>
      <c r="M916" s="80"/>
      <c r="N916" s="80"/>
      <c r="O916" s="66"/>
    </row>
    <row r="917">
      <c r="K917" s="80"/>
      <c r="M917" s="80"/>
      <c r="N917" s="80"/>
      <c r="O917" s="66"/>
    </row>
    <row r="918">
      <c r="K918" s="80"/>
      <c r="M918" s="80"/>
      <c r="N918" s="80"/>
      <c r="O918" s="66"/>
    </row>
    <row r="919">
      <c r="K919" s="80"/>
      <c r="M919" s="80"/>
      <c r="N919" s="80"/>
      <c r="O919" s="66"/>
    </row>
    <row r="920">
      <c r="K920" s="80"/>
      <c r="M920" s="80"/>
      <c r="N920" s="80"/>
      <c r="O920" s="66"/>
    </row>
    <row r="921">
      <c r="K921" s="80"/>
      <c r="M921" s="80"/>
      <c r="N921" s="80"/>
      <c r="O921" s="66"/>
    </row>
    <row r="922">
      <c r="K922" s="80"/>
      <c r="M922" s="80"/>
      <c r="N922" s="80"/>
      <c r="O922" s="66"/>
    </row>
    <row r="923">
      <c r="K923" s="80"/>
      <c r="M923" s="80"/>
      <c r="N923" s="80"/>
      <c r="O923" s="66"/>
    </row>
    <row r="924">
      <c r="K924" s="80"/>
      <c r="M924" s="80"/>
      <c r="N924" s="80"/>
      <c r="O924" s="66"/>
    </row>
    <row r="925">
      <c r="K925" s="80"/>
      <c r="M925" s="80"/>
      <c r="N925" s="80"/>
      <c r="O925" s="66"/>
    </row>
    <row r="926">
      <c r="K926" s="80"/>
      <c r="M926" s="80"/>
      <c r="N926" s="80"/>
      <c r="O926" s="66"/>
    </row>
    <row r="927">
      <c r="K927" s="80"/>
      <c r="M927" s="80"/>
      <c r="N927" s="80"/>
      <c r="O927" s="66"/>
    </row>
    <row r="928">
      <c r="K928" s="80"/>
      <c r="M928" s="80"/>
      <c r="N928" s="80"/>
      <c r="O928" s="66"/>
    </row>
    <row r="929">
      <c r="K929" s="80"/>
      <c r="M929" s="80"/>
      <c r="N929" s="80"/>
      <c r="O929" s="66"/>
    </row>
    <row r="930">
      <c r="K930" s="80"/>
      <c r="M930" s="80"/>
      <c r="N930" s="80"/>
      <c r="O930" s="66"/>
    </row>
    <row r="931">
      <c r="K931" s="80"/>
      <c r="M931" s="80"/>
      <c r="N931" s="80"/>
      <c r="O931" s="66"/>
    </row>
    <row r="932">
      <c r="K932" s="80"/>
      <c r="M932" s="80"/>
      <c r="N932" s="80"/>
      <c r="O932" s="66"/>
    </row>
    <row r="933">
      <c r="K933" s="80"/>
      <c r="M933" s="80"/>
      <c r="N933" s="80"/>
      <c r="O933" s="66"/>
    </row>
    <row r="934">
      <c r="K934" s="80"/>
      <c r="M934" s="80"/>
      <c r="N934" s="80"/>
      <c r="O934" s="66"/>
    </row>
    <row r="935">
      <c r="K935" s="80"/>
      <c r="M935" s="80"/>
      <c r="N935" s="80"/>
      <c r="O935" s="66"/>
    </row>
    <row r="936">
      <c r="K936" s="80"/>
      <c r="M936" s="80"/>
      <c r="N936" s="80"/>
      <c r="O936" s="66"/>
    </row>
    <row r="937">
      <c r="K937" s="80"/>
      <c r="M937" s="80"/>
      <c r="N937" s="80"/>
      <c r="O937" s="66"/>
    </row>
    <row r="938">
      <c r="K938" s="80"/>
      <c r="M938" s="80"/>
      <c r="N938" s="80"/>
      <c r="O938" s="66"/>
    </row>
    <row r="939">
      <c r="K939" s="80"/>
      <c r="M939" s="80"/>
      <c r="N939" s="80"/>
      <c r="O939" s="66"/>
    </row>
    <row r="940">
      <c r="K940" s="80"/>
      <c r="M940" s="80"/>
      <c r="N940" s="80"/>
      <c r="O940" s="66"/>
    </row>
    <row r="941">
      <c r="K941" s="80"/>
      <c r="M941" s="80"/>
      <c r="N941" s="80"/>
      <c r="O941" s="66"/>
    </row>
    <row r="942">
      <c r="K942" s="80"/>
      <c r="M942" s="80"/>
      <c r="N942" s="80"/>
      <c r="O942" s="66"/>
    </row>
    <row r="943">
      <c r="K943" s="80"/>
      <c r="M943" s="80"/>
      <c r="N943" s="80"/>
      <c r="O943" s="66"/>
    </row>
    <row r="944">
      <c r="K944" s="80"/>
      <c r="M944" s="80"/>
      <c r="N944" s="80"/>
      <c r="O944" s="66"/>
    </row>
    <row r="945">
      <c r="K945" s="80"/>
      <c r="M945" s="80"/>
      <c r="N945" s="80"/>
      <c r="O945" s="66"/>
    </row>
    <row r="946">
      <c r="K946" s="80"/>
      <c r="M946" s="80"/>
      <c r="N946" s="80"/>
      <c r="O946" s="66"/>
    </row>
    <row r="947">
      <c r="K947" s="80"/>
      <c r="M947" s="80"/>
      <c r="N947" s="80"/>
      <c r="O947" s="66"/>
    </row>
    <row r="948">
      <c r="K948" s="80"/>
      <c r="M948" s="80"/>
      <c r="N948" s="80"/>
      <c r="O948" s="66"/>
    </row>
    <row r="949">
      <c r="K949" s="80"/>
      <c r="M949" s="80"/>
      <c r="N949" s="80"/>
      <c r="O949" s="66"/>
    </row>
    <row r="950">
      <c r="K950" s="80"/>
      <c r="M950" s="80"/>
      <c r="N950" s="80"/>
      <c r="O950" s="66"/>
    </row>
    <row r="951">
      <c r="K951" s="80"/>
      <c r="M951" s="80"/>
      <c r="N951" s="80"/>
      <c r="O951" s="66"/>
    </row>
    <row r="952">
      <c r="K952" s="80"/>
      <c r="M952" s="80"/>
      <c r="N952" s="80"/>
      <c r="O952" s="66"/>
    </row>
    <row r="953">
      <c r="K953" s="80"/>
      <c r="M953" s="80"/>
      <c r="N953" s="80"/>
      <c r="O953" s="66"/>
    </row>
    <row r="954">
      <c r="K954" s="80"/>
      <c r="M954" s="80"/>
      <c r="N954" s="80"/>
      <c r="O954" s="66"/>
    </row>
    <row r="955">
      <c r="K955" s="80"/>
      <c r="M955" s="80"/>
      <c r="N955" s="80"/>
      <c r="O955" s="66"/>
    </row>
    <row r="956">
      <c r="K956" s="80"/>
      <c r="M956" s="80"/>
      <c r="N956" s="80"/>
      <c r="O956" s="66"/>
    </row>
    <row r="957">
      <c r="K957" s="80"/>
      <c r="M957" s="80"/>
      <c r="N957" s="80"/>
      <c r="O957" s="66"/>
    </row>
    <row r="958">
      <c r="K958" s="80"/>
      <c r="M958" s="80"/>
      <c r="N958" s="80"/>
      <c r="O958" s="66"/>
    </row>
    <row r="959">
      <c r="K959" s="80"/>
      <c r="M959" s="80"/>
      <c r="N959" s="80"/>
      <c r="O959" s="66"/>
    </row>
    <row r="960">
      <c r="K960" s="80"/>
      <c r="M960" s="80"/>
      <c r="N960" s="80"/>
      <c r="O960" s="66"/>
    </row>
    <row r="961">
      <c r="K961" s="80"/>
      <c r="M961" s="80"/>
      <c r="N961" s="80"/>
      <c r="O961" s="66"/>
    </row>
    <row r="962">
      <c r="K962" s="80"/>
      <c r="M962" s="80"/>
      <c r="N962" s="80"/>
      <c r="O962" s="66"/>
    </row>
    <row r="963">
      <c r="K963" s="80"/>
      <c r="M963" s="80"/>
      <c r="N963" s="80"/>
      <c r="O963" s="66"/>
    </row>
    <row r="964">
      <c r="K964" s="80"/>
      <c r="M964" s="80"/>
      <c r="N964" s="80"/>
      <c r="O964" s="66"/>
    </row>
    <row r="965">
      <c r="K965" s="80"/>
      <c r="M965" s="80"/>
      <c r="N965" s="80"/>
      <c r="O965" s="66"/>
    </row>
    <row r="966">
      <c r="K966" s="80"/>
      <c r="M966" s="80"/>
      <c r="N966" s="80"/>
      <c r="O966" s="66"/>
    </row>
    <row r="967">
      <c r="K967" s="80"/>
      <c r="M967" s="80"/>
      <c r="N967" s="80"/>
      <c r="O967" s="66"/>
    </row>
    <row r="968">
      <c r="K968" s="80"/>
      <c r="M968" s="80"/>
      <c r="N968" s="80"/>
      <c r="O968" s="66"/>
    </row>
    <row r="969">
      <c r="K969" s="80"/>
      <c r="M969" s="80"/>
      <c r="N969" s="80"/>
      <c r="O969" s="66"/>
    </row>
    <row r="970">
      <c r="K970" s="80"/>
      <c r="M970" s="80"/>
      <c r="N970" s="80"/>
      <c r="O970" s="66"/>
    </row>
    <row r="971">
      <c r="K971" s="80"/>
      <c r="M971" s="80"/>
      <c r="N971" s="80"/>
      <c r="O971" s="66"/>
    </row>
    <row r="972">
      <c r="K972" s="80"/>
      <c r="M972" s="80"/>
      <c r="N972" s="80"/>
      <c r="O972" s="66"/>
    </row>
    <row r="973">
      <c r="K973" s="80"/>
      <c r="M973" s="80"/>
      <c r="N973" s="80"/>
      <c r="O973" s="66"/>
    </row>
    <row r="974">
      <c r="K974" s="80"/>
      <c r="M974" s="80"/>
      <c r="N974" s="80"/>
      <c r="O974" s="66"/>
    </row>
    <row r="975">
      <c r="K975" s="80"/>
      <c r="M975" s="80"/>
      <c r="N975" s="80"/>
      <c r="O975" s="66"/>
    </row>
    <row r="976">
      <c r="K976" s="80"/>
      <c r="M976" s="80"/>
      <c r="N976" s="80"/>
      <c r="O976" s="66"/>
    </row>
    <row r="977">
      <c r="K977" s="80"/>
      <c r="M977" s="80"/>
      <c r="N977" s="80"/>
      <c r="O977" s="66"/>
    </row>
    <row r="978">
      <c r="K978" s="80"/>
      <c r="M978" s="80"/>
      <c r="N978" s="80"/>
      <c r="O978" s="66"/>
    </row>
    <row r="979">
      <c r="K979" s="80"/>
      <c r="M979" s="80"/>
      <c r="N979" s="80"/>
      <c r="O979" s="66"/>
    </row>
    <row r="980">
      <c r="K980" s="80"/>
      <c r="M980" s="80"/>
      <c r="N980" s="80"/>
      <c r="O980" s="66"/>
    </row>
    <row r="981">
      <c r="K981" s="80"/>
      <c r="M981" s="80"/>
      <c r="N981" s="80"/>
      <c r="O981" s="66"/>
    </row>
    <row r="982">
      <c r="K982" s="80"/>
      <c r="M982" s="80"/>
      <c r="N982" s="80"/>
      <c r="O982" s="66"/>
    </row>
    <row r="983">
      <c r="K983" s="80"/>
      <c r="M983" s="80"/>
      <c r="N983" s="80"/>
      <c r="O983" s="66"/>
    </row>
    <row r="984">
      <c r="K984" s="80"/>
      <c r="M984" s="80"/>
      <c r="N984" s="80"/>
      <c r="O984" s="66"/>
    </row>
    <row r="985">
      <c r="K985" s="80"/>
      <c r="M985" s="80"/>
      <c r="N985" s="80"/>
      <c r="O985" s="66"/>
    </row>
    <row r="986">
      <c r="K986" s="80"/>
      <c r="M986" s="80"/>
      <c r="N986" s="80"/>
      <c r="O986" s="66"/>
    </row>
    <row r="987">
      <c r="K987" s="80"/>
      <c r="M987" s="80"/>
      <c r="N987" s="80"/>
      <c r="O987" s="66"/>
    </row>
    <row r="988">
      <c r="K988" s="80"/>
      <c r="M988" s="80"/>
      <c r="N988" s="80"/>
      <c r="O988" s="66"/>
    </row>
    <row r="989">
      <c r="K989" s="80"/>
      <c r="M989" s="80"/>
      <c r="N989" s="80"/>
      <c r="O989" s="66"/>
    </row>
    <row r="990">
      <c r="K990" s="80"/>
      <c r="M990" s="80"/>
      <c r="N990" s="80"/>
      <c r="O990" s="66"/>
    </row>
    <row r="991">
      <c r="K991" s="80"/>
      <c r="M991" s="80"/>
      <c r="N991" s="80"/>
      <c r="O991" s="66"/>
    </row>
    <row r="992">
      <c r="K992" s="80"/>
      <c r="M992" s="80"/>
      <c r="N992" s="80"/>
      <c r="O992" s="66"/>
    </row>
    <row r="993">
      <c r="K993" s="80"/>
      <c r="M993" s="80"/>
      <c r="N993" s="80"/>
      <c r="O993" s="66"/>
    </row>
    <row r="994">
      <c r="K994" s="80"/>
      <c r="M994" s="80"/>
      <c r="N994" s="80"/>
      <c r="O994" s="66"/>
    </row>
    <row r="995">
      <c r="K995" s="80"/>
      <c r="M995" s="80"/>
      <c r="N995" s="80"/>
      <c r="O995" s="66"/>
    </row>
    <row r="996">
      <c r="K996" s="80"/>
      <c r="M996" s="80"/>
      <c r="N996" s="80"/>
      <c r="O996" s="66"/>
    </row>
    <row r="997">
      <c r="K997" s="80"/>
      <c r="M997" s="80"/>
      <c r="N997" s="80"/>
      <c r="O997" s="66"/>
    </row>
    <row r="998">
      <c r="K998" s="80"/>
      <c r="M998" s="80"/>
      <c r="N998" s="80"/>
      <c r="O998" s="66"/>
    </row>
    <row r="999">
      <c r="K999" s="80"/>
      <c r="M999" s="80"/>
      <c r="N999" s="80"/>
      <c r="O999" s="66"/>
    </row>
    <row r="1000">
      <c r="K1000" s="80"/>
      <c r="M1000" s="80"/>
      <c r="N1000" s="80"/>
      <c r="O1000" s="66"/>
    </row>
    <row r="1001">
      <c r="K1001" s="80"/>
      <c r="M1001" s="80"/>
      <c r="N1001" s="80"/>
      <c r="O1001" s="66"/>
    </row>
    <row r="1002">
      <c r="K1002" s="80"/>
      <c r="M1002" s="80"/>
      <c r="N1002" s="80"/>
      <c r="O1002" s="66"/>
    </row>
    <row r="1003">
      <c r="K1003" s="80"/>
      <c r="M1003" s="80"/>
      <c r="N1003" s="80"/>
      <c r="O1003" s="66"/>
    </row>
    <row r="1004">
      <c r="K1004" s="80"/>
      <c r="M1004" s="80"/>
      <c r="N1004" s="80"/>
      <c r="O1004" s="66"/>
    </row>
    <row r="1005">
      <c r="K1005" s="80"/>
      <c r="M1005" s="80"/>
      <c r="N1005" s="80"/>
      <c r="O1005" s="66"/>
    </row>
    <row r="1006">
      <c r="K1006" s="80"/>
      <c r="M1006" s="80"/>
      <c r="N1006" s="80"/>
      <c r="O1006" s="66"/>
    </row>
    <row r="1007">
      <c r="K1007" s="80"/>
      <c r="M1007" s="80"/>
      <c r="N1007" s="80"/>
      <c r="O1007" s="66"/>
    </row>
    <row r="1008">
      <c r="K1008" s="80"/>
      <c r="M1008" s="80"/>
      <c r="N1008" s="80"/>
      <c r="O1008" s="66"/>
    </row>
    <row r="1009">
      <c r="K1009" s="80"/>
      <c r="M1009" s="80"/>
      <c r="N1009" s="80"/>
      <c r="O1009" s="66"/>
    </row>
    <row r="1010">
      <c r="K1010" s="80"/>
      <c r="M1010" s="80"/>
      <c r="N1010" s="80"/>
      <c r="O1010" s="66"/>
    </row>
    <row r="1011">
      <c r="K1011" s="80"/>
      <c r="M1011" s="80"/>
      <c r="N1011" s="80"/>
      <c r="O1011" s="66"/>
    </row>
    <row r="1012">
      <c r="K1012" s="80"/>
      <c r="M1012" s="80"/>
      <c r="N1012" s="80"/>
      <c r="O1012" s="66"/>
    </row>
    <row r="1013">
      <c r="K1013" s="80"/>
      <c r="M1013" s="80"/>
      <c r="N1013" s="80"/>
      <c r="O1013" s="66"/>
    </row>
    <row r="1014">
      <c r="K1014" s="80"/>
      <c r="M1014" s="80"/>
      <c r="N1014" s="80"/>
      <c r="O1014" s="66"/>
    </row>
    <row r="1015">
      <c r="K1015" s="80"/>
      <c r="M1015" s="80"/>
      <c r="N1015" s="80"/>
      <c r="O1015" s="66"/>
    </row>
    <row r="1016">
      <c r="K1016" s="80"/>
      <c r="M1016" s="80"/>
      <c r="N1016" s="80"/>
      <c r="O1016" s="66"/>
    </row>
    <row r="1017">
      <c r="K1017" s="80"/>
      <c r="M1017" s="80"/>
      <c r="N1017" s="80"/>
      <c r="O1017" s="66"/>
    </row>
    <row r="1018">
      <c r="K1018" s="80"/>
      <c r="M1018" s="80"/>
      <c r="N1018" s="80"/>
      <c r="O1018" s="66"/>
    </row>
    <row r="1019">
      <c r="K1019" s="80"/>
      <c r="M1019" s="80"/>
      <c r="N1019" s="80"/>
      <c r="O1019" s="66"/>
    </row>
    <row r="1020">
      <c r="K1020" s="80"/>
      <c r="M1020" s="80"/>
      <c r="N1020" s="80"/>
      <c r="O1020" s="66"/>
    </row>
    <row r="1021">
      <c r="K1021" s="80"/>
      <c r="M1021" s="80"/>
      <c r="N1021" s="80"/>
      <c r="O1021" s="66"/>
    </row>
    <row r="1022">
      <c r="K1022" s="80"/>
      <c r="M1022" s="80"/>
      <c r="N1022" s="80"/>
      <c r="O1022" s="66"/>
    </row>
    <row r="1023">
      <c r="K1023" s="80"/>
      <c r="M1023" s="80"/>
      <c r="N1023" s="80"/>
      <c r="O1023" s="66"/>
    </row>
    <row r="1024">
      <c r="K1024" s="80"/>
      <c r="M1024" s="80"/>
      <c r="N1024" s="80"/>
      <c r="O1024" s="66"/>
    </row>
    <row r="1025">
      <c r="K1025" s="80"/>
      <c r="M1025" s="80"/>
      <c r="N1025" s="80"/>
      <c r="O1025" s="66"/>
    </row>
    <row r="1026">
      <c r="K1026" s="80"/>
      <c r="M1026" s="80"/>
      <c r="N1026" s="80"/>
      <c r="O1026" s="66"/>
    </row>
    <row r="1027">
      <c r="K1027" s="80"/>
      <c r="M1027" s="80"/>
      <c r="N1027" s="80"/>
      <c r="O1027" s="66"/>
    </row>
    <row r="1028">
      <c r="K1028" s="80"/>
      <c r="M1028" s="80"/>
      <c r="N1028" s="80"/>
      <c r="O1028" s="66"/>
    </row>
    <row r="1029">
      <c r="K1029" s="80"/>
      <c r="M1029" s="80"/>
      <c r="N1029" s="80"/>
      <c r="O1029" s="66"/>
    </row>
    <row r="1030">
      <c r="K1030" s="80"/>
      <c r="M1030" s="80"/>
      <c r="N1030" s="80"/>
      <c r="O1030" s="66"/>
    </row>
    <row r="1031">
      <c r="K1031" s="80"/>
      <c r="M1031" s="80"/>
      <c r="N1031" s="80"/>
      <c r="O1031" s="66"/>
    </row>
    <row r="1032">
      <c r="K1032" s="80"/>
      <c r="M1032" s="80"/>
      <c r="N1032" s="80"/>
      <c r="O1032" s="66"/>
    </row>
    <row r="1033">
      <c r="K1033" s="80"/>
      <c r="M1033" s="80"/>
      <c r="N1033" s="80"/>
      <c r="O1033" s="66"/>
    </row>
    <row r="1034">
      <c r="K1034" s="80"/>
      <c r="M1034" s="80"/>
      <c r="N1034" s="80"/>
      <c r="O1034" s="66"/>
    </row>
    <row r="1035">
      <c r="K1035" s="80"/>
      <c r="M1035" s="80"/>
      <c r="N1035" s="80"/>
      <c r="O1035" s="66"/>
    </row>
    <row r="1036">
      <c r="K1036" s="80"/>
      <c r="M1036" s="80"/>
      <c r="N1036" s="80"/>
      <c r="O1036" s="66"/>
    </row>
    <row r="1037">
      <c r="K1037" s="80"/>
      <c r="M1037" s="80"/>
      <c r="N1037" s="80"/>
      <c r="O1037" s="66"/>
    </row>
    <row r="1038">
      <c r="K1038" s="80"/>
      <c r="M1038" s="80"/>
      <c r="N1038" s="80"/>
      <c r="O1038" s="66"/>
    </row>
    <row r="1039">
      <c r="K1039" s="80"/>
      <c r="M1039" s="80"/>
      <c r="N1039" s="80"/>
      <c r="O1039" s="66"/>
    </row>
    <row r="1040">
      <c r="K1040" s="80"/>
      <c r="M1040" s="80"/>
      <c r="N1040" s="80"/>
      <c r="O1040" s="66"/>
    </row>
    <row r="1041">
      <c r="K1041" s="80"/>
      <c r="M1041" s="80"/>
      <c r="N1041" s="80"/>
      <c r="O1041" s="66"/>
    </row>
    <row r="1042">
      <c r="K1042" s="80"/>
      <c r="M1042" s="80"/>
      <c r="N1042" s="80"/>
      <c r="O1042" s="66"/>
    </row>
    <row r="1043">
      <c r="K1043" s="80"/>
      <c r="M1043" s="80"/>
      <c r="N1043" s="80"/>
      <c r="O1043" s="66"/>
    </row>
    <row r="1044">
      <c r="K1044" s="80"/>
      <c r="M1044" s="80"/>
      <c r="N1044" s="80"/>
      <c r="O1044" s="66"/>
    </row>
    <row r="1045">
      <c r="K1045" s="80"/>
      <c r="M1045" s="80"/>
      <c r="N1045" s="80"/>
      <c r="O1045" s="66"/>
    </row>
    <row r="1046">
      <c r="K1046" s="80"/>
      <c r="M1046" s="80"/>
      <c r="N1046" s="80"/>
      <c r="O1046" s="66"/>
    </row>
    <row r="1047">
      <c r="K1047" s="80"/>
      <c r="M1047" s="80"/>
      <c r="N1047" s="80"/>
      <c r="O1047" s="66"/>
    </row>
    <row r="1048">
      <c r="K1048" s="80"/>
      <c r="M1048" s="80"/>
      <c r="N1048" s="80"/>
      <c r="O1048" s="66"/>
    </row>
    <row r="1049">
      <c r="K1049" s="80"/>
      <c r="M1049" s="80"/>
      <c r="N1049" s="80"/>
      <c r="O1049" s="66"/>
    </row>
    <row r="1050">
      <c r="K1050" s="80"/>
      <c r="M1050" s="80"/>
      <c r="N1050" s="80"/>
      <c r="O1050" s="66"/>
    </row>
    <row r="1051">
      <c r="K1051" s="80"/>
      <c r="M1051" s="80"/>
      <c r="N1051" s="80"/>
      <c r="O1051" s="66"/>
    </row>
    <row r="1052">
      <c r="K1052" s="80"/>
      <c r="M1052" s="80"/>
      <c r="N1052" s="80"/>
      <c r="O1052" s="66"/>
    </row>
    <row r="1053">
      <c r="K1053" s="80"/>
      <c r="M1053" s="80"/>
      <c r="N1053" s="80"/>
      <c r="O1053" s="66"/>
    </row>
    <row r="1054">
      <c r="K1054" s="80"/>
      <c r="M1054" s="80"/>
      <c r="N1054" s="80"/>
      <c r="O1054" s="66"/>
    </row>
    <row r="1055">
      <c r="K1055" s="80"/>
      <c r="M1055" s="80"/>
      <c r="N1055" s="80"/>
      <c r="O1055" s="66"/>
    </row>
    <row r="1056">
      <c r="K1056" s="80"/>
      <c r="M1056" s="80"/>
      <c r="N1056" s="80"/>
      <c r="O1056" s="66"/>
    </row>
    <row r="1057">
      <c r="K1057" s="80"/>
      <c r="M1057" s="80"/>
      <c r="N1057" s="80"/>
      <c r="O1057" s="66"/>
    </row>
    <row r="1058">
      <c r="K1058" s="80"/>
      <c r="M1058" s="80"/>
      <c r="N1058" s="80"/>
      <c r="O1058" s="66"/>
    </row>
    <row r="1059">
      <c r="K1059" s="80"/>
      <c r="M1059" s="80"/>
      <c r="N1059" s="80"/>
      <c r="O1059" s="66"/>
    </row>
    <row r="1060">
      <c r="K1060" s="80"/>
      <c r="M1060" s="80"/>
      <c r="N1060" s="80"/>
      <c r="O1060" s="66"/>
    </row>
    <row r="1061">
      <c r="K1061" s="80"/>
      <c r="M1061" s="80"/>
      <c r="N1061" s="80"/>
      <c r="O1061" s="66"/>
    </row>
    <row r="1062">
      <c r="K1062" s="80"/>
      <c r="M1062" s="80"/>
      <c r="N1062" s="80"/>
      <c r="O1062" s="66"/>
    </row>
    <row r="1063">
      <c r="K1063" s="80"/>
      <c r="M1063" s="80"/>
      <c r="N1063" s="80"/>
      <c r="O1063" s="66"/>
    </row>
    <row r="1064">
      <c r="K1064" s="80"/>
      <c r="M1064" s="80"/>
      <c r="N1064" s="80"/>
      <c r="O1064" s="66"/>
    </row>
    <row r="1065">
      <c r="K1065" s="80"/>
      <c r="M1065" s="80"/>
      <c r="N1065" s="80"/>
      <c r="O1065" s="66"/>
    </row>
    <row r="1066">
      <c r="K1066" s="80"/>
      <c r="M1066" s="80"/>
      <c r="N1066" s="80"/>
      <c r="O1066" s="66"/>
    </row>
  </sheetData>
  <mergeCells count="3">
    <mergeCell ref="A21:B23"/>
    <mergeCell ref="A35:B37"/>
    <mergeCell ref="A65:B67"/>
  </mergeCells>
  <dataValidations>
    <dataValidation type="custom" allowBlank="1" showDropDown="1" sqref="B81:B92">
      <formula1>OR(NOT(ISERROR(DATEVALUE(B81))), AND(ISNUMBER(B81), LEFT(CELL("format", B81))="D"))</formula1>
    </dataValidation>
    <dataValidation type="list" allowBlank="1" sqref="D81:D92">
      <formula1>"Mandiri,Fortuner,Display"</formula1>
    </dataValidation>
  </dataValidations>
  <hyperlinks>
    <hyperlink r:id="rId1" ref="C5"/>
    <hyperlink r:id="rId2" ref="C7"/>
    <hyperlink r:id="rId3" ref="C8"/>
    <hyperlink r:id="rId4" ref="C9"/>
    <hyperlink r:id="rId5" ref="C11"/>
    <hyperlink r:id="rId6" ref="C12"/>
    <hyperlink r:id="rId7" ref="C13"/>
    <hyperlink r:id="rId8" ref="C14"/>
    <hyperlink r:id="rId9" ref="C15"/>
    <hyperlink r:id="rId10" ref="C18"/>
    <hyperlink r:id="rId11" ref="C19"/>
    <hyperlink r:id="rId12" ref="C20"/>
  </hyperlinks>
  <drawing r:id="rId13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hidden="1" min="1" max="1" width="4.5"/>
    <col customWidth="1" hidden="1" min="2" max="2" width="13.0"/>
    <col customWidth="1" hidden="1" min="3" max="3" width="16.5"/>
    <col customWidth="1" hidden="1" min="4" max="4" width="18.0"/>
    <col customWidth="1" min="5" max="5" width="26.88"/>
    <col customWidth="1" min="6" max="6" width="11.63"/>
    <col customWidth="1" min="7" max="7" width="14.63"/>
    <col customWidth="1" min="8" max="8" width="17.88"/>
    <col customWidth="1" min="10" max="26" width="6.88"/>
    <col customWidth="1" min="27" max="27" width="5.75"/>
    <col customWidth="1" min="28" max="57" width="6.88"/>
    <col customWidth="1" min="58" max="58" width="5.75"/>
    <col customWidth="1" min="59" max="67" width="6.88"/>
    <col customWidth="1" min="68" max="90" width="7.38"/>
    <col customWidth="1" min="91" max="99" width="6.88"/>
    <col customWidth="1" min="100" max="120" width="7.38"/>
  </cols>
  <sheetData>
    <row r="1" ht="31.5" customHeight="1">
      <c r="A1" s="153" t="s">
        <v>363</v>
      </c>
      <c r="J1" s="154" t="s">
        <v>364</v>
      </c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6"/>
      <c r="AB1" s="154" t="s">
        <v>365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6"/>
      <c r="BG1" s="154" t="s">
        <v>366</v>
      </c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6"/>
      <c r="CL1" s="157"/>
      <c r="CM1" s="154" t="s">
        <v>367</v>
      </c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6"/>
    </row>
    <row r="2">
      <c r="J2" s="158">
        <v>46096.0</v>
      </c>
      <c r="K2" s="158">
        <v>46097.0</v>
      </c>
      <c r="L2" s="158">
        <v>46098.0</v>
      </c>
      <c r="M2" s="158">
        <v>46099.0</v>
      </c>
      <c r="N2" s="158">
        <v>46100.0</v>
      </c>
      <c r="O2" s="158">
        <v>46101.0</v>
      </c>
      <c r="P2" s="158">
        <v>46102.0</v>
      </c>
      <c r="Q2" s="158">
        <v>46103.0</v>
      </c>
      <c r="R2" s="158">
        <v>46104.0</v>
      </c>
      <c r="S2" s="158">
        <v>46105.0</v>
      </c>
      <c r="T2" s="158">
        <v>46106.0</v>
      </c>
      <c r="U2" s="158">
        <v>46107.0</v>
      </c>
      <c r="V2" s="158">
        <v>46108.0</v>
      </c>
      <c r="W2" s="158">
        <v>46109.0</v>
      </c>
      <c r="X2" s="158">
        <v>46110.0</v>
      </c>
      <c r="Y2" s="158">
        <v>46111.0</v>
      </c>
      <c r="Z2" s="159">
        <v>46112.0</v>
      </c>
      <c r="AB2" s="158">
        <v>46113.0</v>
      </c>
      <c r="AC2" s="158">
        <v>46114.0</v>
      </c>
      <c r="AD2" s="158">
        <v>46115.0</v>
      </c>
      <c r="AE2" s="158">
        <v>46116.0</v>
      </c>
      <c r="AF2" s="158">
        <v>46117.0</v>
      </c>
      <c r="AG2" s="158">
        <v>46118.0</v>
      </c>
      <c r="AH2" s="158">
        <v>46119.0</v>
      </c>
      <c r="AI2" s="158">
        <v>46120.0</v>
      </c>
      <c r="AJ2" s="158">
        <v>46121.0</v>
      </c>
      <c r="AK2" s="158">
        <v>46122.0</v>
      </c>
      <c r="AL2" s="158">
        <v>46123.0</v>
      </c>
      <c r="AM2" s="158">
        <v>46124.0</v>
      </c>
      <c r="AN2" s="158">
        <v>46125.0</v>
      </c>
      <c r="AO2" s="158">
        <v>46126.0</v>
      </c>
      <c r="AP2" s="158">
        <v>46127.0</v>
      </c>
      <c r="AQ2" s="158">
        <v>46128.0</v>
      </c>
      <c r="AR2" s="158">
        <v>46129.0</v>
      </c>
      <c r="AS2" s="158">
        <v>46130.0</v>
      </c>
      <c r="AT2" s="158">
        <v>46131.0</v>
      </c>
      <c r="AU2" s="158">
        <v>46132.0</v>
      </c>
      <c r="AV2" s="158">
        <v>46133.0</v>
      </c>
      <c r="AW2" s="158">
        <v>46134.0</v>
      </c>
      <c r="AX2" s="158">
        <v>46135.0</v>
      </c>
      <c r="AY2" s="158">
        <v>46136.0</v>
      </c>
      <c r="AZ2" s="158">
        <v>46137.0</v>
      </c>
      <c r="BA2" s="158">
        <v>46138.0</v>
      </c>
      <c r="BB2" s="158">
        <v>46139.0</v>
      </c>
      <c r="BC2" s="158">
        <v>46140.0</v>
      </c>
      <c r="BD2" s="158">
        <v>46141.0</v>
      </c>
      <c r="BE2" s="158">
        <v>46142.0</v>
      </c>
      <c r="BG2" s="158">
        <v>46143.0</v>
      </c>
      <c r="BH2" s="158">
        <v>46144.0</v>
      </c>
      <c r="BI2" s="158">
        <v>46145.0</v>
      </c>
      <c r="BJ2" s="158">
        <v>46146.0</v>
      </c>
      <c r="BK2" s="158">
        <v>46147.0</v>
      </c>
      <c r="BL2" s="158">
        <v>46148.0</v>
      </c>
      <c r="BM2" s="158">
        <v>46149.0</v>
      </c>
      <c r="BN2" s="158">
        <v>46150.0</v>
      </c>
      <c r="BO2" s="158">
        <v>46151.0</v>
      </c>
      <c r="BP2" s="158">
        <v>46152.0</v>
      </c>
      <c r="BQ2" s="158">
        <v>46153.0</v>
      </c>
      <c r="BR2" s="158">
        <v>46154.0</v>
      </c>
      <c r="BS2" s="158">
        <v>46155.0</v>
      </c>
      <c r="BT2" s="158">
        <v>46156.0</v>
      </c>
      <c r="BU2" s="158">
        <v>46157.0</v>
      </c>
      <c r="BV2" s="158">
        <v>46158.0</v>
      </c>
      <c r="BW2" s="158">
        <v>46159.0</v>
      </c>
      <c r="BX2" s="158">
        <v>46160.0</v>
      </c>
      <c r="BY2" s="158">
        <v>46161.0</v>
      </c>
      <c r="BZ2" s="158">
        <v>46162.0</v>
      </c>
      <c r="CA2" s="158">
        <v>46163.0</v>
      </c>
      <c r="CB2" s="158">
        <v>46164.0</v>
      </c>
      <c r="CC2" s="158">
        <v>46165.0</v>
      </c>
      <c r="CD2" s="158">
        <v>46166.0</v>
      </c>
      <c r="CE2" s="158">
        <v>46167.0</v>
      </c>
      <c r="CF2" s="158">
        <v>46168.0</v>
      </c>
      <c r="CG2" s="158">
        <v>46169.0</v>
      </c>
      <c r="CH2" s="158">
        <v>46170.0</v>
      </c>
      <c r="CI2" s="158">
        <v>46171.0</v>
      </c>
      <c r="CJ2" s="158">
        <v>46172.0</v>
      </c>
      <c r="CK2" s="158">
        <v>46173.0</v>
      </c>
      <c r="CL2" s="160"/>
      <c r="CM2" s="158">
        <v>46174.0</v>
      </c>
      <c r="CN2" s="158">
        <v>46175.0</v>
      </c>
      <c r="CO2" s="158">
        <v>46176.0</v>
      </c>
      <c r="CP2" s="158">
        <v>46177.0</v>
      </c>
      <c r="CQ2" s="158">
        <v>46178.0</v>
      </c>
      <c r="CR2" s="158">
        <v>46179.0</v>
      </c>
      <c r="CS2" s="158">
        <v>46180.0</v>
      </c>
      <c r="CT2" s="158">
        <v>46181.0</v>
      </c>
      <c r="CU2" s="158">
        <v>46182.0</v>
      </c>
      <c r="CV2" s="158">
        <v>46183.0</v>
      </c>
      <c r="CW2" s="158">
        <v>46184.0</v>
      </c>
      <c r="CX2" s="158">
        <v>46185.0</v>
      </c>
      <c r="CY2" s="158">
        <v>46186.0</v>
      </c>
      <c r="CZ2" s="158">
        <v>46187.0</v>
      </c>
      <c r="DA2" s="158">
        <v>46188.0</v>
      </c>
      <c r="DB2" s="158">
        <v>46189.0</v>
      </c>
      <c r="DC2" s="158">
        <v>46190.0</v>
      </c>
      <c r="DD2" s="158">
        <v>46191.0</v>
      </c>
      <c r="DE2" s="158">
        <v>46192.0</v>
      </c>
      <c r="DF2" s="158">
        <v>46193.0</v>
      </c>
      <c r="DG2" s="158">
        <v>46194.0</v>
      </c>
      <c r="DH2" s="158">
        <v>46195.0</v>
      </c>
      <c r="DI2" s="158">
        <v>46196.0</v>
      </c>
      <c r="DJ2" s="158">
        <v>46197.0</v>
      </c>
      <c r="DK2" s="158">
        <v>46198.0</v>
      </c>
      <c r="DL2" s="158">
        <v>46199.0</v>
      </c>
      <c r="DM2" s="158">
        <v>46200.0</v>
      </c>
      <c r="DN2" s="158">
        <v>46201.0</v>
      </c>
      <c r="DO2" s="158">
        <v>46202.0</v>
      </c>
      <c r="DP2" s="158">
        <v>46203.0</v>
      </c>
    </row>
    <row r="3" ht="22.5" customHeight="1">
      <c r="B3" s="73" t="s">
        <v>368</v>
      </c>
      <c r="C3" s="73" t="s">
        <v>369</v>
      </c>
      <c r="D3" s="73" t="s">
        <v>202</v>
      </c>
      <c r="E3" s="161" t="s">
        <v>370</v>
      </c>
      <c r="F3" s="161" t="s">
        <v>371</v>
      </c>
      <c r="G3" s="73" t="s">
        <v>372</v>
      </c>
      <c r="H3" s="73" t="s">
        <v>351</v>
      </c>
      <c r="I3" s="73" t="s">
        <v>373</v>
      </c>
      <c r="J3" s="162" t="s">
        <v>374</v>
      </c>
      <c r="K3" s="162" t="s">
        <v>375</v>
      </c>
      <c r="L3" s="162" t="s">
        <v>376</v>
      </c>
      <c r="M3" s="162" t="s">
        <v>377</v>
      </c>
      <c r="N3" s="162" t="s">
        <v>378</v>
      </c>
      <c r="O3" s="162" t="s">
        <v>379</v>
      </c>
      <c r="P3" s="162" t="s">
        <v>380</v>
      </c>
      <c r="Q3" s="162" t="s">
        <v>381</v>
      </c>
      <c r="R3" s="162" t="s">
        <v>382</v>
      </c>
      <c r="S3" s="162" t="s">
        <v>383</v>
      </c>
      <c r="T3" s="162" t="s">
        <v>384</v>
      </c>
      <c r="U3" s="162" t="s">
        <v>385</v>
      </c>
      <c r="V3" s="162" t="s">
        <v>386</v>
      </c>
      <c r="W3" s="162" t="s">
        <v>387</v>
      </c>
      <c r="X3" s="162" t="s">
        <v>388</v>
      </c>
      <c r="Y3" s="162" t="s">
        <v>389</v>
      </c>
      <c r="Z3" s="162" t="s">
        <v>390</v>
      </c>
      <c r="AB3" s="73" t="s">
        <v>391</v>
      </c>
      <c r="AC3" s="73" t="s">
        <v>392</v>
      </c>
      <c r="AD3" s="73" t="s">
        <v>393</v>
      </c>
      <c r="AE3" s="73" t="s">
        <v>394</v>
      </c>
      <c r="AF3" s="73" t="s">
        <v>395</v>
      </c>
      <c r="AG3" s="73" t="s">
        <v>396</v>
      </c>
      <c r="AH3" s="73" t="s">
        <v>397</v>
      </c>
      <c r="AI3" s="73" t="s">
        <v>398</v>
      </c>
      <c r="AJ3" s="73" t="s">
        <v>399</v>
      </c>
      <c r="AK3" s="73" t="s">
        <v>400</v>
      </c>
      <c r="AL3" s="73" t="s">
        <v>401</v>
      </c>
      <c r="AM3" s="73" t="s">
        <v>402</v>
      </c>
      <c r="AN3" s="73" t="s">
        <v>403</v>
      </c>
      <c r="AO3" s="73" t="s">
        <v>404</v>
      </c>
      <c r="AP3" s="73" t="s">
        <v>374</v>
      </c>
      <c r="AQ3" s="73" t="s">
        <v>375</v>
      </c>
      <c r="AR3" s="73" t="s">
        <v>376</v>
      </c>
      <c r="AS3" s="73" t="s">
        <v>377</v>
      </c>
      <c r="AT3" s="73" t="s">
        <v>378</v>
      </c>
      <c r="AU3" s="73" t="s">
        <v>379</v>
      </c>
      <c r="AV3" s="73" t="s">
        <v>380</v>
      </c>
      <c r="AW3" s="73" t="s">
        <v>381</v>
      </c>
      <c r="AX3" s="73" t="s">
        <v>382</v>
      </c>
      <c r="AY3" s="73" t="s">
        <v>383</v>
      </c>
      <c r="AZ3" s="73" t="s">
        <v>384</v>
      </c>
      <c r="BA3" s="73" t="s">
        <v>385</v>
      </c>
      <c r="BB3" s="73" t="s">
        <v>386</v>
      </c>
      <c r="BC3" s="73" t="s">
        <v>387</v>
      </c>
      <c r="BD3" s="73" t="s">
        <v>388</v>
      </c>
      <c r="BE3" s="73" t="s">
        <v>389</v>
      </c>
      <c r="BG3" s="73" t="s">
        <v>391</v>
      </c>
      <c r="BH3" s="73" t="s">
        <v>392</v>
      </c>
      <c r="BI3" s="73" t="s">
        <v>393</v>
      </c>
      <c r="BJ3" s="73" t="s">
        <v>394</v>
      </c>
      <c r="BK3" s="73" t="s">
        <v>395</v>
      </c>
      <c r="BL3" s="73" t="s">
        <v>396</v>
      </c>
      <c r="BM3" s="73" t="s">
        <v>397</v>
      </c>
      <c r="BN3" s="73" t="s">
        <v>398</v>
      </c>
      <c r="BO3" s="73" t="s">
        <v>399</v>
      </c>
      <c r="BP3" s="73" t="s">
        <v>400</v>
      </c>
      <c r="BQ3" s="73" t="s">
        <v>401</v>
      </c>
      <c r="BR3" s="73" t="s">
        <v>402</v>
      </c>
      <c r="BS3" s="73" t="s">
        <v>403</v>
      </c>
      <c r="BT3" s="73" t="s">
        <v>404</v>
      </c>
      <c r="BU3" s="73" t="s">
        <v>374</v>
      </c>
      <c r="BV3" s="73" t="s">
        <v>375</v>
      </c>
      <c r="BW3" s="73" t="s">
        <v>376</v>
      </c>
      <c r="BX3" s="73" t="s">
        <v>377</v>
      </c>
      <c r="BY3" s="73" t="s">
        <v>378</v>
      </c>
      <c r="BZ3" s="73" t="s">
        <v>379</v>
      </c>
      <c r="CA3" s="73" t="s">
        <v>380</v>
      </c>
      <c r="CB3" s="73" t="s">
        <v>381</v>
      </c>
      <c r="CC3" s="73" t="s">
        <v>382</v>
      </c>
      <c r="CD3" s="73" t="s">
        <v>383</v>
      </c>
      <c r="CE3" s="73" t="s">
        <v>384</v>
      </c>
      <c r="CF3" s="73" t="s">
        <v>385</v>
      </c>
      <c r="CG3" s="73" t="s">
        <v>386</v>
      </c>
      <c r="CH3" s="73" t="s">
        <v>387</v>
      </c>
      <c r="CI3" s="73" t="s">
        <v>388</v>
      </c>
      <c r="CJ3" s="73" t="s">
        <v>389</v>
      </c>
      <c r="CK3" s="73" t="s">
        <v>390</v>
      </c>
      <c r="CM3" s="73" t="s">
        <v>391</v>
      </c>
      <c r="CN3" s="73" t="s">
        <v>392</v>
      </c>
      <c r="CO3" s="73" t="s">
        <v>393</v>
      </c>
      <c r="CP3" s="73" t="s">
        <v>394</v>
      </c>
      <c r="CQ3" s="73" t="s">
        <v>395</v>
      </c>
      <c r="CR3" s="73" t="s">
        <v>396</v>
      </c>
      <c r="CS3" s="73" t="s">
        <v>397</v>
      </c>
      <c r="CT3" s="73" t="s">
        <v>398</v>
      </c>
      <c r="CU3" s="73" t="s">
        <v>399</v>
      </c>
      <c r="CV3" s="73" t="s">
        <v>400</v>
      </c>
      <c r="CW3" s="73" t="s">
        <v>401</v>
      </c>
      <c r="CX3" s="73" t="s">
        <v>402</v>
      </c>
      <c r="CY3" s="73" t="s">
        <v>403</v>
      </c>
      <c r="CZ3" s="73" t="s">
        <v>404</v>
      </c>
      <c r="DA3" s="73" t="s">
        <v>374</v>
      </c>
      <c r="DB3" s="73" t="s">
        <v>375</v>
      </c>
      <c r="DC3" s="73" t="s">
        <v>376</v>
      </c>
      <c r="DD3" s="73" t="s">
        <v>377</v>
      </c>
      <c r="DE3" s="73" t="s">
        <v>378</v>
      </c>
      <c r="DF3" s="73" t="s">
        <v>379</v>
      </c>
      <c r="DG3" s="73" t="s">
        <v>380</v>
      </c>
      <c r="DH3" s="73" t="s">
        <v>381</v>
      </c>
      <c r="DI3" s="73" t="s">
        <v>382</v>
      </c>
      <c r="DJ3" s="73" t="s">
        <v>383</v>
      </c>
      <c r="DK3" s="73" t="s">
        <v>384</v>
      </c>
      <c r="DL3" s="73" t="s">
        <v>385</v>
      </c>
      <c r="DM3" s="73" t="s">
        <v>386</v>
      </c>
      <c r="DN3" s="73" t="s">
        <v>387</v>
      </c>
      <c r="DO3" s="73" t="s">
        <v>388</v>
      </c>
      <c r="DP3" s="73" t="s">
        <v>389</v>
      </c>
    </row>
    <row r="4" ht="25.5" customHeight="1">
      <c r="B4" s="62" t="s">
        <v>405</v>
      </c>
      <c r="C4" s="75" t="s">
        <v>406</v>
      </c>
      <c r="D4" s="62" t="s">
        <v>407</v>
      </c>
      <c r="E4" s="62" t="str">
        <f t="shared" ref="E4:E25" si="1">C4&amp;" "&amp;D4</f>
        <v>Kasur Busa Royal Grand 100x200</v>
      </c>
      <c r="F4" s="74"/>
      <c r="G4" s="74">
        <v>536400.0</v>
      </c>
      <c r="H4" s="163">
        <v>46066.0</v>
      </c>
      <c r="J4" s="164"/>
      <c r="K4" s="164"/>
      <c r="L4" s="165" t="s">
        <v>54</v>
      </c>
      <c r="M4" s="166" t="s">
        <v>54</v>
      </c>
      <c r="N4" s="166" t="s">
        <v>54</v>
      </c>
      <c r="O4" s="166" t="s">
        <v>54</v>
      </c>
      <c r="P4" s="166" t="s">
        <v>54</v>
      </c>
      <c r="Q4" s="166" t="s">
        <v>54</v>
      </c>
      <c r="R4" s="167" t="s">
        <v>408</v>
      </c>
      <c r="S4" s="165" t="s">
        <v>73</v>
      </c>
      <c r="T4" s="168" t="s">
        <v>73</v>
      </c>
      <c r="U4" s="164"/>
      <c r="V4" s="164"/>
      <c r="W4" s="164"/>
      <c r="X4" s="164"/>
      <c r="Y4" s="164"/>
      <c r="Z4" s="164"/>
      <c r="AB4" s="164"/>
      <c r="AC4" s="164"/>
      <c r="AD4" s="165" t="s">
        <v>95</v>
      </c>
      <c r="AE4" s="166" t="s">
        <v>95</v>
      </c>
      <c r="AF4" s="166" t="s">
        <v>95</v>
      </c>
      <c r="AG4" s="168" t="s">
        <v>95</v>
      </c>
      <c r="AH4" s="164"/>
      <c r="AI4" s="164"/>
      <c r="AJ4" s="164"/>
      <c r="AK4" s="164"/>
      <c r="AL4" s="169"/>
      <c r="AM4" s="169"/>
      <c r="AN4" s="164"/>
      <c r="AO4" s="164"/>
      <c r="AP4" s="164"/>
      <c r="AQ4" s="164"/>
      <c r="AR4" s="164"/>
      <c r="AS4" s="165" t="s">
        <v>120</v>
      </c>
      <c r="AT4" s="168" t="s">
        <v>120</v>
      </c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G4" s="165" t="s">
        <v>409</v>
      </c>
      <c r="BH4" s="166" t="s">
        <v>409</v>
      </c>
      <c r="BI4" s="168" t="s">
        <v>409</v>
      </c>
      <c r="BJ4" s="164"/>
      <c r="BK4" s="164"/>
      <c r="BL4" s="164"/>
      <c r="BN4" s="164"/>
      <c r="BO4" s="169"/>
      <c r="BP4" s="164"/>
      <c r="BQ4" s="165" t="s">
        <v>410</v>
      </c>
      <c r="BR4" s="166" t="s">
        <v>410</v>
      </c>
      <c r="BS4" s="166" t="s">
        <v>410</v>
      </c>
      <c r="BT4" s="166" t="s">
        <v>150</v>
      </c>
      <c r="BU4" s="166" t="s">
        <v>150</v>
      </c>
      <c r="BV4" s="166" t="s">
        <v>150</v>
      </c>
      <c r="BW4" s="168" t="s">
        <v>150</v>
      </c>
      <c r="BX4" s="164"/>
      <c r="BY4" s="164"/>
      <c r="BZ4" s="164"/>
      <c r="CA4" s="164"/>
      <c r="CB4" s="164"/>
      <c r="CC4" s="164"/>
      <c r="CD4" s="164"/>
      <c r="CE4" s="165" t="s">
        <v>176</v>
      </c>
      <c r="CF4" s="168" t="s">
        <v>176</v>
      </c>
      <c r="CG4" s="169"/>
      <c r="CH4" s="164"/>
      <c r="CI4" s="164"/>
      <c r="CJ4" s="165" t="s">
        <v>188</v>
      </c>
      <c r="CK4" s="166" t="s">
        <v>188</v>
      </c>
      <c r="CM4" s="168" t="s">
        <v>188</v>
      </c>
      <c r="CN4" s="164"/>
      <c r="CO4" s="164"/>
      <c r="CP4" s="164"/>
      <c r="CQ4" s="165" t="s">
        <v>411</v>
      </c>
      <c r="CR4" s="168" t="s">
        <v>411</v>
      </c>
      <c r="CS4" s="164"/>
      <c r="CT4" s="164"/>
      <c r="CU4" s="164"/>
      <c r="CV4" s="164"/>
      <c r="CW4" s="164"/>
      <c r="CX4" s="164"/>
      <c r="CY4" s="164"/>
      <c r="CZ4" s="164"/>
      <c r="DA4" s="164"/>
      <c r="DB4" s="164"/>
      <c r="DC4" s="164"/>
      <c r="DD4" s="164"/>
      <c r="DE4" s="164"/>
      <c r="DF4" s="164"/>
      <c r="DG4" s="164"/>
      <c r="DH4" s="164"/>
      <c r="DI4" s="164"/>
      <c r="DJ4" s="164"/>
      <c r="DK4" s="164"/>
      <c r="DL4" s="164"/>
      <c r="DM4" s="164"/>
      <c r="DN4" s="164"/>
      <c r="DO4" s="164"/>
      <c r="DP4" s="164"/>
    </row>
    <row r="5" ht="25.5" customHeight="1">
      <c r="B5" s="62" t="s">
        <v>412</v>
      </c>
      <c r="C5" s="75" t="s">
        <v>406</v>
      </c>
      <c r="D5" s="62" t="s">
        <v>407</v>
      </c>
      <c r="E5" s="62" t="str">
        <f t="shared" si="1"/>
        <v>Kasur Busa Royal Grand 100x200</v>
      </c>
      <c r="F5" s="74"/>
      <c r="G5" s="74">
        <v>536400.0</v>
      </c>
      <c r="H5" s="163">
        <v>46066.0</v>
      </c>
      <c r="J5" s="164"/>
      <c r="K5" s="164"/>
      <c r="L5" s="164"/>
      <c r="M5" s="165" t="s">
        <v>67</v>
      </c>
      <c r="N5" s="166" t="s">
        <v>67</v>
      </c>
      <c r="O5" s="166" t="s">
        <v>67</v>
      </c>
      <c r="P5" s="166" t="s">
        <v>67</v>
      </c>
      <c r="Q5" s="166" t="s">
        <v>67</v>
      </c>
      <c r="R5" s="166" t="s">
        <v>67</v>
      </c>
      <c r="S5" s="166" t="s">
        <v>67</v>
      </c>
      <c r="T5" s="166" t="s">
        <v>67</v>
      </c>
      <c r="U5" s="166" t="s">
        <v>67</v>
      </c>
      <c r="V5" s="166" t="s">
        <v>67</v>
      </c>
      <c r="W5" s="168" t="s">
        <v>67</v>
      </c>
      <c r="X5" s="164"/>
      <c r="Y5" s="164"/>
      <c r="Z5" s="164"/>
      <c r="AB5" s="164"/>
      <c r="AC5" s="164"/>
      <c r="AD5" s="165" t="s">
        <v>95</v>
      </c>
      <c r="AE5" s="166" t="s">
        <v>95</v>
      </c>
      <c r="AF5" s="166" t="s">
        <v>95</v>
      </c>
      <c r="AG5" s="168" t="s">
        <v>95</v>
      </c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5" t="s">
        <v>120</v>
      </c>
      <c r="AT5" s="168" t="s">
        <v>120</v>
      </c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G5" s="165" t="s">
        <v>409</v>
      </c>
      <c r="BH5" s="166" t="s">
        <v>409</v>
      </c>
      <c r="BI5" s="168" t="s">
        <v>409</v>
      </c>
      <c r="BJ5" s="164"/>
      <c r="BK5" s="164"/>
      <c r="BL5" s="164"/>
      <c r="BM5" s="169"/>
      <c r="BN5" s="164"/>
      <c r="BO5" s="164"/>
      <c r="BP5" s="164"/>
      <c r="BQ5" s="164"/>
      <c r="BR5" s="164"/>
      <c r="BS5" s="164"/>
      <c r="BT5" s="165" t="s">
        <v>156</v>
      </c>
      <c r="BU5" s="168" t="s">
        <v>156</v>
      </c>
      <c r="BV5" s="165" t="s">
        <v>162</v>
      </c>
      <c r="BW5" s="168" t="s">
        <v>162</v>
      </c>
      <c r="BX5" s="164"/>
      <c r="BY5" s="164"/>
      <c r="BZ5" s="164"/>
      <c r="CA5" s="164"/>
      <c r="CB5" s="164"/>
      <c r="CC5" s="164"/>
      <c r="CD5" s="164"/>
      <c r="CE5" s="164"/>
      <c r="CF5" s="164"/>
      <c r="CG5" s="164"/>
      <c r="CH5" s="164"/>
      <c r="CI5" s="164"/>
      <c r="CJ5" s="165" t="s">
        <v>188</v>
      </c>
      <c r="CK5" s="166" t="s">
        <v>188</v>
      </c>
      <c r="CM5" s="168" t="s">
        <v>188</v>
      </c>
      <c r="CN5" s="164"/>
      <c r="CO5" s="164"/>
      <c r="CP5" s="164"/>
      <c r="CQ5" s="165" t="s">
        <v>411</v>
      </c>
      <c r="CR5" s="168" t="s">
        <v>411</v>
      </c>
      <c r="CS5" s="164"/>
      <c r="CT5" s="164"/>
      <c r="CU5" s="164"/>
      <c r="CV5" s="164"/>
      <c r="CW5" s="164"/>
      <c r="CX5" s="164"/>
      <c r="CY5" s="164"/>
      <c r="CZ5" s="164"/>
      <c r="DA5" s="164"/>
      <c r="DB5" s="164"/>
      <c r="DC5" s="164"/>
      <c r="DD5" s="164"/>
      <c r="DE5" s="164"/>
      <c r="DF5" s="164"/>
      <c r="DG5" s="164"/>
      <c r="DH5" s="164"/>
      <c r="DI5" s="164"/>
      <c r="DJ5" s="164"/>
      <c r="DK5" s="164"/>
      <c r="DL5" s="164"/>
      <c r="DM5" s="164"/>
      <c r="DN5" s="164"/>
      <c r="DO5" s="164"/>
      <c r="DP5" s="164"/>
    </row>
    <row r="6" ht="25.5" customHeight="1">
      <c r="B6" s="62" t="s">
        <v>413</v>
      </c>
      <c r="C6" s="75" t="s">
        <v>406</v>
      </c>
      <c r="D6" s="62" t="s">
        <v>407</v>
      </c>
      <c r="E6" s="62" t="str">
        <f t="shared" si="1"/>
        <v>Kasur Busa Royal Grand 100x200</v>
      </c>
      <c r="F6" s="74"/>
      <c r="G6" s="74">
        <v>536400.0</v>
      </c>
      <c r="H6" s="163">
        <v>46066.0</v>
      </c>
      <c r="J6" s="164"/>
      <c r="K6" s="164"/>
      <c r="L6" s="164"/>
      <c r="M6" s="165" t="s">
        <v>67</v>
      </c>
      <c r="N6" s="166" t="s">
        <v>67</v>
      </c>
      <c r="O6" s="166" t="s">
        <v>67</v>
      </c>
      <c r="P6" s="166" t="s">
        <v>67</v>
      </c>
      <c r="Q6" s="166" t="s">
        <v>67</v>
      </c>
      <c r="R6" s="166" t="s">
        <v>67</v>
      </c>
      <c r="S6" s="166" t="s">
        <v>67</v>
      </c>
      <c r="T6" s="166" t="s">
        <v>67</v>
      </c>
      <c r="U6" s="166" t="s">
        <v>67</v>
      </c>
      <c r="V6" s="166" t="s">
        <v>67</v>
      </c>
      <c r="W6" s="168" t="s">
        <v>67</v>
      </c>
      <c r="X6" s="164"/>
      <c r="Y6" s="164"/>
      <c r="Z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5" t="s">
        <v>120</v>
      </c>
      <c r="AT6" s="168" t="s">
        <v>120</v>
      </c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G6" s="165" t="s">
        <v>409</v>
      </c>
      <c r="BH6" s="166" t="s">
        <v>409</v>
      </c>
      <c r="BI6" s="168" t="s">
        <v>409</v>
      </c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5" t="s">
        <v>162</v>
      </c>
      <c r="BW6" s="168" t="s">
        <v>162</v>
      </c>
      <c r="BX6" s="164"/>
      <c r="BY6" s="164"/>
      <c r="BZ6" s="164"/>
      <c r="CA6" s="164"/>
      <c r="CB6" s="164"/>
      <c r="CC6" s="164"/>
      <c r="CD6" s="164"/>
      <c r="CE6" s="164"/>
      <c r="CF6" s="164"/>
      <c r="CG6" s="164"/>
      <c r="CH6" s="164"/>
      <c r="CI6" s="164"/>
      <c r="CJ6" s="165" t="s">
        <v>188</v>
      </c>
      <c r="CK6" s="166" t="s">
        <v>188</v>
      </c>
      <c r="CM6" s="168" t="s">
        <v>188</v>
      </c>
      <c r="CN6" s="164"/>
      <c r="CO6" s="164"/>
      <c r="CP6" s="164"/>
      <c r="CQ6" s="164"/>
      <c r="CR6" s="164"/>
      <c r="CS6" s="164"/>
      <c r="CT6" s="164"/>
      <c r="CU6" s="164"/>
      <c r="CV6" s="164"/>
      <c r="CW6" s="164"/>
      <c r="CX6" s="164"/>
      <c r="CY6" s="164"/>
      <c r="CZ6" s="164"/>
      <c r="DA6" s="164"/>
      <c r="DB6" s="164"/>
      <c r="DC6" s="164"/>
      <c r="DD6" s="164"/>
      <c r="DE6" s="164"/>
      <c r="DF6" s="164"/>
      <c r="DG6" s="164"/>
      <c r="DH6" s="164"/>
      <c r="DI6" s="164"/>
      <c r="DJ6" s="164"/>
      <c r="DK6" s="164"/>
      <c r="DL6" s="164"/>
      <c r="DM6" s="164"/>
      <c r="DN6" s="164"/>
      <c r="DO6" s="164"/>
      <c r="DP6" s="164"/>
    </row>
    <row r="7" ht="25.5" customHeight="1">
      <c r="B7" s="62" t="s">
        <v>414</v>
      </c>
      <c r="C7" s="75" t="s">
        <v>406</v>
      </c>
      <c r="D7" s="62" t="s">
        <v>407</v>
      </c>
      <c r="E7" s="62" t="str">
        <f t="shared" si="1"/>
        <v>Kasur Busa Royal Grand 100x200</v>
      </c>
      <c r="F7" s="74"/>
      <c r="G7" s="74">
        <v>536400.0</v>
      </c>
      <c r="H7" s="163">
        <v>46066.0</v>
      </c>
      <c r="J7" s="164"/>
      <c r="K7" s="164"/>
      <c r="L7" s="164"/>
      <c r="M7" s="165" t="s">
        <v>244</v>
      </c>
      <c r="N7" s="166" t="s">
        <v>244</v>
      </c>
      <c r="O7" s="166" t="s">
        <v>244</v>
      </c>
      <c r="P7" s="166" t="s">
        <v>244</v>
      </c>
      <c r="Q7" s="166" t="s">
        <v>244</v>
      </c>
      <c r="R7" s="166" t="s">
        <v>244</v>
      </c>
      <c r="S7" s="167" t="s">
        <v>415</v>
      </c>
      <c r="T7" s="166" t="s">
        <v>86</v>
      </c>
      <c r="U7" s="166" t="s">
        <v>86</v>
      </c>
      <c r="V7" s="168" t="s">
        <v>86</v>
      </c>
      <c r="W7" s="164"/>
      <c r="X7" s="164"/>
      <c r="Y7" s="164"/>
      <c r="Z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5" t="s">
        <v>120</v>
      </c>
      <c r="AT7" s="168" t="s">
        <v>120</v>
      </c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5" t="s">
        <v>162</v>
      </c>
      <c r="BW7" s="168" t="s">
        <v>162</v>
      </c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5" t="s">
        <v>185</v>
      </c>
      <c r="CJ7" s="166" t="s">
        <v>185</v>
      </c>
      <c r="CK7" s="166" t="s">
        <v>185</v>
      </c>
      <c r="CM7" s="168" t="s">
        <v>185</v>
      </c>
      <c r="CN7" s="164"/>
      <c r="CO7" s="164"/>
      <c r="CP7" s="164"/>
      <c r="CQ7" s="164"/>
      <c r="CR7" s="164"/>
      <c r="CS7" s="164"/>
      <c r="CT7" s="164"/>
      <c r="CU7" s="164"/>
      <c r="CV7" s="164"/>
      <c r="CW7" s="164"/>
      <c r="CX7" s="164"/>
      <c r="CY7" s="164"/>
      <c r="CZ7" s="164"/>
      <c r="DA7" s="164"/>
      <c r="DB7" s="164"/>
      <c r="DC7" s="164"/>
      <c r="DD7" s="164"/>
      <c r="DE7" s="164"/>
      <c r="DF7" s="164"/>
      <c r="DG7" s="164"/>
      <c r="DH7" s="164"/>
      <c r="DI7" s="164"/>
      <c r="DJ7" s="164"/>
      <c r="DK7" s="164"/>
      <c r="DL7" s="164"/>
      <c r="DM7" s="164"/>
      <c r="DN7" s="164"/>
      <c r="DO7" s="164"/>
      <c r="DP7" s="164"/>
    </row>
    <row r="8" ht="25.5" customHeight="1">
      <c r="B8" s="62" t="s">
        <v>416</v>
      </c>
      <c r="C8" s="75" t="s">
        <v>406</v>
      </c>
      <c r="D8" s="62" t="s">
        <v>407</v>
      </c>
      <c r="E8" s="62" t="str">
        <f t="shared" si="1"/>
        <v>Kasur Busa Royal Grand 100x200</v>
      </c>
      <c r="F8" s="74"/>
      <c r="G8" s="74"/>
      <c r="H8" s="163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4"/>
      <c r="BS8" s="164"/>
      <c r="BT8" s="164"/>
      <c r="BU8" s="164"/>
      <c r="BV8" s="165" t="s">
        <v>162</v>
      </c>
      <c r="BW8" s="168" t="s">
        <v>162</v>
      </c>
      <c r="BX8" s="164"/>
      <c r="BY8" s="164"/>
      <c r="BZ8" s="164"/>
      <c r="CA8" s="164"/>
      <c r="CB8" s="164"/>
      <c r="CC8" s="164"/>
      <c r="CD8" s="164"/>
      <c r="CE8" s="164"/>
      <c r="CF8" s="164"/>
      <c r="CG8" s="164"/>
      <c r="CH8" s="164"/>
      <c r="CI8" s="164"/>
      <c r="CJ8" s="164"/>
      <c r="CK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4"/>
      <c r="CX8" s="164"/>
      <c r="CY8" s="164"/>
      <c r="CZ8" s="164"/>
      <c r="DA8" s="164"/>
      <c r="DB8" s="164"/>
      <c r="DC8" s="164"/>
      <c r="DD8" s="164"/>
      <c r="DE8" s="164"/>
      <c r="DF8" s="164"/>
      <c r="DG8" s="164"/>
      <c r="DH8" s="164"/>
      <c r="DI8" s="164"/>
      <c r="DJ8" s="164"/>
      <c r="DK8" s="164"/>
      <c r="DL8" s="164"/>
      <c r="DM8" s="164"/>
      <c r="DN8" s="164"/>
      <c r="DO8" s="164"/>
      <c r="DP8" s="164"/>
    </row>
    <row r="9" ht="25.5" customHeight="1">
      <c r="B9" s="62" t="s">
        <v>417</v>
      </c>
      <c r="C9" s="75" t="s">
        <v>406</v>
      </c>
      <c r="D9" s="62" t="s">
        <v>407</v>
      </c>
      <c r="E9" s="62" t="str">
        <f t="shared" si="1"/>
        <v>Kasur Busa Royal Grand 100x200</v>
      </c>
      <c r="F9" s="74"/>
      <c r="G9" s="74"/>
      <c r="H9" s="163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4"/>
      <c r="AX9" s="164"/>
      <c r="AY9" s="164"/>
      <c r="AZ9" s="164"/>
      <c r="BA9" s="164"/>
      <c r="BB9" s="164"/>
      <c r="BC9" s="164"/>
      <c r="BD9" s="164"/>
      <c r="BE9" s="164"/>
      <c r="BG9" s="164"/>
      <c r="BH9" s="164"/>
      <c r="BI9" s="164"/>
      <c r="BJ9" s="164"/>
      <c r="BK9" s="164"/>
      <c r="BL9" s="164"/>
      <c r="BM9" s="164"/>
      <c r="BN9" s="164"/>
      <c r="BO9" s="164"/>
      <c r="BP9" s="164"/>
      <c r="BQ9" s="164"/>
      <c r="BR9" s="164"/>
      <c r="BS9" s="164"/>
      <c r="BT9" s="164"/>
      <c r="BU9" s="165" t="s">
        <v>159</v>
      </c>
      <c r="BV9" s="168" t="s">
        <v>159</v>
      </c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  <c r="DO9" s="164"/>
      <c r="DP9" s="164"/>
    </row>
    <row r="10" ht="25.5" customHeight="1">
      <c r="B10" s="62" t="s">
        <v>418</v>
      </c>
      <c r="C10" s="75" t="s">
        <v>406</v>
      </c>
      <c r="D10" s="62" t="s">
        <v>419</v>
      </c>
      <c r="E10" s="62" t="str">
        <f t="shared" si="1"/>
        <v>Kasur Busa Royal Grand 120x200</v>
      </c>
      <c r="F10" s="74"/>
      <c r="G10" s="74">
        <v>628724.0</v>
      </c>
      <c r="H10" s="163">
        <v>46067.0</v>
      </c>
      <c r="J10" s="164"/>
      <c r="K10" s="164"/>
      <c r="L10" s="170" t="s">
        <v>64</v>
      </c>
      <c r="M10" s="171" t="s">
        <v>64</v>
      </c>
      <c r="N10" s="171" t="s">
        <v>64</v>
      </c>
      <c r="O10" s="171" t="s">
        <v>64</v>
      </c>
      <c r="P10" s="169"/>
      <c r="Q10" s="164"/>
      <c r="R10" s="165" t="s">
        <v>73</v>
      </c>
      <c r="S10" s="166" t="s">
        <v>73</v>
      </c>
      <c r="T10" s="166" t="s">
        <v>73</v>
      </c>
      <c r="U10" s="168" t="s">
        <v>73</v>
      </c>
      <c r="V10" s="164"/>
      <c r="W10" s="164"/>
      <c r="X10" s="164"/>
      <c r="Y10" s="164"/>
      <c r="Z10" s="164"/>
      <c r="AB10" s="164"/>
      <c r="AC10" s="165" t="s">
        <v>92</v>
      </c>
      <c r="AD10" s="166" t="s">
        <v>92</v>
      </c>
      <c r="AE10" s="166" t="s">
        <v>92</v>
      </c>
      <c r="AF10" s="166" t="s">
        <v>92</v>
      </c>
      <c r="AG10" s="166" t="s">
        <v>92</v>
      </c>
      <c r="AH10" s="166" t="s">
        <v>92</v>
      </c>
      <c r="AI10" s="166" t="s">
        <v>92</v>
      </c>
      <c r="AJ10" s="166" t="s">
        <v>92</v>
      </c>
      <c r="AK10" s="167" t="s">
        <v>420</v>
      </c>
      <c r="AL10" s="166" t="s">
        <v>108</v>
      </c>
      <c r="AM10" s="168" t="s">
        <v>108</v>
      </c>
      <c r="AN10" s="164"/>
      <c r="AO10" s="164"/>
      <c r="AP10" s="164"/>
      <c r="AQ10" s="164"/>
      <c r="AR10" s="164"/>
      <c r="AS10" s="165" t="s">
        <v>120</v>
      </c>
      <c r="AT10" s="168" t="s">
        <v>120</v>
      </c>
      <c r="AU10" s="164"/>
      <c r="AV10" s="164"/>
      <c r="AW10" s="164"/>
      <c r="AX10" s="164"/>
      <c r="AY10" s="164"/>
      <c r="AZ10" s="164"/>
      <c r="BA10" s="164"/>
      <c r="BB10" s="164"/>
      <c r="BC10" s="164"/>
      <c r="BD10" s="164"/>
      <c r="BE10" s="164"/>
      <c r="BG10" s="165" t="s">
        <v>409</v>
      </c>
      <c r="BH10" s="166" t="s">
        <v>409</v>
      </c>
      <c r="BI10" s="168" t="s">
        <v>409</v>
      </c>
      <c r="BJ10" s="164"/>
      <c r="BK10" s="164"/>
      <c r="BL10" s="164"/>
      <c r="BM10" s="165" t="s">
        <v>132</v>
      </c>
      <c r="BN10" s="166" t="s">
        <v>132</v>
      </c>
      <c r="BO10" s="168" t="s">
        <v>132</v>
      </c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5" t="s">
        <v>168</v>
      </c>
      <c r="CA10" s="166" t="s">
        <v>168</v>
      </c>
      <c r="CB10" s="166" t="s">
        <v>168</v>
      </c>
      <c r="CC10" s="166" t="s">
        <v>168</v>
      </c>
      <c r="CD10" s="168" t="s">
        <v>168</v>
      </c>
      <c r="CE10" s="164"/>
      <c r="CF10" s="164"/>
      <c r="CG10" s="164"/>
      <c r="CH10" s="164"/>
      <c r="CI10" s="164"/>
      <c r="CJ10" s="165" t="s">
        <v>188</v>
      </c>
      <c r="CK10" s="166" t="s">
        <v>188</v>
      </c>
      <c r="CM10" s="168" t="s">
        <v>188</v>
      </c>
      <c r="CN10" s="164"/>
      <c r="CO10" s="164"/>
      <c r="CP10" s="164"/>
      <c r="CQ10" s="165" t="s">
        <v>411</v>
      </c>
      <c r="CR10" s="168" t="s">
        <v>411</v>
      </c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4"/>
      <c r="DH10" s="164"/>
      <c r="DI10" s="164"/>
      <c r="DJ10" s="164"/>
      <c r="DK10" s="164"/>
      <c r="DL10" s="164"/>
      <c r="DM10" s="164"/>
      <c r="DN10" s="164"/>
      <c r="DO10" s="164"/>
      <c r="DP10" s="164"/>
    </row>
    <row r="11" ht="25.5" customHeight="1">
      <c r="B11" s="62" t="s">
        <v>421</v>
      </c>
      <c r="C11" s="75" t="s">
        <v>406</v>
      </c>
      <c r="D11" s="62" t="s">
        <v>419</v>
      </c>
      <c r="E11" s="62" t="str">
        <f t="shared" si="1"/>
        <v>Kasur Busa Royal Grand 120x200</v>
      </c>
      <c r="F11" s="74"/>
      <c r="G11" s="74">
        <v>628724.0</v>
      </c>
      <c r="H11" s="163">
        <v>46067.0</v>
      </c>
      <c r="J11" s="164"/>
      <c r="K11" s="164"/>
      <c r="L11" s="164"/>
      <c r="M11" s="164"/>
      <c r="N11" s="165" t="s">
        <v>422</v>
      </c>
      <c r="O11" s="166" t="s">
        <v>422</v>
      </c>
      <c r="P11" s="166" t="s">
        <v>422</v>
      </c>
      <c r="Q11" s="168" t="s">
        <v>422</v>
      </c>
      <c r="R11" s="165" t="s">
        <v>73</v>
      </c>
      <c r="S11" s="166" t="s">
        <v>73</v>
      </c>
      <c r="T11" s="166" t="s">
        <v>73</v>
      </c>
      <c r="U11" s="166" t="s">
        <v>73</v>
      </c>
      <c r="V11" s="168" t="s">
        <v>73</v>
      </c>
      <c r="W11" s="164"/>
      <c r="X11" s="164"/>
      <c r="Y11" s="164"/>
      <c r="Z11" s="164"/>
      <c r="AB11" s="164"/>
      <c r="AC11" s="165" t="s">
        <v>92</v>
      </c>
      <c r="AD11" s="166" t="s">
        <v>92</v>
      </c>
      <c r="AE11" s="166" t="s">
        <v>92</v>
      </c>
      <c r="AF11" s="166" t="s">
        <v>92</v>
      </c>
      <c r="AG11" s="166" t="s">
        <v>92</v>
      </c>
      <c r="AH11" s="166" t="s">
        <v>92</v>
      </c>
      <c r="AI11" s="166" t="s">
        <v>92</v>
      </c>
      <c r="AJ11" s="166" t="s">
        <v>92</v>
      </c>
      <c r="AK11" s="167" t="s">
        <v>420</v>
      </c>
      <c r="AL11" s="166" t="s">
        <v>108</v>
      </c>
      <c r="AM11" s="168" t="s">
        <v>108</v>
      </c>
      <c r="AN11" s="164"/>
      <c r="AO11" s="164"/>
      <c r="AP11" s="164"/>
      <c r="AQ11" s="164"/>
      <c r="AR11" s="164"/>
      <c r="AS11" s="165" t="s">
        <v>120</v>
      </c>
      <c r="AT11" s="168" t="s">
        <v>120</v>
      </c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G11" s="165" t="s">
        <v>64</v>
      </c>
      <c r="BH11" s="166" t="s">
        <v>64</v>
      </c>
      <c r="BI11" s="168" t="s">
        <v>64</v>
      </c>
      <c r="BJ11" s="164"/>
      <c r="BK11" s="164"/>
      <c r="BL11" s="164"/>
      <c r="BM11" s="165" t="s">
        <v>132</v>
      </c>
      <c r="BN11" s="166" t="s">
        <v>132</v>
      </c>
      <c r="BO11" s="168" t="s">
        <v>132</v>
      </c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5" t="s">
        <v>168</v>
      </c>
      <c r="CA11" s="166" t="s">
        <v>168</v>
      </c>
      <c r="CB11" s="166" t="s">
        <v>168</v>
      </c>
      <c r="CC11" s="166" t="s">
        <v>168</v>
      </c>
      <c r="CD11" s="168" t="s">
        <v>168</v>
      </c>
      <c r="CE11" s="164"/>
      <c r="CF11" s="164"/>
      <c r="CG11" s="164"/>
      <c r="CH11" s="164"/>
      <c r="CI11" s="164"/>
      <c r="CJ11" s="165" t="s">
        <v>188</v>
      </c>
      <c r="CK11" s="166" t="s">
        <v>188</v>
      </c>
      <c r="CM11" s="168" t="s">
        <v>188</v>
      </c>
      <c r="CN11" s="164"/>
      <c r="CO11" s="164"/>
      <c r="CP11" s="164"/>
      <c r="CQ11" s="165" t="s">
        <v>411</v>
      </c>
      <c r="CR11" s="168" t="s">
        <v>411</v>
      </c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64"/>
      <c r="DF11" s="164"/>
      <c r="DG11" s="164"/>
      <c r="DH11" s="164"/>
      <c r="DI11" s="164"/>
      <c r="DJ11" s="164"/>
      <c r="DK11" s="164"/>
      <c r="DL11" s="164"/>
      <c r="DM11" s="164"/>
      <c r="DN11" s="164"/>
      <c r="DO11" s="164"/>
      <c r="DP11" s="164"/>
    </row>
    <row r="12" ht="25.5" customHeight="1">
      <c r="B12" s="62" t="s">
        <v>423</v>
      </c>
      <c r="C12" s="75" t="s">
        <v>406</v>
      </c>
      <c r="D12" s="62" t="s">
        <v>419</v>
      </c>
      <c r="E12" s="62" t="str">
        <f t="shared" si="1"/>
        <v>Kasur Busa Royal Grand 120x200</v>
      </c>
      <c r="F12" s="74"/>
      <c r="G12" s="74">
        <v>628728.0</v>
      </c>
      <c r="H12" s="163">
        <v>46100.0</v>
      </c>
      <c r="J12" s="164"/>
      <c r="K12" s="164"/>
      <c r="L12" s="164"/>
      <c r="M12" s="164"/>
      <c r="N12" s="164"/>
      <c r="O12" s="165" t="s">
        <v>70</v>
      </c>
      <c r="P12" s="166" t="s">
        <v>70</v>
      </c>
      <c r="Q12" s="166" t="s">
        <v>70</v>
      </c>
      <c r="R12" s="166" t="s">
        <v>70</v>
      </c>
      <c r="S12" s="167" t="s">
        <v>424</v>
      </c>
      <c r="T12" s="166" t="s">
        <v>86</v>
      </c>
      <c r="U12" s="166" t="s">
        <v>86</v>
      </c>
      <c r="V12" s="168" t="s">
        <v>86</v>
      </c>
      <c r="W12" s="164"/>
      <c r="X12" s="164"/>
      <c r="Y12" s="164"/>
      <c r="Z12" s="164"/>
      <c r="AB12" s="164"/>
      <c r="AC12" s="164"/>
      <c r="AD12" s="164"/>
      <c r="AE12" s="164"/>
      <c r="AF12" s="164"/>
      <c r="AG12" s="166" t="s">
        <v>99</v>
      </c>
      <c r="AH12" s="166" t="s">
        <v>99</v>
      </c>
      <c r="AI12" s="166" t="s">
        <v>99</v>
      </c>
      <c r="AJ12" s="166" t="s">
        <v>99</v>
      </c>
      <c r="AK12" s="167" t="s">
        <v>425</v>
      </c>
      <c r="AL12" s="166" t="s">
        <v>108</v>
      </c>
      <c r="AM12" s="168" t="s">
        <v>108</v>
      </c>
      <c r="AN12" s="164"/>
      <c r="AO12" s="164"/>
      <c r="AP12" s="164"/>
      <c r="AQ12" s="164"/>
      <c r="AR12" s="164"/>
      <c r="AS12" s="165" t="s">
        <v>120</v>
      </c>
      <c r="AT12" s="168" t="s">
        <v>120</v>
      </c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G12" s="165" t="s">
        <v>64</v>
      </c>
      <c r="BH12" s="166" t="s">
        <v>64</v>
      </c>
      <c r="BI12" s="168" t="s">
        <v>64</v>
      </c>
      <c r="BJ12" s="164"/>
      <c r="BK12" s="164"/>
      <c r="BL12" s="164"/>
      <c r="BM12" s="165" t="s">
        <v>132</v>
      </c>
      <c r="BN12" s="166" t="s">
        <v>132</v>
      </c>
      <c r="BO12" s="168" t="s">
        <v>132</v>
      </c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5" t="s">
        <v>171</v>
      </c>
      <c r="CA12" s="166" t="s">
        <v>171</v>
      </c>
      <c r="CB12" s="166" t="s">
        <v>171</v>
      </c>
      <c r="CC12" s="166" t="s">
        <v>171</v>
      </c>
      <c r="CD12" s="166" t="s">
        <v>171</v>
      </c>
      <c r="CE12" s="168" t="s">
        <v>171</v>
      </c>
      <c r="CF12" s="169"/>
      <c r="CG12" s="169"/>
      <c r="CH12" s="164"/>
      <c r="CI12" s="164"/>
      <c r="CJ12" s="165" t="s">
        <v>188</v>
      </c>
      <c r="CK12" s="166" t="s">
        <v>188</v>
      </c>
      <c r="CM12" s="168" t="s">
        <v>188</v>
      </c>
      <c r="CN12" s="164"/>
      <c r="CO12" s="164"/>
      <c r="CP12" s="164"/>
      <c r="CQ12" s="165" t="s">
        <v>411</v>
      </c>
      <c r="CR12" s="168" t="s">
        <v>411</v>
      </c>
      <c r="CS12" s="164"/>
      <c r="CT12" s="164"/>
      <c r="CU12" s="164"/>
      <c r="CV12" s="164"/>
      <c r="CW12" s="164"/>
      <c r="CX12" s="164"/>
      <c r="CY12" s="164"/>
      <c r="CZ12" s="164"/>
      <c r="DA12" s="164"/>
      <c r="DB12" s="164"/>
      <c r="DC12" s="164"/>
      <c r="DD12" s="164"/>
      <c r="DE12" s="164"/>
      <c r="DF12" s="164"/>
      <c r="DG12" s="164"/>
      <c r="DH12" s="164"/>
      <c r="DI12" s="164"/>
      <c r="DJ12" s="164"/>
      <c r="DK12" s="164"/>
      <c r="DL12" s="164"/>
      <c r="DM12" s="164"/>
      <c r="DN12" s="164"/>
      <c r="DO12" s="164"/>
      <c r="DP12" s="164"/>
    </row>
    <row r="13" ht="25.5" customHeight="1">
      <c r="B13" s="62" t="s">
        <v>426</v>
      </c>
      <c r="C13" s="75" t="s">
        <v>406</v>
      </c>
      <c r="D13" s="62" t="s">
        <v>419</v>
      </c>
      <c r="E13" s="62" t="str">
        <f t="shared" si="1"/>
        <v>Kasur Busa Royal Grand 120x200</v>
      </c>
      <c r="F13" s="74"/>
      <c r="G13" s="74">
        <v>628725.0</v>
      </c>
      <c r="H13" s="163">
        <v>46100.0</v>
      </c>
      <c r="J13" s="164"/>
      <c r="K13" s="164"/>
      <c r="L13" s="164"/>
      <c r="M13" s="164"/>
      <c r="N13" s="164"/>
      <c r="O13" s="165" t="s">
        <v>70</v>
      </c>
      <c r="P13" s="166" t="s">
        <v>70</v>
      </c>
      <c r="Q13" s="166" t="s">
        <v>70</v>
      </c>
      <c r="R13" s="166" t="s">
        <v>70</v>
      </c>
      <c r="S13" s="167" t="s">
        <v>424</v>
      </c>
      <c r="T13" s="166" t="s">
        <v>86</v>
      </c>
      <c r="U13" s="166" t="s">
        <v>86</v>
      </c>
      <c r="V13" s="168" t="s">
        <v>86</v>
      </c>
      <c r="W13" s="164"/>
      <c r="X13" s="164"/>
      <c r="Y13" s="164"/>
      <c r="Z13" s="164"/>
      <c r="AB13" s="164"/>
      <c r="AC13" s="164"/>
      <c r="AD13" s="165" t="s">
        <v>95</v>
      </c>
      <c r="AE13" s="166" t="s">
        <v>95</v>
      </c>
      <c r="AF13" s="166" t="s">
        <v>95</v>
      </c>
      <c r="AG13" s="168" t="s">
        <v>95</v>
      </c>
      <c r="AH13" s="164"/>
      <c r="AI13" s="164"/>
      <c r="AJ13" s="164"/>
      <c r="AK13" s="167" t="s">
        <v>427</v>
      </c>
      <c r="AL13" s="166" t="s">
        <v>108</v>
      </c>
      <c r="AM13" s="168" t="s">
        <v>108</v>
      </c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  <c r="BD13" s="164"/>
      <c r="BE13" s="164"/>
      <c r="BG13" s="164"/>
      <c r="BH13" s="164"/>
      <c r="BI13" s="164"/>
      <c r="BJ13" s="164"/>
      <c r="BK13" s="164"/>
      <c r="BL13" s="164"/>
      <c r="BM13" s="165" t="s">
        <v>132</v>
      </c>
      <c r="BN13" s="166" t="s">
        <v>132</v>
      </c>
      <c r="BO13" s="168" t="s">
        <v>132</v>
      </c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64"/>
      <c r="CF13" s="164"/>
      <c r="CG13" s="164"/>
      <c r="CH13" s="164"/>
      <c r="CI13" s="164"/>
      <c r="CJ13" s="165" t="s">
        <v>188</v>
      </c>
      <c r="CK13" s="166" t="s">
        <v>188</v>
      </c>
      <c r="CM13" s="168" t="s">
        <v>188</v>
      </c>
      <c r="CN13" s="164"/>
      <c r="CO13" s="164"/>
      <c r="CP13" s="164"/>
      <c r="CQ13" s="165" t="s">
        <v>411</v>
      </c>
      <c r="CR13" s="168" t="s">
        <v>411</v>
      </c>
      <c r="CS13" s="164"/>
      <c r="CT13" s="164"/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64"/>
      <c r="DF13" s="164"/>
      <c r="DG13" s="164"/>
      <c r="DH13" s="164"/>
      <c r="DI13" s="164"/>
      <c r="DJ13" s="164"/>
      <c r="DK13" s="164"/>
      <c r="DL13" s="164"/>
      <c r="DM13" s="164"/>
      <c r="DN13" s="164"/>
      <c r="DO13" s="164"/>
      <c r="DP13" s="164"/>
    </row>
    <row r="14" ht="25.5" customHeight="1">
      <c r="B14" s="62" t="s">
        <v>428</v>
      </c>
      <c r="C14" s="75" t="s">
        <v>406</v>
      </c>
      <c r="D14" s="62" t="s">
        <v>419</v>
      </c>
      <c r="E14" s="62" t="str">
        <f t="shared" si="1"/>
        <v>Kasur Busa Royal Grand 120x200</v>
      </c>
      <c r="F14" s="74"/>
      <c r="G14" s="74">
        <v>628726.0</v>
      </c>
      <c r="H14" s="163">
        <v>46100.0</v>
      </c>
      <c r="J14" s="164"/>
      <c r="K14" s="164"/>
      <c r="L14" s="164"/>
      <c r="M14" s="164"/>
      <c r="N14" s="164"/>
      <c r="O14" s="165" t="s">
        <v>70</v>
      </c>
      <c r="P14" s="166" t="s">
        <v>70</v>
      </c>
      <c r="Q14" s="166" t="s">
        <v>70</v>
      </c>
      <c r="R14" s="166" t="s">
        <v>70</v>
      </c>
      <c r="S14" s="167" t="s">
        <v>424</v>
      </c>
      <c r="T14" s="166" t="s">
        <v>86</v>
      </c>
      <c r="U14" s="166" t="s">
        <v>86</v>
      </c>
      <c r="V14" s="168" t="s">
        <v>86</v>
      </c>
      <c r="W14" s="164"/>
      <c r="X14" s="164"/>
      <c r="Y14" s="164"/>
      <c r="Z14" s="164"/>
      <c r="AB14" s="164"/>
      <c r="AC14" s="164"/>
      <c r="AD14" s="165" t="s">
        <v>95</v>
      </c>
      <c r="AE14" s="166" t="s">
        <v>95</v>
      </c>
      <c r="AF14" s="166" t="s">
        <v>95</v>
      </c>
      <c r="AG14" s="168" t="s">
        <v>95</v>
      </c>
      <c r="AH14" s="164"/>
      <c r="AI14" s="164"/>
      <c r="AJ14" s="164"/>
      <c r="AK14" s="165" t="s">
        <v>105</v>
      </c>
      <c r="AL14" s="168" t="s">
        <v>105</v>
      </c>
      <c r="AM14" s="165" t="s">
        <v>117</v>
      </c>
      <c r="AN14" s="168" t="s">
        <v>117</v>
      </c>
      <c r="AO14" s="164"/>
      <c r="AP14" s="164"/>
      <c r="AQ14" s="164"/>
      <c r="AR14" s="164"/>
      <c r="AS14" s="164"/>
      <c r="AT14" s="164"/>
      <c r="AU14" s="164"/>
      <c r="AV14" s="164"/>
      <c r="AW14" s="164"/>
      <c r="AX14" s="164"/>
      <c r="AY14" s="164"/>
      <c r="AZ14" s="164"/>
      <c r="BA14" s="164"/>
      <c r="BB14" s="164"/>
      <c r="BC14" s="164"/>
      <c r="BD14" s="164"/>
      <c r="BE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9"/>
      <c r="CC14" s="164"/>
      <c r="CD14" s="164"/>
      <c r="CE14" s="164"/>
      <c r="CF14" s="164"/>
      <c r="CG14" s="164"/>
      <c r="CH14" s="164"/>
      <c r="CI14" s="164"/>
      <c r="CJ14" s="165" t="s">
        <v>188</v>
      </c>
      <c r="CK14" s="166" t="s">
        <v>188</v>
      </c>
      <c r="CM14" s="168" t="s">
        <v>188</v>
      </c>
      <c r="CN14" s="164"/>
      <c r="CO14" s="164"/>
      <c r="CP14" s="164"/>
      <c r="CQ14" s="165" t="s">
        <v>411</v>
      </c>
      <c r="CR14" s="168" t="s">
        <v>411</v>
      </c>
      <c r="CS14" s="164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  <c r="DO14" s="164"/>
      <c r="DP14" s="164"/>
    </row>
    <row r="15" ht="25.5" customHeight="1">
      <c r="B15" s="62" t="s">
        <v>429</v>
      </c>
      <c r="C15" s="75" t="s">
        <v>406</v>
      </c>
      <c r="D15" s="62" t="s">
        <v>419</v>
      </c>
      <c r="E15" s="62" t="str">
        <f t="shared" si="1"/>
        <v>Kasur Busa Royal Grand 120x200</v>
      </c>
      <c r="F15" s="74"/>
      <c r="G15" s="74">
        <v>628727.0</v>
      </c>
      <c r="H15" s="163">
        <v>46100.0</v>
      </c>
      <c r="J15" s="164"/>
      <c r="K15" s="164"/>
      <c r="L15" s="164"/>
      <c r="M15" s="164"/>
      <c r="N15" s="164"/>
      <c r="O15" s="165" t="s">
        <v>70</v>
      </c>
      <c r="P15" s="166" t="s">
        <v>70</v>
      </c>
      <c r="Q15" s="166" t="s">
        <v>70</v>
      </c>
      <c r="R15" s="166" t="s">
        <v>70</v>
      </c>
      <c r="S15" s="167" t="s">
        <v>424</v>
      </c>
      <c r="T15" s="166" t="s">
        <v>86</v>
      </c>
      <c r="U15" s="166" t="s">
        <v>86</v>
      </c>
      <c r="V15" s="168" t="s">
        <v>86</v>
      </c>
      <c r="W15" s="164"/>
      <c r="X15" s="164"/>
      <c r="Y15" s="164"/>
      <c r="Z15" s="164"/>
      <c r="AB15" s="164"/>
      <c r="AC15" s="164"/>
      <c r="AD15" s="165" t="s">
        <v>95</v>
      </c>
      <c r="AE15" s="166" t="s">
        <v>95</v>
      </c>
      <c r="AF15" s="166" t="s">
        <v>95</v>
      </c>
      <c r="AG15" s="168" t="s">
        <v>95</v>
      </c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5" t="s">
        <v>176</v>
      </c>
      <c r="CD15" s="166" t="s">
        <v>176</v>
      </c>
      <c r="CE15" s="166" t="s">
        <v>176</v>
      </c>
      <c r="CF15" s="168" t="s">
        <v>176</v>
      </c>
      <c r="CG15" s="169"/>
      <c r="CH15" s="164"/>
      <c r="CI15" s="164"/>
      <c r="CJ15" s="165" t="s">
        <v>191</v>
      </c>
      <c r="CK15" s="166" t="s">
        <v>191</v>
      </c>
      <c r="CM15" s="168" t="s">
        <v>191</v>
      </c>
      <c r="CN15" s="164"/>
      <c r="CO15" s="164"/>
      <c r="CP15" s="164"/>
      <c r="CQ15" s="165" t="s">
        <v>411</v>
      </c>
      <c r="CR15" s="168" t="s">
        <v>411</v>
      </c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164"/>
      <c r="DD15" s="164"/>
      <c r="DE15" s="164"/>
      <c r="DF15" s="164"/>
      <c r="DG15" s="164"/>
      <c r="DH15" s="164"/>
      <c r="DI15" s="164"/>
      <c r="DJ15" s="164"/>
      <c r="DK15" s="164"/>
      <c r="DL15" s="164"/>
      <c r="DM15" s="164"/>
      <c r="DN15" s="164"/>
      <c r="DO15" s="164"/>
      <c r="DP15" s="164"/>
    </row>
    <row r="16" ht="25.5" customHeight="1">
      <c r="B16" s="62" t="s">
        <v>430</v>
      </c>
      <c r="C16" s="75" t="s">
        <v>406</v>
      </c>
      <c r="D16" s="62" t="s">
        <v>431</v>
      </c>
      <c r="E16" s="62" t="str">
        <f t="shared" si="1"/>
        <v>Kasur Busa Royal Grand 160x200</v>
      </c>
      <c r="F16" s="74" t="s">
        <v>432</v>
      </c>
      <c r="G16" s="74">
        <v>790379.0</v>
      </c>
      <c r="H16" s="163">
        <v>46066.0</v>
      </c>
      <c r="J16" s="165" t="s">
        <v>422</v>
      </c>
      <c r="K16" s="166" t="s">
        <v>422</v>
      </c>
      <c r="L16" s="168" t="s">
        <v>422</v>
      </c>
      <c r="M16" s="164"/>
      <c r="N16" s="165" t="s">
        <v>422</v>
      </c>
      <c r="O16" s="166" t="s">
        <v>422</v>
      </c>
      <c r="P16" s="166" t="s">
        <v>422</v>
      </c>
      <c r="Q16" s="168" t="s">
        <v>422</v>
      </c>
      <c r="R16" s="165" t="s">
        <v>73</v>
      </c>
      <c r="S16" s="166" t="s">
        <v>73</v>
      </c>
      <c r="T16" s="166" t="s">
        <v>73</v>
      </c>
      <c r="U16" s="166" t="s">
        <v>73</v>
      </c>
      <c r="V16" s="168" t="s">
        <v>73</v>
      </c>
      <c r="W16" s="165" t="s">
        <v>433</v>
      </c>
      <c r="X16" s="166" t="s">
        <v>433</v>
      </c>
      <c r="Y16" s="166" t="s">
        <v>433</v>
      </c>
      <c r="Z16" s="168" t="s">
        <v>433</v>
      </c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5" t="s">
        <v>111</v>
      </c>
      <c r="AM16" s="166" t="s">
        <v>111</v>
      </c>
      <c r="AN16" s="168" t="s">
        <v>111</v>
      </c>
      <c r="AO16" s="164"/>
      <c r="AP16" s="164"/>
      <c r="AQ16" s="164"/>
      <c r="AR16" s="164"/>
      <c r="AS16" s="165" t="s">
        <v>123</v>
      </c>
      <c r="AT16" s="168" t="s">
        <v>123</v>
      </c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G16" s="164"/>
      <c r="BH16" s="164"/>
      <c r="BI16" s="164"/>
      <c r="BJ16" s="164"/>
      <c r="BK16" s="164"/>
      <c r="BL16" s="164"/>
      <c r="BM16" s="165" t="s">
        <v>132</v>
      </c>
      <c r="BN16" s="166" t="s">
        <v>132</v>
      </c>
      <c r="BO16" s="168" t="s">
        <v>132</v>
      </c>
      <c r="BP16" s="164"/>
      <c r="BQ16" s="164"/>
      <c r="BR16" s="164"/>
      <c r="BS16" s="164"/>
      <c r="BT16" s="165" t="s">
        <v>434</v>
      </c>
      <c r="BU16" s="166" t="s">
        <v>434</v>
      </c>
      <c r="BV16" s="166" t="s">
        <v>434</v>
      </c>
      <c r="BW16" s="168" t="s">
        <v>434</v>
      </c>
      <c r="BX16" s="164"/>
      <c r="BY16" s="164"/>
      <c r="BZ16" s="164"/>
      <c r="CA16" s="165" t="s">
        <v>435</v>
      </c>
      <c r="CB16" s="166" t="s">
        <v>435</v>
      </c>
      <c r="CC16" s="166" t="s">
        <v>176</v>
      </c>
      <c r="CD16" s="166" t="s">
        <v>176</v>
      </c>
      <c r="CE16" s="166" t="s">
        <v>176</v>
      </c>
      <c r="CF16" s="168" t="s">
        <v>176</v>
      </c>
      <c r="CG16" s="169"/>
      <c r="CH16" s="164"/>
      <c r="CI16" s="164"/>
      <c r="CJ16" s="165" t="s">
        <v>188</v>
      </c>
      <c r="CK16" s="166" t="s">
        <v>188</v>
      </c>
      <c r="CM16" s="168" t="s">
        <v>188</v>
      </c>
      <c r="CN16" s="164"/>
      <c r="CO16" s="164"/>
      <c r="CP16" s="164"/>
      <c r="CQ16" s="165" t="s">
        <v>411</v>
      </c>
      <c r="CR16" s="168" t="s">
        <v>411</v>
      </c>
      <c r="CS16" s="164"/>
      <c r="CT16" s="164"/>
      <c r="CU16" s="164"/>
      <c r="CV16" s="164"/>
      <c r="CW16" s="164"/>
      <c r="CX16" s="164"/>
      <c r="CY16" s="164"/>
      <c r="CZ16" s="164"/>
      <c r="DA16" s="164"/>
      <c r="DB16" s="164"/>
      <c r="DC16" s="164"/>
      <c r="DD16" s="164"/>
      <c r="DE16" s="164"/>
      <c r="DF16" s="164"/>
      <c r="DG16" s="164"/>
      <c r="DH16" s="164"/>
      <c r="DI16" s="164"/>
      <c r="DJ16" s="164"/>
      <c r="DK16" s="164"/>
      <c r="DL16" s="164"/>
      <c r="DM16" s="164"/>
      <c r="DN16" s="164"/>
      <c r="DO16" s="164"/>
      <c r="DP16" s="164"/>
    </row>
    <row r="17" ht="25.5" customHeight="1">
      <c r="B17" s="62" t="s">
        <v>436</v>
      </c>
      <c r="C17" s="75" t="s">
        <v>406</v>
      </c>
      <c r="D17" s="62" t="s">
        <v>431</v>
      </c>
      <c r="E17" s="62" t="str">
        <f t="shared" si="1"/>
        <v>Kasur Busa Royal Grand 160x200</v>
      </c>
      <c r="F17" s="74"/>
      <c r="G17" s="74">
        <v>790379.0</v>
      </c>
      <c r="H17" s="163">
        <v>46066.0</v>
      </c>
      <c r="J17" s="164"/>
      <c r="K17" s="164"/>
      <c r="L17" s="165" t="s">
        <v>54</v>
      </c>
      <c r="M17" s="166" t="s">
        <v>54</v>
      </c>
      <c r="N17" s="166" t="s">
        <v>54</v>
      </c>
      <c r="O17" s="166" t="s">
        <v>54</v>
      </c>
      <c r="P17" s="166" t="s">
        <v>54</v>
      </c>
      <c r="Q17" s="166" t="s">
        <v>54</v>
      </c>
      <c r="R17" s="167" t="s">
        <v>408</v>
      </c>
      <c r="S17" s="166" t="s">
        <v>73</v>
      </c>
      <c r="T17" s="166" t="s">
        <v>73</v>
      </c>
      <c r="U17" s="167" t="s">
        <v>437</v>
      </c>
      <c r="V17" s="166" t="s">
        <v>80</v>
      </c>
      <c r="W17" s="166" t="s">
        <v>80</v>
      </c>
      <c r="X17" s="168" t="s">
        <v>80</v>
      </c>
      <c r="Y17" s="164"/>
      <c r="Z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5" t="s">
        <v>111</v>
      </c>
      <c r="AM17" s="166" t="s">
        <v>111</v>
      </c>
      <c r="AN17" s="168" t="s">
        <v>111</v>
      </c>
      <c r="AO17" s="164"/>
      <c r="AP17" s="164"/>
      <c r="AQ17" s="172"/>
      <c r="AR17" s="164"/>
      <c r="AS17" s="165" t="s">
        <v>123</v>
      </c>
      <c r="AT17" s="168" t="s">
        <v>123</v>
      </c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G17" s="164"/>
      <c r="BH17" s="164"/>
      <c r="BI17" s="164"/>
      <c r="BJ17" s="164"/>
      <c r="BK17" s="164"/>
      <c r="BL17" s="164"/>
      <c r="BM17" s="165" t="s">
        <v>132</v>
      </c>
      <c r="BN17" s="166" t="s">
        <v>132</v>
      </c>
      <c r="BO17" s="168" t="s">
        <v>132</v>
      </c>
      <c r="BP17" s="164"/>
      <c r="BQ17" s="164"/>
      <c r="BR17" s="164"/>
      <c r="BS17" s="164"/>
      <c r="BT17" s="165" t="s">
        <v>434</v>
      </c>
      <c r="BU17" s="166" t="s">
        <v>434</v>
      </c>
      <c r="BV17" s="166" t="s">
        <v>434</v>
      </c>
      <c r="BW17" s="168" t="s">
        <v>434</v>
      </c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5" t="s">
        <v>188</v>
      </c>
      <c r="CK17" s="166" t="s">
        <v>188</v>
      </c>
      <c r="CM17" s="168" t="s">
        <v>188</v>
      </c>
      <c r="CN17" s="164"/>
      <c r="CO17" s="164"/>
      <c r="CP17" s="164"/>
      <c r="CQ17" s="165" t="s">
        <v>411</v>
      </c>
      <c r="CR17" s="168" t="s">
        <v>411</v>
      </c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</row>
    <row r="18" ht="25.5" customHeight="1">
      <c r="B18" s="62" t="s">
        <v>438</v>
      </c>
      <c r="C18" s="75" t="s">
        <v>406</v>
      </c>
      <c r="D18" s="62" t="s">
        <v>431</v>
      </c>
      <c r="E18" s="62" t="str">
        <f t="shared" si="1"/>
        <v>Kasur Busa Royal Grand 160x200</v>
      </c>
      <c r="F18" s="74"/>
      <c r="G18" s="74">
        <v>790379.0</v>
      </c>
      <c r="H18" s="163">
        <v>46067.0</v>
      </c>
      <c r="J18" s="164"/>
      <c r="K18" s="164"/>
      <c r="L18" s="164"/>
      <c r="M18" s="164"/>
      <c r="N18" s="165" t="s">
        <v>42</v>
      </c>
      <c r="O18" s="166" t="s">
        <v>42</v>
      </c>
      <c r="P18" s="166" t="s">
        <v>42</v>
      </c>
      <c r="Q18" s="166" t="s">
        <v>42</v>
      </c>
      <c r="R18" s="167" t="s">
        <v>439</v>
      </c>
      <c r="S18" s="166" t="s">
        <v>73</v>
      </c>
      <c r="T18" s="168" t="s">
        <v>73</v>
      </c>
      <c r="U18" s="165" t="s">
        <v>80</v>
      </c>
      <c r="V18" s="166" t="s">
        <v>80</v>
      </c>
      <c r="W18" s="166" t="s">
        <v>80</v>
      </c>
      <c r="X18" s="168" t="s">
        <v>80</v>
      </c>
      <c r="Y18" s="164"/>
      <c r="Z18" s="164"/>
      <c r="AB18" s="164"/>
      <c r="AC18" s="164"/>
      <c r="AD18" s="164"/>
      <c r="AE18" s="164"/>
      <c r="AF18" s="164"/>
      <c r="AG18" s="164"/>
      <c r="AH18" s="164"/>
      <c r="AI18" s="164"/>
      <c r="AJ18" s="165" t="s">
        <v>102</v>
      </c>
      <c r="AK18" s="166" t="s">
        <v>102</v>
      </c>
      <c r="AL18" s="166" t="s">
        <v>102</v>
      </c>
      <c r="AM18" s="166" t="s">
        <v>102</v>
      </c>
      <c r="AN18" s="166" t="s">
        <v>102</v>
      </c>
      <c r="AO18" s="166" t="s">
        <v>102</v>
      </c>
      <c r="AP18" s="168" t="s">
        <v>102</v>
      </c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G18" s="164"/>
      <c r="BH18" s="164"/>
      <c r="BI18" s="164"/>
      <c r="BJ18" s="164"/>
      <c r="BK18" s="164"/>
      <c r="BL18" s="164"/>
      <c r="BM18" s="165" t="s">
        <v>132</v>
      </c>
      <c r="BN18" s="166" t="s">
        <v>132</v>
      </c>
      <c r="BO18" s="168" t="s">
        <v>132</v>
      </c>
      <c r="BP18" s="164"/>
      <c r="BQ18" s="164"/>
      <c r="BR18" s="164"/>
      <c r="BS18" s="165" t="s">
        <v>144</v>
      </c>
      <c r="BT18" s="166" t="s">
        <v>144</v>
      </c>
      <c r="BU18" s="168" t="s">
        <v>144</v>
      </c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M18" s="164"/>
      <c r="CN18" s="164"/>
      <c r="CO18" s="164"/>
      <c r="CP18" s="164"/>
      <c r="CQ18" s="165" t="s">
        <v>411</v>
      </c>
      <c r="CR18" s="168" t="s">
        <v>411</v>
      </c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</row>
    <row r="19" ht="25.5" customHeight="1">
      <c r="B19" s="62" t="s">
        <v>440</v>
      </c>
      <c r="C19" s="75" t="s">
        <v>406</v>
      </c>
      <c r="D19" s="62" t="s">
        <v>431</v>
      </c>
      <c r="E19" s="62" t="str">
        <f t="shared" si="1"/>
        <v>Kasur Busa Royal Grand 160x200</v>
      </c>
      <c r="F19" s="74"/>
      <c r="G19" s="74">
        <v>790379.0</v>
      </c>
      <c r="H19" s="163">
        <v>46067.0</v>
      </c>
      <c r="J19" s="164"/>
      <c r="K19" s="164"/>
      <c r="L19" s="164"/>
      <c r="M19" s="164"/>
      <c r="N19" s="165" t="s">
        <v>42</v>
      </c>
      <c r="O19" s="166" t="s">
        <v>42</v>
      </c>
      <c r="P19" s="166" t="s">
        <v>42</v>
      </c>
      <c r="Q19" s="166" t="s">
        <v>42</v>
      </c>
      <c r="R19" s="167" t="s">
        <v>441</v>
      </c>
      <c r="S19" s="166" t="s">
        <v>77</v>
      </c>
      <c r="T19" s="166" t="s">
        <v>77</v>
      </c>
      <c r="U19" s="166" t="s">
        <v>77</v>
      </c>
      <c r="V19" s="168" t="s">
        <v>77</v>
      </c>
      <c r="W19" s="164"/>
      <c r="X19" s="164"/>
      <c r="Y19" s="164"/>
      <c r="Z19" s="164"/>
      <c r="AB19" s="164"/>
      <c r="AC19" s="164"/>
      <c r="AD19" s="164"/>
      <c r="AE19" s="164"/>
      <c r="AF19" s="164"/>
      <c r="AG19" s="164"/>
      <c r="AH19" s="164"/>
      <c r="AI19" s="164"/>
      <c r="AJ19" s="165" t="s">
        <v>102</v>
      </c>
      <c r="AK19" s="166" t="s">
        <v>102</v>
      </c>
      <c r="AL19" s="166" t="s">
        <v>102</v>
      </c>
      <c r="AM19" s="166" t="s">
        <v>102</v>
      </c>
      <c r="AN19" s="166" t="s">
        <v>102</v>
      </c>
      <c r="AO19" s="166" t="s">
        <v>102</v>
      </c>
      <c r="AP19" s="168" t="s">
        <v>102</v>
      </c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G19" s="164"/>
      <c r="BH19" s="164"/>
      <c r="BI19" s="164"/>
      <c r="BJ19" s="164"/>
      <c r="BK19" s="164"/>
      <c r="BL19" s="164"/>
      <c r="BM19" s="165" t="s">
        <v>132</v>
      </c>
      <c r="BN19" s="166" t="s">
        <v>132</v>
      </c>
      <c r="BO19" s="168" t="s">
        <v>132</v>
      </c>
      <c r="BP19" s="164"/>
      <c r="BQ19" s="164"/>
      <c r="BR19" s="164"/>
      <c r="BS19" s="164"/>
      <c r="BT19" s="165" t="s">
        <v>153</v>
      </c>
      <c r="BU19" s="166" t="s">
        <v>153</v>
      </c>
      <c r="BV19" s="166" t="s">
        <v>153</v>
      </c>
      <c r="BW19" s="168" t="s">
        <v>153</v>
      </c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M19" s="164"/>
      <c r="CN19" s="164"/>
      <c r="CO19" s="164"/>
      <c r="CP19" s="164"/>
      <c r="CQ19" s="165" t="s">
        <v>411</v>
      </c>
      <c r="CR19" s="168" t="s">
        <v>411</v>
      </c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</row>
    <row r="20" ht="25.5" customHeight="1">
      <c r="B20" s="62" t="s">
        <v>442</v>
      </c>
      <c r="C20" s="75" t="s">
        <v>406</v>
      </c>
      <c r="D20" s="62" t="s">
        <v>431</v>
      </c>
      <c r="E20" s="62" t="str">
        <f t="shared" si="1"/>
        <v>Kasur Busa Royal Grand 160x200</v>
      </c>
      <c r="F20" s="74"/>
      <c r="G20" s="74">
        <v>790379.0</v>
      </c>
      <c r="H20" s="163">
        <v>46067.0</v>
      </c>
      <c r="J20" s="164"/>
      <c r="K20" s="164"/>
      <c r="L20" s="164"/>
      <c r="M20" s="165" t="s">
        <v>244</v>
      </c>
      <c r="N20" s="166" t="s">
        <v>244</v>
      </c>
      <c r="O20" s="166" t="s">
        <v>244</v>
      </c>
      <c r="P20" s="166" t="s">
        <v>244</v>
      </c>
      <c r="Q20" s="166" t="s">
        <v>244</v>
      </c>
      <c r="R20" s="166" t="s">
        <v>244</v>
      </c>
      <c r="S20" s="166" t="s">
        <v>244</v>
      </c>
      <c r="T20" s="168" t="s">
        <v>244</v>
      </c>
      <c r="U20" s="165" t="s">
        <v>80</v>
      </c>
      <c r="V20" s="166" t="s">
        <v>80</v>
      </c>
      <c r="W20" s="166" t="s">
        <v>80</v>
      </c>
      <c r="X20" s="168" t="s">
        <v>80</v>
      </c>
      <c r="Y20" s="164"/>
      <c r="Z20" s="164"/>
      <c r="AB20" s="164"/>
      <c r="AC20" s="164"/>
      <c r="AD20" s="164"/>
      <c r="AE20" s="164"/>
      <c r="AF20" s="164"/>
      <c r="AG20" s="164"/>
      <c r="AH20" s="164"/>
      <c r="AI20" s="164"/>
      <c r="AJ20" s="165" t="s">
        <v>102</v>
      </c>
      <c r="AK20" s="166" t="s">
        <v>102</v>
      </c>
      <c r="AL20" s="166" t="s">
        <v>102</v>
      </c>
      <c r="AM20" s="166" t="s">
        <v>102</v>
      </c>
      <c r="AN20" s="166" t="s">
        <v>102</v>
      </c>
      <c r="AO20" s="166" t="s">
        <v>102</v>
      </c>
      <c r="AP20" s="168" t="s">
        <v>102</v>
      </c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G20" s="164"/>
      <c r="BH20" s="164"/>
      <c r="BI20" s="164"/>
      <c r="BJ20" s="164"/>
      <c r="BK20" s="164"/>
      <c r="BL20" s="164"/>
      <c r="BM20" s="165" t="s">
        <v>132</v>
      </c>
      <c r="BN20" s="166" t="s">
        <v>132</v>
      </c>
      <c r="BO20" s="168" t="s">
        <v>132</v>
      </c>
      <c r="BP20" s="164"/>
      <c r="BQ20" s="164"/>
      <c r="BR20" s="164"/>
      <c r="BS20" s="164"/>
      <c r="BT20" s="165" t="s">
        <v>147</v>
      </c>
      <c r="BU20" s="166" t="s">
        <v>147</v>
      </c>
      <c r="BV20" s="166" t="s">
        <v>147</v>
      </c>
      <c r="BW20" s="168" t="s">
        <v>147</v>
      </c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M20" s="164"/>
      <c r="CN20" s="164"/>
      <c r="CO20" s="164"/>
      <c r="CP20" s="164"/>
      <c r="CQ20" s="165"/>
      <c r="CR20" s="168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</row>
    <row r="21" ht="25.5" customHeight="1">
      <c r="B21" s="62" t="s">
        <v>443</v>
      </c>
      <c r="C21" s="75" t="s">
        <v>406</v>
      </c>
      <c r="D21" s="62" t="s">
        <v>431</v>
      </c>
      <c r="E21" s="62" t="str">
        <f t="shared" si="1"/>
        <v>Kasur Busa Royal Grand 160x200</v>
      </c>
      <c r="F21" s="74"/>
      <c r="G21" s="74">
        <v>790379.0</v>
      </c>
      <c r="H21" s="163">
        <v>46067.0</v>
      </c>
      <c r="J21" s="164"/>
      <c r="K21" s="164"/>
      <c r="L21" s="164"/>
      <c r="M21" s="165" t="s">
        <v>244</v>
      </c>
      <c r="N21" s="166" t="s">
        <v>244</v>
      </c>
      <c r="O21" s="166" t="s">
        <v>244</v>
      </c>
      <c r="P21" s="166" t="s">
        <v>244</v>
      </c>
      <c r="Q21" s="166" t="s">
        <v>244</v>
      </c>
      <c r="R21" s="166" t="s">
        <v>244</v>
      </c>
      <c r="S21" s="167" t="s">
        <v>444</v>
      </c>
      <c r="T21" s="166" t="s">
        <v>83</v>
      </c>
      <c r="U21" s="166" t="s">
        <v>83</v>
      </c>
      <c r="V21" s="166" t="s">
        <v>83</v>
      </c>
      <c r="W21" s="166" t="s">
        <v>83</v>
      </c>
      <c r="X21" s="168" t="s">
        <v>83</v>
      </c>
      <c r="Y21" s="164"/>
      <c r="Z21" s="164"/>
      <c r="AB21" s="164"/>
      <c r="AC21" s="164"/>
      <c r="AD21" s="164"/>
      <c r="AE21" s="164"/>
      <c r="AF21" s="164"/>
      <c r="AG21" s="164"/>
      <c r="AH21" s="164"/>
      <c r="AI21" s="164"/>
      <c r="AJ21" s="165" t="s">
        <v>102</v>
      </c>
      <c r="AK21" s="166" t="s">
        <v>102</v>
      </c>
      <c r="AL21" s="166" t="s">
        <v>102</v>
      </c>
      <c r="AM21" s="166" t="s">
        <v>102</v>
      </c>
      <c r="AN21" s="166" t="s">
        <v>102</v>
      </c>
      <c r="AO21" s="166" t="s">
        <v>102</v>
      </c>
      <c r="AP21" s="168" t="s">
        <v>102</v>
      </c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G21" s="164"/>
      <c r="BH21" s="164"/>
      <c r="BI21" s="164"/>
      <c r="BJ21" s="164"/>
      <c r="BK21" s="164"/>
      <c r="BL21" s="164"/>
      <c r="BM21" s="165" t="s">
        <v>132</v>
      </c>
      <c r="BN21" s="166" t="s">
        <v>132</v>
      </c>
      <c r="BO21" s="168" t="s">
        <v>132</v>
      </c>
      <c r="BP21" s="164"/>
      <c r="BQ21" s="164"/>
      <c r="BR21" s="164"/>
      <c r="BS21" s="164"/>
      <c r="BT21" s="165" t="s">
        <v>147</v>
      </c>
      <c r="BU21" s="166" t="s">
        <v>147</v>
      </c>
      <c r="BV21" s="166" t="s">
        <v>147</v>
      </c>
      <c r="BW21" s="168" t="s">
        <v>147</v>
      </c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M21" s="164"/>
      <c r="CN21" s="164"/>
      <c r="CO21" s="164"/>
      <c r="CP21" s="164"/>
      <c r="CQ21" s="165" t="s">
        <v>411</v>
      </c>
      <c r="CR21" s="168" t="s">
        <v>411</v>
      </c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</row>
    <row r="22" ht="25.5" customHeight="1">
      <c r="B22" s="62" t="s">
        <v>445</v>
      </c>
      <c r="C22" s="75" t="s">
        <v>406</v>
      </c>
      <c r="D22" s="62" t="s">
        <v>446</v>
      </c>
      <c r="E22" s="62" t="str">
        <f t="shared" si="1"/>
        <v>Kasur Busa Royal Grand 90x200</v>
      </c>
      <c r="F22" s="74" t="s">
        <v>432</v>
      </c>
      <c r="G22" s="74">
        <v>469409.0</v>
      </c>
      <c r="H22" s="163">
        <v>46051.0</v>
      </c>
      <c r="I22" s="6" t="s">
        <v>447</v>
      </c>
      <c r="J22" s="164"/>
      <c r="K22" s="164"/>
      <c r="L22" s="165" t="s">
        <v>357</v>
      </c>
      <c r="M22" s="167" t="s">
        <v>448</v>
      </c>
      <c r="N22" s="166" t="s">
        <v>244</v>
      </c>
      <c r="O22" s="166" t="s">
        <v>244</v>
      </c>
      <c r="P22" s="166" t="s">
        <v>244</v>
      </c>
      <c r="Q22" s="166" t="s">
        <v>244</v>
      </c>
      <c r="R22" s="166" t="s">
        <v>244</v>
      </c>
      <c r="S22" s="168" t="s">
        <v>244</v>
      </c>
      <c r="T22" s="164"/>
      <c r="U22" s="164"/>
      <c r="V22" s="164"/>
      <c r="W22" s="164"/>
      <c r="X22" s="164"/>
      <c r="Y22" s="164"/>
      <c r="Z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5" t="s">
        <v>114</v>
      </c>
      <c r="AM22" s="168" t="s">
        <v>114</v>
      </c>
      <c r="AN22" s="164"/>
      <c r="AO22" s="164"/>
      <c r="AP22" s="164"/>
      <c r="AQ22" s="164"/>
      <c r="AR22" s="164"/>
      <c r="AS22" s="165" t="s">
        <v>120</v>
      </c>
      <c r="AT22" s="168" t="s">
        <v>120</v>
      </c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G22" s="165" t="s">
        <v>409</v>
      </c>
      <c r="BH22" s="166" t="s">
        <v>409</v>
      </c>
      <c r="BI22" s="168" t="s">
        <v>409</v>
      </c>
      <c r="BJ22" s="164"/>
      <c r="BK22" s="164"/>
      <c r="BL22" s="164"/>
      <c r="BM22" s="164"/>
      <c r="BN22" s="164"/>
      <c r="BO22" s="165" t="s">
        <v>135</v>
      </c>
      <c r="BP22" s="168" t="s">
        <v>135</v>
      </c>
      <c r="BQ22" s="164"/>
      <c r="BR22" s="164"/>
      <c r="BS22" s="164"/>
      <c r="BT22" s="164"/>
      <c r="BU22" s="164"/>
      <c r="BV22" s="165" t="s">
        <v>162</v>
      </c>
      <c r="BW22" s="168" t="s">
        <v>162</v>
      </c>
      <c r="BX22" s="164"/>
      <c r="BY22" s="164"/>
      <c r="BZ22" s="164"/>
      <c r="CA22" s="164"/>
      <c r="CB22" s="164"/>
      <c r="CC22" s="164"/>
      <c r="CD22" s="164"/>
      <c r="CE22" s="164"/>
      <c r="CF22" s="165" t="s">
        <v>180</v>
      </c>
      <c r="CG22" s="166" t="s">
        <v>180</v>
      </c>
      <c r="CH22" s="166" t="s">
        <v>180</v>
      </c>
      <c r="CI22" s="166" t="s">
        <v>180</v>
      </c>
      <c r="CJ22" s="167" t="s">
        <v>449</v>
      </c>
      <c r="CK22" s="166" t="s">
        <v>191</v>
      </c>
      <c r="CM22" s="168" t="s">
        <v>191</v>
      </c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</row>
    <row r="23" ht="25.5" customHeight="1">
      <c r="B23" s="62" t="s">
        <v>450</v>
      </c>
      <c r="C23" s="75" t="s">
        <v>406</v>
      </c>
      <c r="D23" s="62" t="s">
        <v>446</v>
      </c>
      <c r="E23" s="62" t="str">
        <f t="shared" si="1"/>
        <v>Kasur Busa Royal Grand 90x200</v>
      </c>
      <c r="F23" s="74"/>
      <c r="G23" s="74"/>
      <c r="H23" s="163"/>
      <c r="I23" s="62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5" t="s">
        <v>114</v>
      </c>
      <c r="AM23" s="168" t="s">
        <v>114</v>
      </c>
      <c r="AN23" s="164"/>
      <c r="AO23" s="164"/>
      <c r="AP23" s="164"/>
      <c r="AQ23" s="164"/>
      <c r="AR23" s="164"/>
      <c r="AS23" s="165" t="s">
        <v>120</v>
      </c>
      <c r="AT23" s="168" t="s">
        <v>120</v>
      </c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G23" s="165" t="s">
        <v>409</v>
      </c>
      <c r="BH23" s="166" t="s">
        <v>409</v>
      </c>
      <c r="BI23" s="168" t="s">
        <v>409</v>
      </c>
      <c r="BJ23" s="164"/>
      <c r="BK23" s="164"/>
      <c r="BL23" s="164"/>
      <c r="BM23" s="164"/>
      <c r="BN23" s="164"/>
      <c r="BO23" s="165" t="s">
        <v>135</v>
      </c>
      <c r="BP23" s="168" t="s">
        <v>135</v>
      </c>
      <c r="BQ23" s="164"/>
      <c r="BR23" s="164"/>
      <c r="BS23" s="164"/>
      <c r="BT23" s="164"/>
      <c r="BU23" s="164"/>
      <c r="BV23" s="164"/>
      <c r="BW23" s="166" t="s">
        <v>165</v>
      </c>
      <c r="BX23" s="166" t="s">
        <v>165</v>
      </c>
      <c r="BY23" s="164"/>
      <c r="BZ23" s="164"/>
      <c r="CA23" s="164"/>
      <c r="CB23" s="164"/>
      <c r="CC23" s="164"/>
      <c r="CD23" s="164"/>
      <c r="CE23" s="164"/>
      <c r="CF23" s="165" t="s">
        <v>180</v>
      </c>
      <c r="CG23" s="166" t="s">
        <v>180</v>
      </c>
      <c r="CH23" s="166" t="s">
        <v>180</v>
      </c>
      <c r="CI23" s="166" t="s">
        <v>180</v>
      </c>
      <c r="CJ23" s="167" t="s">
        <v>449</v>
      </c>
      <c r="CK23" s="166" t="s">
        <v>191</v>
      </c>
      <c r="CM23" s="168" t="s">
        <v>191</v>
      </c>
      <c r="CN23" s="164"/>
      <c r="CO23" s="164"/>
      <c r="CP23" s="164"/>
      <c r="CQ23" s="165" t="s">
        <v>411</v>
      </c>
      <c r="CR23" s="168" t="s">
        <v>411</v>
      </c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</row>
    <row r="24" ht="25.5" customHeight="1">
      <c r="B24" s="62" t="s">
        <v>451</v>
      </c>
      <c r="C24" s="75" t="s">
        <v>406</v>
      </c>
      <c r="D24" s="62" t="s">
        <v>446</v>
      </c>
      <c r="E24" s="62" t="str">
        <f t="shared" si="1"/>
        <v>Kasur Busa Royal Grand 90x200</v>
      </c>
      <c r="F24" s="74"/>
      <c r="G24" s="74"/>
      <c r="H24" s="163"/>
      <c r="I24" s="62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B24" s="169"/>
      <c r="AC24" s="164"/>
      <c r="AD24" s="165" t="s">
        <v>95</v>
      </c>
      <c r="AE24" s="166" t="s">
        <v>95</v>
      </c>
      <c r="AF24" s="166" t="s">
        <v>95</v>
      </c>
      <c r="AG24" s="168" t="s">
        <v>95</v>
      </c>
      <c r="AH24" s="164"/>
      <c r="AI24" s="164"/>
      <c r="AJ24" s="164"/>
      <c r="AK24" s="164"/>
      <c r="AL24" s="165" t="s">
        <v>114</v>
      </c>
      <c r="AM24" s="168" t="s">
        <v>114</v>
      </c>
      <c r="AN24" s="164"/>
      <c r="AO24" s="164"/>
      <c r="AP24" s="164"/>
      <c r="AQ24" s="164"/>
      <c r="AR24" s="164"/>
      <c r="AS24" s="165" t="s">
        <v>120</v>
      </c>
      <c r="AT24" s="168" t="s">
        <v>120</v>
      </c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G24" s="165" t="s">
        <v>409</v>
      </c>
      <c r="BH24" s="166" t="s">
        <v>409</v>
      </c>
      <c r="BI24" s="168" t="s">
        <v>409</v>
      </c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6" t="s">
        <v>165</v>
      </c>
      <c r="BX24" s="166" t="s">
        <v>165</v>
      </c>
      <c r="BY24" s="164"/>
      <c r="BZ24" s="164"/>
      <c r="CA24" s="164"/>
      <c r="CB24" s="164"/>
      <c r="CC24" s="164"/>
      <c r="CD24" s="164"/>
      <c r="CE24" s="164"/>
      <c r="CF24" s="165" t="s">
        <v>180</v>
      </c>
      <c r="CG24" s="166" t="s">
        <v>180</v>
      </c>
      <c r="CH24" s="166" t="s">
        <v>180</v>
      </c>
      <c r="CI24" s="166" t="s">
        <v>180</v>
      </c>
      <c r="CJ24" s="167" t="s">
        <v>449</v>
      </c>
      <c r="CK24" s="166" t="s">
        <v>191</v>
      </c>
      <c r="CM24" s="168" t="s">
        <v>191</v>
      </c>
      <c r="CN24" s="164"/>
      <c r="CO24" s="164"/>
      <c r="CP24" s="164"/>
      <c r="CQ24" s="165" t="s">
        <v>411</v>
      </c>
      <c r="CR24" s="168" t="s">
        <v>411</v>
      </c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</row>
    <row r="25" ht="25.5" customHeight="1">
      <c r="B25" s="62" t="s">
        <v>452</v>
      </c>
      <c r="C25" s="75" t="s">
        <v>406</v>
      </c>
      <c r="D25" s="62" t="s">
        <v>446</v>
      </c>
      <c r="E25" s="62" t="str">
        <f t="shared" si="1"/>
        <v>Kasur Busa Royal Grand 90x200</v>
      </c>
      <c r="F25" s="74"/>
      <c r="G25" s="74"/>
      <c r="H25" s="163"/>
      <c r="I25" s="62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4"/>
      <c r="AX25" s="164"/>
      <c r="AY25" s="164"/>
      <c r="AZ25" s="164"/>
      <c r="BA25" s="164"/>
      <c r="BB25" s="164"/>
      <c r="BC25" s="164"/>
      <c r="BD25" s="164"/>
      <c r="BE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6" t="s">
        <v>165</v>
      </c>
      <c r="BX25" s="166" t="s">
        <v>165</v>
      </c>
      <c r="BY25" s="164"/>
      <c r="BZ25" s="164"/>
      <c r="CA25" s="164"/>
      <c r="CB25" s="164"/>
      <c r="CC25" s="164"/>
      <c r="CD25" s="164"/>
      <c r="CE25" s="164"/>
      <c r="CF25" s="165" t="s">
        <v>180</v>
      </c>
      <c r="CG25" s="166" t="s">
        <v>180</v>
      </c>
      <c r="CH25" s="166" t="s">
        <v>180</v>
      </c>
      <c r="CI25" s="166" t="s">
        <v>180</v>
      </c>
      <c r="CJ25" s="167" t="s">
        <v>449</v>
      </c>
      <c r="CK25" s="166" t="s">
        <v>191</v>
      </c>
      <c r="CM25" s="168" t="s">
        <v>191</v>
      </c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</row>
    <row r="26" ht="22.5" customHeight="1">
      <c r="B26" s="173"/>
      <c r="C26" s="174"/>
      <c r="D26" s="175"/>
      <c r="E26" s="175" t="s">
        <v>453</v>
      </c>
      <c r="F26" s="78"/>
      <c r="G26" s="78"/>
      <c r="H26" s="176"/>
      <c r="I26" s="173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G26" s="165" t="s">
        <v>409</v>
      </c>
      <c r="BH26" s="166" t="s">
        <v>409</v>
      </c>
      <c r="BI26" s="168" t="s">
        <v>409</v>
      </c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65" t="s">
        <v>159</v>
      </c>
      <c r="BV26" s="168" t="s">
        <v>159</v>
      </c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8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</row>
    <row r="27" ht="22.5" customHeight="1">
      <c r="B27" s="173"/>
      <c r="C27" s="174"/>
      <c r="D27" s="175"/>
      <c r="E27" s="175" t="s">
        <v>453</v>
      </c>
      <c r="F27" s="78"/>
      <c r="G27" s="78"/>
      <c r="H27" s="176"/>
      <c r="I27" s="173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G27" s="165" t="s">
        <v>409</v>
      </c>
      <c r="BH27" s="166" t="s">
        <v>409</v>
      </c>
      <c r="BI27" s="168" t="s">
        <v>409</v>
      </c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8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</row>
    <row r="28" ht="22.5" customHeight="1">
      <c r="B28" s="173"/>
      <c r="C28" s="174"/>
      <c r="D28" s="175"/>
      <c r="E28" s="175" t="s">
        <v>454</v>
      </c>
      <c r="F28" s="78"/>
      <c r="G28" s="78"/>
      <c r="H28" s="176"/>
      <c r="I28" s="173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G28" s="165" t="s">
        <v>409</v>
      </c>
      <c r="BH28" s="166" t="s">
        <v>409</v>
      </c>
      <c r="BI28" s="168" t="s">
        <v>409</v>
      </c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8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</row>
    <row r="29" ht="22.5" customHeight="1">
      <c r="B29" s="173"/>
      <c r="C29" s="174"/>
      <c r="D29" s="175"/>
      <c r="E29" s="175" t="s">
        <v>454</v>
      </c>
      <c r="F29" s="78"/>
      <c r="G29" s="78"/>
      <c r="H29" s="176"/>
      <c r="I29" s="173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G29" s="165" t="s">
        <v>409</v>
      </c>
      <c r="BH29" s="166" t="s">
        <v>409</v>
      </c>
      <c r="BI29" s="168" t="s">
        <v>409</v>
      </c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8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</row>
    <row r="30" ht="22.5" customHeight="1">
      <c r="B30" s="173"/>
      <c r="C30" s="174"/>
      <c r="D30" s="175"/>
      <c r="E30" s="175" t="s">
        <v>454</v>
      </c>
      <c r="F30" s="78"/>
      <c r="G30" s="78"/>
      <c r="H30" s="176"/>
      <c r="I30" s="173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G30" s="165" t="s">
        <v>409</v>
      </c>
      <c r="BH30" s="166" t="s">
        <v>409</v>
      </c>
      <c r="BI30" s="168" t="s">
        <v>409</v>
      </c>
      <c r="BJ30" s="177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8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</row>
    <row r="31" ht="25.5" customHeight="1">
      <c r="B31" s="62" t="s">
        <v>455</v>
      </c>
      <c r="C31" s="75" t="s">
        <v>456</v>
      </c>
      <c r="D31" s="62" t="s">
        <v>457</v>
      </c>
      <c r="E31" s="62" t="str">
        <f t="shared" ref="E31:E92" si="2">C31&amp;" "&amp;D31</f>
        <v>Bantal Comfy</v>
      </c>
      <c r="F31" s="74"/>
      <c r="G31" s="74">
        <v>40000.0</v>
      </c>
      <c r="H31" s="163">
        <v>46100.0</v>
      </c>
      <c r="J31" s="164"/>
      <c r="K31" s="164"/>
      <c r="L31" s="164"/>
      <c r="M31" s="166" t="s">
        <v>67</v>
      </c>
      <c r="N31" s="166" t="s">
        <v>67</v>
      </c>
      <c r="O31" s="166" t="s">
        <v>67</v>
      </c>
      <c r="P31" s="166" t="s">
        <v>67</v>
      </c>
      <c r="Q31" s="166" t="s">
        <v>67</v>
      </c>
      <c r="R31" s="166" t="s">
        <v>67</v>
      </c>
      <c r="S31" s="166" t="s">
        <v>67</v>
      </c>
      <c r="T31" s="166" t="s">
        <v>67</v>
      </c>
      <c r="U31" s="166" t="s">
        <v>67</v>
      </c>
      <c r="V31" s="166" t="s">
        <v>67</v>
      </c>
      <c r="W31" s="166" t="s">
        <v>67</v>
      </c>
      <c r="X31" s="164"/>
      <c r="Y31" s="164"/>
      <c r="Z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G31" s="164"/>
      <c r="BH31" s="164"/>
      <c r="BI31" s="164"/>
      <c r="BJ31" s="164"/>
      <c r="BK31" s="164"/>
      <c r="BL31" s="164"/>
      <c r="BM31" s="165" t="s">
        <v>132</v>
      </c>
      <c r="BN31" s="166" t="s">
        <v>132</v>
      </c>
      <c r="BO31" s="168" t="s">
        <v>132</v>
      </c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</row>
    <row r="32" ht="25.5" customHeight="1">
      <c r="B32" s="62" t="s">
        <v>458</v>
      </c>
      <c r="C32" s="75" t="s">
        <v>456</v>
      </c>
      <c r="D32" s="62" t="s">
        <v>457</v>
      </c>
      <c r="E32" s="62" t="str">
        <f t="shared" si="2"/>
        <v>Bantal Comfy</v>
      </c>
      <c r="F32" s="74"/>
      <c r="G32" s="74">
        <v>40000.0</v>
      </c>
      <c r="H32" s="163">
        <v>46100.0</v>
      </c>
      <c r="J32" s="164"/>
      <c r="K32" s="164"/>
      <c r="L32" s="164"/>
      <c r="M32" s="166" t="s">
        <v>67</v>
      </c>
      <c r="N32" s="166" t="s">
        <v>67</v>
      </c>
      <c r="O32" s="166" t="s">
        <v>67</v>
      </c>
      <c r="P32" s="166" t="s">
        <v>67</v>
      </c>
      <c r="Q32" s="166" t="s">
        <v>67</v>
      </c>
      <c r="R32" s="166" t="s">
        <v>67</v>
      </c>
      <c r="S32" s="166" t="s">
        <v>67</v>
      </c>
      <c r="T32" s="166" t="s">
        <v>67</v>
      </c>
      <c r="U32" s="166" t="s">
        <v>67</v>
      </c>
      <c r="V32" s="166" t="s">
        <v>67</v>
      </c>
      <c r="W32" s="166" t="s">
        <v>67</v>
      </c>
      <c r="X32" s="164"/>
      <c r="Y32" s="164"/>
      <c r="Z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G32" s="164"/>
      <c r="BH32" s="164"/>
      <c r="BI32" s="164"/>
      <c r="BJ32" s="164"/>
      <c r="BK32" s="164"/>
      <c r="BL32" s="164"/>
      <c r="BM32" s="165" t="s">
        <v>132</v>
      </c>
      <c r="BN32" s="166" t="s">
        <v>132</v>
      </c>
      <c r="BO32" s="168" t="s">
        <v>132</v>
      </c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</row>
    <row r="33" ht="25.5" customHeight="1">
      <c r="B33" s="62" t="s">
        <v>459</v>
      </c>
      <c r="C33" s="75" t="s">
        <v>456</v>
      </c>
      <c r="D33" s="62" t="s">
        <v>457</v>
      </c>
      <c r="E33" s="62" t="str">
        <f t="shared" si="2"/>
        <v>Bantal Comfy</v>
      </c>
      <c r="F33" s="74"/>
      <c r="G33" s="74">
        <v>40000.0</v>
      </c>
      <c r="H33" s="163">
        <v>46100.0</v>
      </c>
      <c r="J33" s="164"/>
      <c r="K33" s="164"/>
      <c r="L33" s="164"/>
      <c r="M33" s="164"/>
      <c r="N33" s="164"/>
      <c r="O33" s="166" t="s">
        <v>70</v>
      </c>
      <c r="P33" s="166" t="s">
        <v>70</v>
      </c>
      <c r="Q33" s="166" t="s">
        <v>70</v>
      </c>
      <c r="R33" s="166" t="s">
        <v>70</v>
      </c>
      <c r="S33" s="167" t="s">
        <v>424</v>
      </c>
      <c r="T33" s="168" t="s">
        <v>86</v>
      </c>
      <c r="U33" s="168" t="s">
        <v>86</v>
      </c>
      <c r="V33" s="164"/>
      <c r="W33" s="164"/>
      <c r="X33" s="164"/>
      <c r="Y33" s="164"/>
      <c r="Z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G33" s="164"/>
      <c r="BH33" s="164"/>
      <c r="BI33" s="164"/>
      <c r="BJ33" s="164"/>
      <c r="BK33" s="164"/>
      <c r="BL33" s="164"/>
      <c r="BM33" s="165" t="s">
        <v>132</v>
      </c>
      <c r="BN33" s="166" t="s">
        <v>132</v>
      </c>
      <c r="BO33" s="168" t="s">
        <v>132</v>
      </c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M33" s="164"/>
      <c r="CN33" s="164"/>
      <c r="CO33" s="164"/>
      <c r="CP33" s="164"/>
      <c r="CQ33" s="164"/>
      <c r="CR33" s="164"/>
      <c r="CS33" s="164"/>
      <c r="CT33" s="164"/>
      <c r="CU33" s="164"/>
      <c r="CV33" s="164"/>
      <c r="CW33" s="164"/>
      <c r="CX33" s="164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  <c r="DO33" s="164"/>
      <c r="DP33" s="164"/>
    </row>
    <row r="34" ht="25.5" customHeight="1">
      <c r="B34" s="62" t="s">
        <v>460</v>
      </c>
      <c r="C34" s="75" t="s">
        <v>456</v>
      </c>
      <c r="D34" s="62" t="s">
        <v>457</v>
      </c>
      <c r="E34" s="62" t="str">
        <f t="shared" si="2"/>
        <v>Bantal Comfy</v>
      </c>
      <c r="F34" s="74"/>
      <c r="G34" s="74">
        <v>40000.0</v>
      </c>
      <c r="H34" s="163">
        <v>46100.0</v>
      </c>
      <c r="J34" s="164"/>
      <c r="K34" s="164"/>
      <c r="L34" s="164"/>
      <c r="M34" s="164"/>
      <c r="N34" s="164"/>
      <c r="O34" s="166" t="s">
        <v>70</v>
      </c>
      <c r="P34" s="166" t="s">
        <v>70</v>
      </c>
      <c r="Q34" s="166" t="s">
        <v>70</v>
      </c>
      <c r="R34" s="166" t="s">
        <v>70</v>
      </c>
      <c r="S34" s="167" t="s">
        <v>424</v>
      </c>
      <c r="T34" s="168" t="s">
        <v>86</v>
      </c>
      <c r="U34" s="168" t="s">
        <v>86</v>
      </c>
      <c r="V34" s="164"/>
      <c r="W34" s="164"/>
      <c r="X34" s="164"/>
      <c r="Y34" s="164"/>
      <c r="Z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E34" s="164"/>
      <c r="BG34" s="164"/>
      <c r="BH34" s="164"/>
      <c r="BI34" s="164"/>
      <c r="BJ34" s="164"/>
      <c r="BK34" s="164"/>
      <c r="BL34" s="164"/>
      <c r="BM34" s="165" t="s">
        <v>132</v>
      </c>
      <c r="BN34" s="166" t="s">
        <v>132</v>
      </c>
      <c r="BO34" s="168" t="s">
        <v>132</v>
      </c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  <c r="DO34" s="164"/>
      <c r="DP34" s="164"/>
    </row>
    <row r="35" ht="25.5" customHeight="1">
      <c r="B35" s="62" t="s">
        <v>461</v>
      </c>
      <c r="C35" s="75" t="s">
        <v>456</v>
      </c>
      <c r="D35" s="62" t="s">
        <v>457</v>
      </c>
      <c r="E35" s="62" t="str">
        <f t="shared" si="2"/>
        <v>Bantal Comfy</v>
      </c>
      <c r="F35" s="74"/>
      <c r="G35" s="74">
        <v>40000.0</v>
      </c>
      <c r="H35" s="163">
        <v>46067.0</v>
      </c>
      <c r="J35" s="164"/>
      <c r="K35" s="164"/>
      <c r="L35" s="164"/>
      <c r="M35" s="164"/>
      <c r="N35" s="164"/>
      <c r="O35" s="166" t="s">
        <v>70</v>
      </c>
      <c r="P35" s="166" t="s">
        <v>70</v>
      </c>
      <c r="Q35" s="166" t="s">
        <v>70</v>
      </c>
      <c r="R35" s="166" t="s">
        <v>70</v>
      </c>
      <c r="S35" s="167" t="s">
        <v>424</v>
      </c>
      <c r="T35" s="168" t="s">
        <v>86</v>
      </c>
      <c r="U35" s="168" t="s">
        <v>86</v>
      </c>
      <c r="V35" s="164"/>
      <c r="W35" s="164"/>
      <c r="X35" s="164"/>
      <c r="Y35" s="164"/>
      <c r="Z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G35" s="164"/>
      <c r="BH35" s="164"/>
      <c r="BI35" s="164"/>
      <c r="BJ35" s="164"/>
      <c r="BK35" s="164"/>
      <c r="BL35" s="164"/>
      <c r="BM35" s="165" t="s">
        <v>132</v>
      </c>
      <c r="BN35" s="166" t="s">
        <v>132</v>
      </c>
      <c r="BO35" s="168" t="s">
        <v>132</v>
      </c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</row>
    <row r="36" ht="25.5" customHeight="1">
      <c r="B36" s="62" t="s">
        <v>462</v>
      </c>
      <c r="C36" s="75" t="s">
        <v>456</v>
      </c>
      <c r="D36" s="62" t="s">
        <v>457</v>
      </c>
      <c r="E36" s="62" t="str">
        <f t="shared" si="2"/>
        <v>Bantal Comfy</v>
      </c>
      <c r="F36" s="74"/>
      <c r="G36" s="74">
        <v>40000.0</v>
      </c>
      <c r="H36" s="163">
        <v>46067.0</v>
      </c>
      <c r="J36" s="164"/>
      <c r="K36" s="164"/>
      <c r="L36" s="164"/>
      <c r="M36" s="164"/>
      <c r="N36" s="164"/>
      <c r="O36" s="166" t="s">
        <v>70</v>
      </c>
      <c r="P36" s="166" t="s">
        <v>70</v>
      </c>
      <c r="Q36" s="166" t="s">
        <v>70</v>
      </c>
      <c r="R36" s="166" t="s">
        <v>70</v>
      </c>
      <c r="S36" s="167" t="s">
        <v>424</v>
      </c>
      <c r="T36" s="168" t="s">
        <v>86</v>
      </c>
      <c r="U36" s="168" t="s">
        <v>86</v>
      </c>
      <c r="V36" s="164"/>
      <c r="W36" s="164"/>
      <c r="X36" s="164"/>
      <c r="Y36" s="164"/>
      <c r="Z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G36" s="164"/>
      <c r="BH36" s="164"/>
      <c r="BI36" s="164"/>
      <c r="BJ36" s="164"/>
      <c r="BK36" s="164"/>
      <c r="BL36" s="164"/>
      <c r="BM36" s="165" t="s">
        <v>132</v>
      </c>
      <c r="BN36" s="166" t="s">
        <v>132</v>
      </c>
      <c r="BO36" s="168" t="s">
        <v>132</v>
      </c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  <c r="DO36" s="164"/>
      <c r="DP36" s="164"/>
    </row>
    <row r="37" ht="25.5" customHeight="1">
      <c r="B37" s="62" t="s">
        <v>463</v>
      </c>
      <c r="C37" s="75" t="s">
        <v>456</v>
      </c>
      <c r="D37" s="62" t="s">
        <v>457</v>
      </c>
      <c r="E37" s="62" t="str">
        <f t="shared" si="2"/>
        <v>Bantal Comfy</v>
      </c>
      <c r="F37" s="74"/>
      <c r="G37" s="74">
        <v>40000.0</v>
      </c>
      <c r="H37" s="163">
        <v>46067.0</v>
      </c>
      <c r="J37" s="164"/>
      <c r="K37" s="164"/>
      <c r="L37" s="164"/>
      <c r="M37" s="164"/>
      <c r="N37" s="164"/>
      <c r="O37" s="166" t="s">
        <v>70</v>
      </c>
      <c r="P37" s="166" t="s">
        <v>70</v>
      </c>
      <c r="Q37" s="166" t="s">
        <v>70</v>
      </c>
      <c r="R37" s="166" t="s">
        <v>70</v>
      </c>
      <c r="S37" s="167" t="s">
        <v>424</v>
      </c>
      <c r="T37" s="168" t="s">
        <v>86</v>
      </c>
      <c r="U37" s="168" t="s">
        <v>86</v>
      </c>
      <c r="V37" s="164"/>
      <c r="W37" s="164"/>
      <c r="X37" s="164"/>
      <c r="Y37" s="164"/>
      <c r="Z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G37" s="164"/>
      <c r="BH37" s="164"/>
      <c r="BI37" s="164"/>
      <c r="BJ37" s="164"/>
      <c r="BK37" s="164"/>
      <c r="BL37" s="164"/>
      <c r="BM37" s="165" t="s">
        <v>132</v>
      </c>
      <c r="BN37" s="166" t="s">
        <v>132</v>
      </c>
      <c r="BO37" s="168" t="s">
        <v>132</v>
      </c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64"/>
      <c r="CI37" s="164"/>
      <c r="CJ37" s="164"/>
      <c r="CK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</row>
    <row r="38" ht="25.5" customHeight="1">
      <c r="B38" s="62" t="s">
        <v>464</v>
      </c>
      <c r="C38" s="75" t="s">
        <v>456</v>
      </c>
      <c r="D38" s="62" t="s">
        <v>457</v>
      </c>
      <c r="E38" s="62" t="str">
        <f t="shared" si="2"/>
        <v>Bantal Comfy</v>
      </c>
      <c r="F38" s="74"/>
      <c r="G38" s="74">
        <v>40000.0</v>
      </c>
      <c r="H38" s="163">
        <v>46067.0</v>
      </c>
      <c r="J38" s="164"/>
      <c r="K38" s="164"/>
      <c r="L38" s="164"/>
      <c r="M38" s="164"/>
      <c r="N38" s="164"/>
      <c r="O38" s="166" t="s">
        <v>70</v>
      </c>
      <c r="P38" s="166" t="s">
        <v>70</v>
      </c>
      <c r="Q38" s="166" t="s">
        <v>70</v>
      </c>
      <c r="R38" s="166" t="s">
        <v>70</v>
      </c>
      <c r="S38" s="167" t="s">
        <v>424</v>
      </c>
      <c r="T38" s="168" t="s">
        <v>86</v>
      </c>
      <c r="U38" s="168" t="s">
        <v>86</v>
      </c>
      <c r="V38" s="164"/>
      <c r="W38" s="164"/>
      <c r="X38" s="164"/>
      <c r="Y38" s="164"/>
      <c r="Z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G38" s="164"/>
      <c r="BH38" s="164"/>
      <c r="BI38" s="164"/>
      <c r="BJ38" s="164"/>
      <c r="BK38" s="164"/>
      <c r="BL38" s="164"/>
      <c r="BM38" s="165" t="s">
        <v>132</v>
      </c>
      <c r="BN38" s="166" t="s">
        <v>132</v>
      </c>
      <c r="BO38" s="168" t="s">
        <v>132</v>
      </c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64"/>
      <c r="CI38" s="164"/>
      <c r="CJ38" s="164"/>
      <c r="CK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</row>
    <row r="39" ht="25.5" customHeight="1">
      <c r="B39" s="62" t="s">
        <v>465</v>
      </c>
      <c r="C39" s="75" t="s">
        <v>456</v>
      </c>
      <c r="D39" s="62" t="s">
        <v>457</v>
      </c>
      <c r="E39" s="62" t="str">
        <f t="shared" si="2"/>
        <v>Bantal Comfy</v>
      </c>
      <c r="F39" s="74"/>
      <c r="G39" s="74">
        <v>40000.0</v>
      </c>
      <c r="H39" s="163">
        <v>46067.0</v>
      </c>
      <c r="J39" s="164"/>
      <c r="K39" s="164"/>
      <c r="L39" s="164"/>
      <c r="M39" s="164"/>
      <c r="N39" s="164"/>
      <c r="O39" s="166" t="s">
        <v>70</v>
      </c>
      <c r="P39" s="166" t="s">
        <v>70</v>
      </c>
      <c r="Q39" s="166" t="s">
        <v>70</v>
      </c>
      <c r="R39" s="166" t="s">
        <v>70</v>
      </c>
      <c r="S39" s="167" t="s">
        <v>424</v>
      </c>
      <c r="T39" s="168" t="s">
        <v>86</v>
      </c>
      <c r="U39" s="168" t="s">
        <v>86</v>
      </c>
      <c r="V39" s="164"/>
      <c r="W39" s="164"/>
      <c r="X39" s="164"/>
      <c r="Y39" s="164"/>
      <c r="Z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G39" s="164"/>
      <c r="BH39" s="164"/>
      <c r="BI39" s="164"/>
      <c r="BJ39" s="164"/>
      <c r="BK39" s="164"/>
      <c r="BL39" s="164"/>
      <c r="BM39" s="165" t="s">
        <v>132</v>
      </c>
      <c r="BN39" s="166" t="s">
        <v>132</v>
      </c>
      <c r="BO39" s="168" t="s">
        <v>132</v>
      </c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4"/>
      <c r="CA39" s="164"/>
      <c r="CB39" s="164"/>
      <c r="CC39" s="164"/>
      <c r="CD39" s="164"/>
      <c r="CE39" s="164"/>
      <c r="CF39" s="164"/>
      <c r="CG39" s="164"/>
      <c r="CH39" s="164"/>
      <c r="CI39" s="164"/>
      <c r="CJ39" s="164"/>
      <c r="CK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164"/>
      <c r="DB39" s="164"/>
      <c r="DC39" s="164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  <c r="DO39" s="164"/>
      <c r="DP39" s="164"/>
    </row>
    <row r="40" ht="25.5" customHeight="1">
      <c r="B40" s="62" t="s">
        <v>466</v>
      </c>
      <c r="C40" s="75" t="s">
        <v>456</v>
      </c>
      <c r="D40" s="62" t="s">
        <v>457</v>
      </c>
      <c r="E40" s="62" t="str">
        <f t="shared" si="2"/>
        <v>Bantal Comfy</v>
      </c>
      <c r="F40" s="74"/>
      <c r="G40" s="74">
        <v>40000.0</v>
      </c>
      <c r="H40" s="163">
        <v>46067.0</v>
      </c>
      <c r="J40" s="164"/>
      <c r="K40" s="164"/>
      <c r="L40" s="164"/>
      <c r="M40" s="164"/>
      <c r="N40" s="164"/>
      <c r="O40" s="166" t="s">
        <v>70</v>
      </c>
      <c r="P40" s="166" t="s">
        <v>70</v>
      </c>
      <c r="Q40" s="166" t="s">
        <v>70</v>
      </c>
      <c r="R40" s="166" t="s">
        <v>70</v>
      </c>
      <c r="S40" s="167" t="s">
        <v>424</v>
      </c>
      <c r="T40" s="168" t="s">
        <v>86</v>
      </c>
      <c r="U40" s="168" t="s">
        <v>86</v>
      </c>
      <c r="V40" s="164"/>
      <c r="W40" s="164"/>
      <c r="X40" s="164"/>
      <c r="Y40" s="164"/>
      <c r="Z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G40" s="164"/>
      <c r="BH40" s="164"/>
      <c r="BI40" s="164"/>
      <c r="BJ40" s="164"/>
      <c r="BK40" s="164"/>
      <c r="BL40" s="164"/>
      <c r="BM40" s="165" t="s">
        <v>132</v>
      </c>
      <c r="BN40" s="166" t="s">
        <v>132</v>
      </c>
      <c r="BO40" s="168" t="s">
        <v>132</v>
      </c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164"/>
      <c r="DB40" s="164"/>
      <c r="DC40" s="164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  <c r="DO40" s="164"/>
      <c r="DP40" s="164"/>
    </row>
    <row r="41" ht="25.5" customHeight="1">
      <c r="B41" s="62" t="s">
        <v>467</v>
      </c>
      <c r="C41" s="75" t="s">
        <v>456</v>
      </c>
      <c r="D41" s="62" t="s">
        <v>457</v>
      </c>
      <c r="E41" s="62" t="str">
        <f t="shared" si="2"/>
        <v>Bantal Comfy</v>
      </c>
      <c r="F41" s="74"/>
      <c r="G41" s="74">
        <v>40000.0</v>
      </c>
      <c r="H41" s="163">
        <v>46067.0</v>
      </c>
      <c r="J41" s="164"/>
      <c r="K41" s="164"/>
      <c r="L41" s="164"/>
      <c r="M41" s="164"/>
      <c r="N41" s="166" t="s">
        <v>42</v>
      </c>
      <c r="O41" s="166" t="s">
        <v>42</v>
      </c>
      <c r="P41" s="166" t="s">
        <v>42</v>
      </c>
      <c r="Q41" s="166" t="s">
        <v>42</v>
      </c>
      <c r="R41" s="167" t="s">
        <v>439</v>
      </c>
      <c r="S41" s="165" t="s">
        <v>73</v>
      </c>
      <c r="T41" s="165" t="s">
        <v>73</v>
      </c>
      <c r="U41" s="164"/>
      <c r="V41" s="164"/>
      <c r="W41" s="164"/>
      <c r="X41" s="164"/>
      <c r="Y41" s="164"/>
      <c r="Z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G41" s="164"/>
      <c r="BH41" s="164"/>
      <c r="BI41" s="164"/>
      <c r="BJ41" s="164"/>
      <c r="BK41" s="164"/>
      <c r="BL41" s="164"/>
      <c r="BM41" s="165" t="s">
        <v>132</v>
      </c>
      <c r="BN41" s="166" t="s">
        <v>132</v>
      </c>
      <c r="BO41" s="168" t="s">
        <v>132</v>
      </c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64"/>
      <c r="CH41" s="164"/>
      <c r="CI41" s="164"/>
      <c r="CJ41" s="164"/>
      <c r="CK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64"/>
      <c r="DA41" s="164"/>
      <c r="DB41" s="164"/>
      <c r="DC41" s="164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  <c r="DO41" s="164"/>
      <c r="DP41" s="164"/>
    </row>
    <row r="42" ht="25.5" customHeight="1">
      <c r="B42" s="62" t="s">
        <v>468</v>
      </c>
      <c r="C42" s="75" t="s">
        <v>456</v>
      </c>
      <c r="D42" s="62" t="s">
        <v>457</v>
      </c>
      <c r="E42" s="62" t="str">
        <f t="shared" si="2"/>
        <v>Bantal Comfy</v>
      </c>
      <c r="F42" s="74"/>
      <c r="G42" s="74">
        <v>40000.0</v>
      </c>
      <c r="H42" s="163">
        <v>46100.0</v>
      </c>
      <c r="J42" s="164"/>
      <c r="K42" s="164"/>
      <c r="L42" s="164"/>
      <c r="M42" s="164"/>
      <c r="N42" s="166" t="s">
        <v>42</v>
      </c>
      <c r="O42" s="166" t="s">
        <v>42</v>
      </c>
      <c r="P42" s="166" t="s">
        <v>42</v>
      </c>
      <c r="Q42" s="166" t="s">
        <v>42</v>
      </c>
      <c r="R42" s="167" t="s">
        <v>441</v>
      </c>
      <c r="S42" s="165" t="s">
        <v>73</v>
      </c>
      <c r="T42" s="165" t="s">
        <v>73</v>
      </c>
      <c r="U42" s="164"/>
      <c r="V42" s="164"/>
      <c r="W42" s="164"/>
      <c r="X42" s="164"/>
      <c r="Y42" s="164"/>
      <c r="Z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G42" s="164"/>
      <c r="BH42" s="164"/>
      <c r="BI42" s="164"/>
      <c r="BJ42" s="164"/>
      <c r="BK42" s="164"/>
      <c r="BL42" s="164"/>
      <c r="BM42" s="165" t="s">
        <v>132</v>
      </c>
      <c r="BN42" s="166" t="s">
        <v>132</v>
      </c>
      <c r="BO42" s="168" t="s">
        <v>132</v>
      </c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4"/>
      <c r="CD42" s="164"/>
      <c r="CE42" s="164"/>
      <c r="CF42" s="164"/>
      <c r="CG42" s="164"/>
      <c r="CH42" s="164"/>
      <c r="CI42" s="164"/>
      <c r="CJ42" s="164"/>
      <c r="CK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164"/>
      <c r="CZ42" s="164"/>
      <c r="DA42" s="164"/>
      <c r="DB42" s="164"/>
      <c r="DC42" s="164"/>
      <c r="DD42" s="164"/>
      <c r="DE42" s="164"/>
      <c r="DF42" s="164"/>
      <c r="DG42" s="164"/>
      <c r="DH42" s="164"/>
      <c r="DI42" s="164"/>
      <c r="DJ42" s="164"/>
      <c r="DK42" s="164"/>
      <c r="DL42" s="164"/>
      <c r="DM42" s="164"/>
      <c r="DN42" s="164"/>
      <c r="DO42" s="164"/>
      <c r="DP42" s="164"/>
    </row>
    <row r="43" ht="25.5" customHeight="1">
      <c r="B43" s="62" t="s">
        <v>469</v>
      </c>
      <c r="C43" s="75" t="s">
        <v>456</v>
      </c>
      <c r="D43" s="62" t="s">
        <v>457</v>
      </c>
      <c r="E43" s="62" t="str">
        <f t="shared" si="2"/>
        <v>Bantal Comfy</v>
      </c>
      <c r="F43" s="74"/>
      <c r="G43" s="74">
        <v>40000.0</v>
      </c>
      <c r="H43" s="163">
        <v>46100.0</v>
      </c>
      <c r="J43" s="164"/>
      <c r="K43" s="164"/>
      <c r="L43" s="164"/>
      <c r="M43" s="164"/>
      <c r="N43" s="166" t="s">
        <v>42</v>
      </c>
      <c r="O43" s="166" t="s">
        <v>42</v>
      </c>
      <c r="P43" s="166" t="s">
        <v>42</v>
      </c>
      <c r="Q43" s="166" t="s">
        <v>42</v>
      </c>
      <c r="R43" s="167" t="s">
        <v>439</v>
      </c>
      <c r="S43" s="165" t="s">
        <v>73</v>
      </c>
      <c r="T43" s="165" t="s">
        <v>73</v>
      </c>
      <c r="U43" s="164"/>
      <c r="V43" s="164"/>
      <c r="W43" s="164"/>
      <c r="X43" s="164"/>
      <c r="Y43" s="164"/>
      <c r="Z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G43" s="164"/>
      <c r="BH43" s="164"/>
      <c r="BI43" s="164"/>
      <c r="BJ43" s="164"/>
      <c r="BK43" s="164"/>
      <c r="BL43" s="164"/>
      <c r="BM43" s="165" t="s">
        <v>132</v>
      </c>
      <c r="BN43" s="166" t="s">
        <v>132</v>
      </c>
      <c r="BO43" s="168" t="s">
        <v>132</v>
      </c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</row>
    <row r="44" ht="25.5" customHeight="1">
      <c r="B44" s="62" t="s">
        <v>470</v>
      </c>
      <c r="C44" s="75" t="s">
        <v>456</v>
      </c>
      <c r="D44" s="62" t="s">
        <v>457</v>
      </c>
      <c r="E44" s="62" t="str">
        <f t="shared" si="2"/>
        <v>Bantal Comfy</v>
      </c>
      <c r="F44" s="74"/>
      <c r="G44" s="74">
        <v>40000.0</v>
      </c>
      <c r="H44" s="163">
        <v>46100.0</v>
      </c>
      <c r="J44" s="164"/>
      <c r="K44" s="164"/>
      <c r="L44" s="164"/>
      <c r="M44" s="164"/>
      <c r="N44" s="166" t="s">
        <v>42</v>
      </c>
      <c r="O44" s="166" t="s">
        <v>42</v>
      </c>
      <c r="P44" s="166" t="s">
        <v>42</v>
      </c>
      <c r="Q44" s="166" t="s">
        <v>42</v>
      </c>
      <c r="R44" s="167" t="s">
        <v>441</v>
      </c>
      <c r="S44" s="168" t="s">
        <v>77</v>
      </c>
      <c r="T44" s="168" t="s">
        <v>77</v>
      </c>
      <c r="U44" s="168" t="s">
        <v>77</v>
      </c>
      <c r="V44" s="168" t="s">
        <v>77</v>
      </c>
      <c r="W44" s="164"/>
      <c r="X44" s="164"/>
      <c r="Y44" s="164"/>
      <c r="Z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G44" s="164"/>
      <c r="BH44" s="164"/>
      <c r="BI44" s="164"/>
      <c r="BJ44" s="164"/>
      <c r="BK44" s="164"/>
      <c r="BL44" s="164"/>
      <c r="BM44" s="165" t="s">
        <v>132</v>
      </c>
      <c r="BN44" s="166" t="s">
        <v>132</v>
      </c>
      <c r="BO44" s="168" t="s">
        <v>132</v>
      </c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64"/>
      <c r="DF44" s="164"/>
      <c r="DG44" s="164"/>
      <c r="DH44" s="164"/>
      <c r="DI44" s="164"/>
      <c r="DJ44" s="164"/>
      <c r="DK44" s="164"/>
      <c r="DL44" s="164"/>
      <c r="DM44" s="164"/>
      <c r="DN44" s="164"/>
      <c r="DO44" s="164"/>
      <c r="DP44" s="164"/>
    </row>
    <row r="45" ht="25.5" customHeight="1">
      <c r="B45" s="62"/>
      <c r="C45" s="75" t="s">
        <v>456</v>
      </c>
      <c r="D45" s="62" t="s">
        <v>471</v>
      </c>
      <c r="E45" s="62" t="str">
        <f t="shared" si="2"/>
        <v>Bantal UMI</v>
      </c>
      <c r="F45" s="74"/>
      <c r="G45" s="74"/>
      <c r="H45" s="163"/>
      <c r="J45" s="164"/>
      <c r="K45" s="164"/>
      <c r="L45" s="164"/>
      <c r="M45" s="166" t="s">
        <v>244</v>
      </c>
      <c r="N45" s="166" t="s">
        <v>244</v>
      </c>
      <c r="O45" s="166" t="s">
        <v>244</v>
      </c>
      <c r="P45" s="166" t="s">
        <v>244</v>
      </c>
      <c r="Q45" s="166" t="s">
        <v>244</v>
      </c>
      <c r="R45" s="166" t="s">
        <v>244</v>
      </c>
      <c r="S45" s="166" t="s">
        <v>244</v>
      </c>
      <c r="T45" s="164"/>
      <c r="U45" s="164"/>
      <c r="V45" s="164"/>
      <c r="W45" s="164"/>
      <c r="X45" s="164"/>
      <c r="Y45" s="164"/>
      <c r="Z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G45" s="164"/>
      <c r="BH45" s="164"/>
      <c r="BI45" s="164"/>
      <c r="BJ45" s="164"/>
      <c r="BK45" s="164"/>
      <c r="BL45" s="164"/>
      <c r="BM45" s="165" t="s">
        <v>132</v>
      </c>
      <c r="BN45" s="166" t="s">
        <v>132</v>
      </c>
      <c r="BO45" s="168" t="s">
        <v>132</v>
      </c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M45" s="164"/>
      <c r="CN45" s="164"/>
      <c r="CO45" s="164"/>
      <c r="CP45" s="164"/>
      <c r="CQ45" s="164"/>
      <c r="CR45" s="164"/>
      <c r="CS45" s="165" t="s">
        <v>132</v>
      </c>
      <c r="CT45" s="166" t="s">
        <v>132</v>
      </c>
      <c r="CU45" s="168" t="s">
        <v>132</v>
      </c>
      <c r="CV45" s="164"/>
      <c r="CW45" s="164"/>
      <c r="CX45" s="164"/>
      <c r="CY45" s="164"/>
      <c r="CZ45" s="164"/>
      <c r="DA45" s="164"/>
      <c r="DB45" s="164"/>
      <c r="DC45" s="164"/>
      <c r="DD45" s="164"/>
      <c r="DE45" s="164"/>
      <c r="DF45" s="164"/>
      <c r="DG45" s="164"/>
      <c r="DH45" s="164"/>
      <c r="DI45" s="164"/>
      <c r="DJ45" s="164"/>
      <c r="DK45" s="164"/>
      <c r="DL45" s="164"/>
      <c r="DM45" s="164"/>
      <c r="DN45" s="164"/>
      <c r="DO45" s="164"/>
      <c r="DP45" s="164"/>
    </row>
    <row r="46" ht="25.5" customHeight="1">
      <c r="B46" s="62" t="s">
        <v>472</v>
      </c>
      <c r="C46" s="75" t="s">
        <v>456</v>
      </c>
      <c r="D46" s="62" t="s">
        <v>457</v>
      </c>
      <c r="E46" s="62" t="str">
        <f t="shared" si="2"/>
        <v>Bantal Comfy</v>
      </c>
      <c r="F46" s="74"/>
      <c r="G46" s="74">
        <v>40000.0</v>
      </c>
      <c r="H46" s="163">
        <v>46100.0</v>
      </c>
      <c r="J46" s="164"/>
      <c r="K46" s="164"/>
      <c r="L46" s="164"/>
      <c r="M46" s="166" t="s">
        <v>244</v>
      </c>
      <c r="N46" s="166" t="s">
        <v>244</v>
      </c>
      <c r="O46" s="166" t="s">
        <v>244</v>
      </c>
      <c r="P46" s="166" t="s">
        <v>244</v>
      </c>
      <c r="Q46" s="166" t="s">
        <v>244</v>
      </c>
      <c r="R46" s="166" t="s">
        <v>244</v>
      </c>
      <c r="S46" s="166" t="s">
        <v>244</v>
      </c>
      <c r="T46" s="164"/>
      <c r="U46" s="164"/>
      <c r="V46" s="164"/>
      <c r="W46" s="164"/>
      <c r="X46" s="164"/>
      <c r="Y46" s="164"/>
      <c r="Z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G46" s="164"/>
      <c r="BH46" s="164"/>
      <c r="BI46" s="164"/>
      <c r="BJ46" s="164"/>
      <c r="BK46" s="164"/>
      <c r="BL46" s="164"/>
      <c r="BM46" s="165" t="s">
        <v>132</v>
      </c>
      <c r="BN46" s="166" t="s">
        <v>132</v>
      </c>
      <c r="BO46" s="168" t="s">
        <v>132</v>
      </c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M46" s="164"/>
      <c r="CN46" s="164"/>
      <c r="CO46" s="164"/>
      <c r="CP46" s="164"/>
      <c r="CQ46" s="164"/>
      <c r="CR46" s="164"/>
      <c r="CS46" s="165" t="s">
        <v>132</v>
      </c>
      <c r="CT46" s="166" t="s">
        <v>132</v>
      </c>
      <c r="CU46" s="168" t="s">
        <v>132</v>
      </c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164"/>
      <c r="DJ46" s="164"/>
      <c r="DK46" s="164"/>
      <c r="DL46" s="164"/>
      <c r="DM46" s="164"/>
      <c r="DN46" s="164"/>
      <c r="DO46" s="164"/>
      <c r="DP46" s="164"/>
    </row>
    <row r="47" ht="25.5" customHeight="1">
      <c r="B47" s="62" t="s">
        <v>473</v>
      </c>
      <c r="C47" s="75" t="s">
        <v>456</v>
      </c>
      <c r="D47" s="62" t="s">
        <v>457</v>
      </c>
      <c r="E47" s="62" t="str">
        <f t="shared" si="2"/>
        <v>Bantal Comfy</v>
      </c>
      <c r="F47" s="74"/>
      <c r="G47" s="74">
        <v>40000.0</v>
      </c>
      <c r="H47" s="163">
        <v>46100.0</v>
      </c>
      <c r="J47" s="164"/>
      <c r="K47" s="164"/>
      <c r="L47" s="164"/>
      <c r="M47" s="166" t="s">
        <v>244</v>
      </c>
      <c r="N47" s="166" t="s">
        <v>244</v>
      </c>
      <c r="O47" s="166" t="s">
        <v>244</v>
      </c>
      <c r="P47" s="166" t="s">
        <v>244</v>
      </c>
      <c r="Q47" s="166" t="s">
        <v>244</v>
      </c>
      <c r="R47" s="166" t="s">
        <v>244</v>
      </c>
      <c r="S47" s="166" t="s">
        <v>244</v>
      </c>
      <c r="T47" s="164"/>
      <c r="U47" s="164"/>
      <c r="V47" s="164"/>
      <c r="W47" s="164"/>
      <c r="X47" s="164"/>
      <c r="Y47" s="164"/>
      <c r="Z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G47" s="164"/>
      <c r="BH47" s="164"/>
      <c r="BI47" s="164"/>
      <c r="BJ47" s="164"/>
      <c r="BK47" s="164"/>
      <c r="BL47" s="164"/>
      <c r="BM47" s="165" t="s">
        <v>132</v>
      </c>
      <c r="BN47" s="166" t="s">
        <v>132</v>
      </c>
      <c r="BO47" s="168" t="s">
        <v>132</v>
      </c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M47" s="164"/>
      <c r="CN47" s="164"/>
      <c r="CO47" s="164"/>
      <c r="CP47" s="164"/>
      <c r="CQ47" s="164"/>
      <c r="CR47" s="164"/>
      <c r="CS47" s="165" t="s">
        <v>132</v>
      </c>
      <c r="CT47" s="166" t="s">
        <v>132</v>
      </c>
      <c r="CU47" s="168" t="s">
        <v>132</v>
      </c>
      <c r="CV47" s="164"/>
      <c r="CW47" s="164"/>
      <c r="CX47" s="164"/>
      <c r="CY47" s="164"/>
      <c r="CZ47" s="164"/>
      <c r="DA47" s="164"/>
      <c r="DB47" s="164"/>
      <c r="DC47" s="164"/>
      <c r="DD47" s="164"/>
      <c r="DE47" s="164"/>
      <c r="DF47" s="164"/>
      <c r="DG47" s="164"/>
      <c r="DH47" s="164"/>
      <c r="DI47" s="164"/>
      <c r="DJ47" s="164"/>
      <c r="DK47" s="164"/>
      <c r="DL47" s="164"/>
      <c r="DM47" s="164"/>
      <c r="DN47" s="164"/>
      <c r="DO47" s="164"/>
      <c r="DP47" s="164"/>
    </row>
    <row r="48" ht="25.5" customHeight="1">
      <c r="B48" s="62" t="s">
        <v>474</v>
      </c>
      <c r="C48" s="75" t="s">
        <v>456</v>
      </c>
      <c r="D48" s="62" t="s">
        <v>475</v>
      </c>
      <c r="E48" s="62" t="str">
        <f t="shared" si="2"/>
        <v>Bantal Elite</v>
      </c>
      <c r="F48" s="74"/>
      <c r="G48" s="74">
        <v>0.0</v>
      </c>
      <c r="H48" s="163">
        <v>46023.0</v>
      </c>
      <c r="J48" s="164"/>
      <c r="K48" s="164"/>
      <c r="L48" s="164"/>
      <c r="M48" s="166" t="s">
        <v>244</v>
      </c>
      <c r="N48" s="166" t="s">
        <v>244</v>
      </c>
      <c r="O48" s="166" t="s">
        <v>244</v>
      </c>
      <c r="P48" s="166" t="s">
        <v>244</v>
      </c>
      <c r="Q48" s="166" t="s">
        <v>244</v>
      </c>
      <c r="R48" s="166" t="s">
        <v>244</v>
      </c>
      <c r="S48" s="166" t="s">
        <v>244</v>
      </c>
      <c r="T48" s="164"/>
      <c r="U48" s="164"/>
      <c r="V48" s="164"/>
      <c r="W48" s="164"/>
      <c r="X48" s="164"/>
      <c r="Y48" s="164"/>
      <c r="Z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G48" s="164"/>
      <c r="BH48" s="164"/>
      <c r="BI48" s="164"/>
      <c r="BJ48" s="164"/>
      <c r="BK48" s="164"/>
      <c r="BL48" s="164"/>
      <c r="BM48" s="165" t="s">
        <v>132</v>
      </c>
      <c r="BN48" s="166" t="s">
        <v>132</v>
      </c>
      <c r="BO48" s="168" t="s">
        <v>132</v>
      </c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M48" s="164"/>
      <c r="CN48" s="164"/>
      <c r="CO48" s="164"/>
      <c r="CP48" s="164"/>
      <c r="CQ48" s="164"/>
      <c r="CR48" s="164"/>
      <c r="CS48" s="165" t="s">
        <v>132</v>
      </c>
      <c r="CT48" s="166" t="s">
        <v>132</v>
      </c>
      <c r="CU48" s="168" t="s">
        <v>132</v>
      </c>
      <c r="CV48" s="164"/>
      <c r="CW48" s="164"/>
      <c r="CX48" s="164"/>
      <c r="CY48" s="164"/>
      <c r="CZ48" s="164"/>
      <c r="DA48" s="164"/>
      <c r="DB48" s="164"/>
      <c r="DC48" s="164"/>
      <c r="DD48" s="164"/>
      <c r="DE48" s="164"/>
      <c r="DF48" s="164"/>
      <c r="DG48" s="164"/>
      <c r="DH48" s="164"/>
      <c r="DI48" s="164"/>
      <c r="DJ48" s="164"/>
      <c r="DK48" s="164"/>
      <c r="DL48" s="164"/>
      <c r="DM48" s="164"/>
      <c r="DN48" s="164"/>
      <c r="DO48" s="164"/>
      <c r="DP48" s="164"/>
    </row>
    <row r="49" ht="25.5" customHeight="1">
      <c r="B49" s="62" t="s">
        <v>476</v>
      </c>
      <c r="C49" s="75" t="s">
        <v>456</v>
      </c>
      <c r="D49" s="62" t="s">
        <v>477</v>
      </c>
      <c r="E49" s="62" t="str">
        <f t="shared" si="2"/>
        <v>Bantal Royal King</v>
      </c>
      <c r="F49" s="74"/>
      <c r="G49" s="74">
        <v>28600.0</v>
      </c>
      <c r="H49" s="163">
        <v>46067.0</v>
      </c>
      <c r="J49" s="164"/>
      <c r="K49" s="164"/>
      <c r="L49" s="164"/>
      <c r="M49" s="166" t="s">
        <v>244</v>
      </c>
      <c r="N49" s="166" t="s">
        <v>244</v>
      </c>
      <c r="O49" s="166" t="s">
        <v>244</v>
      </c>
      <c r="P49" s="166" t="s">
        <v>244</v>
      </c>
      <c r="Q49" s="166" t="s">
        <v>244</v>
      </c>
      <c r="R49" s="166" t="s">
        <v>244</v>
      </c>
      <c r="S49" s="166" t="s">
        <v>244</v>
      </c>
      <c r="T49" s="164"/>
      <c r="U49" s="166" t="s">
        <v>80</v>
      </c>
      <c r="V49" s="166" t="s">
        <v>80</v>
      </c>
      <c r="W49" s="166" t="s">
        <v>80</v>
      </c>
      <c r="X49" s="166" t="s">
        <v>80</v>
      </c>
      <c r="Y49" s="164"/>
      <c r="Z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G49" s="164"/>
      <c r="BH49" s="164"/>
      <c r="BI49" s="164"/>
      <c r="BJ49" s="164"/>
      <c r="BK49" s="164"/>
      <c r="BL49" s="164"/>
      <c r="BM49" s="165" t="s">
        <v>132</v>
      </c>
      <c r="BN49" s="166" t="s">
        <v>132</v>
      </c>
      <c r="BO49" s="168" t="s">
        <v>132</v>
      </c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M49" s="164"/>
      <c r="CN49" s="164"/>
      <c r="CO49" s="164"/>
      <c r="CP49" s="164"/>
      <c r="CQ49" s="164"/>
      <c r="CR49" s="164"/>
      <c r="CS49" s="165" t="s">
        <v>132</v>
      </c>
      <c r="CT49" s="166" t="s">
        <v>132</v>
      </c>
      <c r="CU49" s="168" t="s">
        <v>132</v>
      </c>
      <c r="CV49" s="164"/>
      <c r="CW49" s="164"/>
      <c r="CX49" s="164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164"/>
      <c r="DK49" s="164"/>
      <c r="DL49" s="164"/>
      <c r="DM49" s="164"/>
      <c r="DN49" s="164"/>
      <c r="DO49" s="164"/>
      <c r="DP49" s="164"/>
    </row>
    <row r="50" ht="25.5" customHeight="1">
      <c r="B50" s="62" t="s">
        <v>478</v>
      </c>
      <c r="C50" s="75" t="s">
        <v>456</v>
      </c>
      <c r="D50" s="62" t="s">
        <v>479</v>
      </c>
      <c r="E50" s="62" t="str">
        <f t="shared" si="2"/>
        <v>Bantal Springback</v>
      </c>
      <c r="F50" s="74"/>
      <c r="G50" s="74">
        <v>50000.0</v>
      </c>
      <c r="H50" s="163">
        <v>46066.0</v>
      </c>
      <c r="J50" s="164"/>
      <c r="K50" s="164"/>
      <c r="L50" s="166" t="s">
        <v>357</v>
      </c>
      <c r="M50" s="167" t="s">
        <v>448</v>
      </c>
      <c r="N50" s="166" t="s">
        <v>244</v>
      </c>
      <c r="O50" s="166" t="s">
        <v>244</v>
      </c>
      <c r="P50" s="166" t="s">
        <v>244</v>
      </c>
      <c r="Q50" s="166" t="s">
        <v>244</v>
      </c>
      <c r="R50" s="166" t="s">
        <v>244</v>
      </c>
      <c r="S50" s="166" t="s">
        <v>244</v>
      </c>
      <c r="T50" s="164"/>
      <c r="U50" s="166" t="s">
        <v>80</v>
      </c>
      <c r="V50" s="166" t="s">
        <v>80</v>
      </c>
      <c r="W50" s="166" t="s">
        <v>80</v>
      </c>
      <c r="X50" s="166" t="s">
        <v>80</v>
      </c>
      <c r="Y50" s="164"/>
      <c r="Z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G50" s="164"/>
      <c r="BH50" s="164"/>
      <c r="BI50" s="164"/>
      <c r="BJ50" s="164"/>
      <c r="BK50" s="164"/>
      <c r="BL50" s="164"/>
      <c r="BM50" s="165" t="s">
        <v>132</v>
      </c>
      <c r="BN50" s="166" t="s">
        <v>132</v>
      </c>
      <c r="BO50" s="168" t="s">
        <v>132</v>
      </c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M50" s="164"/>
      <c r="CN50" s="164"/>
      <c r="CO50" s="164"/>
      <c r="CP50" s="164"/>
      <c r="CQ50" s="164"/>
      <c r="CR50" s="164"/>
      <c r="CS50" s="165" t="s">
        <v>132</v>
      </c>
      <c r="CT50" s="166" t="s">
        <v>132</v>
      </c>
      <c r="CU50" s="168" t="s">
        <v>132</v>
      </c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164"/>
      <c r="DM50" s="164"/>
      <c r="DN50" s="164"/>
      <c r="DO50" s="164"/>
      <c r="DP50" s="164"/>
    </row>
    <row r="51" ht="25.5" customHeight="1">
      <c r="B51" s="62" t="s">
        <v>480</v>
      </c>
      <c r="C51" s="75" t="s">
        <v>456</v>
      </c>
      <c r="D51" s="62" t="s">
        <v>479</v>
      </c>
      <c r="E51" s="62" t="str">
        <f t="shared" si="2"/>
        <v>Bantal Springback</v>
      </c>
      <c r="F51" s="74"/>
      <c r="G51" s="74">
        <v>50000.0</v>
      </c>
      <c r="H51" s="163">
        <v>46066.0</v>
      </c>
      <c r="J51" s="164"/>
      <c r="K51" s="164"/>
      <c r="L51" s="166" t="s">
        <v>54</v>
      </c>
      <c r="M51" s="166" t="s">
        <v>54</v>
      </c>
      <c r="N51" s="166" t="s">
        <v>54</v>
      </c>
      <c r="O51" s="166" t="s">
        <v>54</v>
      </c>
      <c r="P51" s="166" t="s">
        <v>54</v>
      </c>
      <c r="Q51" s="166" t="s">
        <v>54</v>
      </c>
      <c r="R51" s="167" t="s">
        <v>408</v>
      </c>
      <c r="S51" s="165" t="s">
        <v>73</v>
      </c>
      <c r="T51" s="165" t="s">
        <v>73</v>
      </c>
      <c r="U51" s="166" t="s">
        <v>80</v>
      </c>
      <c r="V51" s="166" t="s">
        <v>80</v>
      </c>
      <c r="W51" s="166" t="s">
        <v>80</v>
      </c>
      <c r="X51" s="166" t="s">
        <v>80</v>
      </c>
      <c r="Y51" s="164"/>
      <c r="Z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G51" s="164"/>
      <c r="BH51" s="164"/>
      <c r="BI51" s="164"/>
      <c r="BJ51" s="164"/>
      <c r="BK51" s="164"/>
      <c r="BL51" s="164"/>
      <c r="BM51" s="164"/>
      <c r="BN51" s="164"/>
      <c r="BO51" s="165" t="s">
        <v>135</v>
      </c>
      <c r="BP51" s="168" t="s">
        <v>135</v>
      </c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M51" s="164"/>
      <c r="CN51" s="164"/>
      <c r="CO51" s="164"/>
      <c r="CP51" s="164"/>
      <c r="CQ51" s="164"/>
      <c r="CR51" s="164"/>
      <c r="CS51" s="165" t="s">
        <v>132</v>
      </c>
      <c r="CT51" s="166" t="s">
        <v>132</v>
      </c>
      <c r="CU51" s="168" t="s">
        <v>132</v>
      </c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164"/>
      <c r="DM51" s="164"/>
      <c r="DN51" s="164"/>
      <c r="DO51" s="164"/>
      <c r="DP51" s="164"/>
    </row>
    <row r="52" ht="25.5" customHeight="1">
      <c r="B52" s="62" t="s">
        <v>481</v>
      </c>
      <c r="C52" s="75" t="s">
        <v>456</v>
      </c>
      <c r="D52" s="62" t="s">
        <v>479</v>
      </c>
      <c r="E52" s="62" t="str">
        <f t="shared" si="2"/>
        <v>Bantal Springback</v>
      </c>
      <c r="F52" s="74"/>
      <c r="G52" s="74">
        <v>50000.0</v>
      </c>
      <c r="H52" s="163">
        <v>46066.0</v>
      </c>
      <c r="J52" s="164"/>
      <c r="K52" s="164"/>
      <c r="L52" s="166" t="s">
        <v>54</v>
      </c>
      <c r="M52" s="166" t="s">
        <v>54</v>
      </c>
      <c r="N52" s="166" t="s">
        <v>54</v>
      </c>
      <c r="O52" s="166" t="s">
        <v>54</v>
      </c>
      <c r="P52" s="166" t="s">
        <v>54</v>
      </c>
      <c r="Q52" s="166" t="s">
        <v>54</v>
      </c>
      <c r="R52" s="167" t="s">
        <v>408</v>
      </c>
      <c r="S52" s="165" t="s">
        <v>73</v>
      </c>
      <c r="T52" s="165" t="s">
        <v>73</v>
      </c>
      <c r="U52" s="166" t="s">
        <v>80</v>
      </c>
      <c r="V52" s="166" t="s">
        <v>80</v>
      </c>
      <c r="W52" s="166" t="s">
        <v>80</v>
      </c>
      <c r="X52" s="166" t="s">
        <v>80</v>
      </c>
      <c r="Y52" s="164"/>
      <c r="Z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G52" s="164"/>
      <c r="BH52" s="164"/>
      <c r="BI52" s="164"/>
      <c r="BJ52" s="164"/>
      <c r="BK52" s="164"/>
      <c r="BL52" s="164"/>
      <c r="BM52" s="164"/>
      <c r="BN52" s="164"/>
      <c r="BO52" s="165" t="s">
        <v>135</v>
      </c>
      <c r="BP52" s="168" t="s">
        <v>135</v>
      </c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M52" s="164"/>
      <c r="CN52" s="164"/>
      <c r="CO52" s="164"/>
      <c r="CP52" s="164"/>
      <c r="CQ52" s="164"/>
      <c r="CR52" s="164"/>
      <c r="CS52" s="164"/>
      <c r="CT52" s="164"/>
      <c r="CU52" s="165" t="s">
        <v>135</v>
      </c>
      <c r="CV52" s="168" t="s">
        <v>135</v>
      </c>
      <c r="CW52" s="164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164"/>
      <c r="DN52" s="164"/>
      <c r="DO52" s="164"/>
      <c r="DP52" s="164"/>
    </row>
    <row r="53" ht="25.5" customHeight="1">
      <c r="B53" s="62" t="s">
        <v>482</v>
      </c>
      <c r="C53" s="75" t="s">
        <v>456</v>
      </c>
      <c r="D53" s="62" t="s">
        <v>479</v>
      </c>
      <c r="E53" s="62" t="str">
        <f t="shared" si="2"/>
        <v>Bantal Springback</v>
      </c>
      <c r="F53" s="74"/>
      <c r="G53" s="74">
        <v>50000.0</v>
      </c>
      <c r="H53" s="163">
        <v>46066.0</v>
      </c>
      <c r="J53" s="164"/>
      <c r="K53" s="164"/>
      <c r="L53" s="166" t="s">
        <v>54</v>
      </c>
      <c r="M53" s="166" t="s">
        <v>54</v>
      </c>
      <c r="N53" s="166" t="s">
        <v>54</v>
      </c>
      <c r="O53" s="166" t="s">
        <v>54</v>
      </c>
      <c r="P53" s="166" t="s">
        <v>54</v>
      </c>
      <c r="Q53" s="166" t="s">
        <v>54</v>
      </c>
      <c r="R53" s="167" t="s">
        <v>408</v>
      </c>
      <c r="S53" s="165" t="s">
        <v>73</v>
      </c>
      <c r="T53" s="165" t="s">
        <v>73</v>
      </c>
      <c r="U53" s="166" t="s">
        <v>80</v>
      </c>
      <c r="V53" s="166" t="s">
        <v>80</v>
      </c>
      <c r="W53" s="166" t="s">
        <v>80</v>
      </c>
      <c r="X53" s="166" t="s">
        <v>80</v>
      </c>
      <c r="Y53" s="164"/>
      <c r="Z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G53" s="164"/>
      <c r="BH53" s="164"/>
      <c r="BI53" s="164"/>
      <c r="BJ53" s="164"/>
      <c r="BK53" s="164"/>
      <c r="BL53" s="164"/>
      <c r="BM53" s="165" t="s">
        <v>132</v>
      </c>
      <c r="BN53" s="166" t="s">
        <v>132</v>
      </c>
      <c r="BO53" s="168" t="s">
        <v>132</v>
      </c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M53" s="164"/>
      <c r="CN53" s="164"/>
      <c r="CO53" s="164"/>
      <c r="CP53" s="164"/>
      <c r="CQ53" s="164"/>
      <c r="CR53" s="164"/>
      <c r="CS53" s="164"/>
      <c r="CT53" s="164"/>
      <c r="CU53" s="165" t="s">
        <v>135</v>
      </c>
      <c r="CV53" s="168" t="s">
        <v>135</v>
      </c>
      <c r="CW53" s="164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164"/>
      <c r="DO53" s="164"/>
      <c r="DP53" s="164"/>
    </row>
    <row r="54" ht="25.5" customHeight="1">
      <c r="B54" s="62" t="s">
        <v>483</v>
      </c>
      <c r="C54" s="75" t="s">
        <v>456</v>
      </c>
      <c r="D54" s="62" t="s">
        <v>479</v>
      </c>
      <c r="E54" s="62" t="str">
        <f t="shared" si="2"/>
        <v>Bantal Springback</v>
      </c>
      <c r="F54" s="74"/>
      <c r="G54" s="74">
        <v>50000.0</v>
      </c>
      <c r="H54" s="163">
        <v>46066.0</v>
      </c>
      <c r="J54" s="166" t="s">
        <v>422</v>
      </c>
      <c r="K54" s="166" t="s">
        <v>422</v>
      </c>
      <c r="L54" s="166" t="s">
        <v>422</v>
      </c>
      <c r="M54" s="164"/>
      <c r="N54" s="166" t="s">
        <v>422</v>
      </c>
      <c r="O54" s="166" t="s">
        <v>422</v>
      </c>
      <c r="P54" s="166" t="s">
        <v>422</v>
      </c>
      <c r="Q54" s="166" t="s">
        <v>422</v>
      </c>
      <c r="R54" s="165" t="s">
        <v>73</v>
      </c>
      <c r="S54" s="165" t="s">
        <v>73</v>
      </c>
      <c r="T54" s="165" t="s">
        <v>73</v>
      </c>
      <c r="U54" s="166" t="s">
        <v>80</v>
      </c>
      <c r="V54" s="166" t="s">
        <v>80</v>
      </c>
      <c r="W54" s="166" t="s">
        <v>80</v>
      </c>
      <c r="X54" s="166" t="s">
        <v>80</v>
      </c>
      <c r="Y54" s="164"/>
      <c r="Z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G54" s="164"/>
      <c r="BH54" s="164"/>
      <c r="BI54" s="164"/>
      <c r="BJ54" s="164"/>
      <c r="BK54" s="164"/>
      <c r="BL54" s="164"/>
      <c r="BM54" s="165" t="s">
        <v>132</v>
      </c>
      <c r="BN54" s="166" t="s">
        <v>132</v>
      </c>
      <c r="BO54" s="168" t="s">
        <v>132</v>
      </c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M54" s="164"/>
      <c r="CN54" s="164"/>
      <c r="CO54" s="164"/>
      <c r="CP54" s="164"/>
      <c r="CQ54" s="164"/>
      <c r="CR54" s="164"/>
      <c r="CS54" s="165" t="s">
        <v>132</v>
      </c>
      <c r="CT54" s="166" t="s">
        <v>132</v>
      </c>
      <c r="CU54" s="168" t="s">
        <v>132</v>
      </c>
      <c r="CV54" s="164"/>
      <c r="CW54" s="164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164"/>
      <c r="DP54" s="164"/>
    </row>
    <row r="55" ht="25.5" customHeight="1">
      <c r="B55" s="62" t="s">
        <v>484</v>
      </c>
      <c r="C55" s="75" t="s">
        <v>456</v>
      </c>
      <c r="D55" s="62" t="s">
        <v>479</v>
      </c>
      <c r="E55" s="62" t="str">
        <f t="shared" si="2"/>
        <v>Bantal Springback</v>
      </c>
      <c r="F55" s="74"/>
      <c r="G55" s="74">
        <v>50000.0</v>
      </c>
      <c r="H55" s="163">
        <v>46066.0</v>
      </c>
      <c r="J55" s="166" t="s">
        <v>422</v>
      </c>
      <c r="K55" s="166" t="s">
        <v>422</v>
      </c>
      <c r="L55" s="166" t="s">
        <v>422</v>
      </c>
      <c r="M55" s="164"/>
      <c r="N55" s="166" t="s">
        <v>422</v>
      </c>
      <c r="O55" s="166" t="s">
        <v>422</v>
      </c>
      <c r="P55" s="166" t="s">
        <v>422</v>
      </c>
      <c r="Q55" s="166" t="s">
        <v>422</v>
      </c>
      <c r="R55" s="165" t="s">
        <v>73</v>
      </c>
      <c r="S55" s="165" t="s">
        <v>73</v>
      </c>
      <c r="T55" s="165" t="s">
        <v>73</v>
      </c>
      <c r="U55" s="180"/>
      <c r="V55" s="180"/>
      <c r="W55" s="180"/>
      <c r="X55" s="180"/>
      <c r="Y55" s="164"/>
      <c r="Z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G55" s="164"/>
      <c r="BH55" s="164"/>
      <c r="BI55" s="164"/>
      <c r="BJ55" s="164"/>
      <c r="BK55" s="164"/>
      <c r="BL55" s="164"/>
      <c r="BM55" s="165" t="s">
        <v>132</v>
      </c>
      <c r="BN55" s="166" t="s">
        <v>132</v>
      </c>
      <c r="BO55" s="168" t="s">
        <v>132</v>
      </c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M55" s="164"/>
      <c r="CN55" s="164"/>
      <c r="CO55" s="164"/>
      <c r="CP55" s="164"/>
      <c r="CQ55" s="164"/>
      <c r="CR55" s="164"/>
      <c r="CS55" s="165" t="s">
        <v>132</v>
      </c>
      <c r="CT55" s="166" t="s">
        <v>132</v>
      </c>
      <c r="CU55" s="168" t="s">
        <v>132</v>
      </c>
      <c r="CV55" s="164"/>
      <c r="CW55" s="164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164"/>
    </row>
    <row r="56" ht="25.5" customHeight="1">
      <c r="B56" s="62"/>
      <c r="C56" s="75" t="s">
        <v>456</v>
      </c>
      <c r="D56" s="62" t="s">
        <v>485</v>
      </c>
      <c r="E56" s="62" t="str">
        <f t="shared" si="2"/>
        <v>Bantal AFIF</v>
      </c>
      <c r="F56" s="74"/>
      <c r="G56" s="74"/>
      <c r="H56" s="163"/>
      <c r="J56" s="164"/>
      <c r="K56" s="164"/>
      <c r="L56" s="164"/>
      <c r="M56" s="164"/>
      <c r="N56" s="166" t="s">
        <v>422</v>
      </c>
      <c r="O56" s="166" t="s">
        <v>422</v>
      </c>
      <c r="P56" s="166" t="s">
        <v>422</v>
      </c>
      <c r="Q56" s="166" t="s">
        <v>422</v>
      </c>
      <c r="R56" s="168" t="s">
        <v>77</v>
      </c>
      <c r="S56" s="168" t="s">
        <v>77</v>
      </c>
      <c r="T56" s="168" t="s">
        <v>77</v>
      </c>
      <c r="U56" s="168" t="s">
        <v>77</v>
      </c>
      <c r="V56" s="168" t="s">
        <v>77</v>
      </c>
      <c r="W56" s="164"/>
      <c r="X56" s="164"/>
      <c r="Y56" s="164"/>
      <c r="Z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G56" s="164"/>
      <c r="BH56" s="164"/>
      <c r="BI56" s="164"/>
      <c r="BJ56" s="164"/>
      <c r="BK56" s="164"/>
      <c r="BL56" s="164"/>
      <c r="BM56" s="165" t="s">
        <v>132</v>
      </c>
      <c r="BN56" s="166" t="s">
        <v>132</v>
      </c>
      <c r="BO56" s="168" t="s">
        <v>132</v>
      </c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M56" s="164"/>
      <c r="CN56" s="164"/>
      <c r="CO56" s="164"/>
      <c r="CP56" s="164"/>
      <c r="CQ56" s="164"/>
      <c r="CR56" s="164"/>
      <c r="CS56" s="165" t="s">
        <v>132</v>
      </c>
      <c r="CT56" s="166" t="s">
        <v>132</v>
      </c>
      <c r="CU56" s="168" t="s">
        <v>132</v>
      </c>
      <c r="CV56" s="164"/>
      <c r="CW56" s="164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</row>
    <row r="57" ht="25.5" customHeight="1">
      <c r="B57" s="62"/>
      <c r="C57" s="75" t="s">
        <v>456</v>
      </c>
      <c r="D57" s="62" t="s">
        <v>485</v>
      </c>
      <c r="E57" s="62" t="str">
        <f t="shared" si="2"/>
        <v>Bantal AFIF</v>
      </c>
      <c r="F57" s="74"/>
      <c r="G57" s="74"/>
      <c r="H57" s="163"/>
      <c r="J57" s="164"/>
      <c r="K57" s="164"/>
      <c r="L57" s="164"/>
      <c r="M57" s="164"/>
      <c r="N57" s="166" t="s">
        <v>422</v>
      </c>
      <c r="O57" s="166" t="s">
        <v>422</v>
      </c>
      <c r="P57" s="166" t="s">
        <v>422</v>
      </c>
      <c r="Q57" s="166" t="s">
        <v>422</v>
      </c>
      <c r="R57" s="168" t="s">
        <v>77</v>
      </c>
      <c r="S57" s="168" t="s">
        <v>77</v>
      </c>
      <c r="T57" s="168" t="s">
        <v>77</v>
      </c>
      <c r="U57" s="168" t="s">
        <v>77</v>
      </c>
      <c r="V57" s="168" t="s">
        <v>77</v>
      </c>
      <c r="W57" s="164"/>
      <c r="X57" s="164"/>
      <c r="Y57" s="164"/>
      <c r="Z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G57" s="164"/>
      <c r="BH57" s="164"/>
      <c r="BI57" s="164"/>
      <c r="BJ57" s="164"/>
      <c r="BK57" s="164"/>
      <c r="BL57" s="164"/>
      <c r="BM57" s="165" t="s">
        <v>132</v>
      </c>
      <c r="BN57" s="166" t="s">
        <v>132</v>
      </c>
      <c r="BO57" s="168" t="s">
        <v>132</v>
      </c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M57" s="164"/>
      <c r="CN57" s="164"/>
      <c r="CO57" s="164"/>
      <c r="CP57" s="164"/>
      <c r="CQ57" s="164"/>
      <c r="CR57" s="164"/>
      <c r="CS57" s="165" t="s">
        <v>132</v>
      </c>
      <c r="CT57" s="166" t="s">
        <v>132</v>
      </c>
      <c r="CU57" s="168" t="s">
        <v>132</v>
      </c>
      <c r="CV57" s="164"/>
      <c r="CW57" s="164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</row>
    <row r="58" ht="25.5" customHeight="1">
      <c r="B58" s="62" t="s">
        <v>486</v>
      </c>
      <c r="C58" s="75" t="s">
        <v>456</v>
      </c>
      <c r="D58" s="62" t="s">
        <v>479</v>
      </c>
      <c r="E58" s="62" t="str">
        <f t="shared" si="2"/>
        <v>Bantal Springback</v>
      </c>
      <c r="F58" s="74"/>
      <c r="G58" s="74">
        <v>50000.0</v>
      </c>
      <c r="H58" s="163">
        <v>46066.0</v>
      </c>
      <c r="J58" s="164"/>
      <c r="K58" s="164"/>
      <c r="L58" s="171" t="s">
        <v>64</v>
      </c>
      <c r="M58" s="171" t="s">
        <v>64</v>
      </c>
      <c r="N58" s="171" t="s">
        <v>64</v>
      </c>
      <c r="O58" s="171" t="s">
        <v>64</v>
      </c>
      <c r="P58" s="164"/>
      <c r="Q58" s="169"/>
      <c r="R58" s="165" t="s">
        <v>73</v>
      </c>
      <c r="S58" s="165" t="s">
        <v>73</v>
      </c>
      <c r="T58" s="165" t="s">
        <v>73</v>
      </c>
      <c r="U58" s="164"/>
      <c r="V58" s="164"/>
      <c r="W58" s="164"/>
      <c r="X58" s="164"/>
      <c r="Y58" s="164"/>
      <c r="Z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G58" s="164"/>
      <c r="BH58" s="164"/>
      <c r="BI58" s="164"/>
      <c r="BJ58" s="164"/>
      <c r="BK58" s="164"/>
      <c r="BL58" s="164"/>
      <c r="BM58" s="165" t="s">
        <v>132</v>
      </c>
      <c r="BN58" s="166" t="s">
        <v>132</v>
      </c>
      <c r="BO58" s="168" t="s">
        <v>132</v>
      </c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M58" s="164"/>
      <c r="CN58" s="164"/>
      <c r="CO58" s="164"/>
      <c r="CP58" s="164"/>
      <c r="CQ58" s="164"/>
      <c r="CR58" s="164"/>
      <c r="CS58" s="165" t="s">
        <v>132</v>
      </c>
      <c r="CT58" s="166" t="s">
        <v>132</v>
      </c>
      <c r="CU58" s="168" t="s">
        <v>132</v>
      </c>
      <c r="CV58" s="164"/>
      <c r="CW58" s="164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</row>
    <row r="59" ht="25.5" customHeight="1">
      <c r="B59" s="62" t="s">
        <v>487</v>
      </c>
      <c r="C59" s="75" t="s">
        <v>456</v>
      </c>
      <c r="D59" s="62" t="s">
        <v>479</v>
      </c>
      <c r="E59" s="62" t="str">
        <f t="shared" si="2"/>
        <v>Bantal Springback</v>
      </c>
      <c r="F59" s="74"/>
      <c r="G59" s="74">
        <v>50000.0</v>
      </c>
      <c r="H59" s="163">
        <v>46067.0</v>
      </c>
      <c r="J59" s="164"/>
      <c r="K59" s="164"/>
      <c r="L59" s="164"/>
      <c r="M59" s="164"/>
      <c r="N59" s="181"/>
      <c r="O59" s="181"/>
      <c r="P59" s="181"/>
      <c r="Q59" s="182"/>
      <c r="R59" s="165" t="s">
        <v>73</v>
      </c>
      <c r="S59" s="165" t="s">
        <v>73</v>
      </c>
      <c r="T59" s="165" t="s">
        <v>73</v>
      </c>
      <c r="U59" s="164"/>
      <c r="V59" s="164"/>
      <c r="W59" s="164"/>
      <c r="X59" s="164"/>
      <c r="Y59" s="164"/>
      <c r="Z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G59" s="164"/>
      <c r="BH59" s="164"/>
      <c r="BI59" s="164"/>
      <c r="BJ59" s="164"/>
      <c r="BK59" s="164"/>
      <c r="BL59" s="164"/>
      <c r="BM59" s="165" t="s">
        <v>132</v>
      </c>
      <c r="BN59" s="166" t="s">
        <v>132</v>
      </c>
      <c r="BO59" s="168" t="s">
        <v>132</v>
      </c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M59" s="164"/>
      <c r="CN59" s="164"/>
      <c r="CO59" s="164"/>
      <c r="CP59" s="164"/>
      <c r="CQ59" s="164"/>
      <c r="CR59" s="164"/>
      <c r="CS59" s="165" t="s">
        <v>132</v>
      </c>
      <c r="CT59" s="166" t="s">
        <v>132</v>
      </c>
      <c r="CU59" s="168" t="s">
        <v>132</v>
      </c>
      <c r="CV59" s="164"/>
      <c r="CW59" s="164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</row>
    <row r="60" ht="25.5" customHeight="1">
      <c r="B60" s="62" t="s">
        <v>488</v>
      </c>
      <c r="C60" s="75" t="s">
        <v>456</v>
      </c>
      <c r="D60" s="62" t="s">
        <v>479</v>
      </c>
      <c r="E60" s="62" t="str">
        <f t="shared" si="2"/>
        <v>Bantal Springback</v>
      </c>
      <c r="F60" s="74"/>
      <c r="G60" s="74">
        <v>50000.0</v>
      </c>
      <c r="H60" s="163">
        <v>46067.0</v>
      </c>
      <c r="J60" s="164"/>
      <c r="K60" s="164"/>
      <c r="L60" s="164"/>
      <c r="M60" s="164"/>
      <c r="N60" s="181"/>
      <c r="O60" s="181"/>
      <c r="P60" s="181"/>
      <c r="Q60" s="182"/>
      <c r="R60" s="165" t="s">
        <v>73</v>
      </c>
      <c r="S60" s="165" t="s">
        <v>73</v>
      </c>
      <c r="T60" s="165" t="s">
        <v>73</v>
      </c>
      <c r="U60" s="164"/>
      <c r="V60" s="164"/>
      <c r="W60" s="164"/>
      <c r="X60" s="164"/>
      <c r="Y60" s="164"/>
      <c r="Z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G60" s="164"/>
      <c r="BH60" s="164"/>
      <c r="BI60" s="164"/>
      <c r="BJ60" s="164"/>
      <c r="BK60" s="164"/>
      <c r="BL60" s="164"/>
      <c r="BM60" s="165" t="s">
        <v>132</v>
      </c>
      <c r="BN60" s="166" t="s">
        <v>132</v>
      </c>
      <c r="BO60" s="168" t="s">
        <v>132</v>
      </c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M60" s="164"/>
      <c r="CN60" s="164"/>
      <c r="CO60" s="164"/>
      <c r="CP60" s="164"/>
      <c r="CQ60" s="164"/>
      <c r="CR60" s="164"/>
      <c r="CS60" s="165" t="s">
        <v>132</v>
      </c>
      <c r="CT60" s="166" t="s">
        <v>132</v>
      </c>
      <c r="CU60" s="168" t="s">
        <v>132</v>
      </c>
      <c r="CV60" s="164"/>
      <c r="CW60" s="164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</row>
    <row r="61" ht="25.5" customHeight="1">
      <c r="B61" s="62"/>
      <c r="C61" s="75" t="s">
        <v>456</v>
      </c>
      <c r="D61" s="62" t="s">
        <v>489</v>
      </c>
      <c r="E61" s="62" t="str">
        <f t="shared" si="2"/>
        <v>Bantal baru sm</v>
      </c>
      <c r="F61" s="74"/>
      <c r="G61" s="74"/>
      <c r="H61" s="163"/>
      <c r="J61" s="164"/>
      <c r="K61" s="164"/>
      <c r="L61" s="164"/>
      <c r="M61" s="164"/>
      <c r="N61" s="181"/>
      <c r="O61" s="181"/>
      <c r="P61" s="181"/>
      <c r="Q61" s="182"/>
      <c r="R61" s="168" t="s">
        <v>77</v>
      </c>
      <c r="S61" s="168" t="s">
        <v>77</v>
      </c>
      <c r="T61" s="168" t="s">
        <v>77</v>
      </c>
      <c r="U61" s="168" t="s">
        <v>77</v>
      </c>
      <c r="V61" s="168" t="s">
        <v>77</v>
      </c>
      <c r="W61" s="164"/>
      <c r="X61" s="164"/>
      <c r="Y61" s="164"/>
      <c r="Z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G61" s="164"/>
      <c r="BH61" s="164"/>
      <c r="BI61" s="164"/>
      <c r="BJ61" s="164"/>
      <c r="BK61" s="164"/>
      <c r="BL61" s="164"/>
      <c r="BM61" s="165" t="s">
        <v>132</v>
      </c>
      <c r="BN61" s="166" t="s">
        <v>132</v>
      </c>
      <c r="BO61" s="168" t="s">
        <v>132</v>
      </c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M61" s="164"/>
      <c r="CN61" s="164"/>
      <c r="CO61" s="164"/>
      <c r="CP61" s="164"/>
      <c r="CQ61" s="164"/>
      <c r="CR61" s="164"/>
      <c r="CS61" s="165" t="s">
        <v>132</v>
      </c>
      <c r="CT61" s="166" t="s">
        <v>132</v>
      </c>
      <c r="CU61" s="168" t="s">
        <v>132</v>
      </c>
      <c r="CV61" s="164"/>
      <c r="CW61" s="164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</row>
    <row r="62" ht="25.5" customHeight="1">
      <c r="B62" s="62"/>
      <c r="C62" s="75" t="s">
        <v>456</v>
      </c>
      <c r="D62" s="62" t="s">
        <v>489</v>
      </c>
      <c r="E62" s="62" t="str">
        <f t="shared" si="2"/>
        <v>Bantal baru sm</v>
      </c>
      <c r="F62" s="74"/>
      <c r="G62" s="74"/>
      <c r="H62" s="163"/>
      <c r="J62" s="164"/>
      <c r="K62" s="164"/>
      <c r="L62" s="164"/>
      <c r="M62" s="164"/>
      <c r="N62" s="181"/>
      <c r="O62" s="181"/>
      <c r="P62" s="181"/>
      <c r="Q62" s="182"/>
      <c r="R62" s="168" t="s">
        <v>77</v>
      </c>
      <c r="S62" s="168" t="s">
        <v>77</v>
      </c>
      <c r="T62" s="168" t="s">
        <v>77</v>
      </c>
      <c r="U62" s="168" t="s">
        <v>77</v>
      </c>
      <c r="V62" s="168" t="s">
        <v>77</v>
      </c>
      <c r="W62" s="164"/>
      <c r="X62" s="164"/>
      <c r="Y62" s="164"/>
      <c r="Z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G62" s="164"/>
      <c r="BH62" s="164"/>
      <c r="BI62" s="164"/>
      <c r="BJ62" s="164"/>
      <c r="BK62" s="164"/>
      <c r="BL62" s="164"/>
      <c r="BM62" s="165" t="s">
        <v>132</v>
      </c>
      <c r="BN62" s="166" t="s">
        <v>132</v>
      </c>
      <c r="BO62" s="168" t="s">
        <v>132</v>
      </c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M62" s="164"/>
      <c r="CN62" s="164"/>
      <c r="CO62" s="164"/>
      <c r="CP62" s="164"/>
      <c r="CQ62" s="164"/>
      <c r="CR62" s="164"/>
      <c r="CS62" s="165" t="s">
        <v>132</v>
      </c>
      <c r="CT62" s="166" t="s">
        <v>132</v>
      </c>
      <c r="CU62" s="168" t="s">
        <v>132</v>
      </c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</row>
    <row r="63" ht="25.5" customHeight="1">
      <c r="B63" s="62"/>
      <c r="C63" s="75" t="s">
        <v>456</v>
      </c>
      <c r="D63" s="62" t="s">
        <v>489</v>
      </c>
      <c r="E63" s="62" t="str">
        <f t="shared" si="2"/>
        <v>Bantal baru sm</v>
      </c>
      <c r="F63" s="74"/>
      <c r="G63" s="74"/>
      <c r="H63" s="163"/>
      <c r="J63" s="164"/>
      <c r="K63" s="164"/>
      <c r="L63" s="164"/>
      <c r="M63" s="164"/>
      <c r="N63" s="181"/>
      <c r="O63" s="181"/>
      <c r="P63" s="181"/>
      <c r="Q63" s="182"/>
      <c r="R63" s="168" t="s">
        <v>77</v>
      </c>
      <c r="S63" s="168" t="s">
        <v>77</v>
      </c>
      <c r="T63" s="168" t="s">
        <v>77</v>
      </c>
      <c r="U63" s="168" t="s">
        <v>77</v>
      </c>
      <c r="V63" s="168" t="s">
        <v>77</v>
      </c>
      <c r="W63" s="164"/>
      <c r="X63" s="164"/>
      <c r="Y63" s="164"/>
      <c r="Z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G63" s="164"/>
      <c r="BH63" s="164"/>
      <c r="BI63" s="164"/>
      <c r="BJ63" s="164"/>
      <c r="BK63" s="164"/>
      <c r="BL63" s="164"/>
      <c r="BM63" s="165" t="s">
        <v>132</v>
      </c>
      <c r="BN63" s="166" t="s">
        <v>132</v>
      </c>
      <c r="BO63" s="168" t="s">
        <v>132</v>
      </c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M63" s="164"/>
      <c r="CN63" s="164"/>
      <c r="CO63" s="164"/>
      <c r="CP63" s="164"/>
      <c r="CQ63" s="164"/>
      <c r="CR63" s="164"/>
      <c r="CS63" s="165" t="s">
        <v>132</v>
      </c>
      <c r="CT63" s="166" t="s">
        <v>132</v>
      </c>
      <c r="CU63" s="168" t="s">
        <v>132</v>
      </c>
      <c r="CV63" s="164"/>
      <c r="CW63" s="164"/>
      <c r="CX63" s="164"/>
      <c r="CY63" s="164"/>
      <c r="CZ63" s="164"/>
      <c r="DA63" s="164"/>
      <c r="DB63" s="164"/>
      <c r="DC63" s="164"/>
      <c r="DD63" s="164"/>
      <c r="DE63" s="164"/>
      <c r="DF63" s="164"/>
      <c r="DG63" s="164"/>
      <c r="DH63" s="164"/>
      <c r="DI63" s="164"/>
      <c r="DJ63" s="164"/>
      <c r="DK63" s="164"/>
      <c r="DL63" s="164"/>
      <c r="DM63" s="164"/>
      <c r="DN63" s="164"/>
      <c r="DO63" s="164"/>
      <c r="DP63" s="164"/>
    </row>
    <row r="64" ht="25.5" customHeight="1">
      <c r="B64" s="62" t="s">
        <v>490</v>
      </c>
      <c r="C64" s="75" t="s">
        <v>491</v>
      </c>
      <c r="D64" s="62" t="s">
        <v>457</v>
      </c>
      <c r="E64" s="62" t="str">
        <f t="shared" si="2"/>
        <v>Guling Comfy</v>
      </c>
      <c r="F64" s="74"/>
      <c r="G64" s="74">
        <v>45000.0</v>
      </c>
      <c r="H64" s="163">
        <v>46073.0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G64" s="164"/>
      <c r="BH64" s="164"/>
      <c r="BI64" s="164"/>
      <c r="BJ64" s="164"/>
      <c r="BK64" s="164"/>
      <c r="BL64" s="164"/>
      <c r="BM64" s="165" t="s">
        <v>132</v>
      </c>
      <c r="BN64" s="166" t="s">
        <v>132</v>
      </c>
      <c r="BO64" s="168" t="s">
        <v>132</v>
      </c>
      <c r="BP64" s="164"/>
      <c r="BQ64" s="164"/>
      <c r="BR64" s="164"/>
      <c r="BS64" s="164"/>
      <c r="BT64" s="164"/>
      <c r="BU64" s="164"/>
      <c r="BV64" s="164"/>
      <c r="BW64" s="166" t="s">
        <v>165</v>
      </c>
      <c r="BX64" s="166" t="s">
        <v>165</v>
      </c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6" t="s">
        <v>185</v>
      </c>
      <c r="CJ64" s="166" t="s">
        <v>185</v>
      </c>
      <c r="CK64" s="166" t="s">
        <v>185</v>
      </c>
      <c r="CM64" s="166" t="s">
        <v>185</v>
      </c>
      <c r="CN64" s="164"/>
      <c r="CO64" s="164"/>
      <c r="CP64" s="164"/>
      <c r="CQ64" s="164"/>
      <c r="CR64" s="164"/>
      <c r="CS64" s="165" t="s">
        <v>132</v>
      </c>
      <c r="CT64" s="166" t="s">
        <v>132</v>
      </c>
      <c r="CU64" s="168" t="s">
        <v>132</v>
      </c>
      <c r="CV64" s="164"/>
      <c r="CW64" s="164"/>
      <c r="CX64" s="164"/>
      <c r="CY64" s="164"/>
      <c r="CZ64" s="164"/>
      <c r="DA64" s="164"/>
      <c r="DB64" s="164"/>
      <c r="DC64" s="164"/>
      <c r="DD64" s="164"/>
      <c r="DE64" s="164"/>
      <c r="DF64" s="164"/>
      <c r="DG64" s="164"/>
      <c r="DH64" s="164"/>
      <c r="DI64" s="164"/>
      <c r="DJ64" s="164"/>
      <c r="DK64" s="164"/>
      <c r="DL64" s="164"/>
      <c r="DM64" s="164"/>
      <c r="DN64" s="164"/>
      <c r="DO64" s="164"/>
      <c r="DP64" s="164"/>
    </row>
    <row r="65" ht="25.5" customHeight="1">
      <c r="B65" s="62" t="s">
        <v>492</v>
      </c>
      <c r="C65" s="75" t="s">
        <v>491</v>
      </c>
      <c r="D65" s="62" t="s">
        <v>457</v>
      </c>
      <c r="E65" s="62" t="str">
        <f t="shared" si="2"/>
        <v>Guling Comfy</v>
      </c>
      <c r="F65" s="74"/>
      <c r="G65" s="74">
        <v>45000.0</v>
      </c>
      <c r="H65" s="163">
        <v>46073.0</v>
      </c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G65" s="164"/>
      <c r="BH65" s="164"/>
      <c r="BI65" s="164"/>
      <c r="BJ65" s="164"/>
      <c r="BK65" s="164"/>
      <c r="BL65" s="164"/>
      <c r="BM65" s="165" t="s">
        <v>132</v>
      </c>
      <c r="BN65" s="166" t="s">
        <v>132</v>
      </c>
      <c r="BO65" s="168" t="s">
        <v>132</v>
      </c>
      <c r="BP65" s="164"/>
      <c r="BQ65" s="164"/>
      <c r="BR65" s="164"/>
      <c r="BS65" s="164"/>
      <c r="BT65" s="164"/>
      <c r="BU65" s="164"/>
      <c r="BV65" s="164"/>
      <c r="BW65" s="166" t="s">
        <v>165</v>
      </c>
      <c r="BX65" s="166" t="s">
        <v>165</v>
      </c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M65" s="164"/>
      <c r="CN65" s="164"/>
      <c r="CO65" s="164"/>
      <c r="CP65" s="164"/>
      <c r="CQ65" s="164"/>
      <c r="CR65" s="164"/>
      <c r="CS65" s="165" t="s">
        <v>132</v>
      </c>
      <c r="CT65" s="166" t="s">
        <v>132</v>
      </c>
      <c r="CU65" s="168" t="s">
        <v>132</v>
      </c>
      <c r="CV65" s="164"/>
      <c r="CW65" s="164"/>
      <c r="CX65" s="164"/>
      <c r="CY65" s="164"/>
      <c r="CZ65" s="164"/>
      <c r="DA65" s="164"/>
      <c r="DB65" s="164"/>
      <c r="DC65" s="164"/>
      <c r="DD65" s="164"/>
      <c r="DE65" s="164"/>
      <c r="DF65" s="164"/>
      <c r="DG65" s="164"/>
      <c r="DH65" s="164"/>
      <c r="DI65" s="164"/>
      <c r="DJ65" s="164"/>
      <c r="DK65" s="164"/>
      <c r="DL65" s="164"/>
      <c r="DM65" s="164"/>
      <c r="DN65" s="164"/>
      <c r="DO65" s="164"/>
      <c r="DP65" s="164"/>
    </row>
    <row r="66" ht="25.5" customHeight="1">
      <c r="B66" s="62" t="s">
        <v>493</v>
      </c>
      <c r="C66" s="75" t="s">
        <v>491</v>
      </c>
      <c r="D66" s="62" t="s">
        <v>457</v>
      </c>
      <c r="E66" s="62" t="str">
        <f t="shared" si="2"/>
        <v>Guling Comfy</v>
      </c>
      <c r="F66" s="74"/>
      <c r="G66" s="74">
        <v>45000.0</v>
      </c>
      <c r="H66" s="163">
        <v>46073.0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G66" s="164"/>
      <c r="BH66" s="164"/>
      <c r="BI66" s="164"/>
      <c r="BJ66" s="164"/>
      <c r="BK66" s="164"/>
      <c r="BL66" s="164"/>
      <c r="BM66" s="165" t="s">
        <v>132</v>
      </c>
      <c r="BN66" s="166" t="s">
        <v>132</v>
      </c>
      <c r="BO66" s="168" t="s">
        <v>132</v>
      </c>
      <c r="BP66" s="164"/>
      <c r="BQ66" s="164"/>
      <c r="BR66" s="164"/>
      <c r="BS66" s="164"/>
      <c r="BT66" s="164"/>
      <c r="BU66" s="164"/>
      <c r="BV66" s="164"/>
      <c r="BW66" s="166" t="s">
        <v>165</v>
      </c>
      <c r="BX66" s="166" t="s">
        <v>165</v>
      </c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M66" s="164"/>
      <c r="CN66" s="164"/>
      <c r="CO66" s="164"/>
      <c r="CP66" s="164"/>
      <c r="CQ66" s="164"/>
      <c r="CR66" s="164"/>
      <c r="CS66" s="165" t="s">
        <v>132</v>
      </c>
      <c r="CT66" s="166" t="s">
        <v>132</v>
      </c>
      <c r="CU66" s="168" t="s">
        <v>132</v>
      </c>
      <c r="CV66" s="164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164"/>
    </row>
    <row r="67" ht="25.5" customHeight="1">
      <c r="B67" s="62" t="s">
        <v>494</v>
      </c>
      <c r="C67" s="75" t="s">
        <v>491</v>
      </c>
      <c r="D67" s="62" t="s">
        <v>457</v>
      </c>
      <c r="E67" s="62" t="str">
        <f t="shared" si="2"/>
        <v>Guling Comfy</v>
      </c>
      <c r="F67" s="74"/>
      <c r="G67" s="74">
        <v>45000.0</v>
      </c>
      <c r="H67" s="163">
        <v>46073.0</v>
      </c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G67" s="164"/>
      <c r="BH67" s="164"/>
      <c r="BI67" s="164"/>
      <c r="BJ67" s="164"/>
      <c r="BK67" s="164"/>
      <c r="BL67" s="164"/>
      <c r="BM67" s="165" t="s">
        <v>132</v>
      </c>
      <c r="BN67" s="166" t="s">
        <v>132</v>
      </c>
      <c r="BO67" s="168" t="s">
        <v>132</v>
      </c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M67" s="164"/>
      <c r="CN67" s="164"/>
      <c r="CO67" s="164"/>
      <c r="CP67" s="164"/>
      <c r="CQ67" s="164"/>
      <c r="CR67" s="164"/>
      <c r="CS67" s="165" t="s">
        <v>132</v>
      </c>
      <c r="CT67" s="166" t="s">
        <v>132</v>
      </c>
      <c r="CU67" s="168" t="s">
        <v>132</v>
      </c>
      <c r="CV67" s="164"/>
      <c r="CW67" s="164"/>
      <c r="CX67" s="164"/>
      <c r="CY67" s="164"/>
      <c r="CZ67" s="164"/>
      <c r="DA67" s="164"/>
      <c r="DB67" s="164"/>
      <c r="DC67" s="164"/>
      <c r="DD67" s="164"/>
      <c r="DE67" s="164"/>
      <c r="DF67" s="164"/>
      <c r="DG67" s="164"/>
      <c r="DH67" s="164"/>
      <c r="DI67" s="164"/>
      <c r="DJ67" s="164"/>
      <c r="DK67" s="164"/>
      <c r="DL67" s="164"/>
      <c r="DM67" s="164"/>
      <c r="DN67" s="164"/>
      <c r="DO67" s="164"/>
      <c r="DP67" s="164"/>
    </row>
    <row r="68" ht="25.5" customHeight="1">
      <c r="C68" s="75" t="s">
        <v>495</v>
      </c>
      <c r="D68" s="175" t="s">
        <v>496</v>
      </c>
      <c r="E68" s="175" t="str">
        <f t="shared" si="2"/>
        <v>Seprei ⁠Coklat 100x200 (YS)</v>
      </c>
      <c r="F68" s="78"/>
      <c r="G68" s="74">
        <v>56250.0</v>
      </c>
      <c r="H68" s="163">
        <v>46098.0</v>
      </c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9"/>
      <c r="U68" s="169"/>
      <c r="V68" s="169"/>
      <c r="W68" s="169"/>
      <c r="X68" s="169"/>
      <c r="Y68" s="169"/>
      <c r="Z68" s="169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M68" s="164"/>
      <c r="CN68" s="164"/>
      <c r="CO68" s="164"/>
      <c r="CP68" s="164"/>
      <c r="CQ68" s="164"/>
      <c r="CR68" s="164"/>
      <c r="CS68" s="165" t="s">
        <v>132</v>
      </c>
      <c r="CT68" s="166" t="s">
        <v>132</v>
      </c>
      <c r="CU68" s="168" t="s">
        <v>132</v>
      </c>
      <c r="CV68" s="164"/>
      <c r="CW68" s="164"/>
      <c r="CX68" s="164"/>
      <c r="CY68" s="164"/>
      <c r="CZ68" s="164"/>
      <c r="DA68" s="164"/>
      <c r="DB68" s="164"/>
      <c r="DC68" s="164"/>
      <c r="DD68" s="164"/>
      <c r="DE68" s="164"/>
      <c r="DF68" s="164"/>
      <c r="DG68" s="164"/>
      <c r="DH68" s="164"/>
      <c r="DI68" s="164"/>
      <c r="DJ68" s="164"/>
      <c r="DK68" s="164"/>
      <c r="DL68" s="164"/>
      <c r="DM68" s="164"/>
      <c r="DN68" s="164"/>
      <c r="DO68" s="164"/>
      <c r="DP68" s="164"/>
    </row>
    <row r="69" ht="25.5" customHeight="1">
      <c r="B69" s="173"/>
      <c r="C69" s="174" t="s">
        <v>495</v>
      </c>
      <c r="D69" s="175" t="s">
        <v>496</v>
      </c>
      <c r="E69" s="175" t="str">
        <f t="shared" si="2"/>
        <v>Seprei ⁠Coklat 100x200 (YS)</v>
      </c>
      <c r="F69" s="78"/>
      <c r="G69" s="78">
        <v>57000.0</v>
      </c>
      <c r="H69" s="176">
        <v>46065.0</v>
      </c>
      <c r="I69" s="173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M69" s="164"/>
      <c r="CN69" s="164"/>
      <c r="CO69" s="164"/>
      <c r="CP69" s="164"/>
      <c r="CQ69" s="164"/>
      <c r="CR69" s="164"/>
      <c r="CS69" s="164"/>
      <c r="CT69" s="164"/>
      <c r="CU69" s="164"/>
      <c r="CV69" s="164"/>
      <c r="CW69" s="164"/>
      <c r="CX69" s="164"/>
      <c r="CY69" s="164"/>
      <c r="CZ69" s="164"/>
      <c r="DA69" s="164"/>
      <c r="DB69" s="164"/>
      <c r="DC69" s="164"/>
      <c r="DD69" s="164"/>
      <c r="DE69" s="164"/>
      <c r="DF69" s="164"/>
      <c r="DG69" s="164"/>
      <c r="DH69" s="164"/>
      <c r="DI69" s="164"/>
      <c r="DJ69" s="164"/>
      <c r="DK69" s="164"/>
      <c r="DL69" s="164"/>
      <c r="DM69" s="164"/>
      <c r="DN69" s="164"/>
      <c r="DO69" s="164"/>
      <c r="DP69" s="164"/>
    </row>
    <row r="70" ht="25.5" customHeight="1">
      <c r="B70" s="173"/>
      <c r="C70" s="174" t="s">
        <v>495</v>
      </c>
      <c r="D70" s="175" t="s">
        <v>496</v>
      </c>
      <c r="E70" s="175" t="str">
        <f t="shared" si="2"/>
        <v>Seprei ⁠Coklat 100x200 (YS)</v>
      </c>
      <c r="F70" s="78"/>
      <c r="G70" s="78">
        <v>57000.0</v>
      </c>
      <c r="H70" s="176">
        <v>46065.0</v>
      </c>
      <c r="I70" s="173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M70" s="164"/>
      <c r="CN70" s="164"/>
      <c r="CO70" s="164"/>
      <c r="CP70" s="164"/>
      <c r="CQ70" s="164"/>
      <c r="CR70" s="164"/>
      <c r="CS70" s="164"/>
      <c r="CT70" s="164"/>
      <c r="CU70" s="164"/>
      <c r="CV70" s="164"/>
      <c r="CW70" s="164"/>
      <c r="CX70" s="164"/>
      <c r="CY70" s="164"/>
      <c r="CZ70" s="164"/>
      <c r="DA70" s="164"/>
      <c r="DB70" s="164"/>
      <c r="DC70" s="164"/>
      <c r="DD70" s="164"/>
      <c r="DE70" s="164"/>
      <c r="DF70" s="164"/>
      <c r="DG70" s="164"/>
      <c r="DH70" s="164"/>
      <c r="DI70" s="164"/>
      <c r="DJ70" s="164"/>
      <c r="DK70" s="164"/>
      <c r="DL70" s="164"/>
      <c r="DM70" s="164"/>
      <c r="DN70" s="164"/>
      <c r="DO70" s="164"/>
      <c r="DP70" s="164"/>
    </row>
    <row r="71" ht="25.5" customHeight="1">
      <c r="B71" s="173"/>
      <c r="C71" s="174" t="s">
        <v>495</v>
      </c>
      <c r="D71" s="175" t="s">
        <v>496</v>
      </c>
      <c r="E71" s="175" t="str">
        <f t="shared" si="2"/>
        <v>Seprei ⁠Coklat 100x200 (YS)</v>
      </c>
      <c r="F71" s="78"/>
      <c r="G71" s="78">
        <v>57000.0</v>
      </c>
      <c r="H71" s="176">
        <v>46065.0</v>
      </c>
      <c r="I71" s="173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M71" s="164"/>
      <c r="CN71" s="164"/>
      <c r="CO71" s="164"/>
      <c r="CP71" s="164"/>
      <c r="CQ71" s="164"/>
      <c r="CR71" s="164"/>
      <c r="CS71" s="164"/>
      <c r="CT71" s="164"/>
      <c r="CU71" s="164"/>
      <c r="CV71" s="164"/>
      <c r="CW71" s="164"/>
      <c r="CX71" s="164"/>
      <c r="CY71" s="164"/>
      <c r="CZ71" s="164"/>
      <c r="DA71" s="164"/>
      <c r="DB71" s="164"/>
      <c r="DC71" s="164"/>
      <c r="DD71" s="164"/>
      <c r="DE71" s="164"/>
      <c r="DF71" s="164"/>
      <c r="DG71" s="164"/>
      <c r="DH71" s="164"/>
      <c r="DI71" s="164"/>
      <c r="DJ71" s="164"/>
      <c r="DK71" s="164"/>
      <c r="DL71" s="164"/>
      <c r="DM71" s="164"/>
      <c r="DN71" s="164"/>
      <c r="DO71" s="164"/>
      <c r="DP71" s="164"/>
    </row>
    <row r="72" ht="25.5" customHeight="1">
      <c r="B72" s="173"/>
      <c r="C72" s="174" t="s">
        <v>495</v>
      </c>
      <c r="D72" s="175" t="s">
        <v>496</v>
      </c>
      <c r="E72" s="175" t="str">
        <f t="shared" si="2"/>
        <v>Seprei ⁠Coklat 100x200 (YS)</v>
      </c>
      <c r="F72" s="78"/>
      <c r="G72" s="78">
        <v>57000.0</v>
      </c>
      <c r="H72" s="176">
        <v>46065.0</v>
      </c>
      <c r="I72" s="173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M72" s="164"/>
      <c r="CN72" s="164"/>
      <c r="CO72" s="164"/>
      <c r="CP72" s="164"/>
      <c r="CQ72" s="164"/>
      <c r="CR72" s="164"/>
      <c r="CS72" s="164"/>
      <c r="CT72" s="164"/>
      <c r="CU72" s="164"/>
      <c r="CV72" s="164"/>
      <c r="CW72" s="164"/>
      <c r="CX72" s="164"/>
      <c r="CY72" s="164"/>
      <c r="CZ72" s="164"/>
      <c r="DA72" s="164"/>
      <c r="DB72" s="164"/>
      <c r="DC72" s="164"/>
      <c r="DD72" s="164"/>
      <c r="DE72" s="164"/>
      <c r="DF72" s="164"/>
      <c r="DG72" s="164"/>
      <c r="DH72" s="164"/>
      <c r="DI72" s="164"/>
      <c r="DJ72" s="164"/>
      <c r="DK72" s="164"/>
      <c r="DL72" s="164"/>
      <c r="DM72" s="164"/>
      <c r="DN72" s="164"/>
      <c r="DO72" s="164"/>
      <c r="DP72" s="164"/>
    </row>
    <row r="73" ht="25.5" customHeight="1">
      <c r="C73" s="75" t="s">
        <v>495</v>
      </c>
      <c r="D73" s="175" t="s">
        <v>497</v>
      </c>
      <c r="E73" s="175" t="str">
        <f t="shared" si="2"/>
        <v>Seprei ⁠Coklat 120x200 (YS)</v>
      </c>
      <c r="F73" s="78"/>
      <c r="G73" s="74">
        <v>56250.0</v>
      </c>
      <c r="H73" s="163">
        <v>46098.0</v>
      </c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M73" s="164"/>
      <c r="CN73" s="164"/>
      <c r="CO73" s="164"/>
      <c r="CP73" s="164"/>
      <c r="CQ73" s="164"/>
      <c r="CR73" s="164"/>
      <c r="CS73" s="164"/>
      <c r="CT73" s="164"/>
      <c r="CU73" s="164"/>
      <c r="CV73" s="164"/>
      <c r="CW73" s="164"/>
      <c r="CX73" s="164"/>
      <c r="CY73" s="164"/>
      <c r="CZ73" s="164"/>
      <c r="DA73" s="164"/>
      <c r="DB73" s="164"/>
      <c r="DC73" s="164"/>
      <c r="DD73" s="164"/>
      <c r="DE73" s="164"/>
      <c r="DF73" s="164"/>
      <c r="DG73" s="164"/>
      <c r="DH73" s="164"/>
      <c r="DI73" s="164"/>
      <c r="DJ73" s="164"/>
      <c r="DK73" s="164"/>
      <c r="DL73" s="164"/>
      <c r="DM73" s="164"/>
      <c r="DN73" s="164"/>
      <c r="DO73" s="164"/>
      <c r="DP73" s="164"/>
    </row>
    <row r="74" ht="25.5" customHeight="1">
      <c r="C74" s="75" t="s">
        <v>495</v>
      </c>
      <c r="D74" s="175" t="s">
        <v>497</v>
      </c>
      <c r="E74" s="175" t="str">
        <f t="shared" si="2"/>
        <v>Seprei ⁠Coklat 120x200 (YS)</v>
      </c>
      <c r="F74" s="78"/>
      <c r="G74" s="74">
        <v>55600.0</v>
      </c>
      <c r="H74" s="163">
        <v>46099.0</v>
      </c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M74" s="164"/>
      <c r="CN74" s="164"/>
      <c r="CO74" s="164"/>
      <c r="CP74" s="164"/>
      <c r="CQ74" s="164"/>
      <c r="CR74" s="164"/>
      <c r="CS74" s="164"/>
      <c r="CT74" s="164"/>
      <c r="CU74" s="164"/>
      <c r="CV74" s="164"/>
      <c r="CW74" s="164"/>
      <c r="CX74" s="164"/>
      <c r="CY74" s="164"/>
      <c r="CZ74" s="164"/>
      <c r="DA74" s="164"/>
      <c r="DB74" s="164"/>
      <c r="DC74" s="164"/>
      <c r="DD74" s="164"/>
      <c r="DE74" s="164"/>
      <c r="DF74" s="164"/>
      <c r="DG74" s="164"/>
      <c r="DH74" s="164"/>
      <c r="DI74" s="164"/>
      <c r="DJ74" s="164"/>
      <c r="DK74" s="164"/>
      <c r="DL74" s="164"/>
      <c r="DM74" s="164"/>
      <c r="DN74" s="164"/>
      <c r="DO74" s="164"/>
      <c r="DP74" s="164"/>
    </row>
    <row r="75" ht="25.5" customHeight="1">
      <c r="B75" s="173"/>
      <c r="C75" s="174" t="s">
        <v>495</v>
      </c>
      <c r="D75" s="175" t="s">
        <v>497</v>
      </c>
      <c r="E75" s="175" t="str">
        <f t="shared" si="2"/>
        <v>Seprei ⁠Coklat 120x200 (YS)</v>
      </c>
      <c r="F75" s="78"/>
      <c r="G75" s="78">
        <v>55032.0</v>
      </c>
      <c r="H75" s="176">
        <v>46070.0</v>
      </c>
      <c r="I75" s="173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M75" s="164"/>
      <c r="CN75" s="164"/>
      <c r="CO75" s="164"/>
      <c r="CP75" s="164"/>
      <c r="CQ75" s="164"/>
      <c r="CR75" s="164"/>
      <c r="CS75" s="164"/>
      <c r="CT75" s="164"/>
      <c r="CU75" s="164"/>
      <c r="CV75" s="164"/>
      <c r="CW75" s="164"/>
      <c r="CX75" s="164"/>
      <c r="CY75" s="164"/>
      <c r="CZ75" s="164"/>
      <c r="DA75" s="164"/>
      <c r="DB75" s="164"/>
      <c r="DC75" s="164"/>
      <c r="DD75" s="164"/>
      <c r="DE75" s="164"/>
      <c r="DF75" s="164"/>
      <c r="DG75" s="164"/>
      <c r="DH75" s="164"/>
      <c r="DI75" s="164"/>
      <c r="DJ75" s="164"/>
      <c r="DK75" s="164"/>
      <c r="DL75" s="164"/>
      <c r="DM75" s="164"/>
      <c r="DN75" s="164"/>
      <c r="DO75" s="164"/>
      <c r="DP75" s="164"/>
    </row>
    <row r="76" ht="25.5" customHeight="1">
      <c r="B76" s="173"/>
      <c r="C76" s="75" t="s">
        <v>495</v>
      </c>
      <c r="D76" s="175" t="s">
        <v>497</v>
      </c>
      <c r="E76" s="175" t="str">
        <f t="shared" si="2"/>
        <v>Seprei ⁠Coklat 120x200 (YS)</v>
      </c>
      <c r="F76" s="78"/>
      <c r="G76" s="74">
        <v>55600.0</v>
      </c>
      <c r="H76" s="163">
        <v>46099.0</v>
      </c>
      <c r="I76" s="173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</row>
    <row r="77" ht="25.5" customHeight="1">
      <c r="B77" s="173"/>
      <c r="C77" s="75" t="s">
        <v>495</v>
      </c>
      <c r="D77" s="175" t="s">
        <v>497</v>
      </c>
      <c r="E77" s="175" t="str">
        <f t="shared" si="2"/>
        <v>Seprei ⁠Coklat 120x200 (YS)</v>
      </c>
      <c r="F77" s="78"/>
      <c r="G77" s="74">
        <v>55600.0</v>
      </c>
      <c r="H77" s="163">
        <v>46099.0</v>
      </c>
      <c r="I77" s="173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M77" s="164"/>
      <c r="CN77" s="164"/>
      <c r="CO77" s="164"/>
      <c r="CP77" s="164"/>
      <c r="CQ77" s="164"/>
      <c r="CR77" s="164"/>
      <c r="CS77" s="164"/>
      <c r="CT77" s="164"/>
      <c r="CU77" s="164"/>
      <c r="CV77" s="164"/>
      <c r="CW77" s="164"/>
      <c r="CX77" s="164"/>
      <c r="CY77" s="164"/>
      <c r="CZ77" s="164"/>
      <c r="DA77" s="164"/>
      <c r="DB77" s="164"/>
      <c r="DC77" s="164"/>
      <c r="DD77" s="164"/>
      <c r="DE77" s="164"/>
      <c r="DF77" s="164"/>
      <c r="DG77" s="164"/>
      <c r="DH77" s="164"/>
      <c r="DI77" s="164"/>
      <c r="DJ77" s="164"/>
      <c r="DK77" s="164"/>
      <c r="DL77" s="164"/>
      <c r="DM77" s="164"/>
      <c r="DN77" s="164"/>
      <c r="DO77" s="164"/>
      <c r="DP77" s="164"/>
    </row>
    <row r="78" ht="25.5" customHeight="1">
      <c r="B78" s="173"/>
      <c r="C78" s="75" t="s">
        <v>495</v>
      </c>
      <c r="D78" s="175" t="s">
        <v>497</v>
      </c>
      <c r="E78" s="175" t="str">
        <f t="shared" si="2"/>
        <v>Seprei ⁠Coklat 120x200 (YS)</v>
      </c>
      <c r="F78" s="78"/>
      <c r="G78" s="74">
        <v>55600.0</v>
      </c>
      <c r="H78" s="163">
        <v>46099.0</v>
      </c>
      <c r="I78" s="173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M78" s="164"/>
      <c r="CN78" s="164"/>
      <c r="CO78" s="164"/>
      <c r="CP78" s="164"/>
      <c r="CQ78" s="164"/>
      <c r="CR78" s="164"/>
      <c r="CS78" s="164"/>
      <c r="CT78" s="164"/>
      <c r="CU78" s="164"/>
      <c r="CV78" s="164"/>
      <c r="CW78" s="164"/>
      <c r="CX78" s="164"/>
      <c r="CY78" s="164"/>
      <c r="CZ78" s="164"/>
      <c r="DA78" s="164"/>
      <c r="DB78" s="164"/>
      <c r="DC78" s="164"/>
      <c r="DD78" s="164"/>
      <c r="DE78" s="164"/>
      <c r="DF78" s="164"/>
      <c r="DG78" s="164"/>
      <c r="DH78" s="164"/>
      <c r="DI78" s="164"/>
      <c r="DJ78" s="164"/>
      <c r="DK78" s="164"/>
      <c r="DL78" s="164"/>
      <c r="DM78" s="164"/>
      <c r="DN78" s="164"/>
      <c r="DO78" s="164"/>
      <c r="DP78" s="164"/>
    </row>
    <row r="79" ht="25.5" customHeight="1">
      <c r="B79" s="173"/>
      <c r="C79" s="75" t="s">
        <v>495</v>
      </c>
      <c r="D79" s="175" t="s">
        <v>497</v>
      </c>
      <c r="E79" s="175" t="str">
        <f t="shared" si="2"/>
        <v>Seprei ⁠Coklat 120x200 (YS)</v>
      </c>
      <c r="F79" s="78"/>
      <c r="G79" s="74">
        <v>55600.0</v>
      </c>
      <c r="H79" s="163">
        <v>46099.0</v>
      </c>
      <c r="I79" s="173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M79" s="164"/>
      <c r="CN79" s="164"/>
      <c r="CO79" s="164"/>
      <c r="CP79" s="164"/>
      <c r="CQ79" s="164"/>
      <c r="CR79" s="164"/>
      <c r="CS79" s="164"/>
      <c r="CT79" s="164"/>
      <c r="CU79" s="164"/>
      <c r="CV79" s="164"/>
      <c r="CW79" s="164"/>
      <c r="CX79" s="164"/>
      <c r="CY79" s="164"/>
      <c r="CZ79" s="164"/>
      <c r="DA79" s="164"/>
      <c r="DB79" s="164"/>
      <c r="DC79" s="164"/>
      <c r="DD79" s="164"/>
      <c r="DE79" s="164"/>
      <c r="DF79" s="164"/>
      <c r="DG79" s="164"/>
      <c r="DH79" s="164"/>
      <c r="DI79" s="164"/>
      <c r="DJ79" s="164"/>
      <c r="DK79" s="164"/>
      <c r="DL79" s="164"/>
      <c r="DM79" s="164"/>
      <c r="DN79" s="164"/>
      <c r="DO79" s="164"/>
      <c r="DP79" s="164"/>
    </row>
    <row r="80" ht="25.5" customHeight="1">
      <c r="B80" s="173"/>
      <c r="C80" s="183" t="s">
        <v>495</v>
      </c>
      <c r="D80" s="175" t="s">
        <v>497</v>
      </c>
      <c r="E80" s="175" t="str">
        <f t="shared" si="2"/>
        <v>Seprei ⁠Coklat 120x200 (YS)</v>
      </c>
      <c r="F80" s="78"/>
      <c r="G80" s="78">
        <v>55032.0</v>
      </c>
      <c r="H80" s="176">
        <v>46070.0</v>
      </c>
      <c r="I80" s="173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M80" s="164"/>
      <c r="CN80" s="164"/>
      <c r="CO80" s="164"/>
      <c r="CP80" s="164"/>
      <c r="CQ80" s="164"/>
      <c r="CR80" s="164"/>
      <c r="CS80" s="164"/>
      <c r="CT80" s="164"/>
      <c r="CU80" s="164"/>
      <c r="CV80" s="164"/>
      <c r="CW80" s="164"/>
      <c r="CX80" s="164"/>
      <c r="CY80" s="164"/>
      <c r="CZ80" s="164"/>
      <c r="DA80" s="164"/>
      <c r="DB80" s="164"/>
      <c r="DC80" s="164"/>
      <c r="DD80" s="164"/>
      <c r="DE80" s="164"/>
      <c r="DF80" s="164"/>
      <c r="DG80" s="164"/>
      <c r="DH80" s="164"/>
      <c r="DI80" s="164"/>
      <c r="DJ80" s="164"/>
      <c r="DK80" s="164"/>
      <c r="DL80" s="164"/>
      <c r="DM80" s="164"/>
      <c r="DN80" s="164"/>
      <c r="DO80" s="164"/>
      <c r="DP80" s="164"/>
    </row>
    <row r="81" ht="25.5" customHeight="1">
      <c r="C81" s="75" t="s">
        <v>495</v>
      </c>
      <c r="D81" s="175" t="s">
        <v>498</v>
      </c>
      <c r="E81" s="175" t="str">
        <f t="shared" si="2"/>
        <v>Seprei ⁠Coklat 160x200 (YS)</v>
      </c>
      <c r="F81" s="78"/>
      <c r="G81" s="74">
        <v>81000.0</v>
      </c>
      <c r="H81" s="163">
        <v>46098.0</v>
      </c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M81" s="164"/>
      <c r="CN81" s="164"/>
      <c r="CO81" s="164"/>
      <c r="CP81" s="164"/>
      <c r="CQ81" s="164"/>
      <c r="CR81" s="164"/>
      <c r="CS81" s="164"/>
      <c r="CT81" s="164"/>
      <c r="CU81" s="164"/>
      <c r="CV81" s="164"/>
      <c r="CW81" s="164"/>
      <c r="CX81" s="164"/>
      <c r="CY81" s="164"/>
      <c r="CZ81" s="164"/>
      <c r="DA81" s="164"/>
      <c r="DB81" s="164"/>
      <c r="DC81" s="164"/>
      <c r="DD81" s="164"/>
      <c r="DE81" s="164"/>
      <c r="DF81" s="164"/>
      <c r="DG81" s="164"/>
      <c r="DH81" s="164"/>
      <c r="DI81" s="164"/>
      <c r="DJ81" s="164"/>
      <c r="DK81" s="164"/>
      <c r="DL81" s="164"/>
      <c r="DM81" s="164"/>
      <c r="DN81" s="164"/>
      <c r="DO81" s="164"/>
      <c r="DP81" s="164"/>
    </row>
    <row r="82" ht="25.5" customHeight="1">
      <c r="C82" s="75" t="s">
        <v>495</v>
      </c>
      <c r="D82" s="175" t="s">
        <v>498</v>
      </c>
      <c r="E82" s="175" t="str">
        <f t="shared" si="2"/>
        <v>Seprei ⁠Coklat 160x200 (YS)</v>
      </c>
      <c r="F82" s="78"/>
      <c r="G82" s="74">
        <v>81000.0</v>
      </c>
      <c r="H82" s="163">
        <v>46098.0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M82" s="164"/>
      <c r="CN82" s="164"/>
      <c r="CO82" s="164"/>
      <c r="CP82" s="164"/>
      <c r="CQ82" s="164"/>
      <c r="CR82" s="164"/>
      <c r="CS82" s="164"/>
      <c r="CT82" s="164"/>
      <c r="CU82" s="164"/>
      <c r="CV82" s="164"/>
      <c r="CW82" s="164"/>
      <c r="CX82" s="164"/>
      <c r="CY82" s="164"/>
      <c r="CZ82" s="164"/>
      <c r="DA82" s="164"/>
      <c r="DB82" s="164"/>
      <c r="DC82" s="164"/>
      <c r="DD82" s="164"/>
      <c r="DE82" s="164"/>
      <c r="DF82" s="164"/>
      <c r="DG82" s="164"/>
      <c r="DH82" s="164"/>
      <c r="DI82" s="164"/>
      <c r="DJ82" s="164"/>
      <c r="DK82" s="164"/>
      <c r="DL82" s="164"/>
      <c r="DM82" s="164"/>
      <c r="DN82" s="164"/>
      <c r="DO82" s="164"/>
      <c r="DP82" s="164"/>
    </row>
    <row r="83" ht="25.5" customHeight="1">
      <c r="B83" s="173"/>
      <c r="C83" s="183" t="s">
        <v>495</v>
      </c>
      <c r="D83" s="175" t="s">
        <v>498</v>
      </c>
      <c r="E83" s="175" t="str">
        <f t="shared" si="2"/>
        <v>Seprei ⁠Coklat 160x200 (YS)</v>
      </c>
      <c r="F83" s="78"/>
      <c r="G83" s="78">
        <v>80346.0</v>
      </c>
      <c r="H83" s="176">
        <v>46065.0</v>
      </c>
      <c r="I83" s="173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M83" s="164"/>
      <c r="CN83" s="164"/>
      <c r="CO83" s="164"/>
      <c r="CP83" s="164"/>
      <c r="CQ83" s="164"/>
      <c r="CR83" s="164"/>
      <c r="CS83" s="164"/>
      <c r="CT83" s="164"/>
      <c r="CU83" s="164"/>
      <c r="CV83" s="164"/>
      <c r="CW83" s="164"/>
      <c r="CX83" s="164"/>
      <c r="CY83" s="164"/>
      <c r="CZ83" s="164"/>
      <c r="DA83" s="164"/>
      <c r="DB83" s="164"/>
      <c r="DC83" s="164"/>
      <c r="DD83" s="164"/>
      <c r="DE83" s="164"/>
      <c r="DF83" s="164"/>
      <c r="DG83" s="164"/>
      <c r="DH83" s="164"/>
      <c r="DI83" s="164"/>
      <c r="DJ83" s="164"/>
      <c r="DK83" s="164"/>
      <c r="DL83" s="164"/>
      <c r="DM83" s="164"/>
      <c r="DN83" s="164"/>
      <c r="DO83" s="164"/>
      <c r="DP83" s="164"/>
    </row>
    <row r="84" ht="25.5" customHeight="1">
      <c r="B84" s="173"/>
      <c r="C84" s="183" t="s">
        <v>495</v>
      </c>
      <c r="D84" s="175" t="s">
        <v>498</v>
      </c>
      <c r="E84" s="175" t="str">
        <f t="shared" si="2"/>
        <v>Seprei ⁠Coklat 160x200 (YS)</v>
      </c>
      <c r="F84" s="78"/>
      <c r="G84" s="78">
        <v>80346.0</v>
      </c>
      <c r="H84" s="176">
        <v>46065.0</v>
      </c>
      <c r="I84" s="173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M84" s="164"/>
      <c r="CN84" s="164"/>
      <c r="CO84" s="164"/>
      <c r="CP84" s="164"/>
      <c r="CQ84" s="164"/>
      <c r="CR84" s="164"/>
      <c r="CS84" s="164"/>
      <c r="CT84" s="164"/>
      <c r="CU84" s="164"/>
      <c r="CV84" s="164"/>
      <c r="CW84" s="164"/>
      <c r="CX84" s="164"/>
      <c r="CY84" s="164"/>
      <c r="CZ84" s="164"/>
      <c r="DA84" s="164"/>
      <c r="DB84" s="164"/>
      <c r="DC84" s="164"/>
      <c r="DD84" s="164"/>
      <c r="DE84" s="164"/>
      <c r="DF84" s="164"/>
      <c r="DG84" s="164"/>
      <c r="DH84" s="164"/>
      <c r="DI84" s="164"/>
      <c r="DJ84" s="164"/>
      <c r="DK84" s="164"/>
      <c r="DL84" s="164"/>
      <c r="DM84" s="164"/>
      <c r="DN84" s="164"/>
      <c r="DO84" s="164"/>
      <c r="DP84" s="164"/>
    </row>
    <row r="85" ht="22.5" customHeight="1">
      <c r="B85" s="173"/>
      <c r="C85" s="183" t="s">
        <v>495</v>
      </c>
      <c r="D85" s="175" t="s">
        <v>498</v>
      </c>
      <c r="E85" s="175" t="str">
        <f t="shared" si="2"/>
        <v>Seprei ⁠Coklat 160x200 (YS)</v>
      </c>
      <c r="F85" s="78"/>
      <c r="G85" s="184">
        <v>79494.0</v>
      </c>
      <c r="H85" s="176">
        <v>46070.0</v>
      </c>
      <c r="I85" s="173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M85" s="164"/>
      <c r="CN85" s="164"/>
      <c r="CO85" s="164"/>
      <c r="CP85" s="164"/>
      <c r="CQ85" s="164"/>
      <c r="CR85" s="164"/>
      <c r="CS85" s="164"/>
      <c r="CT85" s="164"/>
      <c r="CU85" s="164"/>
      <c r="CV85" s="164"/>
      <c r="CW85" s="164"/>
      <c r="CX85" s="164"/>
      <c r="CY85" s="164"/>
      <c r="CZ85" s="164"/>
      <c r="DA85" s="164"/>
      <c r="DB85" s="164"/>
      <c r="DC85" s="164"/>
      <c r="DD85" s="164"/>
      <c r="DE85" s="164"/>
      <c r="DF85" s="164"/>
      <c r="DG85" s="164"/>
      <c r="DH85" s="164"/>
      <c r="DI85" s="164"/>
      <c r="DJ85" s="164"/>
      <c r="DK85" s="164"/>
      <c r="DL85" s="164"/>
      <c r="DM85" s="164"/>
      <c r="DN85" s="164"/>
      <c r="DO85" s="164"/>
      <c r="DP85" s="164"/>
    </row>
    <row r="86" ht="22.5" customHeight="1">
      <c r="B86" s="53"/>
      <c r="C86" s="75" t="s">
        <v>495</v>
      </c>
      <c r="D86" s="175" t="s">
        <v>498</v>
      </c>
      <c r="E86" s="175" t="str">
        <f t="shared" si="2"/>
        <v>Seprei ⁠Coklat 160x200 (YS)</v>
      </c>
      <c r="F86" s="78"/>
      <c r="G86" s="61">
        <v>80300.0</v>
      </c>
      <c r="H86" s="176">
        <v>46093.0</v>
      </c>
      <c r="I86" s="53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M86" s="164"/>
      <c r="CN86" s="164"/>
      <c r="CO86" s="164"/>
      <c r="CP86" s="164"/>
      <c r="CQ86" s="164"/>
      <c r="CR86" s="164"/>
      <c r="CS86" s="164"/>
      <c r="CT86" s="164"/>
      <c r="CU86" s="164"/>
      <c r="CV86" s="164"/>
      <c r="CW86" s="164"/>
      <c r="CX86" s="164"/>
      <c r="CY86" s="164"/>
      <c r="CZ86" s="164"/>
      <c r="DA86" s="164"/>
      <c r="DB86" s="164"/>
      <c r="DC86" s="164"/>
      <c r="DD86" s="164"/>
      <c r="DE86" s="164"/>
      <c r="DF86" s="164"/>
      <c r="DG86" s="164"/>
      <c r="DH86" s="164"/>
      <c r="DI86" s="164"/>
      <c r="DJ86" s="164"/>
      <c r="DK86" s="164"/>
      <c r="DL86" s="164"/>
      <c r="DM86" s="164"/>
      <c r="DN86" s="164"/>
      <c r="DO86" s="164"/>
      <c r="DP86" s="164"/>
    </row>
    <row r="87" ht="22.5" customHeight="1">
      <c r="B87" s="53"/>
      <c r="C87" s="75" t="s">
        <v>495</v>
      </c>
      <c r="D87" s="175" t="s">
        <v>498</v>
      </c>
      <c r="E87" s="175" t="str">
        <f t="shared" si="2"/>
        <v>Seprei ⁠Coklat 160x200 (YS)</v>
      </c>
      <c r="F87" s="78"/>
      <c r="G87" s="61">
        <v>80300.0</v>
      </c>
      <c r="H87" s="176">
        <v>46093.0</v>
      </c>
      <c r="I87" s="53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M87" s="164"/>
      <c r="CN87" s="164"/>
      <c r="CO87" s="164"/>
      <c r="CP87" s="164"/>
      <c r="CQ87" s="164"/>
      <c r="CR87" s="164"/>
      <c r="CS87" s="164"/>
      <c r="CT87" s="164"/>
      <c r="CU87" s="164"/>
      <c r="CV87" s="164"/>
      <c r="CW87" s="164"/>
      <c r="CX87" s="164"/>
      <c r="CY87" s="164"/>
      <c r="CZ87" s="164"/>
      <c r="DA87" s="164"/>
      <c r="DB87" s="164"/>
      <c r="DC87" s="164"/>
      <c r="DD87" s="164"/>
      <c r="DE87" s="164"/>
      <c r="DF87" s="164"/>
      <c r="DG87" s="164"/>
      <c r="DH87" s="164"/>
      <c r="DI87" s="164"/>
      <c r="DJ87" s="164"/>
      <c r="DK87" s="164"/>
      <c r="DL87" s="164"/>
      <c r="DM87" s="164"/>
      <c r="DN87" s="164"/>
      <c r="DO87" s="164"/>
      <c r="DP87" s="164"/>
    </row>
    <row r="88" ht="22.5" customHeight="1">
      <c r="B88" s="173"/>
      <c r="C88" s="183" t="s">
        <v>495</v>
      </c>
      <c r="D88" s="175" t="s">
        <v>499</v>
      </c>
      <c r="E88" s="175" t="str">
        <f t="shared" si="2"/>
        <v>Seprei Coklat 90x200 (WW)</v>
      </c>
      <c r="F88" s="78"/>
      <c r="G88" s="78">
        <v>45150.0</v>
      </c>
      <c r="H88" s="176">
        <v>46048.0</v>
      </c>
      <c r="I88" s="173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M88" s="164"/>
      <c r="CN88" s="164"/>
      <c r="CO88" s="164"/>
      <c r="CP88" s="164"/>
      <c r="CQ88" s="164"/>
      <c r="CR88" s="164"/>
      <c r="CS88" s="164"/>
      <c r="CT88" s="164"/>
      <c r="CU88" s="164"/>
      <c r="CV88" s="164"/>
      <c r="CW88" s="164"/>
      <c r="CX88" s="164"/>
      <c r="CY88" s="164"/>
      <c r="CZ88" s="164"/>
      <c r="DA88" s="164"/>
      <c r="DB88" s="164"/>
      <c r="DC88" s="164"/>
      <c r="DD88" s="164"/>
      <c r="DE88" s="164"/>
      <c r="DF88" s="164"/>
      <c r="DG88" s="164"/>
      <c r="DH88" s="164"/>
      <c r="DI88" s="164"/>
      <c r="DJ88" s="164"/>
      <c r="DK88" s="164"/>
      <c r="DL88" s="164"/>
      <c r="DM88" s="164"/>
      <c r="DN88" s="164"/>
      <c r="DO88" s="164"/>
      <c r="DP88" s="164"/>
    </row>
    <row r="89" ht="22.5" customHeight="1">
      <c r="B89" s="173"/>
      <c r="C89" s="183" t="s">
        <v>495</v>
      </c>
      <c r="D89" s="175" t="s">
        <v>499</v>
      </c>
      <c r="E89" s="175" t="str">
        <f t="shared" si="2"/>
        <v>Seprei Coklat 90x200 (WW)</v>
      </c>
      <c r="F89" s="78"/>
      <c r="G89" s="78">
        <v>45280.0</v>
      </c>
      <c r="H89" s="176">
        <v>46061.0</v>
      </c>
      <c r="I89" s="173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M89" s="164"/>
      <c r="CN89" s="164"/>
      <c r="CO89" s="164"/>
      <c r="CP89" s="164"/>
      <c r="CQ89" s="164"/>
      <c r="CR89" s="164"/>
      <c r="CS89" s="164"/>
      <c r="CT89" s="164"/>
      <c r="CU89" s="164"/>
      <c r="CV89" s="164"/>
      <c r="CW89" s="164"/>
      <c r="CX89" s="164"/>
      <c r="CY89" s="164"/>
      <c r="CZ89" s="164"/>
      <c r="DA89" s="164"/>
      <c r="DB89" s="164"/>
      <c r="DC89" s="164"/>
      <c r="DD89" s="164"/>
      <c r="DE89" s="164"/>
      <c r="DF89" s="164"/>
      <c r="DG89" s="164"/>
      <c r="DH89" s="164"/>
      <c r="DI89" s="164"/>
      <c r="DJ89" s="164"/>
      <c r="DK89" s="164"/>
      <c r="DL89" s="164"/>
      <c r="DM89" s="164"/>
      <c r="DN89" s="164"/>
      <c r="DO89" s="164"/>
      <c r="DP89" s="164"/>
    </row>
    <row r="90" ht="22.5" customHeight="1">
      <c r="B90" s="173"/>
      <c r="C90" s="183" t="s">
        <v>495</v>
      </c>
      <c r="D90" s="175" t="s">
        <v>499</v>
      </c>
      <c r="E90" s="175" t="str">
        <f t="shared" si="2"/>
        <v>Seprei Coklat 90x200 (WW)</v>
      </c>
      <c r="F90" s="78"/>
      <c r="G90" s="78">
        <v>45280.0</v>
      </c>
      <c r="H90" s="176">
        <v>46061.0</v>
      </c>
      <c r="I90" s="173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164"/>
      <c r="DE90" s="164"/>
      <c r="DF90" s="164"/>
      <c r="DG90" s="164"/>
      <c r="DH90" s="164"/>
      <c r="DI90" s="164"/>
      <c r="DJ90" s="164"/>
      <c r="DK90" s="164"/>
      <c r="DL90" s="164"/>
      <c r="DM90" s="164"/>
      <c r="DN90" s="164"/>
      <c r="DO90" s="164"/>
      <c r="DP90" s="164"/>
    </row>
    <row r="91" ht="22.5" customHeight="1">
      <c r="B91" s="173"/>
      <c r="C91" s="183" t="s">
        <v>495</v>
      </c>
      <c r="D91" s="175" t="s">
        <v>500</v>
      </c>
      <c r="E91" s="175" t="str">
        <f t="shared" si="2"/>
        <v>Seprei ⁠Putih 160x200 (YS)</v>
      </c>
      <c r="F91" s="78"/>
      <c r="G91" s="78">
        <v>79245.0</v>
      </c>
      <c r="H91" s="176">
        <v>46070.0</v>
      </c>
      <c r="I91" s="173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164"/>
      <c r="DE91" s="164"/>
      <c r="DF91" s="164"/>
      <c r="DG91" s="164"/>
      <c r="DH91" s="164"/>
      <c r="DI91" s="164"/>
      <c r="DJ91" s="164"/>
      <c r="DK91" s="164"/>
      <c r="DL91" s="164"/>
      <c r="DM91" s="164"/>
      <c r="DN91" s="164"/>
      <c r="DO91" s="164"/>
      <c r="DP91" s="164"/>
    </row>
    <row r="92" ht="22.5" customHeight="1">
      <c r="B92" s="173"/>
      <c r="C92" s="183" t="s">
        <v>495</v>
      </c>
      <c r="D92" s="175" t="s">
        <v>500</v>
      </c>
      <c r="E92" s="175" t="str">
        <f t="shared" si="2"/>
        <v>Seprei ⁠Putih 160x200 (YS)</v>
      </c>
      <c r="F92" s="78"/>
      <c r="G92" s="78">
        <v>79245.0</v>
      </c>
      <c r="H92" s="176">
        <v>46070.0</v>
      </c>
      <c r="I92" s="173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164"/>
      <c r="DE92" s="164"/>
      <c r="DF92" s="164"/>
      <c r="DG92" s="164"/>
      <c r="DH92" s="164"/>
      <c r="DI92" s="164"/>
      <c r="DJ92" s="164"/>
      <c r="DK92" s="164"/>
      <c r="DL92" s="164"/>
      <c r="DM92" s="164"/>
      <c r="DN92" s="164"/>
      <c r="DO92" s="164"/>
      <c r="DP92" s="164"/>
    </row>
    <row r="93" ht="22.5" customHeight="1">
      <c r="C93" s="53"/>
      <c r="D93" s="53"/>
      <c r="E93" s="53"/>
      <c r="F93" s="53"/>
      <c r="G93" s="61">
        <f>SUM(Table1[Harga Beli])</f>
        <v>14013787</v>
      </c>
      <c r="H93" s="53"/>
      <c r="I93" s="53"/>
      <c r="AS93" s="173"/>
      <c r="AT93" s="173"/>
      <c r="AU93" s="173"/>
      <c r="AV93" s="173"/>
      <c r="AW93" s="173"/>
      <c r="AX93" s="173"/>
      <c r="AY93" s="173"/>
      <c r="AZ93" s="173"/>
      <c r="BA93" s="173"/>
      <c r="BB93" s="173"/>
      <c r="BC93" s="173"/>
      <c r="BD93" s="173"/>
      <c r="BE93" s="17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185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164"/>
      <c r="DE93" s="164"/>
      <c r="DF93" s="164"/>
      <c r="DG93" s="164"/>
      <c r="DH93" s="164"/>
      <c r="DI93" s="164"/>
      <c r="DJ93" s="164"/>
      <c r="DK93" s="164"/>
      <c r="DL93" s="164"/>
      <c r="DM93" s="164"/>
      <c r="DN93" s="164"/>
      <c r="DO93" s="164"/>
      <c r="DP93" s="164"/>
    </row>
    <row r="94" ht="22.5" customHeight="1"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</row>
    <row r="96">
      <c r="D96" s="153" t="s">
        <v>501</v>
      </c>
      <c r="E96" s="63">
        <f>SUM(G31:G67)</f>
        <v>1298600</v>
      </c>
      <c r="G96" s="153" t="s">
        <v>502</v>
      </c>
    </row>
    <row r="97">
      <c r="D97" s="153" t="s">
        <v>503</v>
      </c>
      <c r="E97" s="153">
        <v>6.0</v>
      </c>
      <c r="F97" s="153"/>
      <c r="G97" s="153" t="s">
        <v>504</v>
      </c>
    </row>
    <row r="98">
      <c r="D98" s="153" t="s">
        <v>505</v>
      </c>
      <c r="E98" s="63">
        <f>E96/E97</f>
        <v>216433.3333</v>
      </c>
      <c r="G98" s="153" t="s">
        <v>506</v>
      </c>
      <c r="H98" s="153" t="s">
        <v>507</v>
      </c>
    </row>
    <row r="101">
      <c r="D101" s="153" t="s">
        <v>508</v>
      </c>
      <c r="E101" s="186">
        <v>4300000.0</v>
      </c>
      <c r="F101" s="186"/>
    </row>
    <row r="102">
      <c r="D102" s="153" t="s">
        <v>509</v>
      </c>
      <c r="E102" s="186">
        <v>2624387.0</v>
      </c>
      <c r="F102" s="186"/>
    </row>
    <row r="103">
      <c r="D103" s="153" t="s">
        <v>510</v>
      </c>
      <c r="E103" s="153">
        <v>-1590000.0</v>
      </c>
      <c r="F103" s="153"/>
      <c r="H103" s="187">
        <f>E103*6</f>
        <v>-9540000</v>
      </c>
    </row>
    <row r="105">
      <c r="H105" s="63">
        <f>H103+E96</f>
        <v>-8241400</v>
      </c>
    </row>
    <row r="108">
      <c r="D108" s="153" t="s">
        <v>511</v>
      </c>
      <c r="E108" s="63">
        <f>SUM(E101:E107)</f>
        <v>5334387</v>
      </c>
    </row>
    <row r="111">
      <c r="D111" s="153" t="s">
        <v>512</v>
      </c>
      <c r="E111" s="63">
        <f>E98+E103</f>
        <v>-1373566.667</v>
      </c>
    </row>
    <row r="114">
      <c r="E114" s="153" t="s">
        <v>513</v>
      </c>
      <c r="F114" s="153"/>
    </row>
    <row r="115">
      <c r="E115" s="153" t="s">
        <v>514</v>
      </c>
      <c r="F115" s="153"/>
    </row>
    <row r="116">
      <c r="E116" s="153" t="s">
        <v>515</v>
      </c>
      <c r="F116" s="153"/>
    </row>
    <row r="117">
      <c r="E117" s="153" t="s">
        <v>516</v>
      </c>
      <c r="F117" s="153"/>
    </row>
    <row r="118">
      <c r="E118" s="153" t="s">
        <v>517</v>
      </c>
      <c r="F118" s="153"/>
    </row>
  </sheetData>
  <customSheetViews>
    <customSheetView guid="{1613A44E-38B2-4265-BF1F-915807F1B626}" filter="1" showAutoFilter="1">
      <autoFilter ref="$B$3:$Z$93">
        <sortState ref="B3:Z93">
          <sortCondition ref="B3:B93"/>
        </sortState>
      </autoFilter>
    </customSheetView>
    <customSheetView guid="{1A4E6FA4-BB8C-4DEA-AE5F-601057E21D8B}" filter="1" showAutoFilter="1">
      <autoFilter ref="$B$3:$Z$93"/>
    </customSheetView>
  </customSheetViews>
  <mergeCells count="4">
    <mergeCell ref="J1:Z1"/>
    <mergeCell ref="AB1:BE1"/>
    <mergeCell ref="BG1:CK1"/>
    <mergeCell ref="CM1:DP1"/>
  </mergeCells>
  <conditionalFormatting sqref="J4:Z92 AB4:BE92 BG4:CL92 CM4:DP93">
    <cfRule type="expression" dxfId="8" priority="1">
      <formula>J$2=TODAY()</formula>
    </cfRule>
  </conditionalFormatting>
  <dataValidations>
    <dataValidation type="custom" allowBlank="1" showDropDown="1" sqref="H4:H92">
      <formula1>OR(NOT(ISERROR(DATEVALUE(H4))), AND(ISNUMBER(H4), LEFT(CELL("format", H4))="D"))</formula1>
    </dataValidation>
    <dataValidation type="custom" allowBlank="1" showDropDown="1" sqref="G4:G92">
      <formula1>AND(ISNUMBER(G4),(NOT(OR(NOT(ISERROR(DATEVALUE(G4))), AND(ISNUMBER(G4), LEFT(CELL("format", G4))="D")))))</formula1>
    </dataValidation>
    <dataValidation type="list" allowBlank="1" sqref="C4:C92">
      <formula1>"Kasur Busa,Seprei,Bed Cover,Selimut,Bantal,Sarban,Guling,Sargul"</formula1>
    </dataValidation>
  </dataValidations>
  <hyperlinks>
    <hyperlink r:id="rId1" ref="I22"/>
  </hyperlinks>
  <drawing r:id="rId2"/>
  <tableParts count="4"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.13"/>
    <col customWidth="1" min="2" max="2" width="12.63"/>
    <col customWidth="1" min="3" max="3" width="14.5"/>
    <col customWidth="1" min="4" max="5" width="10.5"/>
    <col customWidth="1" min="6" max="6" width="17.88"/>
    <col customWidth="1" min="7" max="7" width="13.88"/>
    <col customWidth="1" min="8" max="8" width="35.75"/>
    <col customWidth="1" min="9" max="9" width="14.75"/>
    <col customWidth="1" min="10" max="10" width="9.63"/>
    <col customWidth="1" min="11" max="11" width="10.38"/>
    <col customWidth="1" min="12" max="12" width="11.75"/>
  </cols>
  <sheetData>
    <row r="2" ht="22.5" customHeight="1">
      <c r="B2" s="47" t="s">
        <v>518</v>
      </c>
      <c r="C2" s="188" t="s">
        <v>353</v>
      </c>
      <c r="D2" s="188" t="s">
        <v>519</v>
      </c>
      <c r="E2" s="188" t="s">
        <v>520</v>
      </c>
      <c r="F2" s="188" t="s">
        <v>521</v>
      </c>
      <c r="G2" s="188" t="s">
        <v>522</v>
      </c>
      <c r="H2" s="47" t="s">
        <v>523</v>
      </c>
      <c r="I2" s="189" t="s">
        <v>524</v>
      </c>
      <c r="J2" s="189" t="s">
        <v>525</v>
      </c>
      <c r="K2" s="189" t="s">
        <v>526</v>
      </c>
      <c r="L2" s="190" t="s">
        <v>527</v>
      </c>
      <c r="M2" s="189" t="s">
        <v>528</v>
      </c>
      <c r="N2" s="191" t="s">
        <v>24</v>
      </c>
    </row>
    <row r="3" ht="22.5" customHeight="1">
      <c r="B3" s="5" t="str">
        <f t="array" ref="B3:B77">UNIQUE(OrderShipment[Shipment ID],false, false)</f>
        <v>SHP-001</v>
      </c>
      <c r="C3" s="71" t="str">
        <f>VLOOKUP(Dashboard_Pengiriman[Shipment ID],OrderShipment[],7,FALSE)</f>
        <v>Mandiri</v>
      </c>
      <c r="D3" s="192" t="str">
        <f>IFERROR(__xludf.DUMMYFUNCTION("TEXTJOIN("", "", TRUE, FILTER('🔴 DATA Pengiriman - ORD'!C$2:C1009, '🔴 DATA Pengiriman - ORD'!B$2:B1009 = B3))"),"ORD-001")</f>
        <v>ORD-001</v>
      </c>
      <c r="E3" s="5">
        <f>COUNTIF(OrderShipment[Shipment ID],B3)</f>
        <v>1</v>
      </c>
      <c r="F3" s="49">
        <f>VLOOKUP(B3,OrderShipment[],3,FALSE())</f>
        <v>46052</v>
      </c>
      <c r="G3" s="192" t="str">
        <f>IFERROR(__xludf.DUMMYFUNCTION("TEXTJOIN("", "", TRUE, FILTER('🔴 DATA Pengiriman - ORD'!E$2:E1009, '🔴 DATA Pengiriman - ORD'!$B$2:$B1009 = $B3))"),"Agashi")</f>
        <v>Agashi</v>
      </c>
      <c r="H3" s="192" t="str">
        <f>IFERROR(__xludf.DUMMYFUNCTION("TEXTJOIN("", "", TRUE, FILTER('🔴 DATA Pengiriman - ORD'!F$2:F1009, '🔴 DATA Pengiriman - ORD'!B$2:B1009 = B3))"),"7° 46' 26.634"" S 110° 22' 57.4212"" E")</f>
        <v>7° 46' 26.634" S 110° 22' 57.4212" E</v>
      </c>
      <c r="I3" s="19" t="s">
        <v>529</v>
      </c>
      <c r="J3" s="18">
        <v>22.0</v>
      </c>
      <c r="K3" s="26">
        <f t="shared" ref="K3:K76" si="1">IF(C3="Fortuner","",6800/10*J3)</f>
        <v>14960</v>
      </c>
      <c r="L3" s="24" t="b">
        <v>1</v>
      </c>
      <c r="M3" s="24" t="b">
        <v>1</v>
      </c>
    </row>
    <row r="4" ht="22.5" customHeight="1">
      <c r="B4" s="192" t="s">
        <v>530</v>
      </c>
      <c r="C4" s="193" t="str">
        <f>VLOOKUP(Dashboard_Pengiriman[Shipment ID],OrderShipment[],7,FALSE)</f>
        <v>Fortuner</v>
      </c>
      <c r="D4" s="192" t="str">
        <f>IFERROR(__xludf.DUMMYFUNCTION("TEXTJOIN("", "", TRUE, FILTER('🔴 DATA Pengiriman - ORD'!C$2:C1009, '🔴 DATA Pengiriman - ORD'!B$2:B1009 = B4))"),"ORD-001")</f>
        <v>ORD-001</v>
      </c>
      <c r="E4" s="192">
        <f>COUNTIF(OrderShipment[Shipment ID],B4)</f>
        <v>1</v>
      </c>
      <c r="F4" s="49">
        <f>VLOOKUP(B4,OrderShipment[],3,FALSE())</f>
        <v>46054</v>
      </c>
      <c r="G4" s="192" t="str">
        <f>IFERROR(__xludf.DUMMYFUNCTION("TEXTJOIN("", "", TRUE, FILTER('🔴 DATA Pengiriman - ORD'!E$2:E1009, '🔴 DATA Pengiriman - ORD'!$B$2:$B1009 = $B4))"),"Agashi")</f>
        <v>Agashi</v>
      </c>
      <c r="H4" s="192" t="str">
        <f>IFERROR(__xludf.DUMMYFUNCTION("TEXTJOIN("", "", TRUE, FILTER('🔴 DATA Pengiriman - ORD'!F$2:F1009, '🔴 DATA Pengiriman - ORD'!B$2:B1009 = B4))"),"7° 46' 26.634"" S 110° 22' 57.4212"" E")</f>
        <v>7° 46' 26.634" S 110° 22' 57.4212" E</v>
      </c>
      <c r="I4" s="19" t="s">
        <v>529</v>
      </c>
      <c r="J4" s="18">
        <v>22.0</v>
      </c>
      <c r="K4" s="26" t="str">
        <f t="shared" si="1"/>
        <v/>
      </c>
      <c r="L4" s="24" t="b">
        <v>1</v>
      </c>
      <c r="M4" s="24" t="b">
        <v>1</v>
      </c>
    </row>
    <row r="5" ht="22.5" customHeight="1">
      <c r="B5" s="192" t="s">
        <v>531</v>
      </c>
      <c r="C5" s="193" t="str">
        <f>VLOOKUP(Dashboard_Pengiriman[Shipment ID],OrderShipment[],7,FALSE)</f>
        <v>Fortuner</v>
      </c>
      <c r="D5" s="192" t="str">
        <f>IFERROR(__xludf.DUMMYFUNCTION("TEXTJOIN("", "", TRUE, FILTER('🔴 DATA Pengiriman - ORD'!C$2:C1009, '🔴 DATA Pengiriman - ORD'!B$2:B1009 = B5))"),"ORD-002")</f>
        <v>ORD-002</v>
      </c>
      <c r="E5" s="192">
        <f>COUNTIF(OrderShipment[Shipment ID],B5)</f>
        <v>1</v>
      </c>
      <c r="F5" s="49">
        <f>VLOOKUP(B5,OrderShipment[],3,FALSE())</f>
        <v>46058</v>
      </c>
      <c r="G5" s="192" t="str">
        <f>IFERROR(__xludf.DUMMYFUNCTION("TEXTJOIN("", "", TRUE, FILTER('🔴 DATA Pengiriman - ORD'!E$2:E1009, '🔴 DATA Pengiriman - ORD'!$B$2:$B1009 = $B5))"),"Via")</f>
        <v>Via</v>
      </c>
      <c r="H5" s="192" t="str">
        <f>IFERROR(__xludf.DUMMYFUNCTION("TEXTJOIN("", "", TRUE, FILTER('🔴 DATA Pengiriman - ORD'!F$2:F1009, '🔴 DATA Pengiriman - ORD'!B$2:B1009 = B5))"),"Rumah Raharja")</f>
        <v>Rumah Raharja</v>
      </c>
      <c r="I5" s="19" t="s">
        <v>532</v>
      </c>
      <c r="J5" s="18">
        <v>10.2</v>
      </c>
      <c r="K5" s="26" t="str">
        <f t="shared" si="1"/>
        <v/>
      </c>
      <c r="L5" s="24" t="b">
        <v>1</v>
      </c>
      <c r="M5" s="24" t="b">
        <v>1</v>
      </c>
    </row>
    <row r="6" ht="22.5" customHeight="1">
      <c r="B6" s="192" t="s">
        <v>533</v>
      </c>
      <c r="C6" s="193" t="str">
        <f>VLOOKUP(Dashboard_Pengiriman[Shipment ID],OrderShipment[],7,FALSE)</f>
        <v>Fortuner</v>
      </c>
      <c r="D6" s="192" t="str">
        <f>IFERROR(__xludf.DUMMYFUNCTION("TEXTJOIN("", "", TRUE, FILTER('🔴 DATA Pengiriman - ORD'!C$2:C1009, '🔴 DATA Pengiriman - ORD'!B$2:B1009 = B6))"),"ORD-002")</f>
        <v>ORD-002</v>
      </c>
      <c r="E6" s="192">
        <f>COUNTIF(OrderShipment[Shipment ID],B6)</f>
        <v>1</v>
      </c>
      <c r="F6" s="49">
        <f>VLOOKUP(B6,OrderShipment[],3,FALSE())</f>
        <v>46062</v>
      </c>
      <c r="G6" s="192" t="str">
        <f>IFERROR(__xludf.DUMMYFUNCTION("TEXTJOIN("", "", TRUE, FILTER('🔴 DATA Pengiriman - ORD'!E$2:E1009, '🔴 DATA Pengiriman - ORD'!$B$2:$B1009 = $B6))"),"Via")</f>
        <v>Via</v>
      </c>
      <c r="H6" s="192" t="str">
        <f>IFERROR(__xludf.DUMMYFUNCTION("TEXTJOIN("", "", TRUE, FILTER('🔴 DATA Pengiriman - ORD'!F$2:F1009, '🔴 DATA Pengiriman - ORD'!B$2:B1009 = B6))"),"Rumah Raharja")</f>
        <v>Rumah Raharja</v>
      </c>
      <c r="I6" s="19" t="s">
        <v>532</v>
      </c>
      <c r="J6" s="18">
        <v>10.2</v>
      </c>
      <c r="K6" s="26" t="str">
        <f t="shared" si="1"/>
        <v/>
      </c>
      <c r="L6" s="24" t="b">
        <v>1</v>
      </c>
      <c r="M6" s="24" t="b">
        <v>1</v>
      </c>
    </row>
    <row r="7" ht="22.5" customHeight="1">
      <c r="B7" s="192" t="s">
        <v>534</v>
      </c>
      <c r="C7" s="193" t="str">
        <f>VLOOKUP(Dashboard_Pengiriman[Shipment ID],OrderShipment[],7,FALSE)</f>
        <v>Display</v>
      </c>
      <c r="D7" s="192" t="str">
        <f>IFERROR(__xludf.DUMMYFUNCTION("TEXTJOIN("", "", TRUE, FILTER('🔴 DATA Pengiriman - ORD'!C$2:C1009, '🔴 DATA Pengiriman - ORD'!B$2:B1009 = B7))"),"ORD-003")</f>
        <v>ORD-003</v>
      </c>
      <c r="E7" s="192">
        <f>COUNTIF(OrderShipment[Shipment ID],B7)</f>
        <v>1</v>
      </c>
      <c r="F7" s="49">
        <f>VLOOKUP(B7,OrderShipment[],3,FALSE())</f>
        <v>46067</v>
      </c>
      <c r="G7" s="192" t="str">
        <f>IFERROR(__xludf.DUMMYFUNCTION("TEXTJOIN("", "", TRUE, FILTER('🔴 DATA Pengiriman - ORD'!E$2:E1009, '🔴 DATA Pengiriman - ORD'!$B$2:$B1009 = $B7))"),"Adani")</f>
        <v>Adani</v>
      </c>
      <c r="H7" s="192" t="str">
        <f>IFERROR(__xludf.DUMMYFUNCTION("TEXTJOIN("", "", TRUE, FILTER('🔴 DATA Pengiriman - ORD'!F$2:F1009, '🔴 DATA Pengiriman - ORD'!B$2:B1009 = B7))"),"7° 41' 56.3453"" S 110° 23' 14.1965"" E")</f>
        <v>7° 41' 56.3453" S 110° 23' 14.1965" E</v>
      </c>
      <c r="I7" s="19" t="s">
        <v>535</v>
      </c>
      <c r="J7" s="26">
        <f>17.2*2</f>
        <v>34.4</v>
      </c>
      <c r="K7" s="26">
        <f t="shared" si="1"/>
        <v>23392</v>
      </c>
      <c r="L7" s="24" t="b">
        <v>1</v>
      </c>
      <c r="M7" s="24" t="b">
        <v>1</v>
      </c>
    </row>
    <row r="8" ht="22.5" customHeight="1">
      <c r="B8" s="192" t="s">
        <v>536</v>
      </c>
      <c r="C8" s="193" t="str">
        <f>VLOOKUP(Dashboard_Pengiriman[Shipment ID],OrderShipment[],7,FALSE)</f>
        <v>Mandiri</v>
      </c>
      <c r="D8" s="192" t="str">
        <f>IFERROR(__xludf.DUMMYFUNCTION("TEXTJOIN("", "", TRUE, FILTER('🔴 DATA Pengiriman - ORD'!C$2:C1009, '🔴 DATA Pengiriman - ORD'!B$2:B1009 = B8))"),"ORD-004")</f>
        <v>ORD-004</v>
      </c>
      <c r="E8" s="192">
        <f>COUNTIF(OrderShipment[Shipment ID],B8)</f>
        <v>1</v>
      </c>
      <c r="F8" s="49">
        <f>VLOOKUP(B8,OrderShipment[],3,FALSE())</f>
        <v>46067</v>
      </c>
      <c r="G8" s="192" t="str">
        <f>IFERROR(__xludf.DUMMYFUNCTION("TEXTJOIN("", "", TRUE, FILTER('🔴 DATA Pengiriman - ORD'!E$2:E1009, '🔴 DATA Pengiriman - ORD'!$B$2:$B1009 = $B8))"),"Harza")</f>
        <v>Harza</v>
      </c>
      <c r="H8" s="192" t="str">
        <f>IFERROR(__xludf.DUMMYFUNCTION("TEXTJOIN("", "", TRUE, FILTER('🔴 DATA Pengiriman - ORD'!F$2:F1009, '🔴 DATA Pengiriman - ORD'!B$2:B1009 = B8))"),"RM. Ono Sambele")</f>
        <v>RM. Ono Sambele</v>
      </c>
      <c r="I8" s="19" t="s">
        <v>537</v>
      </c>
      <c r="J8" s="26">
        <f>25.6*2</f>
        <v>51.2</v>
      </c>
      <c r="K8" s="26">
        <f t="shared" si="1"/>
        <v>34816</v>
      </c>
      <c r="L8" s="24" t="b">
        <v>1</v>
      </c>
      <c r="M8" s="24" t="b">
        <v>1</v>
      </c>
    </row>
    <row r="9" ht="22.5" customHeight="1">
      <c r="B9" s="192" t="s">
        <v>538</v>
      </c>
      <c r="C9" s="193" t="str">
        <f>VLOOKUP(Dashboard_Pengiriman[Shipment ID],OrderShipment[],7,FALSE)</f>
        <v>Mandiri</v>
      </c>
      <c r="D9" s="192" t="str">
        <f>IFERROR(__xludf.DUMMYFUNCTION("TEXTJOIN("", "", TRUE, FILTER('🔴 DATA Pengiriman - ORD'!C$2:C1009, '🔴 DATA Pengiriman - ORD'!B$2:B1009 = B9))"),"ORD-003")</f>
        <v>ORD-003</v>
      </c>
      <c r="E9" s="192">
        <f>COUNTIF(OrderShipment[Shipment ID],B9)</f>
        <v>1</v>
      </c>
      <c r="F9" s="49">
        <f>VLOOKUP(B9,OrderShipment[],3,FALSE())</f>
        <v>46068</v>
      </c>
      <c r="G9" s="192" t="str">
        <f>IFERROR(__xludf.DUMMYFUNCTION("TEXTJOIN("", "", TRUE, FILTER('🔴 DATA Pengiriman - ORD'!E$2:E1009, '🔴 DATA Pengiriman - ORD'!$B$2:$B1009 = $B9))"),"Adani")</f>
        <v>Adani</v>
      </c>
      <c r="H9" s="192" t="str">
        <f>IFERROR(__xludf.DUMMYFUNCTION("TEXTJOIN("", "", TRUE, FILTER('🔴 DATA Pengiriman - ORD'!F$2:F1009, '🔴 DATA Pengiriman - ORD'!B$2:B1009 = B9))"),"7° 41' 56.3453"" S 110° 23' 14.1965"" E")</f>
        <v>7° 41' 56.3453" S 110° 23' 14.1965" E</v>
      </c>
      <c r="I9" s="19" t="s">
        <v>535</v>
      </c>
      <c r="J9" s="26">
        <v>34.4</v>
      </c>
      <c r="K9" s="26">
        <f t="shared" si="1"/>
        <v>23392</v>
      </c>
      <c r="L9" s="24" t="b">
        <v>1</v>
      </c>
      <c r="M9" s="24" t="b">
        <v>1</v>
      </c>
    </row>
    <row r="10" ht="22.5" customHeight="1">
      <c r="B10" s="192" t="s">
        <v>539</v>
      </c>
      <c r="C10" s="193" t="str">
        <f>VLOOKUP(Dashboard_Pengiriman[Shipment ID],OrderShipment[],7,FALSE)</f>
        <v>Display</v>
      </c>
      <c r="D10" s="192" t="str">
        <f>IFERROR(__xludf.DUMMYFUNCTION("TEXTJOIN("", "", TRUE, FILTER('🔴 DATA Pengiriman - ORD'!C$2:C1009, '🔴 DATA Pengiriman - ORD'!B$2:B1009 = B10))"),"ORD-004")</f>
        <v>ORD-004</v>
      </c>
      <c r="E10" s="192">
        <f>COUNTIF(OrderShipment[Shipment ID],B10)</f>
        <v>1</v>
      </c>
      <c r="F10" s="49">
        <f>VLOOKUP(B10,OrderShipment[],3,FALSE())</f>
        <v>46068</v>
      </c>
      <c r="G10" s="192" t="str">
        <f>IFERROR(__xludf.DUMMYFUNCTION("TEXTJOIN("", "", TRUE, FILTER('🔴 DATA Pengiriman - ORD'!E$2:E1009, '🔴 DATA Pengiriman - ORD'!$B$2:$B1009 = $B10))"),"Harza")</f>
        <v>Harza</v>
      </c>
      <c r="H10" s="192" t="str">
        <f>IFERROR(__xludf.DUMMYFUNCTION("TEXTJOIN("", "", TRUE, FILTER('🔴 DATA Pengiriman - ORD'!F$2:F1009, '🔴 DATA Pengiriman - ORD'!B$2:B1009 = B10))"),"RM. Ono Sambele")</f>
        <v>RM. Ono Sambele</v>
      </c>
      <c r="I10" s="19" t="s">
        <v>537</v>
      </c>
      <c r="J10" s="26">
        <v>51.2</v>
      </c>
      <c r="K10" s="26">
        <f t="shared" si="1"/>
        <v>34816</v>
      </c>
      <c r="L10" s="24" t="b">
        <v>1</v>
      </c>
      <c r="M10" s="24" t="b">
        <v>1</v>
      </c>
    </row>
    <row r="11" ht="22.5" customHeight="1">
      <c r="B11" s="192" t="s">
        <v>540</v>
      </c>
      <c r="C11" s="193" t="str">
        <f>VLOOKUP(Dashboard_Pengiriman[Shipment ID],OrderShipment[],7,FALSE)</f>
        <v>Mandiri</v>
      </c>
      <c r="D11" s="192" t="str">
        <f>IFERROR(__xludf.DUMMYFUNCTION("TEXTJOIN("", "", TRUE, FILTER('🔴 DATA Pengiriman - ORD'!C$2:C1009, '🔴 DATA Pengiriman - ORD'!B$2:B1009 = B11))"),"ORD-006")</f>
        <v>ORD-006</v>
      </c>
      <c r="E11" s="192">
        <f>COUNTIF(OrderShipment[Shipment ID],B11)</f>
        <v>1</v>
      </c>
      <c r="F11" s="49">
        <f>VLOOKUP(B11,OrderShipment[],3,FALSE())</f>
        <v>46071</v>
      </c>
      <c r="G11" s="192" t="str">
        <f>IFERROR(__xludf.DUMMYFUNCTION("TEXTJOIN("", "", TRUE, FILTER('🔴 DATA Pengiriman - ORD'!E$2:E1009, '🔴 DATA Pengiriman - ORD'!$B$2:$B1009 = $B11))"),"Vivi")</f>
        <v>Vivi</v>
      </c>
      <c r="H11" s="192" t="str">
        <f>IFERROR(__xludf.DUMMYFUNCTION("TEXTJOIN("", "", TRUE, FILTER('🔴 DATA Pengiriman - ORD'!F$2:F1009, '🔴 DATA Pengiriman - ORD'!B$2:B1009 = B11))"),"Gloria Motor Katamso, Yka")</f>
        <v>Gloria Motor Katamso, Yka</v>
      </c>
      <c r="I11" s="19" t="s">
        <v>535</v>
      </c>
      <c r="J11" s="26">
        <v>24.0</v>
      </c>
      <c r="K11" s="26">
        <f t="shared" si="1"/>
        <v>16320</v>
      </c>
      <c r="L11" s="24" t="b">
        <v>1</v>
      </c>
      <c r="M11" s="24" t="b">
        <v>1</v>
      </c>
    </row>
    <row r="12" ht="22.5" customHeight="1">
      <c r="B12" s="192" t="s">
        <v>541</v>
      </c>
      <c r="C12" s="193" t="str">
        <f>VLOOKUP(Dashboard_Pengiriman[Shipment ID],OrderShipment[],7,FALSE)</f>
        <v>Mandiri</v>
      </c>
      <c r="D12" s="192" t="str">
        <f>IFERROR(__xludf.DUMMYFUNCTION("TEXTJOIN("", "", TRUE, FILTER('🔴 DATA Pengiriman - ORD'!C$2:C1009, '🔴 DATA Pengiriman - ORD'!B$2:B1009 = B12))"),"ORD-006")</f>
        <v>ORD-006</v>
      </c>
      <c r="E12" s="192">
        <f>COUNTIF(OrderShipment[Shipment ID],B12)</f>
        <v>1</v>
      </c>
      <c r="F12" s="49">
        <f>VLOOKUP(B12,OrderShipment[],3,FALSE())</f>
        <v>46072</v>
      </c>
      <c r="G12" s="192" t="str">
        <f>IFERROR(__xludf.DUMMYFUNCTION("TEXTJOIN("", "", TRUE, FILTER('🔴 DATA Pengiriman - ORD'!E$2:E1009, '🔴 DATA Pengiriman - ORD'!$B$2:$B1009 = $B12))"),"Vivi")</f>
        <v>Vivi</v>
      </c>
      <c r="H12" s="192" t="str">
        <f>IFERROR(__xludf.DUMMYFUNCTION("TEXTJOIN("", "", TRUE, FILTER('🔴 DATA Pengiriman - ORD'!F$2:F1009, '🔴 DATA Pengiriman - ORD'!B$2:B1009 = B12))"),"Gloria Motor Katamso, Yka")</f>
        <v>Gloria Motor Katamso, Yka</v>
      </c>
      <c r="I12" s="19" t="s">
        <v>535</v>
      </c>
      <c r="J12" s="26">
        <f>2*12</f>
        <v>24</v>
      </c>
      <c r="K12" s="26">
        <f t="shared" si="1"/>
        <v>16320</v>
      </c>
      <c r="L12" s="24" t="b">
        <v>1</v>
      </c>
      <c r="M12" s="24" t="b">
        <v>1</v>
      </c>
    </row>
    <row r="13" ht="22.5" customHeight="1">
      <c r="B13" s="192" t="s">
        <v>542</v>
      </c>
      <c r="C13" s="193" t="str">
        <f>VLOOKUP(Dashboard_Pengiriman[Shipment ID],OrderShipment[],7,FALSE)</f>
        <v>Mandiri</v>
      </c>
      <c r="D13" s="192" t="str">
        <f>IFERROR(__xludf.DUMMYFUNCTION("TEXTJOIN("", "", TRUE, FILTER('🔴 DATA Pengiriman - ORD'!C$2:C1009, '🔴 DATA Pengiriman - ORD'!B$2:B1009 = B13))"),"ORD-007")</f>
        <v>ORD-007</v>
      </c>
      <c r="E13" s="192">
        <f>COUNTIF(OrderShipment[Shipment ID],B13)</f>
        <v>1</v>
      </c>
      <c r="F13" s="49">
        <f>VLOOKUP(B13,OrderShipment[],3,FALSE())</f>
        <v>46073</v>
      </c>
      <c r="G13" s="192" t="str">
        <f>IFERROR(__xludf.DUMMYFUNCTION("TEXTJOIN("", "", TRUE, FILTER('🔴 DATA Pengiriman - ORD'!E$2:E1009, '🔴 DATA Pengiriman - ORD'!$B$2:$B1009 = $B13))"),"Danie")</f>
        <v>Danie</v>
      </c>
      <c r="H13" s="192" t="str">
        <f>IFERROR(__xludf.DUMMYFUNCTION("TEXTJOIN("", "", TRUE, FILTER('🔴 DATA Pengiriman - ORD'!F$2:F1009, '🔴 DATA Pengiriman - ORD'!B$2:B1009 = B13))"),"PESONA MENTARI REGENCY")</f>
        <v>PESONA MENTARI REGENCY</v>
      </c>
      <c r="I13" s="19" t="s">
        <v>543</v>
      </c>
      <c r="J13" s="26">
        <f>16*2</f>
        <v>32</v>
      </c>
      <c r="K13" s="26">
        <f t="shared" si="1"/>
        <v>21760</v>
      </c>
      <c r="L13" s="24" t="b">
        <v>1</v>
      </c>
      <c r="M13" s="24" t="b">
        <v>1</v>
      </c>
    </row>
    <row r="14" ht="22.5" customHeight="1">
      <c r="B14" s="192" t="s">
        <v>544</v>
      </c>
      <c r="C14" s="193" t="str">
        <f>VLOOKUP(Dashboard_Pengiriman[Shipment ID],OrderShipment[],7,FALSE)</f>
        <v>Fortuner</v>
      </c>
      <c r="D14" s="192" t="str">
        <f>IFERROR(__xludf.DUMMYFUNCTION("TEXTJOIN("", "", TRUE, FILTER('🔴 DATA Pengiriman - ORD'!C$2:C1009, '🔴 DATA Pengiriman - ORD'!B$2:B1009 = B14))"),"ORD-007")</f>
        <v>ORD-007</v>
      </c>
      <c r="E14" s="192">
        <f>COUNTIF(OrderShipment[Shipment ID],B14)</f>
        <v>1</v>
      </c>
      <c r="F14" s="49">
        <f>VLOOKUP(B14,OrderShipment[],3,FALSE())</f>
        <v>46075</v>
      </c>
      <c r="G14" s="192" t="str">
        <f>IFERROR(__xludf.DUMMYFUNCTION("TEXTJOIN("", "", TRUE, FILTER('🔴 DATA Pengiriman - ORD'!E$2:E1009, '🔴 DATA Pengiriman - ORD'!$B$2:$B1009 = $B14))"),"Danie")</f>
        <v>Danie</v>
      </c>
      <c r="H14" s="192" t="str">
        <f>IFERROR(__xludf.DUMMYFUNCTION("TEXTJOIN("", "", TRUE, FILTER('🔴 DATA Pengiriman - ORD'!F$2:F1009, '🔴 DATA Pengiriman - ORD'!B$2:B1009 = B14))"),"PESONA MENTARI REGENCY")</f>
        <v>PESONA MENTARI REGENCY</v>
      </c>
      <c r="I14" s="19" t="s">
        <v>543</v>
      </c>
      <c r="J14" s="26">
        <v>32.0</v>
      </c>
      <c r="K14" s="26" t="str">
        <f t="shared" si="1"/>
        <v/>
      </c>
      <c r="L14" s="24" t="b">
        <v>1</v>
      </c>
      <c r="M14" s="24" t="b">
        <v>1</v>
      </c>
    </row>
    <row r="15" ht="22.5" customHeight="1">
      <c r="B15" s="192" t="s">
        <v>545</v>
      </c>
      <c r="C15" s="193" t="str">
        <f>VLOOKUP(Dashboard_Pengiriman[Shipment ID],OrderShipment[],7,FALSE)</f>
        <v>Mandiri</v>
      </c>
      <c r="D15" s="192" t="str">
        <f>IFERROR(__xludf.DUMMYFUNCTION("TEXTJOIN("", "", TRUE, FILTER('🔴 DATA Pengiriman - ORD'!C$2:C1009, '🔴 DATA Pengiriman - ORD'!B$2:B1009 = B15))"),"ORD-012")</f>
        <v>ORD-012</v>
      </c>
      <c r="E15" s="192">
        <f>COUNTIF(OrderShipment[Shipment ID],B15)</f>
        <v>1</v>
      </c>
      <c r="F15" s="49">
        <f>VLOOKUP(B15,OrderShipment[],3,FALSE())</f>
        <v>46096</v>
      </c>
      <c r="G15" s="192" t="str">
        <f>IFERROR(__xludf.DUMMYFUNCTION("TEXTJOIN("", "", TRUE, FILTER('🔴 DATA Pengiriman - ORD'!E$2:E1009, '🔴 DATA Pengiriman - ORD'!$B$2:$B1009 = $B15))"),"Abdul Azis")</f>
        <v>Abdul Azis</v>
      </c>
      <c r="H15" s="192" t="str">
        <f>IFERROR(__xludf.DUMMYFUNCTION("TEXTJOIN("", "", TRUE, FILTER('🔴 DATA Pengiriman - ORD'!F$2:F1009, '🔴 DATA Pengiriman - ORD'!B$2:B1009 = B15))"),"7° 46' 29.7264"" S 110° 18' 51.2064"" E")</f>
        <v>7° 46' 29.7264" S 110° 18' 51.2064" E</v>
      </c>
      <c r="I15" s="19" t="s">
        <v>543</v>
      </c>
      <c r="J15" s="18">
        <v>7.2</v>
      </c>
      <c r="K15" s="26">
        <f t="shared" si="1"/>
        <v>4896</v>
      </c>
      <c r="L15" s="24" t="b">
        <v>1</v>
      </c>
      <c r="M15" s="24" t="b">
        <v>1</v>
      </c>
    </row>
    <row r="16" ht="22.5" customHeight="1">
      <c r="B16" s="192" t="s">
        <v>546</v>
      </c>
      <c r="C16" s="193" t="str">
        <f>VLOOKUP(Dashboard_Pengiriman[Shipment ID],OrderShipment[],7,FALSE)</f>
        <v>Mandiri</v>
      </c>
      <c r="D16" s="192" t="str">
        <f>IFERROR(__xludf.DUMMYFUNCTION("TEXTJOIN("", "", TRUE, FILTER('🔴 DATA Pengiriman - ORD'!C$2:C1009, '🔴 DATA Pengiriman - ORD'!B$2:B1009 = B16))"),"ORD-012, ORD-010, ORD-013")</f>
        <v>ORD-012, ORD-010, ORD-013</v>
      </c>
      <c r="E16" s="192">
        <f>COUNTIF(OrderShipment[Shipment ID],B16)</f>
        <v>3</v>
      </c>
      <c r="F16" s="49">
        <f>VLOOKUP(B16,OrderShipment[],3,FALSE())</f>
        <v>46098</v>
      </c>
      <c r="G16" s="192" t="str">
        <f>IFERROR(__xludf.DUMMYFUNCTION("TEXTJOIN("", "", TRUE, FILTER('🔴 DATA Pengiriman - ORD'!E$2:E1009, '🔴 DATA Pengiriman - ORD'!$B$2:$B1009 = $B16))"),"Abdul Azis, Felis/Ella, Intan")</f>
        <v>Abdul Azis, Felis/Ella, Intan</v>
      </c>
      <c r="H16" s="192" t="str">
        <f>IFERROR(__xludf.DUMMYFUNCTION("TEXTJOIN("", "", TRUE, FILTER('🔴 DATA Pengiriman - ORD'!F$2:F1009, '🔴 DATA Pengiriman - ORD'!B$2:B1009 = B16))"),"7° 46' 29.7264"" S 110° 18' 51.2064"" E, Jitar Dukuh, Griya Alvita AK-4")</f>
        <v>7° 46' 29.7264" S 110° 18' 51.2064" E, Jitar Dukuh, Griya Alvita AK-4</v>
      </c>
      <c r="I16" s="194" t="s">
        <v>547</v>
      </c>
      <c r="J16" s="18">
        <v>35.7</v>
      </c>
      <c r="K16" s="26">
        <f t="shared" si="1"/>
        <v>24276</v>
      </c>
      <c r="L16" s="24" t="b">
        <v>1</v>
      </c>
      <c r="M16" s="24" t="b">
        <v>1</v>
      </c>
    </row>
    <row r="17" ht="22.5" customHeight="1">
      <c r="B17" s="192" t="s">
        <v>548</v>
      </c>
      <c r="C17" s="193" t="str">
        <f>VLOOKUP(Dashboard_Pengiriman[Shipment ID],OrderShipment[],7,FALSE)</f>
        <v>Fortuner</v>
      </c>
      <c r="D17" s="192" t="str">
        <f>IFERROR(__xludf.DUMMYFUNCTION("TEXTJOIN("", "", TRUE, FILTER('🔴 DATA Pengiriman - ORD'!C$2:C1009, '🔴 DATA Pengiriman - ORD'!B$2:B1009 = B17))"),"ORD-009")</f>
        <v>ORD-009</v>
      </c>
      <c r="E17" s="192">
        <f>COUNTIF(OrderShipment[Shipment ID],B17)</f>
        <v>1</v>
      </c>
      <c r="F17" s="49">
        <f>VLOOKUP(B17,OrderShipment[],3,FALSE())</f>
        <v>46098</v>
      </c>
      <c r="G17" s="192" t="str">
        <f>IFERROR(__xludf.DUMMYFUNCTION("TEXTJOIN("", "", TRUE, FILTER('🔴 DATA Pengiriman - ORD'!E$2:E1009, '🔴 DATA Pengiriman - ORD'!$B$2:$B1009 = $B17))"),"Lucky Enjang")</f>
        <v>Lucky Enjang</v>
      </c>
      <c r="H17" s="192" t="str">
        <f>IFERROR(__xludf.DUMMYFUNCTION("TEXTJOIN("", "", TRUE, FILTER('🔴 DATA Pengiriman - ORD'!F$2:F1009, '🔴 DATA Pengiriman - ORD'!B$2:B1009 = B17))"),"BMT BIF Cabang Tajem")</f>
        <v>BMT BIF Cabang Tajem</v>
      </c>
      <c r="I17" s="19" t="s">
        <v>549</v>
      </c>
      <c r="J17" s="18">
        <v>42.0</v>
      </c>
      <c r="K17" s="26" t="str">
        <f t="shared" si="1"/>
        <v/>
      </c>
      <c r="L17" s="24" t="b">
        <v>1</v>
      </c>
      <c r="M17" s="24" t="b">
        <v>1</v>
      </c>
    </row>
    <row r="18" ht="22.5" customHeight="1">
      <c r="B18" s="192" t="s">
        <v>550</v>
      </c>
      <c r="C18" s="193" t="str">
        <f>VLOOKUP(Dashboard_Pengiriman[Shipment ID],OrderShipment[],7,FALSE)</f>
        <v>Fortuner</v>
      </c>
      <c r="D18" s="192" t="str">
        <f>IFERROR(__xludf.DUMMYFUNCTION("TEXTJOIN("", "", TRUE, FILTER('🔴 DATA Pengiriman - ORD'!C$2:C1009, '🔴 DATA Pengiriman - ORD'!B$2:B1009 = B18))"),"ORD-009")</f>
        <v>ORD-009</v>
      </c>
      <c r="E18" s="192">
        <f>COUNTIF(OrderShipment[Shipment ID],B18)</f>
        <v>1</v>
      </c>
      <c r="F18" s="49">
        <f>VLOOKUP(B18,OrderShipment[],3,FALSE())</f>
        <v>46099</v>
      </c>
      <c r="G18" s="192" t="str">
        <f>IFERROR(__xludf.DUMMYFUNCTION("TEXTJOIN("", "", TRUE, FILTER('🔴 DATA Pengiriman - ORD'!E$2:E1009, '🔴 DATA Pengiriman - ORD'!$B$2:$B1009 = $B18))"),"Lucky Enjang")</f>
        <v>Lucky Enjang</v>
      </c>
      <c r="H18" s="192" t="str">
        <f>IFERROR(__xludf.DUMMYFUNCTION("TEXTJOIN("", "", TRUE, FILTER('🔴 DATA Pengiriman - ORD'!F$2:F1009, '🔴 DATA Pengiriman - ORD'!B$2:B1009 = B18))"),"BMT BIF Cabang Tajem")</f>
        <v>BMT BIF Cabang Tajem</v>
      </c>
      <c r="I18" s="19" t="s">
        <v>549</v>
      </c>
      <c r="J18" s="18">
        <v>42.0</v>
      </c>
      <c r="K18" s="26" t="str">
        <f t="shared" si="1"/>
        <v/>
      </c>
      <c r="L18" s="24" t="b">
        <v>1</v>
      </c>
      <c r="M18" s="24" t="b">
        <v>1</v>
      </c>
    </row>
    <row r="19" ht="22.5" customHeight="1">
      <c r="B19" s="192" t="s">
        <v>551</v>
      </c>
      <c r="C19" s="193" t="str">
        <f>VLOOKUP(Dashboard_Pengiriman[Shipment ID],OrderShipment[],7,FALSE)</f>
        <v>Mandiri</v>
      </c>
      <c r="D19" s="192" t="str">
        <f>IFERROR(__xludf.DUMMYFUNCTION("TEXTJOIN("", "", TRUE, FILTER('🔴 DATA Pengiriman - ORD'!C$2:C1009, '🔴 DATA Pengiriman - ORD'!B$2:B1009 = B19))"),"ORD-011, ORD-014")</f>
        <v>ORD-011, ORD-014</v>
      </c>
      <c r="E19" s="192">
        <f>COUNTIF(OrderShipment[Shipment ID],B19)</f>
        <v>2</v>
      </c>
      <c r="F19" s="49">
        <f>VLOOKUP(B19,OrderShipment[],3,FALSE())</f>
        <v>46099</v>
      </c>
      <c r="G19" s="192" t="str">
        <f>IFERROR(__xludf.DUMMYFUNCTION("TEXTJOIN("", "", TRUE, FILTER('🔴 DATA Pengiriman - ORD'!E$2:E1009, '🔴 DATA Pengiriman - ORD'!$B$2:$B1009 = $B19))"),"Yani Andari, Fendy")</f>
        <v>Yani Andari, Fendy</v>
      </c>
      <c r="H19" s="192" t="str">
        <f>IFERROR(__xludf.DUMMYFUNCTION("TEXTJOIN("", "", TRUE, FILTER('🔴 DATA Pengiriman - ORD'!F$2:F1009, '🔴 DATA Pengiriman - ORD'!B$2:B1009 = B19))"),"HOS Warehouse, 7° 48' 52.3195"" S 110° 24' 26.6198"" E")</f>
        <v>HOS Warehouse, 7° 48' 52.3195" S 110° 24' 26.6198" E</v>
      </c>
      <c r="I19" s="19" t="s">
        <v>552</v>
      </c>
      <c r="J19" s="18">
        <v>47.2</v>
      </c>
      <c r="K19" s="26">
        <f t="shared" si="1"/>
        <v>32096</v>
      </c>
      <c r="L19" s="24" t="b">
        <v>1</v>
      </c>
      <c r="M19" s="24" t="b">
        <v>1</v>
      </c>
    </row>
    <row r="20" ht="22.5" customHeight="1">
      <c r="B20" s="192" t="s">
        <v>553</v>
      </c>
      <c r="C20" s="193" t="str">
        <f>VLOOKUP(Dashboard_Pengiriman[Shipment ID],OrderShipment[],7,FALSE)</f>
        <v>Mandiri</v>
      </c>
      <c r="D20" s="192" t="str">
        <f>IFERROR(__xludf.DUMMYFUNCTION("TEXTJOIN("", "", TRUE, FILTER('🔴 DATA Pengiriman - ORD'!C$2:C1009, '🔴 DATA Pengiriman - ORD'!B$2:B1009 = B20))"),"ORD-005, ORD-017")</f>
        <v>ORD-005, ORD-017</v>
      </c>
      <c r="E20" s="192">
        <f>COUNTIF(OrderShipment[Shipment ID],B20)</f>
        <v>2</v>
      </c>
      <c r="F20" s="49">
        <f>VLOOKUP(B20,OrderShipment[],3,FALSE())</f>
        <v>46100</v>
      </c>
      <c r="G20" s="192" t="str">
        <f>IFERROR(__xludf.DUMMYFUNCTION("TEXTJOIN("", "", TRUE, FILTER('🔴 DATA Pengiriman - ORD'!E$2:E1009, '🔴 DATA Pengiriman - ORD'!$B$2:$B1009 = $B20))"),"Nisrina, Abdul Azis")</f>
        <v>Nisrina, Abdul Azis</v>
      </c>
      <c r="H20" s="192" t="str">
        <f>IFERROR(__xludf.DUMMYFUNCTION("TEXTJOIN("", "", TRUE, FILTER('🔴 DATA Pengiriman - ORD'!F$2:F1009, '🔴 DATA Pengiriman - ORD'!B$2:B1009 = B20))"),"Jl. Masjid Besar No.905, 7° 46' 29.7264"" S 110° 18' 51.2064"" E")</f>
        <v>Jl. Masjid Besar No.905, 7° 46' 29.7264" S 110° 18' 51.2064" E</v>
      </c>
      <c r="I20" s="19" t="s">
        <v>554</v>
      </c>
      <c r="J20" s="18">
        <v>40.2</v>
      </c>
      <c r="K20" s="26">
        <f t="shared" si="1"/>
        <v>27336</v>
      </c>
      <c r="L20" s="24" t="b">
        <v>1</v>
      </c>
      <c r="M20" s="24" t="b">
        <v>1</v>
      </c>
    </row>
    <row r="21" ht="22.5" customHeight="1">
      <c r="B21" s="192" t="s">
        <v>555</v>
      </c>
      <c r="C21" s="193" t="str">
        <f>VLOOKUP(Dashboard_Pengiriman[Shipment ID],OrderShipment[],7,FALSE)</f>
        <v>Fortuner</v>
      </c>
      <c r="D21" s="192" t="str">
        <f>IFERROR(__xludf.DUMMYFUNCTION("TEXTJOIN("", "", TRUE, FILTER('🔴 DATA Pengiriman - ORD'!C$2:C1009, '🔴 DATA Pengiriman - ORD'!B$2:B1009 = B21))"),"ORD-013")</f>
        <v>ORD-013</v>
      </c>
      <c r="E21" s="192">
        <f>COUNTIF(OrderShipment[Shipment ID],B21)</f>
        <v>1</v>
      </c>
      <c r="F21" s="49">
        <f>VLOOKUP(B21,OrderShipment[],3,FALSE())</f>
        <v>46101</v>
      </c>
      <c r="G21" s="192" t="str">
        <f>IFERROR(__xludf.DUMMYFUNCTION("TEXTJOIN("", "", TRUE, FILTER('🔴 DATA Pengiriman - ORD'!E$2:E1009, '🔴 DATA Pengiriman - ORD'!$B$2:$B1009 = $B21))"),"Intan")</f>
        <v>Intan</v>
      </c>
      <c r="H21" s="192" t="str">
        <f>IFERROR(__xludf.DUMMYFUNCTION("TEXTJOIN("", "", TRUE, FILTER('🔴 DATA Pengiriman - ORD'!F$2:F1009, '🔴 DATA Pengiriman - ORD'!B$2:B1009 = B21))"),"Griya Alvita AK-4")</f>
        <v>Griya Alvita AK-4</v>
      </c>
      <c r="I21" s="19" t="s">
        <v>556</v>
      </c>
      <c r="J21" s="18">
        <v>15.4</v>
      </c>
      <c r="K21" s="26" t="str">
        <f t="shared" si="1"/>
        <v/>
      </c>
      <c r="L21" s="24" t="b">
        <v>1</v>
      </c>
      <c r="M21" s="24" t="b">
        <v>1</v>
      </c>
    </row>
    <row r="22" ht="22.5" customHeight="1">
      <c r="B22" s="192" t="s">
        <v>557</v>
      </c>
      <c r="C22" s="193" t="str">
        <f>VLOOKUP(Dashboard_Pengiriman[Shipment ID],OrderShipment[],7,FALSE)</f>
        <v>Mandiri</v>
      </c>
      <c r="D22" s="192" t="str">
        <f>IFERROR(__xludf.DUMMYFUNCTION("TEXTJOIN("", "", TRUE, FILTER('🔴 DATA Pengiriman - ORD'!C$2:C1009, '🔴 DATA Pengiriman - ORD'!B$2:B1009 = B22))"),"ORD-015")</f>
        <v>ORD-015</v>
      </c>
      <c r="E22" s="192">
        <f>COUNTIF(OrderShipment[Shipment ID],B22)</f>
        <v>1</v>
      </c>
      <c r="F22" s="49">
        <f>VLOOKUP(B22,OrderShipment[],3,FALSE())</f>
        <v>46101</v>
      </c>
      <c r="G22" s="192" t="str">
        <f>IFERROR(__xludf.DUMMYFUNCTION("TEXTJOIN("", "", TRUE, FILTER('🔴 DATA Pengiriman - ORD'!E$2:E1009, '🔴 DATA Pengiriman - ORD'!$B$2:$B1009 = $B22))"),"Antoni")</f>
        <v>Antoni</v>
      </c>
      <c r="H22" s="192" t="str">
        <f>IFERROR(__xludf.DUMMYFUNCTION("TEXTJOIN("", "", TRUE, FILTER('🔴 DATA Pengiriman - ORD'!F$2:F1009, '🔴 DATA Pengiriman - ORD'!B$2:B1009 = B22))"),"TUGU BINTANG DUSUN NYAMPLUNG")</f>
        <v>TUGU BINTANG DUSUN NYAMPLUNG</v>
      </c>
      <c r="I22" s="19" t="s">
        <v>558</v>
      </c>
      <c r="J22" s="18">
        <v>14.0</v>
      </c>
      <c r="K22" s="26">
        <f t="shared" si="1"/>
        <v>9520</v>
      </c>
      <c r="L22" s="24" t="b">
        <v>1</v>
      </c>
      <c r="M22" s="24" t="b">
        <v>1</v>
      </c>
    </row>
    <row r="23" ht="22.5" customHeight="1">
      <c r="B23" s="26" t="s">
        <v>559</v>
      </c>
      <c r="C23" s="195" t="str">
        <f>VLOOKUP(Dashboard_Pengiriman[Shipment ID],OrderShipment[],7,FALSE)</f>
        <v>Mandiri</v>
      </c>
      <c r="D23" s="26" t="str">
        <f>IFERROR(__xludf.DUMMYFUNCTION("TEXTJOIN("", "", TRUE, FILTER('🔴 DATA Pengiriman - ORD'!C$2:C1009, '🔴 DATA Pengiriman - ORD'!B$2:B1009 = B23))"),"ORD-017")</f>
        <v>ORD-017</v>
      </c>
      <c r="E23" s="26">
        <f>COUNTIF(OrderShipment[Shipment ID],B23)</f>
        <v>1</v>
      </c>
      <c r="F23" s="49">
        <f>VLOOKUP(B23,OrderShipment[],3,FALSE())</f>
        <v>46103</v>
      </c>
      <c r="G23" s="26" t="str">
        <f>IFERROR(__xludf.DUMMYFUNCTION("TEXTJOIN("", "", TRUE, FILTER('🔴 DATA Pengiriman - ORD'!E$2:E1009, '🔴 DATA Pengiriman - ORD'!$B$2:$B1009 = $B23))"),"Abdul Azis")</f>
        <v>Abdul Azis</v>
      </c>
      <c r="H23" s="192" t="str">
        <f>IFERROR(__xludf.DUMMYFUNCTION("TEXTJOIN("", "", TRUE, FILTER('🔴 DATA Pengiriman - ORD'!F$2:F1009, '🔴 DATA Pengiriman - ORD'!B$2:B1009 = B23))"),"7° 46' 29.7264"" S 110° 18' 51.2064"" E")</f>
        <v>7° 46' 29.7264" S 110° 18' 51.2064" E</v>
      </c>
      <c r="I23" s="19" t="s">
        <v>560</v>
      </c>
      <c r="J23" s="18">
        <v>6.1</v>
      </c>
      <c r="K23" s="26">
        <f t="shared" si="1"/>
        <v>4148</v>
      </c>
      <c r="L23" s="24" t="b">
        <v>1</v>
      </c>
      <c r="M23" s="24" t="b">
        <v>1</v>
      </c>
    </row>
    <row r="24" ht="22.5" customHeight="1">
      <c r="B24" s="26" t="s">
        <v>561</v>
      </c>
      <c r="C24" s="195" t="str">
        <f>VLOOKUP(Dashboard_Pengiriman[Shipment ID],OrderShipment[],7,FALSE)</f>
        <v>Mandiri</v>
      </c>
      <c r="D24" s="26" t="str">
        <f>IFERROR(__xludf.DUMMYFUNCTION("TEXTJOIN("", "", TRUE, FILTER('🔴 DATA Pengiriman - ORD'!C$2:C1009, '🔴 DATA Pengiriman - ORD'!B$2:B1009 = B24))"),"ORD-010, ORD-005, ORD-018, ORD-016")</f>
        <v>ORD-010, ORD-005, ORD-018, ORD-016</v>
      </c>
      <c r="E24" s="26">
        <f>COUNTIF(OrderShipment[Shipment ID],B24)</f>
        <v>4</v>
      </c>
      <c r="F24" s="49">
        <f>VLOOKUP(B24,OrderShipment[],3,FALSE())</f>
        <v>46104</v>
      </c>
      <c r="G24" s="26" t="str">
        <f>IFERROR(__xludf.DUMMYFUNCTION("TEXTJOIN("", "", TRUE, FILTER('🔴 DATA Pengiriman - ORD'!E$2:E1009, '🔴 DATA Pengiriman - ORD'!$B$2:$B1009 = $B24))"),"Felis/Ella, Nisrina, Alfrida, Feris")</f>
        <v>Felis/Ella, Nisrina, Alfrida, Feris</v>
      </c>
      <c r="H24" s="192" t="str">
        <f>IFERROR(__xludf.DUMMYFUNCTION("TEXTJOIN("", "", TRUE, FILTER('🔴 DATA Pengiriman - ORD'!F$2:F1009, '🔴 DATA Pengiriman - ORD'!B$2:B1009 = B24))"),"Jitar Dukuh, Jl. Masjid Besar No.905, Kontrakan Gg.Mulyadi, 7° 43' 19.7926"" S 110° 23' 33.1865"" E")</f>
        <v>Jitar Dukuh, Jl. Masjid Besar No.905, Kontrakan Gg.Mulyadi, 7° 43' 19.7926" S 110° 23' 33.1865" E</v>
      </c>
      <c r="I24" s="19" t="s">
        <v>562</v>
      </c>
      <c r="J24" s="18">
        <v>77.4</v>
      </c>
      <c r="K24" s="26">
        <f t="shared" si="1"/>
        <v>52632</v>
      </c>
      <c r="L24" s="24" t="b">
        <v>1</v>
      </c>
      <c r="M24" s="24" t="b">
        <v>1</v>
      </c>
    </row>
    <row r="25" ht="22.5" customHeight="1">
      <c r="B25" s="26" t="s">
        <v>563</v>
      </c>
      <c r="C25" s="195" t="str">
        <f>VLOOKUP(Dashboard_Pengiriman[Shipment ID],OrderShipment[],7,FALSE)</f>
        <v>Mandiri</v>
      </c>
      <c r="D25" s="26" t="str">
        <f>IFERROR(__xludf.DUMMYFUNCTION("TEXTJOIN("", "", TRUE, FILTER('🔴 DATA Pengiriman - ORD'!C$2:C1009, '🔴 DATA Pengiriman - ORD'!B$2:B1009 = B25))"),"ORD-015, ORD-011, ORD-020")</f>
        <v>ORD-015, ORD-011, ORD-020</v>
      </c>
      <c r="E25" s="26">
        <f>COUNTIF(OrderShipment[Shipment ID],B25)</f>
        <v>3</v>
      </c>
      <c r="F25" s="49">
        <f>VLOOKUP(B25,OrderShipment[],3,FALSE())</f>
        <v>46105</v>
      </c>
      <c r="G25" s="26" t="str">
        <f>IFERROR(__xludf.DUMMYFUNCTION("TEXTJOIN("", "", TRUE, FILTER('🔴 DATA Pengiriman - ORD'!E$2:E1009, '🔴 DATA Pengiriman - ORD'!$B$2:$B1009 = $B25))"),"Antoni, Yani Andari, Eksperian")</f>
        <v>Antoni, Yani Andari, Eksperian</v>
      </c>
      <c r="H25" s="192" t="str">
        <f>IFERROR(__xludf.DUMMYFUNCTION("TEXTJOIN("", "", TRUE, FILTER('🔴 DATA Pengiriman - ORD'!F$2:F1009, '🔴 DATA Pengiriman - ORD'!B$2:B1009 = B25))"),"TUGU BINTANG DUSUN NYAMPLUNG, HOS Warehouse, Perumahan Taman Ayom")</f>
        <v>TUGU BINTANG DUSUN NYAMPLUNG, HOS Warehouse, Perumahan Taman Ayom</v>
      </c>
      <c r="I25" s="19" t="s">
        <v>564</v>
      </c>
      <c r="J25" s="18">
        <v>94.9</v>
      </c>
      <c r="K25" s="26">
        <f t="shared" si="1"/>
        <v>64532</v>
      </c>
      <c r="L25" s="24" t="b">
        <v>1</v>
      </c>
      <c r="M25" s="24" t="b">
        <v>1</v>
      </c>
    </row>
    <row r="26" ht="22.5" customHeight="1">
      <c r="B26" s="26" t="s">
        <v>565</v>
      </c>
      <c r="C26" s="195" t="str">
        <f>VLOOKUP(Dashboard_Pengiriman[Shipment ID],OrderShipment[],7,FALSE)</f>
        <v>Mandiri</v>
      </c>
      <c r="D26" s="26" t="str">
        <f>IFERROR(__xludf.DUMMYFUNCTION("TEXTJOIN("", "", TRUE, FILTER('🔴 DATA Pengiriman - ORD'!C$2:C1009, '🔴 DATA Pengiriman - ORD'!B$2:B1009 = B26))"),"ORD-016, ORD-011")</f>
        <v>ORD-016, ORD-011</v>
      </c>
      <c r="E26" s="26">
        <f>COUNTIF(OrderShipment[Shipment ID],B26)</f>
        <v>2</v>
      </c>
      <c r="F26" s="49">
        <f>VLOOKUP(B26,OrderShipment[],3,FALSE())</f>
        <v>46106</v>
      </c>
      <c r="G26" s="26" t="str">
        <f>IFERROR(__xludf.DUMMYFUNCTION("TEXTJOIN("", "", TRUE, FILTER('🔴 DATA Pengiriman - ORD'!E$2:E1009, '🔴 DATA Pengiriman - ORD'!$B$2:$B1009 = $B26))"),"Feris, Yani Andari")</f>
        <v>Feris, Yani Andari</v>
      </c>
      <c r="H26" s="192" t="str">
        <f>IFERROR(__xludf.DUMMYFUNCTION("TEXTJOIN("", "", TRUE, FILTER('🔴 DATA Pengiriman - ORD'!F$2:F1009, '🔴 DATA Pengiriman - ORD'!B$2:B1009 = B26))"),"7° 43' 19.7926"" S 110° 23' 33.1865"" E, HOS Warehouse")</f>
        <v>7° 43' 19.7926" S 110° 23' 33.1865" E, HOS Warehouse</v>
      </c>
      <c r="I26" s="19" t="s">
        <v>566</v>
      </c>
      <c r="J26" s="18">
        <v>60.1</v>
      </c>
      <c r="K26" s="26">
        <f t="shared" si="1"/>
        <v>40868</v>
      </c>
      <c r="L26" s="24" t="b">
        <v>1</v>
      </c>
      <c r="M26" s="24" t="b">
        <v>1</v>
      </c>
    </row>
    <row r="27" ht="22.5" customHeight="1">
      <c r="B27" s="26" t="s">
        <v>567</v>
      </c>
      <c r="C27" s="195" t="str">
        <f>VLOOKUP(Dashboard_Pengiriman[Shipment ID],OrderShipment[],7,FALSE)</f>
        <v>Mandiri</v>
      </c>
      <c r="D27" s="26" t="str">
        <f>IFERROR(__xludf.DUMMYFUNCTION("TEXTJOIN("", "", TRUE, FILTER('🔴 DATA Pengiriman - ORD'!C$2:C1009, '🔴 DATA Pengiriman - ORD'!B$2:B1009 = B27))"),"ORD-016, ORD-019")</f>
        <v>ORD-016, ORD-019</v>
      </c>
      <c r="E27" s="26">
        <f>COUNTIF(OrderShipment[Shipment ID],B27)</f>
        <v>2</v>
      </c>
      <c r="F27" s="49">
        <f>VLOOKUP(B27,OrderShipment[],3,FALSE())</f>
        <v>46107</v>
      </c>
      <c r="G27" s="26" t="str">
        <f>IFERROR(__xludf.DUMMYFUNCTION("TEXTJOIN("", "", TRUE, FILTER('🔴 DATA Pengiriman - ORD'!E$2:E1009, '🔴 DATA Pengiriman - ORD'!$B$2:$B1009 = $B27))"),"Feris, Dzaky")</f>
        <v>Feris, Dzaky</v>
      </c>
      <c r="H27" s="192" t="str">
        <f>IFERROR(__xludf.DUMMYFUNCTION("TEXTJOIN("", "", TRUE, FILTER('🔴 DATA Pengiriman - ORD'!F$2:F1009, '🔴 DATA Pengiriman - ORD'!B$2:B1009 = B27))"),"7° 43' 19.7926"" S 110° 23' 33.1865"" E, 7° 42' 47.7036"" S 110° 17' 7.3248"" E")</f>
        <v>7° 43' 19.7926" S 110° 23' 33.1865" E, 7° 42' 47.7036" S 110° 17' 7.3248" E</v>
      </c>
      <c r="I27" s="19" t="s">
        <v>568</v>
      </c>
      <c r="J27" s="18">
        <v>44.2</v>
      </c>
      <c r="K27" s="26">
        <f t="shared" si="1"/>
        <v>30056</v>
      </c>
      <c r="L27" s="24" t="b">
        <v>1</v>
      </c>
      <c r="M27" s="24" t="b">
        <v>1</v>
      </c>
    </row>
    <row r="28" ht="22.5" customHeight="1">
      <c r="B28" s="26" t="s">
        <v>569</v>
      </c>
      <c r="C28" s="195" t="str">
        <f>VLOOKUP(Dashboard_Pengiriman[Shipment ID],OrderShipment[],7,FALSE)</f>
        <v>Mandiri</v>
      </c>
      <c r="D28" s="26" t="str">
        <f>IFERROR(__xludf.DUMMYFUNCTION("TEXTJOIN("", "", TRUE, FILTER('🔴 DATA Pengiriman - ORD'!C$2:C1009, '🔴 DATA Pengiriman - ORD'!B$2:B1009 = B28))"),"ORD-021, ORD-018, ORD-016")</f>
        <v>ORD-021, ORD-018, ORD-016</v>
      </c>
      <c r="E28" s="26">
        <f>COUNTIF(OrderShipment[Shipment ID],B28)</f>
        <v>3</v>
      </c>
      <c r="F28" s="49">
        <f>VLOOKUP(B28,OrderShipment[],3,FALSE())</f>
        <v>46108</v>
      </c>
      <c r="G28" s="26" t="str">
        <f>IFERROR(__xludf.DUMMYFUNCTION("TEXTJOIN("", "", TRUE, FILTER('🔴 DATA Pengiriman - ORD'!E$2:E1009, '🔴 DATA Pengiriman - ORD'!$B$2:$B1009 = $B28))"),"Muji, Alfrida, Feris")</f>
        <v>Muji, Alfrida, Feris</v>
      </c>
      <c r="H28" s="192" t="str">
        <f>IFERROR(__xludf.DUMMYFUNCTION("TEXTJOIN("", "", TRUE, FILTER('🔴 DATA Pengiriman - ORD'!F$2:F1009, '🔴 DATA Pengiriman - ORD'!B$2:B1009 = B28))"),"Jalan Kaliurang No.km 19, Kontrakan Gg.Mulyadi, 7° 43' 19.7926"" S 110° 23' 33.1865"" E")</f>
        <v>Jalan Kaliurang No.km 19, Kontrakan Gg.Mulyadi, 7° 43' 19.7926" S 110° 23' 33.1865" E</v>
      </c>
      <c r="I28" s="19" t="s">
        <v>570</v>
      </c>
      <c r="J28" s="18">
        <v>73.2</v>
      </c>
      <c r="K28" s="26">
        <f t="shared" si="1"/>
        <v>49776</v>
      </c>
      <c r="L28" s="24" t="b">
        <v>1</v>
      </c>
      <c r="M28" s="24" t="b">
        <v>1</v>
      </c>
    </row>
    <row r="29" ht="22.5" customHeight="1">
      <c r="B29" s="26" t="s">
        <v>571</v>
      </c>
      <c r="C29" s="195" t="str">
        <f>VLOOKUP(Dashboard_Pengiriman[Shipment ID],OrderShipment[],7,FALSE)</f>
        <v>Fortuner</v>
      </c>
      <c r="D29" s="26" t="str">
        <f>IFERROR(__xludf.DUMMYFUNCTION("TEXTJOIN("", "", TRUE, FILTER('🔴 DATA Pengiriman - ORD'!C$2:C1009, '🔴 DATA Pengiriman - ORD'!B$2:B1009 = B29))"),"ORD-014")</f>
        <v>ORD-014</v>
      </c>
      <c r="E29" s="26">
        <f>COUNTIF(OrderShipment[Shipment ID],B29)</f>
        <v>1</v>
      </c>
      <c r="F29" s="48">
        <f>VLOOKUP(B29,OrderShipment[],3,FALSE())</f>
        <v>46109</v>
      </c>
      <c r="G29" s="26" t="str">
        <f>IFERROR(__xludf.DUMMYFUNCTION("TEXTJOIN("", "", TRUE, FILTER('🔴 DATA Pengiriman - ORD'!E$2:E1009, '🔴 DATA Pengiriman - ORD'!$B$2:$B1009 = $B29))"),"Fendy")</f>
        <v>Fendy</v>
      </c>
      <c r="H29" s="26" t="str">
        <f>IFERROR(__xludf.DUMMYFUNCTION("TEXTJOIN("", "", TRUE, FILTER('🔴 DATA Pengiriman - ORD'!F$2:F1009, '🔴 DATA Pengiriman - ORD'!B$2:B1009 = B29))"),"7° 48' 52.3195"" S 110° 24' 26.6198"" E")</f>
        <v>7° 48' 52.3195" S 110° 24' 26.6198" E</v>
      </c>
      <c r="I29" s="173"/>
      <c r="J29" s="18"/>
      <c r="K29" s="26" t="str">
        <f t="shared" si="1"/>
        <v/>
      </c>
      <c r="L29" s="24" t="b">
        <v>1</v>
      </c>
      <c r="M29" s="24" t="b">
        <v>1</v>
      </c>
    </row>
    <row r="30" ht="22.5" customHeight="1">
      <c r="B30" s="26" t="s">
        <v>572</v>
      </c>
      <c r="C30" s="195" t="str">
        <f>VLOOKUP(Dashboard_Pengiriman[Shipment ID],OrderShipment[],7,FALSE)</f>
        <v>Mandiri</v>
      </c>
      <c r="D30" s="26" t="str">
        <f>IFERROR(__xludf.DUMMYFUNCTION("TEXTJOIN("", "", TRUE, FILTER('🔴 DATA Pengiriman - ORD'!C$2:C1009, '🔴 DATA Pengiriman - ORD'!B$2:B1009 = B30))"),"ORD-022")</f>
        <v>ORD-022</v>
      </c>
      <c r="E30" s="26">
        <f>COUNTIF(OrderShipment[Shipment ID],B30)</f>
        <v>1</v>
      </c>
      <c r="F30" s="48">
        <f>VLOOKUP(B30,OrderShipment[],3,FALSE())</f>
        <v>46109</v>
      </c>
      <c r="G30" s="26" t="str">
        <f>IFERROR(__xludf.DUMMYFUNCTION("TEXTJOIN("", "", TRUE, FILTER('🔴 DATA Pengiriman - ORD'!E$2:E1009, '🔴 DATA Pengiriman - ORD'!$B$2:$B1009 = $B30))"),"Jhon BT")</f>
        <v>Jhon BT</v>
      </c>
      <c r="H30" s="26" t="str">
        <f>IFERROR(__xludf.DUMMYFUNCTION("TEXTJOIN("", "", TRUE, FILTER('🔴 DATA Pengiriman - ORD'!F$2:F1009, '🔴 DATA Pengiriman - ORD'!B$2:B1009 = B30))"),"Gg. Saridi No.567")</f>
        <v>Gg. Saridi No.567</v>
      </c>
      <c r="I30" s="19" t="s">
        <v>573</v>
      </c>
      <c r="J30" s="18">
        <v>29.3</v>
      </c>
      <c r="K30" s="26">
        <f t="shared" si="1"/>
        <v>19924</v>
      </c>
      <c r="L30" s="24" t="b">
        <v>1</v>
      </c>
      <c r="M30" s="24" t="b">
        <v>1</v>
      </c>
    </row>
    <row r="31" ht="22.5" customHeight="1">
      <c r="B31" s="26" t="s">
        <v>574</v>
      </c>
      <c r="C31" s="195" t="str">
        <f>VLOOKUP(Dashboard_Pengiriman[Shipment ID],OrderShipment[],7,FALSE)</f>
        <v>Mandiri</v>
      </c>
      <c r="D31" s="26" t="str">
        <f>IFERROR(__xludf.DUMMYFUNCTION("TEXTJOIN("", "", TRUE, FILTER('🔴 DATA Pengiriman - ORD'!C$2:C1009, '🔴 DATA Pengiriman - ORD'!B$2:B1009 = B31))"),"ORD-019, ORD-020")</f>
        <v>ORD-019, ORD-020</v>
      </c>
      <c r="E31" s="26">
        <f>COUNTIF(OrderShipment[Shipment ID],B31)</f>
        <v>2</v>
      </c>
      <c r="F31" s="48">
        <f>VLOOKUP(B31,OrderShipment[],3,FALSE())</f>
        <v>46110</v>
      </c>
      <c r="G31" s="26" t="str">
        <f>IFERROR(__xludf.DUMMYFUNCTION("TEXTJOIN("", "", TRUE, FILTER('🔴 DATA Pengiriman - ORD'!E$2:E1009, '🔴 DATA Pengiriman - ORD'!$B$2:$B1009 = $B31))"),"Dzaky, Eksperian")</f>
        <v>Dzaky, Eksperian</v>
      </c>
      <c r="H31" s="26" t="str">
        <f>IFERROR(__xludf.DUMMYFUNCTION("TEXTJOIN("", "", TRUE, FILTER('🔴 DATA Pengiriman - ORD'!F$2:F1009, '🔴 DATA Pengiriman - ORD'!B$2:B1009 = B31))"),"7° 42' 47.7036"" S 110° 17' 7.3248"" E, Perumahan Taman Ayom")</f>
        <v>7° 42' 47.7036" S 110° 17' 7.3248" E, Perumahan Taman Ayom</v>
      </c>
      <c r="I31" s="19" t="s">
        <v>575</v>
      </c>
      <c r="J31" s="18">
        <v>30.1</v>
      </c>
      <c r="K31" s="26">
        <f t="shared" si="1"/>
        <v>20468</v>
      </c>
      <c r="L31" s="24" t="b">
        <v>1</v>
      </c>
      <c r="M31" s="24" t="b">
        <v>1</v>
      </c>
    </row>
    <row r="32" ht="22.5" customHeight="1">
      <c r="B32" s="26" t="s">
        <v>576</v>
      </c>
      <c r="C32" s="195" t="str">
        <f>VLOOKUP(Dashboard_Pengiriman[Shipment ID],OrderShipment[],7,FALSE)</f>
        <v>Mandiri</v>
      </c>
      <c r="D32" s="26" t="str">
        <f>IFERROR(__xludf.DUMMYFUNCTION("TEXTJOIN("", "", TRUE, FILTER('🔴 DATA Pengiriman - ORD'!C$2:C1009, '🔴 DATA Pengiriman - ORD'!B$2:B1009 = B32))"),"ORD-022")</f>
        <v>ORD-022</v>
      </c>
      <c r="E32" s="26">
        <f>COUNTIF(OrderShipment[Shipment ID],B32)</f>
        <v>1</v>
      </c>
      <c r="F32" s="48">
        <f>VLOOKUP(B32,OrderShipment[],3,FALSE())</f>
        <v>46112</v>
      </c>
      <c r="G32" s="26" t="str">
        <f>IFERROR(__xludf.DUMMYFUNCTION("TEXTJOIN("", "", TRUE, FILTER('🔴 DATA Pengiriman - ORD'!E$2:E1009, '🔴 DATA Pengiriman - ORD'!$B$2:$B1009 = $B32))"),"Jhon BT")</f>
        <v>Jhon BT</v>
      </c>
      <c r="H32" s="26" t="str">
        <f>IFERROR(__xludf.DUMMYFUNCTION("TEXTJOIN("", "", TRUE, FILTER('🔴 DATA Pengiriman - ORD'!F$2:F1009, '🔴 DATA Pengiriman - ORD'!B$2:B1009 = B32))"),"Gg. Saridi No.567")</f>
        <v>Gg. Saridi No.567</v>
      </c>
      <c r="I32" s="19" t="s">
        <v>573</v>
      </c>
      <c r="J32" s="18">
        <v>29.3</v>
      </c>
      <c r="K32" s="26">
        <f t="shared" si="1"/>
        <v>19924</v>
      </c>
      <c r="L32" s="24" t="b">
        <v>1</v>
      </c>
      <c r="M32" s="24" t="b">
        <v>1</v>
      </c>
    </row>
    <row r="33" ht="22.5" customHeight="1">
      <c r="B33" s="26" t="s">
        <v>577</v>
      </c>
      <c r="C33" s="195" t="str">
        <f>VLOOKUP(Dashboard_Pengiriman[Shipment ID],OrderShipment[],7,FALSE)</f>
        <v>Fortuner</v>
      </c>
      <c r="D33" s="26" t="str">
        <f>IFERROR(__xludf.DUMMYFUNCTION("TEXTJOIN("", "", TRUE, FILTER('🔴 DATA Pengiriman - ORD'!C$2:C1009, '🔴 DATA Pengiriman - ORD'!B$2:B1009 = B33))"),"ORD-023")</f>
        <v>ORD-023</v>
      </c>
      <c r="E33" s="26">
        <f>COUNTIF(OrderShipment[Shipment ID],B33)</f>
        <v>1</v>
      </c>
      <c r="F33" s="48">
        <f>VLOOKUP(B33,OrderShipment[],3,FALSE())</f>
        <v>46114</v>
      </c>
      <c r="G33" s="26" t="str">
        <f>IFERROR(__xludf.DUMMYFUNCTION("TEXTJOIN("", "", TRUE, FILTER('🔴 DATA Pengiriman - ORD'!E$2:E1009, '🔴 DATA Pengiriman - ORD'!$B$2:$B1009 = $B33))"),"Asti")</f>
        <v>Asti</v>
      </c>
      <c r="H33" s="26" t="str">
        <f>IFERROR(__xludf.DUMMYFUNCTION("TEXTJOIN("", "", TRUE, FILTER('🔴 DATA Pengiriman - ORD'!F$2:F1009, '🔴 DATA Pengiriman - ORD'!B$2:B1009 = B33))"),"BATIKEAKU 2")</f>
        <v>BATIKEAKU 2</v>
      </c>
      <c r="I33" s="173"/>
      <c r="J33" s="18"/>
      <c r="K33" s="26" t="str">
        <f t="shared" si="1"/>
        <v/>
      </c>
      <c r="L33" s="24" t="b">
        <v>1</v>
      </c>
      <c r="M33" s="24" t="b">
        <v>1</v>
      </c>
    </row>
    <row r="34" ht="22.5" customHeight="1">
      <c r="B34" s="26" t="s">
        <v>578</v>
      </c>
      <c r="C34" s="195" t="str">
        <f>VLOOKUP(Dashboard_Pengiriman[Shipment ID],OrderShipment[],7,FALSE)</f>
        <v>Mandiri</v>
      </c>
      <c r="D34" s="26" t="str">
        <f>IFERROR(__xludf.DUMMYFUNCTION("TEXTJOIN("", "", TRUE, FILTER('🔴 DATA Pengiriman - ORD'!C$2:C1009, '🔴 DATA Pengiriman - ORD'!B$2:B1009 = B34))"),"ORD-024")</f>
        <v>ORD-024</v>
      </c>
      <c r="E34" s="26">
        <f>COUNTIF(OrderShipment[Shipment ID],B34)</f>
        <v>1</v>
      </c>
      <c r="F34" s="48">
        <f>VLOOKUP(B34,OrderShipment[],3,FALSE())</f>
        <v>46115</v>
      </c>
      <c r="G34" s="26" t="str">
        <f>IFERROR(__xludf.DUMMYFUNCTION("TEXTJOIN("", "", TRUE, FILTER('🔴 DATA Pengiriman - ORD'!E$2:E1009, '🔴 DATA Pengiriman - ORD'!$B$2:$B1009 = $B34))"),"Aries")</f>
        <v>Aries</v>
      </c>
      <c r="H34" s="26" t="str">
        <f>IFERROR(__xludf.DUMMYFUNCTION("TEXTJOIN("", "", TRUE, FILTER('🔴 DATA Pengiriman - ORD'!F$2:F1009, '🔴 DATA Pengiriman - ORD'!B$2:B1009 = B34))"),"7° 44' 36.2404"" S 110° 24' 12.6673"" E")</f>
        <v>7° 44' 36.2404" S 110° 24' 12.6673" E</v>
      </c>
      <c r="I34" s="19" t="s">
        <v>579</v>
      </c>
      <c r="J34" s="18">
        <v>66.9</v>
      </c>
      <c r="K34" s="26">
        <f t="shared" si="1"/>
        <v>45492</v>
      </c>
      <c r="L34" s="24" t="b">
        <v>1</v>
      </c>
      <c r="M34" s="24" t="b">
        <v>1</v>
      </c>
    </row>
    <row r="35" ht="22.5" customHeight="1">
      <c r="B35" s="26" t="s">
        <v>580</v>
      </c>
      <c r="C35" s="195" t="str">
        <f>VLOOKUP(Dashboard_Pengiriman[Shipment ID],OrderShipment[],7,FALSE)</f>
        <v>Fortuner</v>
      </c>
      <c r="D35" s="26" t="str">
        <f>IFERROR(__xludf.DUMMYFUNCTION("TEXTJOIN("", "", TRUE, FILTER('🔴 DATA Pengiriman - ORD'!C$2:C1009, '🔴 DATA Pengiriman - ORD'!B$2:B1009 = B35))"),"ORD-025")</f>
        <v>ORD-025</v>
      </c>
      <c r="E35" s="26">
        <f>COUNTIF(OrderShipment[Shipment ID],B35)</f>
        <v>1</v>
      </c>
      <c r="F35" s="48">
        <f>VLOOKUP(B35,OrderShipment[],3,FALSE())</f>
        <v>46118</v>
      </c>
      <c r="G35" s="26" t="str">
        <f>IFERROR(__xludf.DUMMYFUNCTION("TEXTJOIN("", "", TRUE, FILTER('🔴 DATA Pengiriman - ORD'!E$2:E1009, '🔴 DATA Pengiriman - ORD'!$B$2:$B1009 = $B35))"),"Zami")</f>
        <v>Zami</v>
      </c>
      <c r="H35" s="26" t="str">
        <f>IFERROR(__xludf.DUMMYFUNCTION("TEXTJOIN("", "", TRUE, FILTER('🔴 DATA Pengiriman - ORD'!F$2:F1009, '🔴 DATA Pengiriman - ORD'!B$2:B1009 = B35))"),"Omah Cucu Teta")</f>
        <v>Omah Cucu Teta</v>
      </c>
      <c r="I35" s="173"/>
      <c r="J35" s="18"/>
      <c r="K35" s="26" t="str">
        <f t="shared" si="1"/>
        <v/>
      </c>
      <c r="L35" s="24" t="b">
        <v>1</v>
      </c>
      <c r="M35" s="24" t="b">
        <v>1</v>
      </c>
    </row>
    <row r="36" ht="22.5" customHeight="1">
      <c r="B36" s="26" t="s">
        <v>581</v>
      </c>
      <c r="C36" s="195" t="str">
        <f>VLOOKUP(Dashboard_Pengiriman[Shipment ID],OrderShipment[],7,FALSE)</f>
        <v>Mandiri</v>
      </c>
      <c r="D36" s="26" t="str">
        <f>IFERROR(__xludf.DUMMYFUNCTION("TEXTJOIN("", "", TRUE, FILTER('🔴 DATA Pengiriman - ORD'!C$2:C1009, '🔴 DATA Pengiriman - ORD'!B$2:B1009 = B36))"),"ORD-024")</f>
        <v>ORD-024</v>
      </c>
      <c r="E36" s="26">
        <f>COUNTIF(OrderShipment[Shipment ID],B36)</f>
        <v>1</v>
      </c>
      <c r="F36" s="48">
        <f>VLOOKUP(B36,OrderShipment[],3,FALSE())</f>
        <v>46118</v>
      </c>
      <c r="G36" s="26" t="str">
        <f>IFERROR(__xludf.DUMMYFUNCTION("TEXTJOIN("", "", TRUE, FILTER('🔴 DATA Pengiriman - ORD'!E$2:E1009, '🔴 DATA Pengiriman - ORD'!$B$2:$B1009 = $B36))"),"Aries")</f>
        <v>Aries</v>
      </c>
      <c r="H36" s="26" t="str">
        <f>IFERROR(__xludf.DUMMYFUNCTION("TEXTJOIN("", "", TRUE, FILTER('🔴 DATA Pengiriman - ORD'!F$2:F1009, '🔴 DATA Pengiriman - ORD'!B$2:B1009 = B36))"),"7° 44' 36.2404"" S 110° 24' 12.6673"" E")</f>
        <v>7° 44' 36.2404" S 110° 24' 12.6673" E</v>
      </c>
      <c r="I36" s="19" t="s">
        <v>579</v>
      </c>
      <c r="J36" s="18">
        <v>33.5</v>
      </c>
      <c r="K36" s="26">
        <f t="shared" si="1"/>
        <v>22780</v>
      </c>
      <c r="L36" s="24" t="b">
        <v>1</v>
      </c>
      <c r="M36" s="24" t="b">
        <v>1</v>
      </c>
    </row>
    <row r="37" ht="22.5" customHeight="1">
      <c r="B37" s="26" t="s">
        <v>582</v>
      </c>
      <c r="C37" s="195" t="str">
        <f>VLOOKUP(Dashboard_Pengiriman[Shipment ID],OrderShipment[],7,FALSE)</f>
        <v>Mandiri</v>
      </c>
      <c r="D37" s="26" t="str">
        <f>IFERROR(__xludf.DUMMYFUNCTION("TEXTJOIN("", "", TRUE, FILTER('🔴 DATA Pengiriman - ORD'!C$2:C1009, '🔴 DATA Pengiriman - ORD'!B$2:B1009 = B37))"),"ORD-026")</f>
        <v>ORD-026</v>
      </c>
      <c r="E37" s="26">
        <f>COUNTIF(OrderShipment[Shipment ID],B37)</f>
        <v>1</v>
      </c>
      <c r="F37" s="48">
        <f>VLOOKUP(B37,OrderShipment[],3,FALSE())</f>
        <v>46121</v>
      </c>
      <c r="G37" s="26" t="str">
        <f>IFERROR(__xludf.DUMMYFUNCTION("TEXTJOIN("", "", TRUE, FILTER('🔴 DATA Pengiriman - ORD'!E$2:E1009, '🔴 DATA Pengiriman - ORD'!$B$2:$B1009 = $B37))"),"Misfa")</f>
        <v>Misfa</v>
      </c>
      <c r="H37" s="26" t="str">
        <f>IFERROR(__xludf.DUMMYFUNCTION("TEXTJOIN("", "", TRUE, FILTER('🔴 DATA Pengiriman - ORD'!F$2:F1009, '🔴 DATA Pengiriman - ORD'!B$2:B1009 = B37))"),"Young Independent Home Produksi")</f>
        <v>Young Independent Home Produksi</v>
      </c>
      <c r="I37" s="19" t="s">
        <v>583</v>
      </c>
      <c r="J37" s="18">
        <v>24.1</v>
      </c>
      <c r="K37" s="26">
        <f t="shared" si="1"/>
        <v>16388</v>
      </c>
      <c r="L37" s="24" t="b">
        <v>1</v>
      </c>
      <c r="M37" s="24" t="b">
        <v>1</v>
      </c>
    </row>
    <row r="38" ht="22.5" customHeight="1">
      <c r="B38" s="26" t="s">
        <v>584</v>
      </c>
      <c r="C38" s="195" t="str">
        <f>VLOOKUP(Dashboard_Pengiriman[Shipment ID],OrderShipment[],7,FALSE)</f>
        <v>Fortuner</v>
      </c>
      <c r="D38" s="26" t="str">
        <f>IFERROR(__xludf.DUMMYFUNCTION("TEXTJOIN("", "", TRUE, FILTER('🔴 DATA Pengiriman - ORD'!C$2:C1009, '🔴 DATA Pengiriman - ORD'!B$2:B1009 = B38))"),"ORD-028, ORD-023, ORD-025")</f>
        <v>ORD-028, ORD-023, ORD-025</v>
      </c>
      <c r="E38" s="26">
        <f>COUNTIF(OrderShipment[Shipment ID],B38)</f>
        <v>3</v>
      </c>
      <c r="F38" s="48">
        <f>VLOOKUP(B38,OrderShipment[],3,FALSE())</f>
        <v>46122</v>
      </c>
      <c r="G38" s="26" t="str">
        <f>IFERROR(__xludf.DUMMYFUNCTION("TEXTJOIN("", "", TRUE, FILTER('🔴 DATA Pengiriman - ORD'!E$2:E1009, '🔴 DATA Pengiriman - ORD'!$B$2:$B1009 = $B38))"),"Aryadi, Asti, Zami")</f>
        <v>Aryadi, Asti, Zami</v>
      </c>
      <c r="H38" s="26" t="str">
        <f>IFERROR(__xludf.DUMMYFUNCTION("TEXTJOIN("", "", TRUE, FILTER('🔴 DATA Pengiriman - ORD'!F$2:F1009, '🔴 DATA Pengiriman - ORD'!B$2:B1009 = B38))"),"7° 48' 26.402"" S 110° 24' 13.4089"" E, BATIKEAKU 2, Omah Cucu Teta")</f>
        <v>7° 48' 26.402" S 110° 24' 13.4089" E, BATIKEAKU 2, Omah Cucu Teta</v>
      </c>
      <c r="I38" s="173"/>
      <c r="J38" s="18"/>
      <c r="K38" s="26" t="str">
        <f t="shared" si="1"/>
        <v/>
      </c>
      <c r="L38" s="24" t="b">
        <v>1</v>
      </c>
      <c r="M38" s="24" t="b">
        <v>1</v>
      </c>
    </row>
    <row r="39" ht="22.5" customHeight="1">
      <c r="B39" s="26" t="s">
        <v>585</v>
      </c>
      <c r="C39" s="195" t="str">
        <f>VLOOKUP(Dashboard_Pengiriman[Shipment ID],OrderShipment[],7,FALSE)</f>
        <v>Fortuner</v>
      </c>
      <c r="D39" s="26" t="str">
        <f>IFERROR(__xludf.DUMMYFUNCTION("TEXTJOIN("", "", TRUE, FILTER('🔴 DATA Pengiriman - ORD'!C$2:C1009, '🔴 DATA Pengiriman - ORD'!B$2:B1009 = B39))"),"ORD-027")</f>
        <v>ORD-027</v>
      </c>
      <c r="E39" s="26">
        <f>COUNTIF(OrderShipment[Shipment ID],B39)</f>
        <v>1</v>
      </c>
      <c r="F39" s="48">
        <f>VLOOKUP(B39,OrderShipment[],3,FALSE())</f>
        <v>46122</v>
      </c>
      <c r="G39" s="26" t="str">
        <f>IFERROR(__xludf.DUMMYFUNCTION("TEXTJOIN("", "", TRUE, FILTER('🔴 DATA Pengiriman - ORD'!E$2:E1009, '🔴 DATA Pengiriman - ORD'!$B$2:$B1009 = $B39))"),"Imron")</f>
        <v>Imron</v>
      </c>
      <c r="H39" s="26" t="str">
        <f>IFERROR(__xludf.DUMMYFUNCTION("TEXTJOIN("", "", TRUE, FILTER('🔴 DATA Pengiriman - ORD'!F$2:F1009, '🔴 DATA Pengiriman - ORD'!B$2:B1009 = B39))"),"Joglo Brongkol Hall")</f>
        <v>Joglo Brongkol Hall</v>
      </c>
      <c r="I39" s="173"/>
      <c r="J39" s="18"/>
      <c r="K39" s="26" t="str">
        <f t="shared" si="1"/>
        <v/>
      </c>
      <c r="L39" s="24" t="b">
        <v>1</v>
      </c>
      <c r="M39" s="24" t="b">
        <v>1</v>
      </c>
    </row>
    <row r="40" ht="22.5" customHeight="1">
      <c r="B40" s="26" t="s">
        <v>586</v>
      </c>
      <c r="C40" s="195" t="str">
        <f>VLOOKUP(Dashboard_Pengiriman[Shipment ID],OrderShipment[],7,FALSE)</f>
        <v>Fortuner</v>
      </c>
      <c r="D40" s="26" t="str">
        <f>IFERROR(__xludf.DUMMYFUNCTION("TEXTJOIN("", "", TRUE, FILTER('🔴 DATA Pengiriman - ORD'!C$2:C1009, '🔴 DATA Pengiriman - ORD'!B$2:B1009 = B40))"),"ORD-030, ORD-027")</f>
        <v>ORD-030, ORD-027</v>
      </c>
      <c r="E40" s="26">
        <f>COUNTIF(OrderShipment[Shipment ID],B40)</f>
        <v>2</v>
      </c>
      <c r="F40" s="48">
        <f>VLOOKUP(B40,OrderShipment[],3,FALSE())</f>
        <v>46123</v>
      </c>
      <c r="G40" s="26" t="str">
        <f>IFERROR(__xludf.DUMMYFUNCTION("TEXTJOIN("", "", TRUE, FILTER('🔴 DATA Pengiriman - ORD'!E$2:E1009, '🔴 DATA Pengiriman - ORD'!$B$2:$B1009 = $B40))"),"Harmawan, Imron")</f>
        <v>Harmawan, Imron</v>
      </c>
      <c r="H40" s="26" t="str">
        <f>IFERROR(__xludf.DUMMYFUNCTION("TEXTJOIN("", "", TRUE, FILTER('🔴 DATA Pengiriman - ORD'!F$2:F1009, '🔴 DATA Pengiriman - ORD'!B$2:B1009 = B40))"),"The Swantari Terrace View Villa, Joglo Brongkol Hall")</f>
        <v>The Swantari Terrace View Villa, Joglo Brongkol Hall</v>
      </c>
      <c r="I40" s="173"/>
      <c r="J40" s="18"/>
      <c r="K40" s="26" t="str">
        <f t="shared" si="1"/>
        <v/>
      </c>
      <c r="L40" s="24" t="b">
        <v>1</v>
      </c>
      <c r="M40" s="24" t="b">
        <v>1</v>
      </c>
    </row>
    <row r="41" ht="22.5" customHeight="1">
      <c r="B41" s="196" t="s">
        <v>587</v>
      </c>
      <c r="C41" s="195" t="str">
        <f>VLOOKUP(Dashboard_Pengiriman[Shipment ID],OrderShipment[],7,FALSE)</f>
        <v>Mandiri</v>
      </c>
      <c r="D41" s="26" t="str">
        <f>IFERROR(__xludf.DUMMYFUNCTION("TEXTJOIN("", "", TRUE, FILTER('🔴 DATA Pengiriman - ORD'!C$2:C1009, '🔴 DATA Pengiriman - ORD'!B$2:B1009 = B41))"),"ORD-029")</f>
        <v>ORD-029</v>
      </c>
      <c r="E41" s="26">
        <f>COUNTIF(OrderShipment[Shipment ID],B41)</f>
        <v>1</v>
      </c>
      <c r="F41" s="48">
        <f>VLOOKUP(B41,OrderShipment[],3,FALSE())</f>
        <v>46123</v>
      </c>
      <c r="G41" s="26" t="str">
        <f>IFERROR(__xludf.DUMMYFUNCTION("TEXTJOIN("", "", TRUE, FILTER('🔴 DATA Pengiriman - ORD'!E$2:E1009, '🔴 DATA Pengiriman - ORD'!$B$2:$B1009 = $B41))"),"Emma")</f>
        <v>Emma</v>
      </c>
      <c r="H41" s="26" t="str">
        <f>IFERROR(__xludf.DUMMYFUNCTION("TEXTJOIN("", "", TRUE, FILTER('🔴 DATA Pengiriman - ORD'!F$2:F1009, '🔴 DATA Pengiriman - ORD'!B$2:B1009 = B41))"),"Komisi Penanggulangan AIDS")</f>
        <v>Komisi Penanggulangan AIDS</v>
      </c>
      <c r="I41" s="19" t="s">
        <v>588</v>
      </c>
      <c r="J41" s="18">
        <v>30.2</v>
      </c>
      <c r="K41" s="26">
        <f t="shared" si="1"/>
        <v>20536</v>
      </c>
      <c r="L41" s="24" t="b">
        <v>1</v>
      </c>
      <c r="M41" s="24" t="b">
        <v>1</v>
      </c>
    </row>
    <row r="42" ht="22.5" customHeight="1">
      <c r="B42" s="196" t="s">
        <v>589</v>
      </c>
      <c r="C42" s="195" t="str">
        <f>VLOOKUP(Dashboard_Pengiriman[Shipment ID],OrderShipment[],7,FALSE)</f>
        <v>Fortuner</v>
      </c>
      <c r="D42" s="26" t="str">
        <f>IFERROR(__xludf.DUMMYFUNCTION("TEXTJOIN("", "", TRUE, FILTER('🔴 DATA Pengiriman - ORD'!C$2:C1009, '🔴 DATA Pengiriman - ORD'!B$2:B1009 = B42))"),"ORD-031, ORD-030")</f>
        <v>ORD-031, ORD-030</v>
      </c>
      <c r="E42" s="26">
        <f>COUNTIF(OrderShipment[Shipment ID],B42)</f>
        <v>2</v>
      </c>
      <c r="F42" s="48">
        <f>VLOOKUP(B42,OrderShipment[],3,FALSE())</f>
        <v>46124</v>
      </c>
      <c r="G42" s="26" t="str">
        <f>IFERROR(__xludf.DUMMYFUNCTION("TEXTJOIN("", "", TRUE, FILTER('🔴 DATA Pengiriman - ORD'!E$2:E1009, '🔴 DATA Pengiriman - ORD'!$B$2:$B1009 = $B42))"),"Nawang, Harmawan")</f>
        <v>Nawang, Harmawan</v>
      </c>
      <c r="H42" s="26" t="str">
        <f>IFERROR(__xludf.DUMMYFUNCTION("TEXTJOIN("", "", TRUE, FILTER('🔴 DATA Pengiriman - ORD'!F$2:F1009, '🔴 DATA Pengiriman - ORD'!B$2:B1009 = B42))"),"ZAHRA IN HERE, The Swantari Terrace View Villa")</f>
        <v>ZAHRA IN HERE, The Swantari Terrace View Villa</v>
      </c>
      <c r="I42" s="173"/>
      <c r="J42" s="18"/>
      <c r="K42" s="26" t="str">
        <f t="shared" si="1"/>
        <v/>
      </c>
      <c r="L42" s="24" t="b">
        <v>1</v>
      </c>
      <c r="M42" s="24" t="b">
        <v>1</v>
      </c>
    </row>
    <row r="43" ht="22.5" customHeight="1">
      <c r="B43" s="196" t="s">
        <v>590</v>
      </c>
      <c r="C43" s="195" t="str">
        <f>VLOOKUP(Dashboard_Pengiriman[Shipment ID],OrderShipment[],7,FALSE)</f>
        <v>Mandiri</v>
      </c>
      <c r="D43" s="26" t="str">
        <f>IFERROR(__xludf.DUMMYFUNCTION("TEXTJOIN("", "", TRUE, FILTER('🔴 DATA Pengiriman - ORD'!C$2:C1009, '🔴 DATA Pengiriman - ORD'!B$2:B1009 = B43))"),"ORD-028")</f>
        <v>ORD-028</v>
      </c>
      <c r="E43" s="26">
        <f>COUNTIF(OrderShipment[Shipment ID],B43)</f>
        <v>1</v>
      </c>
      <c r="F43" s="48">
        <f>VLOOKUP(B43,OrderShipment[],3,FALSE())</f>
        <v>46124</v>
      </c>
      <c r="G43" s="26" t="str">
        <f>IFERROR(__xludf.DUMMYFUNCTION("TEXTJOIN("", "", TRUE, FILTER('🔴 DATA Pengiriman - ORD'!E$2:E1009, '🔴 DATA Pengiriman - ORD'!$B$2:$B1009 = $B43))"),"Aryadi")</f>
        <v>Aryadi</v>
      </c>
      <c r="H43" s="26" t="str">
        <f>IFERROR(__xludf.DUMMYFUNCTION("TEXTJOIN("", "", TRUE, FILTER('🔴 DATA Pengiriman - ORD'!F$2:F1009, '🔴 DATA Pengiriman - ORD'!B$2:B1009 = B43))"),"7° 48' 26.402"" S 110° 24' 13.4089"" E")</f>
        <v>7° 48' 26.402" S 110° 24' 13.4089" E</v>
      </c>
      <c r="I43" s="19" t="s">
        <v>591</v>
      </c>
      <c r="J43" s="18">
        <v>31.9</v>
      </c>
      <c r="K43" s="26">
        <f t="shared" si="1"/>
        <v>21692</v>
      </c>
      <c r="L43" s="24" t="b">
        <v>1</v>
      </c>
      <c r="M43" s="24" t="b">
        <v>1</v>
      </c>
    </row>
    <row r="44" ht="22.5" customHeight="1">
      <c r="B44" s="196" t="s">
        <v>592</v>
      </c>
      <c r="C44" s="195" t="str">
        <f>VLOOKUP(Dashboard_Pengiriman[Shipment ID],OrderShipment[],7,FALSE)</f>
        <v>Fortuner</v>
      </c>
      <c r="D44" s="26" t="str">
        <f>IFERROR(__xludf.DUMMYFUNCTION("TEXTJOIN("", "", TRUE, FILTER('🔴 DATA Pengiriman - ORD'!C$2:C1009, '🔴 DATA Pengiriman - ORD'!B$2:B1009 = B44))"),"ORD-031")</f>
        <v>ORD-031</v>
      </c>
      <c r="E44" s="26">
        <f>COUNTIF(OrderShipment[Shipment ID],B44)</f>
        <v>1</v>
      </c>
      <c r="F44" s="48">
        <f>VLOOKUP(B44,OrderShipment[],3,FALSE())</f>
        <v>46125</v>
      </c>
      <c r="G44" s="26" t="str">
        <f>IFERROR(__xludf.DUMMYFUNCTION("TEXTJOIN("", "", TRUE, FILTER('🔴 DATA Pengiriman - ORD'!E$2:E1009, '🔴 DATA Pengiriman - ORD'!$B$2:$B1009 = $B44))"),"Nawang")</f>
        <v>Nawang</v>
      </c>
      <c r="H44" s="26" t="str">
        <f>IFERROR(__xludf.DUMMYFUNCTION("TEXTJOIN("", "", TRUE, FILTER('🔴 DATA Pengiriman - ORD'!F$2:F1009, '🔴 DATA Pengiriman - ORD'!B$2:B1009 = B44))"),"ZAHRA IN HERE")</f>
        <v>ZAHRA IN HERE</v>
      </c>
      <c r="I44" s="173"/>
      <c r="J44" s="18"/>
      <c r="K44" s="26" t="str">
        <f t="shared" si="1"/>
        <v/>
      </c>
      <c r="L44" s="24" t="b">
        <v>1</v>
      </c>
      <c r="M44" s="24" t="b">
        <v>1</v>
      </c>
    </row>
    <row r="45" ht="22.5" customHeight="1">
      <c r="B45" s="196" t="s">
        <v>593</v>
      </c>
      <c r="C45" s="195" t="str">
        <f>VLOOKUP(Dashboard_Pengiriman[Shipment ID],OrderShipment[],7,FALSE)</f>
        <v>Mandiri</v>
      </c>
      <c r="D45" s="26" t="str">
        <f>IFERROR(__xludf.DUMMYFUNCTION("TEXTJOIN("", "", TRUE, FILTER('🔴 DATA Pengiriman - ORD'!C$2:C1009, '🔴 DATA Pengiriman - ORD'!B$2:B1009 = B45))"),"ORD-029")</f>
        <v>ORD-029</v>
      </c>
      <c r="E45" s="26">
        <f>COUNTIF(OrderShipment[Shipment ID],B45)</f>
        <v>1</v>
      </c>
      <c r="F45" s="48">
        <f>VLOOKUP(B45,OrderShipment[],3,FALSE())</f>
        <v>46125</v>
      </c>
      <c r="G45" s="26" t="str">
        <f>IFERROR(__xludf.DUMMYFUNCTION("TEXTJOIN("", "", TRUE, FILTER('🔴 DATA Pengiriman - ORD'!E$2:E1009, '🔴 DATA Pengiriman - ORD'!$B$2:$B1009 = $B45))"),"Emma")</f>
        <v>Emma</v>
      </c>
      <c r="H45" s="26" t="str">
        <f>IFERROR(__xludf.DUMMYFUNCTION("TEXTJOIN("", "", TRUE, FILTER('🔴 DATA Pengiriman - ORD'!F$2:F1009, '🔴 DATA Pengiriman - ORD'!B$2:B1009 = B45))"),"Komisi Penanggulangan AIDS")</f>
        <v>Komisi Penanggulangan AIDS</v>
      </c>
      <c r="I45" s="19" t="s">
        <v>588</v>
      </c>
      <c r="J45" s="18">
        <v>30.2</v>
      </c>
      <c r="K45" s="26">
        <f t="shared" si="1"/>
        <v>20536</v>
      </c>
      <c r="L45" s="24" t="b">
        <v>1</v>
      </c>
      <c r="M45" s="24" t="b">
        <v>1</v>
      </c>
    </row>
    <row r="46" ht="22.5" customHeight="1">
      <c r="B46" s="196" t="s">
        <v>594</v>
      </c>
      <c r="C46" s="195" t="str">
        <f>VLOOKUP(Dashboard_Pengiriman[Shipment ID],OrderShipment[],7,FALSE)</f>
        <v>Mandiri</v>
      </c>
      <c r="D46" s="26" t="str">
        <f>IFERROR(__xludf.DUMMYFUNCTION("TEXTJOIN("", "", TRUE, FILTER('🔴 DATA Pengiriman - ORD'!C$2:C1009, '🔴 DATA Pengiriman - ORD'!B$2:B1009 = B46))"),"ORD-026")</f>
        <v>ORD-026</v>
      </c>
      <c r="E46" s="26">
        <f>COUNTIF(OrderShipment[Shipment ID],B46)</f>
        <v>1</v>
      </c>
      <c r="F46" s="48">
        <f>VLOOKUP(B46,OrderShipment[],3,FALSE())</f>
        <v>46128</v>
      </c>
      <c r="G46" s="26" t="str">
        <f>IFERROR(__xludf.DUMMYFUNCTION("TEXTJOIN("", "", TRUE, FILTER('🔴 DATA Pengiriman - ORD'!E$2:E1009, '🔴 DATA Pengiriman - ORD'!$B$2:$B1009 = $B46))"),"Misfa")</f>
        <v>Misfa</v>
      </c>
      <c r="H46" s="26" t="str">
        <f>IFERROR(__xludf.DUMMYFUNCTION("TEXTJOIN("", "", TRUE, FILTER('🔴 DATA Pengiriman - ORD'!F$2:F1009, '🔴 DATA Pengiriman - ORD'!B$2:B1009 = B46))"),"Young Independent Home Produksi")</f>
        <v>Young Independent Home Produksi</v>
      </c>
      <c r="I46" s="19" t="s">
        <v>583</v>
      </c>
      <c r="J46" s="18">
        <v>24.1</v>
      </c>
      <c r="K46" s="26">
        <f t="shared" si="1"/>
        <v>16388</v>
      </c>
      <c r="L46" s="24" t="b">
        <v>1</v>
      </c>
      <c r="M46" s="24" t="b">
        <v>1</v>
      </c>
    </row>
    <row r="47" ht="22.5" customHeight="1">
      <c r="B47" s="196" t="s">
        <v>595</v>
      </c>
      <c r="C47" s="195" t="str">
        <f>VLOOKUP(Dashboard_Pengiriman[Shipment ID],OrderShipment[],7,FALSE)</f>
        <v>Mandiri</v>
      </c>
      <c r="D47" s="26" t="str">
        <f>IFERROR(__xludf.DUMMYFUNCTION("TEXTJOIN("", "", TRUE, FILTER('🔴 DATA Pengiriman - ORD'!C$2:C1009, '🔴 DATA Pengiriman - ORD'!B$2:B1009 = B47))"),"ORD-032, ORD-033")</f>
        <v>ORD-032, ORD-033</v>
      </c>
      <c r="E47" s="26">
        <f>COUNTIF(OrderShipment[Shipment ID],B47)</f>
        <v>2</v>
      </c>
      <c r="F47" s="48">
        <f>VLOOKUP(B47,OrderShipment[],3,FALSE())</f>
        <v>46130</v>
      </c>
      <c r="G47" s="26" t="str">
        <f>IFERROR(__xludf.DUMMYFUNCTION("TEXTJOIN("", "", TRUE, FILTER('🔴 DATA Pengiriman - ORD'!E$2:E1009, '🔴 DATA Pengiriman - ORD'!$B$2:$B1009 = $B47))"),"Yayoe, Baby")</f>
        <v>Yayoe, Baby</v>
      </c>
      <c r="H47" s="26" t="str">
        <f>IFERROR(__xludf.DUMMYFUNCTION("TEXTJOIN("", "", TRUE, FILTER('🔴 DATA Pengiriman - ORD'!F$2:F1009, '🔴 DATA Pengiriman - ORD'!B$2:B1009 = B47))"),"Kolam Renang Umbul Tirta, Kost pak rakijo")</f>
        <v>Kolam Renang Umbul Tirta, Kost pak rakijo</v>
      </c>
      <c r="I47" s="19" t="s">
        <v>596</v>
      </c>
      <c r="J47" s="18">
        <v>45.4</v>
      </c>
      <c r="K47" s="26">
        <f t="shared" si="1"/>
        <v>30872</v>
      </c>
      <c r="L47" s="24" t="b">
        <v>1</v>
      </c>
      <c r="M47" s="24" t="b">
        <v>1</v>
      </c>
    </row>
    <row r="48" ht="22.5" customHeight="1">
      <c r="B48" s="196" t="s">
        <v>597</v>
      </c>
      <c r="C48" s="195" t="str">
        <f>VLOOKUP(Dashboard_Pengiriman[Shipment ID],OrderShipment[],7,FALSE)</f>
        <v>Mandiri</v>
      </c>
      <c r="D48" s="26" t="str">
        <f>IFERROR(__xludf.DUMMYFUNCTION("TEXTJOIN("", "", TRUE, FILTER('🔴 DATA Pengiriman - ORD'!C$2:C1009, '🔴 DATA Pengiriman - ORD'!B$2:B1009 = B48))"),"ORD-032, ORD-033")</f>
        <v>ORD-032, ORD-033</v>
      </c>
      <c r="E48" s="26">
        <f>COUNTIF(OrderShipment[Shipment ID],B48)</f>
        <v>2</v>
      </c>
      <c r="F48" s="48">
        <f>VLOOKUP(B48,OrderShipment[],3,FALSE())</f>
        <v>46131</v>
      </c>
      <c r="G48" s="26" t="str">
        <f>IFERROR(__xludf.DUMMYFUNCTION("TEXTJOIN("", "", TRUE, FILTER('🔴 DATA Pengiriman - ORD'!E$2:E1009, '🔴 DATA Pengiriman - ORD'!$B$2:$B1009 = $B48))"),"Yayoe, Baby")</f>
        <v>Yayoe, Baby</v>
      </c>
      <c r="H48" s="26" t="str">
        <f>IFERROR(__xludf.DUMMYFUNCTION("TEXTJOIN("", "", TRUE, FILTER('🔴 DATA Pengiriman - ORD'!F$2:F1009, '🔴 DATA Pengiriman - ORD'!B$2:B1009 = B48))"),"Kolam Renang Umbul Tirta, Kost pak rakijo")</f>
        <v>Kolam Renang Umbul Tirta, Kost pak rakijo</v>
      </c>
      <c r="I48" s="19" t="s">
        <v>596</v>
      </c>
      <c r="J48" s="18">
        <v>45.4</v>
      </c>
      <c r="K48" s="26">
        <f t="shared" si="1"/>
        <v>30872</v>
      </c>
      <c r="L48" s="24" t="b">
        <v>1</v>
      </c>
      <c r="M48" s="24" t="b">
        <v>1</v>
      </c>
    </row>
    <row r="49" ht="22.5" customHeight="1">
      <c r="B49" s="196" t="s">
        <v>598</v>
      </c>
      <c r="C49" s="195" t="str">
        <f>VLOOKUP(Dashboard_Pengiriman[Shipment ID],OrderShipment[],7,FALSE)</f>
        <v>Fortuner</v>
      </c>
      <c r="D49" s="26" t="str">
        <f>IFERROR(__xludf.DUMMYFUNCTION("TEXTJOIN("", "", TRUE, FILTER('🔴 DATA Pengiriman - ORD'!C$2:C1009, '🔴 DATA Pengiriman - ORD'!B$2:B1009 = B49))"),"ORD-034, ORD-035")</f>
        <v>ORD-034, ORD-035</v>
      </c>
      <c r="E49" s="26">
        <f>COUNTIF(OrderShipment[Shipment ID],B49)</f>
        <v>2</v>
      </c>
      <c r="F49" s="48">
        <f>VLOOKUP(B49,OrderShipment[],3,FALSE())</f>
        <v>46143</v>
      </c>
      <c r="G49" s="26" t="str">
        <f>IFERROR(__xludf.DUMMYFUNCTION("TEXTJOIN("", "", TRUE, FILTER('🔴 DATA Pengiriman - ORD'!E$2:E1009, '🔴 DATA Pengiriman - ORD'!$B$2:$B1009 = $B49))"),"Ling Santa, Intan Candra")</f>
        <v>Ling Santa, Intan Candra</v>
      </c>
      <c r="H49" s="26" t="str">
        <f>IFERROR(__xludf.DUMMYFUNCTION("TEXTJOIN("", "", TRUE, FILTER('🔴 DATA Pengiriman - ORD'!F$2:F1009, '🔴 DATA Pengiriman - ORD'!B$2:B1009 = B49))"),"Persada Homestay By WHouse, Jl. Bumijo Tengah No.3")</f>
        <v>Persada Homestay By WHouse, Jl. Bumijo Tengah No.3</v>
      </c>
      <c r="I49" s="175"/>
      <c r="J49" s="18"/>
      <c r="K49" s="26" t="str">
        <f t="shared" si="1"/>
        <v/>
      </c>
      <c r="L49" s="197"/>
      <c r="M49" s="197"/>
    </row>
    <row r="50" ht="22.5" customHeight="1">
      <c r="B50" s="196" t="s">
        <v>599</v>
      </c>
      <c r="C50" s="195" t="str">
        <f>VLOOKUP(Dashboard_Pengiriman[Shipment ID],OrderShipment[],7,FALSE)</f>
        <v>Mandiri</v>
      </c>
      <c r="D50" s="26" t="str">
        <f>IFERROR(__xludf.DUMMYFUNCTION("TEXTJOIN("", "", TRUE, FILTER('🔴 DATA Pengiriman - ORD'!C$2:C1009, '🔴 DATA Pengiriman - ORD'!B$2:B1009 = B50))"),"ORD-034")</f>
        <v>ORD-034</v>
      </c>
      <c r="E50" s="26">
        <f>COUNTIF(OrderShipment[Shipment ID],B50)</f>
        <v>1</v>
      </c>
      <c r="F50" s="48">
        <f>VLOOKUP(B50,OrderShipment[],3,FALSE())</f>
        <v>46145</v>
      </c>
      <c r="G50" s="26" t="str">
        <f>IFERROR(__xludf.DUMMYFUNCTION("TEXTJOIN("", "", TRUE, FILTER('🔴 DATA Pengiriman - ORD'!E$2:E1009, '🔴 DATA Pengiriman - ORD'!$B$2:$B1009 = $B50))"),"Ling Santa")</f>
        <v>Ling Santa</v>
      </c>
      <c r="H50" s="26" t="str">
        <f>IFERROR(__xludf.DUMMYFUNCTION("TEXTJOIN("", "", TRUE, FILTER('🔴 DATA Pengiriman - ORD'!F$2:F1009, '🔴 DATA Pengiriman - ORD'!B$2:B1009 = B50))"),"Persada Homestay By WHouse")</f>
        <v>Persada Homestay By WHouse</v>
      </c>
      <c r="I50" s="19" t="s">
        <v>600</v>
      </c>
      <c r="J50" s="18">
        <v>31.8</v>
      </c>
      <c r="K50" s="26">
        <f t="shared" si="1"/>
        <v>21624</v>
      </c>
      <c r="L50" s="198" t="b">
        <v>0</v>
      </c>
      <c r="M50" s="198" t="b">
        <v>0</v>
      </c>
    </row>
    <row r="51" ht="22.5" customHeight="1">
      <c r="B51" s="196" t="s">
        <v>601</v>
      </c>
      <c r="C51" s="195" t="str">
        <f>VLOOKUP(Dashboard_Pengiriman[Shipment ID],OrderShipment[],7,FALSE)</f>
        <v>Mandiri</v>
      </c>
      <c r="D51" s="26" t="str">
        <f>IFERROR(__xludf.DUMMYFUNCTION("TEXTJOIN("", "", TRUE, FILTER('🔴 DATA Pengiriman - ORD'!C$2:C1009, '🔴 DATA Pengiriman - ORD'!B$2:B1009 = B51))"),"ORD-035")</f>
        <v>ORD-035</v>
      </c>
      <c r="E51" s="26">
        <f>COUNTIF(OrderShipment[Shipment ID],B51)</f>
        <v>1</v>
      </c>
      <c r="F51" s="48">
        <f>VLOOKUP(B51,OrderShipment[],3,FALSE())</f>
        <v>46145</v>
      </c>
      <c r="G51" s="26" t="str">
        <f>IFERROR(__xludf.DUMMYFUNCTION("TEXTJOIN("", "", TRUE, FILTER('🔴 DATA Pengiriman - ORD'!E$2:E1009, '🔴 DATA Pengiriman - ORD'!$B$2:$B1009 = $B51))"),"Intan Candra")</f>
        <v>Intan Candra</v>
      </c>
      <c r="H51" s="26" t="str">
        <f>IFERROR(__xludf.DUMMYFUNCTION("TEXTJOIN("", "", TRUE, FILTER('🔴 DATA Pengiriman - ORD'!F$2:F1009, '🔴 DATA Pengiriman - ORD'!B$2:B1009 = B51))"),"Jl. Bumijo Tengah No.3")</f>
        <v>Jl. Bumijo Tengah No.3</v>
      </c>
      <c r="I51" s="19" t="s">
        <v>602</v>
      </c>
      <c r="J51" s="18">
        <v>17.2</v>
      </c>
      <c r="K51" s="26">
        <f t="shared" si="1"/>
        <v>11696</v>
      </c>
      <c r="L51" s="198" t="b">
        <v>0</v>
      </c>
      <c r="M51" s="198" t="b">
        <v>0</v>
      </c>
    </row>
    <row r="52" ht="22.5" customHeight="1">
      <c r="B52" s="196" t="s">
        <v>603</v>
      </c>
      <c r="C52" s="195" t="str">
        <f>VLOOKUP(Dashboard_Pengiriman[Shipment ID],OrderShipment[],7,FALSE)</f>
        <v>Mandiri</v>
      </c>
      <c r="D52" s="26" t="str">
        <f>IFERROR(__xludf.DUMMYFUNCTION("TEXTJOIN("", "", TRUE, FILTER('🔴 DATA Pengiriman - ORD'!C$2:C1009, '🔴 DATA Pengiriman - ORD'!B$2:B1009 = B52))"),"ORD-036")</f>
        <v>ORD-036</v>
      </c>
      <c r="E52" s="26">
        <f>COUNTIF(OrderShipment[Shipment ID],B52)</f>
        <v>1</v>
      </c>
      <c r="F52" s="48">
        <f>VLOOKUP(B52,OrderShipment[],3,FALSE())</f>
        <v>46149</v>
      </c>
      <c r="G52" s="26" t="str">
        <f>IFERROR(__xludf.DUMMYFUNCTION("TEXTJOIN("", "", TRUE, FILTER('🔴 DATA Pengiriman - ORD'!E$2:E1009, '🔴 DATA Pengiriman - ORD'!$B$2:$B1009 = $B52))"),"Alex")</f>
        <v>Alex</v>
      </c>
      <c r="H52" s="26" t="str">
        <f>IFERROR(__xludf.DUMMYFUNCTION("TEXTJOIN("", "", TRUE, FILTER('🔴 DATA Pengiriman - ORD'!F$2:F1009, '🔴 DATA Pengiriman - ORD'!B$2:B1009 = B52))"),"State Elementary School, Bokong")</f>
        <v>State Elementary School, Bokong</v>
      </c>
      <c r="I52" s="19" t="s">
        <v>604</v>
      </c>
      <c r="J52" s="18">
        <v>14.9</v>
      </c>
      <c r="K52" s="26">
        <f t="shared" si="1"/>
        <v>10132</v>
      </c>
      <c r="L52" s="198" t="b">
        <v>0</v>
      </c>
      <c r="M52" s="198" t="b">
        <v>0</v>
      </c>
    </row>
    <row r="53" ht="22.5" customHeight="1">
      <c r="B53" s="196" t="s">
        <v>605</v>
      </c>
      <c r="C53" s="195" t="str">
        <f>VLOOKUP(Dashboard_Pengiriman[Shipment ID],OrderShipment[],7,FALSE)</f>
        <v>Mandiri</v>
      </c>
      <c r="D53" s="26" t="str">
        <f>IFERROR(__xludf.DUMMYFUNCTION("TEXTJOIN("", "", TRUE, FILTER('🔴 DATA Pengiriman - ORD'!C$2:C1009, '🔴 DATA Pengiriman - ORD'!B$2:B1009 = B53))"),"ORD-036")</f>
        <v>ORD-036</v>
      </c>
      <c r="E53" s="26">
        <f>COUNTIF(OrderShipment[Shipment ID],B53)</f>
        <v>1</v>
      </c>
      <c r="F53" s="48">
        <f>VLOOKUP(B53,OrderShipment[],3,FALSE())</f>
        <v>46151</v>
      </c>
      <c r="G53" s="26" t="str">
        <f>IFERROR(__xludf.DUMMYFUNCTION("TEXTJOIN("", "", TRUE, FILTER('🔴 DATA Pengiriman - ORD'!E$2:E1009, '🔴 DATA Pengiriman - ORD'!$B$2:$B1009 = $B53))"),"Alex")</f>
        <v>Alex</v>
      </c>
      <c r="H53" s="26" t="str">
        <f>IFERROR(__xludf.DUMMYFUNCTION("TEXTJOIN("", "", TRUE, FILTER('🔴 DATA Pengiriman - ORD'!F$2:F1009, '🔴 DATA Pengiriman - ORD'!B$2:B1009 = B53))"),"State Elementary School, Bokong")</f>
        <v>State Elementary School, Bokong</v>
      </c>
      <c r="I53" s="19" t="s">
        <v>604</v>
      </c>
      <c r="J53" s="18">
        <v>14.9</v>
      </c>
      <c r="K53" s="26">
        <f t="shared" si="1"/>
        <v>10132</v>
      </c>
      <c r="L53" s="198" t="b">
        <v>0</v>
      </c>
      <c r="M53" s="198" t="b">
        <v>0</v>
      </c>
    </row>
    <row r="54" ht="22.5" customHeight="1">
      <c r="B54" s="196" t="s">
        <v>606</v>
      </c>
      <c r="C54" s="195" t="str">
        <f>VLOOKUP(Dashboard_Pengiriman[Shipment ID],OrderShipment[],7,FALSE)</f>
        <v>Mandiri</v>
      </c>
      <c r="D54" s="26" t="str">
        <f>IFERROR(__xludf.DUMMYFUNCTION("TEXTJOIN("", "", TRUE, FILTER('🔴 DATA Pengiriman - ORD'!C$2:C1009, '🔴 DATA Pengiriman - ORD'!B$2:B1009 = B54))"),"ORD-037, ORD-038")</f>
        <v>ORD-037, ORD-038</v>
      </c>
      <c r="E54" s="26">
        <f>COUNTIF(OrderShipment[Shipment ID],B54)</f>
        <v>2</v>
      </c>
      <c r="F54" s="48">
        <f>VLOOKUP(B54,OrderShipment[],3,FALSE())</f>
        <v>46151</v>
      </c>
      <c r="G54" s="26" t="str">
        <f>IFERROR(__xludf.DUMMYFUNCTION("TEXTJOIN("", "", TRUE, FILTER('🔴 DATA Pengiriman - ORD'!E$2:E1009, '🔴 DATA Pengiriman - ORD'!$B$2:$B1009 = $B54))"),"Armyda, Adhitama")</f>
        <v>Armyda, Adhitama</v>
      </c>
      <c r="H54" s="26" t="str">
        <f>IFERROR(__xludf.DUMMYFUNCTION("TEXTJOIN("", "", TRUE, FILTER('🔴 DATA Pengiriman - ORD'!F$2:F1009, '🔴 DATA Pengiriman - ORD'!B$2:B1009 = B54))"),"7° 48' 39.7901"" S 110° 17' 25.9807"" E, BPKI Dinas Pariwisata DIY")</f>
        <v>7° 48' 39.7901" S 110° 17' 25.9807" E, BPKI Dinas Pariwisata DIY</v>
      </c>
      <c r="I54" s="19" t="s">
        <v>607</v>
      </c>
      <c r="J54" s="18">
        <v>23.5</v>
      </c>
      <c r="K54" s="26">
        <f t="shared" si="1"/>
        <v>15980</v>
      </c>
      <c r="L54" s="198" t="b">
        <v>0</v>
      </c>
      <c r="M54" s="198" t="b">
        <v>0</v>
      </c>
    </row>
    <row r="55" ht="22.5" customHeight="1">
      <c r="B55" s="196" t="s">
        <v>608</v>
      </c>
      <c r="C55" s="195" t="str">
        <f>VLOOKUP(Dashboard_Pengiriman[Shipment ID],OrderShipment[],7,FALSE)</f>
        <v>Mandiri</v>
      </c>
      <c r="D55" s="26" t="str">
        <f>IFERROR(__xludf.DUMMYFUNCTION("TEXTJOIN("", "", TRUE, FILTER('🔴 DATA Pengiriman - ORD'!C$2:C1009, '🔴 DATA Pengiriman - ORD'!B$2:B1009 = B55))"),"ORD-037, ORD-038")</f>
        <v>ORD-037, ORD-038</v>
      </c>
      <c r="E55" s="26">
        <f>COUNTIF(OrderShipment[Shipment ID],B55)</f>
        <v>2</v>
      </c>
      <c r="F55" s="48">
        <f>VLOOKUP(B55,OrderShipment[],3,FALSE())</f>
        <v>46152</v>
      </c>
      <c r="G55" s="26" t="str">
        <f>IFERROR(__xludf.DUMMYFUNCTION("TEXTJOIN("", "", TRUE, FILTER('🔴 DATA Pengiriman - ORD'!E$2:E1009, '🔴 DATA Pengiriman - ORD'!$B$2:$B1009 = $B55))"),"Armyda, Adhitama")</f>
        <v>Armyda, Adhitama</v>
      </c>
      <c r="H55" s="26" t="str">
        <f>IFERROR(__xludf.DUMMYFUNCTION("TEXTJOIN("", "", TRUE, FILTER('🔴 DATA Pengiriman - ORD'!F$2:F1009, '🔴 DATA Pengiriman - ORD'!B$2:B1009 = B55))"),"7° 48' 39.7901"" S 110° 17' 25.9807"" E, BPKI Dinas Pariwisata DIY")</f>
        <v>7° 48' 39.7901" S 110° 17' 25.9807" E, BPKI Dinas Pariwisata DIY</v>
      </c>
      <c r="I55" s="19" t="s">
        <v>607</v>
      </c>
      <c r="J55" s="18">
        <v>23.5</v>
      </c>
      <c r="K55" s="26">
        <f t="shared" si="1"/>
        <v>15980</v>
      </c>
      <c r="L55" s="198" t="b">
        <v>0</v>
      </c>
      <c r="M55" s="198" t="b">
        <v>0</v>
      </c>
    </row>
    <row r="56" ht="22.5" customHeight="1">
      <c r="B56" s="196" t="s">
        <v>609</v>
      </c>
      <c r="C56" s="195" t="str">
        <f>VLOOKUP(Dashboard_Pengiriman[Shipment ID],OrderShipment[],7,FALSE)</f>
        <v>Fortuner</v>
      </c>
      <c r="D56" s="26" t="str">
        <f>IFERROR(__xludf.DUMMYFUNCTION("TEXTJOIN("", "", TRUE, FILTER('🔴 DATA Pengiriman - ORD'!C$2:C1009, '🔴 DATA Pengiriman - ORD'!B$2:B1009 = B56))"),"ORD-039")</f>
        <v>ORD-039</v>
      </c>
      <c r="E56" s="26">
        <f>COUNTIF(OrderShipment[Shipment ID],B56)</f>
        <v>1</v>
      </c>
      <c r="F56" s="48">
        <f>VLOOKUP(B56,OrderShipment[],3,FALSE())</f>
        <v>46153</v>
      </c>
      <c r="G56" s="26" t="str">
        <f>IFERROR(__xludf.DUMMYFUNCTION("TEXTJOIN("", "", TRUE, FILTER('🔴 DATA Pengiriman - ORD'!E$2:E1009, '🔴 DATA Pengiriman - ORD'!$B$2:$B1009 = $B56))"),"Qui - Jo")</f>
        <v>Qui - Jo</v>
      </c>
      <c r="H56" s="26" t="str">
        <f>IFERROR(__xludf.DUMMYFUNCTION("TEXTJOIN("", "", TRUE, FILTER('🔴 DATA Pengiriman - ORD'!F$2:F1009, '🔴 DATA Pengiriman - ORD'!B$2:B1009 = B56))"),"Gg. Bougenville 8-3")</f>
        <v>Gg. Bougenville 8-3</v>
      </c>
      <c r="I56" s="175"/>
      <c r="J56" s="18"/>
      <c r="K56" s="26" t="str">
        <f t="shared" si="1"/>
        <v/>
      </c>
      <c r="L56" s="198" t="b">
        <v>0</v>
      </c>
      <c r="M56" s="198" t="b">
        <v>0</v>
      </c>
    </row>
    <row r="57" ht="22.5" customHeight="1">
      <c r="B57" s="196" t="s">
        <v>610</v>
      </c>
      <c r="C57" s="195" t="str">
        <f>VLOOKUP(Dashboard_Pengiriman[Shipment ID],OrderShipment[],7,FALSE)</f>
        <v>Mandiri</v>
      </c>
      <c r="D57" s="26" t="str">
        <f>IFERROR(__xludf.DUMMYFUNCTION("TEXTJOIN("", "", TRUE, FILTER('🔴 DATA Pengiriman - ORD'!C$2:C1009, '🔴 DATA Pengiriman - ORD'!B$2:B1009 = B57))"),"ORD-040, ORD-039")</f>
        <v>ORD-040, ORD-039</v>
      </c>
      <c r="E57" s="26">
        <f>COUNTIF(OrderShipment[Shipment ID],B57)</f>
        <v>2</v>
      </c>
      <c r="F57" s="48">
        <f>VLOOKUP(B57,OrderShipment[],3,FALSE())</f>
        <v>46155</v>
      </c>
      <c r="G57" s="26" t="str">
        <f>IFERROR(__xludf.DUMMYFUNCTION("TEXTJOIN("", "", TRUE, FILTER('🔴 DATA Pengiriman - ORD'!E$2:E1009, '🔴 DATA Pengiriman - ORD'!$B$2:$B1009 = $B57))"),"Anik, Qui - Jo")</f>
        <v>Anik, Qui - Jo</v>
      </c>
      <c r="H57" s="26" t="str">
        <f>IFERROR(__xludf.DUMMYFUNCTION("TEXTJOIN("", "", TRUE, FILTER('🔴 DATA Pengiriman - ORD'!F$2:F1009, '🔴 DATA Pengiriman - ORD'!B$2:B1009 = B57))"),"Digituin Creative Lab, Gg. Bougenville 8-3")</f>
        <v>Digituin Creative Lab, Gg. Bougenville 8-3</v>
      </c>
      <c r="I57" s="19" t="s">
        <v>611</v>
      </c>
      <c r="J57" s="18">
        <v>48.4</v>
      </c>
      <c r="K57" s="26">
        <f t="shared" si="1"/>
        <v>32912</v>
      </c>
      <c r="L57" s="198" t="b">
        <v>0</v>
      </c>
      <c r="M57" s="198" t="b">
        <v>0</v>
      </c>
    </row>
    <row r="58" ht="22.5" customHeight="1">
      <c r="B58" s="196" t="s">
        <v>612</v>
      </c>
      <c r="C58" s="195" t="str">
        <f>VLOOKUP(Dashboard_Pengiriman[Shipment ID],OrderShipment[],7,FALSE)</f>
        <v>Mandiri</v>
      </c>
      <c r="D58" s="26" t="str">
        <f>IFERROR(__xludf.DUMMYFUNCTION("TEXTJOIN("", "", TRUE, FILTER('🔴 DATA Pengiriman - ORD'!C$2:C1009, '🔴 DATA Pengiriman - ORD'!B$2:B1009 = B58))"),"ORD-041, ORD-042, ORD-043")</f>
        <v>ORD-041, ORD-042, ORD-043</v>
      </c>
      <c r="E58" s="26">
        <f>COUNTIF(OrderShipment[Shipment ID],B58)</f>
        <v>3</v>
      </c>
      <c r="F58" s="48">
        <f>VLOOKUP(B58,OrderShipment[],3,FALSE())</f>
        <v>46156</v>
      </c>
      <c r="G58" s="26" t="str">
        <f>IFERROR(__xludf.DUMMYFUNCTION("TEXTJOIN("", "", TRUE, FILTER('🔴 DATA Pengiriman - ORD'!E$2:E1009, '🔴 DATA Pengiriman - ORD'!$B$2:$B1009 = $B58))"),"Salsaa, Nita, Wening")</f>
        <v>Salsaa, Nita, Wening</v>
      </c>
      <c r="H58" s="26" t="str">
        <f>IFERROR(__xludf.DUMMYFUNCTION("TEXTJOIN("", "", TRUE, FILTER('🔴 DATA Pengiriman - ORD'!F$2:F1009, '🔴 DATA Pengiriman - ORD'!B$2:B1009 = B58))"),"7° 44' 45.9838"" S 110° 22' 16.9262"" E, Nitasya MUA &amp; MANA Kopi Office, 7° 44' 22.978"" S 110° 19' 24.9078"" E")</f>
        <v>7° 44' 45.9838" S 110° 22' 16.9262" E, Nitasya MUA &amp; MANA Kopi Office, 7° 44' 22.978" S 110° 19' 24.9078" E</v>
      </c>
      <c r="I58" s="19" t="s">
        <v>613</v>
      </c>
      <c r="J58" s="18">
        <v>37.2</v>
      </c>
      <c r="K58" s="26">
        <f t="shared" si="1"/>
        <v>25296</v>
      </c>
      <c r="L58" s="198" t="b">
        <v>0</v>
      </c>
      <c r="M58" s="198" t="b">
        <v>0</v>
      </c>
    </row>
    <row r="59" ht="22.5" customHeight="1">
      <c r="B59" s="196" t="s">
        <v>614</v>
      </c>
      <c r="C59" s="195" t="str">
        <f>VLOOKUP(Dashboard_Pengiriman[Shipment ID],OrderShipment[],7,FALSE)</f>
        <v>Fortuner</v>
      </c>
      <c r="D59" s="26" t="str">
        <f>IFERROR(__xludf.DUMMYFUNCTION("TEXTJOIN("", "", TRUE, FILTER('🔴 DATA Pengiriman - ORD'!C$2:C1009, '🔴 DATA Pengiriman - ORD'!B$2:B1009 = B59))"),"ORD-044")</f>
        <v>ORD-044</v>
      </c>
      <c r="E59" s="26">
        <f>COUNTIF(OrderShipment[Shipment ID],B59)</f>
        <v>1</v>
      </c>
      <c r="F59" s="48">
        <f>VLOOKUP(B59,OrderShipment[],3,FALSE())</f>
        <v>46156</v>
      </c>
      <c r="G59" s="26" t="str">
        <f>IFERROR(__xludf.DUMMYFUNCTION("TEXTJOIN("", "", TRUE, FILTER('🔴 DATA Pengiriman - ORD'!E$2:E1009, '🔴 DATA Pengiriman - ORD'!$B$2:$B1009 = $B59))"),"Andhi")</f>
        <v>Andhi</v>
      </c>
      <c r="H59" s="26" t="str">
        <f>IFERROR(__xludf.DUMMYFUNCTION("TEXTJOIN("", "", TRUE, FILTER('🔴 DATA Pengiriman - ORD'!F$2:F1009, '🔴 DATA Pengiriman - ORD'!B$2:B1009 = B59))"),"Kalya Hotel")</f>
        <v>Kalya Hotel</v>
      </c>
      <c r="I59" s="175"/>
      <c r="J59" s="18"/>
      <c r="K59" s="26" t="str">
        <f t="shared" si="1"/>
        <v/>
      </c>
      <c r="L59" s="198" t="b">
        <v>0</v>
      </c>
      <c r="M59" s="198" t="b">
        <v>0</v>
      </c>
    </row>
    <row r="60" ht="22.5" customHeight="1">
      <c r="B60" s="196" t="s">
        <v>615</v>
      </c>
      <c r="C60" s="195" t="str">
        <f>VLOOKUP(Dashboard_Pengiriman[Shipment ID],OrderShipment[],7,FALSE)</f>
        <v>Mandiri</v>
      </c>
      <c r="D60" s="26" t="str">
        <f>IFERROR(__xludf.DUMMYFUNCTION("TEXTJOIN("", "", TRUE, FILTER('🔴 DATA Pengiriman - ORD'!C$2:C1009, '🔴 DATA Pengiriman - ORD'!B$2:B1009 = B60))"),"ORD-040")</f>
        <v>ORD-040</v>
      </c>
      <c r="E60" s="26">
        <f>COUNTIF(OrderShipment[Shipment ID],B60)</f>
        <v>1</v>
      </c>
      <c r="F60" s="48">
        <f>VLOOKUP(B60,OrderShipment[],3,FALSE())</f>
        <v>46157</v>
      </c>
      <c r="G60" s="26" t="str">
        <f>IFERROR(__xludf.DUMMYFUNCTION("TEXTJOIN("", "", TRUE, FILTER('🔴 DATA Pengiriman - ORD'!E$2:E1009, '🔴 DATA Pengiriman - ORD'!$B$2:$B1009 = $B60))"),"Anik")</f>
        <v>Anik</v>
      </c>
      <c r="H60" s="26" t="str">
        <f>IFERROR(__xludf.DUMMYFUNCTION("TEXTJOIN("", "", TRUE, FILTER('🔴 DATA Pengiriman - ORD'!F$2:F1009, '🔴 DATA Pengiriman - ORD'!B$2:B1009 = B60))"),"Digituin Creative Lab")</f>
        <v>Digituin Creative Lab</v>
      </c>
      <c r="I60" s="19" t="s">
        <v>616</v>
      </c>
      <c r="J60" s="18">
        <v>19.2</v>
      </c>
      <c r="K60" s="26">
        <f t="shared" si="1"/>
        <v>13056</v>
      </c>
      <c r="L60" s="198" t="b">
        <v>0</v>
      </c>
      <c r="M60" s="198" t="b">
        <v>0</v>
      </c>
    </row>
    <row r="61" ht="22.5" customHeight="1">
      <c r="B61" s="196" t="s">
        <v>617</v>
      </c>
      <c r="C61" s="195" t="str">
        <f>VLOOKUP(Dashboard_Pengiriman[Shipment ID],OrderShipment[],7,FALSE)</f>
        <v>Fortuner</v>
      </c>
      <c r="D61" s="26" t="str">
        <f>IFERROR(__xludf.DUMMYFUNCTION("TEXTJOIN("", "", TRUE, FILTER('🔴 DATA Pengiriman - ORD'!C$2:C1009, '🔴 DATA Pengiriman - ORD'!B$2:B1009 = B61))"),"ORD-044")</f>
        <v>ORD-044</v>
      </c>
      <c r="E61" s="26">
        <f>COUNTIF(OrderShipment[Shipment ID],B61)</f>
        <v>1</v>
      </c>
      <c r="F61" s="48">
        <f>VLOOKUP(B61,OrderShipment[],3,FALSE())</f>
        <v>46157</v>
      </c>
      <c r="G61" s="26" t="str">
        <f>IFERROR(__xludf.DUMMYFUNCTION("TEXTJOIN("", "", TRUE, FILTER('🔴 DATA Pengiriman - ORD'!E$2:E1009, '🔴 DATA Pengiriman - ORD'!$B$2:$B1009 = $B61))"),"Andhi")</f>
        <v>Andhi</v>
      </c>
      <c r="H61" s="26" t="str">
        <f>IFERROR(__xludf.DUMMYFUNCTION("TEXTJOIN("", "", TRUE, FILTER('🔴 DATA Pengiriman - ORD'!F$2:F1009, '🔴 DATA Pengiriman - ORD'!B$2:B1009 = B61))"),"Kalya Hotel")</f>
        <v>Kalya Hotel</v>
      </c>
      <c r="I61" s="175"/>
      <c r="J61" s="18"/>
      <c r="K61" s="26" t="str">
        <f t="shared" si="1"/>
        <v/>
      </c>
      <c r="L61" s="198" t="b">
        <v>0</v>
      </c>
      <c r="M61" s="198" t="b">
        <v>0</v>
      </c>
    </row>
    <row r="62" ht="22.5" customHeight="1">
      <c r="B62" s="196" t="s">
        <v>618</v>
      </c>
      <c r="C62" s="195" t="str">
        <f>VLOOKUP(Dashboard_Pengiriman[Shipment ID],OrderShipment[],7,FALSE)</f>
        <v>Fortuner</v>
      </c>
      <c r="D62" s="26" t="str">
        <f>IFERROR(__xludf.DUMMYFUNCTION("TEXTJOIN("", "", TRUE, FILTER('🔴 DATA Pengiriman - ORD'!C$2:C1009, '🔴 DATA Pengiriman - ORD'!B$2:B1009 = B62))"),"ORD-045")</f>
        <v>ORD-045</v>
      </c>
      <c r="E62" s="26">
        <f>COUNTIF(OrderShipment[Shipment ID],B62)</f>
        <v>1</v>
      </c>
      <c r="F62" s="48">
        <f>VLOOKUP(B62,OrderShipment[],3,FALSE())</f>
        <v>46157</v>
      </c>
      <c r="G62" s="26" t="str">
        <f>IFERROR(__xludf.DUMMYFUNCTION("TEXTJOIN("", "", TRUE, FILTER('🔴 DATA Pengiriman - ORD'!E$2:E1009, '🔴 DATA Pengiriman - ORD'!$B$2:$B1009 = $B62))"),"Uwie")</f>
        <v>Uwie</v>
      </c>
      <c r="H62" s="26" t="str">
        <f>IFERROR(__xludf.DUMMYFUNCTION("TEXTJOIN("", "", TRUE, FILTER('🔴 DATA Pengiriman - ORD'!F$2:F1009, '🔴 DATA Pengiriman - ORD'!B$2:B1009 = B62))"),"Singgah.ndalem")</f>
        <v>Singgah.ndalem</v>
      </c>
      <c r="I62" s="175"/>
      <c r="J62" s="18"/>
      <c r="K62" s="26" t="str">
        <f t="shared" si="1"/>
        <v/>
      </c>
      <c r="L62" s="198" t="b">
        <v>0</v>
      </c>
      <c r="M62" s="198" t="b">
        <v>0</v>
      </c>
    </row>
    <row r="63" ht="22.5" customHeight="1">
      <c r="B63" s="196" t="s">
        <v>619</v>
      </c>
      <c r="C63" s="195" t="str">
        <f>VLOOKUP(Dashboard_Pengiriman[Shipment ID],OrderShipment[],7,FALSE)</f>
        <v>Fortuner</v>
      </c>
      <c r="D63" s="26" t="str">
        <f>IFERROR(__xludf.DUMMYFUNCTION("TEXTJOIN("", "", TRUE, FILTER('🔴 DATA Pengiriman - ORD'!C$2:C1009, '🔴 DATA Pengiriman - ORD'!B$2:B1009 = B63))"),"ORD-045")</f>
        <v>ORD-045</v>
      </c>
      <c r="E63" s="26">
        <f>COUNTIF(OrderShipment[Shipment ID],B63)</f>
        <v>1</v>
      </c>
      <c r="F63" s="48">
        <f>VLOOKUP(B63,OrderShipment[],3,FALSE())</f>
        <v>46158</v>
      </c>
      <c r="G63" s="26" t="str">
        <f>IFERROR(__xludf.DUMMYFUNCTION("TEXTJOIN("", "", TRUE, FILTER('🔴 DATA Pengiriman - ORD'!E$2:E1009, '🔴 DATA Pengiriman - ORD'!$B$2:$B1009 = $B63))"),"Uwie")</f>
        <v>Uwie</v>
      </c>
      <c r="H63" s="26" t="str">
        <f>IFERROR(__xludf.DUMMYFUNCTION("TEXTJOIN("", "", TRUE, FILTER('🔴 DATA Pengiriman - ORD'!F$2:F1009, '🔴 DATA Pengiriman - ORD'!B$2:B1009 = B63))"),"Singgah.ndalem")</f>
        <v>Singgah.ndalem</v>
      </c>
      <c r="I63" s="175"/>
      <c r="J63" s="18"/>
      <c r="K63" s="26" t="str">
        <f t="shared" si="1"/>
        <v/>
      </c>
      <c r="L63" s="198" t="b">
        <v>0</v>
      </c>
      <c r="M63" s="198" t="b">
        <v>0</v>
      </c>
    </row>
    <row r="64" ht="22.5" customHeight="1">
      <c r="B64" s="196" t="s">
        <v>620</v>
      </c>
      <c r="C64" s="195" t="str">
        <f>VLOOKUP(Dashboard_Pengiriman[Shipment ID],OrderShipment[],7,FALSE)</f>
        <v>Mandiri</v>
      </c>
      <c r="D64" s="26" t="str">
        <f>IFERROR(__xludf.DUMMYFUNCTION("TEXTJOIN("", "", TRUE, FILTER('🔴 DATA Pengiriman - ORD'!C$2:C1009, '🔴 DATA Pengiriman - ORD'!B$2:B1009 = B64))"),"ORD-046")</f>
        <v>ORD-046</v>
      </c>
      <c r="E64" s="26">
        <f>COUNTIF(OrderShipment[Shipment ID],B64)</f>
        <v>1</v>
      </c>
      <c r="F64" s="48">
        <f>VLOOKUP(B64,OrderShipment[],3,FALSE())</f>
        <v>46158</v>
      </c>
      <c r="G64" s="26" t="str">
        <f>IFERROR(__xludf.DUMMYFUNCTION("TEXTJOIN("", "", TRUE, FILTER('🔴 DATA Pengiriman - ORD'!E$2:E1009, '🔴 DATA Pengiriman - ORD'!$B$2:$B1009 = $B64))"),"Taufik")</f>
        <v>Taufik</v>
      </c>
      <c r="H64" s="26" t="str">
        <f>IFERROR(__xludf.DUMMYFUNCTION("TEXTJOIN("", "", TRUE, FILTER('🔴 DATA Pengiriman - ORD'!F$2:F1009, '🔴 DATA Pengiriman - ORD'!B$2:B1009 = B64))"),"7° 43' 33.7901"" S 110° 15' 46.994"" E")</f>
        <v>7° 43' 33.7901" S 110° 15' 46.994" E</v>
      </c>
      <c r="I64" s="19" t="s">
        <v>621</v>
      </c>
      <c r="J64" s="18">
        <v>19.4</v>
      </c>
      <c r="K64" s="26">
        <f t="shared" si="1"/>
        <v>13192</v>
      </c>
      <c r="L64" s="198" t="b">
        <v>0</v>
      </c>
      <c r="M64" s="198" t="b">
        <v>0</v>
      </c>
    </row>
    <row r="65" ht="22.5" customHeight="1">
      <c r="B65" s="196" t="s">
        <v>622</v>
      </c>
      <c r="C65" s="195" t="str">
        <f>VLOOKUP(Dashboard_Pengiriman[Shipment ID],OrderShipment[],7,FALSE)</f>
        <v>Mandiri</v>
      </c>
      <c r="D65" s="26" t="str">
        <f>IFERROR(__xludf.DUMMYFUNCTION("TEXTJOIN("", "", TRUE, FILTER('🔴 DATA Pengiriman - ORD'!C$2:C1009, '🔴 DATA Pengiriman - ORD'!B$2:B1009 = B65))"),"ORD-043, ORD-042, ORD-046")</f>
        <v>ORD-043, ORD-042, ORD-046</v>
      </c>
      <c r="E65" s="26">
        <f>COUNTIF(OrderShipment[Shipment ID],B65)</f>
        <v>3</v>
      </c>
      <c r="F65" s="48">
        <f>VLOOKUP(B65,OrderShipment[],3,FALSE())</f>
        <v>46159</v>
      </c>
      <c r="G65" s="26" t="str">
        <f>IFERROR(__xludf.DUMMYFUNCTION("TEXTJOIN("", "", TRUE, FILTER('🔴 DATA Pengiriman - ORD'!E$2:E1009, '🔴 DATA Pengiriman - ORD'!$B$2:$B1009 = $B65))"),"Wening, Nita, Taufik")</f>
        <v>Wening, Nita, Taufik</v>
      </c>
      <c r="H65" s="26" t="str">
        <f>IFERROR(__xludf.DUMMYFUNCTION("TEXTJOIN("", "", TRUE, FILTER('🔴 DATA Pengiriman - ORD'!F$2:F1009, '🔴 DATA Pengiriman - ORD'!B$2:B1009 = B65))"),"7° 44' 22.978"" S 110° 19' 24.9078"" E, Nitasya MUA &amp; MANA Kopi Office, 7° 43' 33.7901"" S 110° 15' 46.994"" E")</f>
        <v>7° 44' 22.978" S 110° 19' 24.9078" E, Nitasya MUA &amp; MANA Kopi Office, 7° 43' 33.7901" S 110° 15' 46.994" E</v>
      </c>
      <c r="I65" s="19" t="s">
        <v>623</v>
      </c>
      <c r="J65" s="18">
        <v>30.1</v>
      </c>
      <c r="K65" s="26">
        <f t="shared" si="1"/>
        <v>20468</v>
      </c>
      <c r="L65" s="198" t="b">
        <v>0</v>
      </c>
      <c r="M65" s="198" t="b">
        <v>0</v>
      </c>
    </row>
    <row r="66" ht="22.5" customHeight="1">
      <c r="B66" s="196" t="s">
        <v>624</v>
      </c>
      <c r="C66" s="195" t="str">
        <f>VLOOKUP(Dashboard_Pengiriman[Shipment ID],OrderShipment[],7,FALSE)</f>
        <v>Mandiri</v>
      </c>
      <c r="D66" s="26" t="str">
        <f>IFERROR(__xludf.DUMMYFUNCTION("TEXTJOIN("", "", TRUE, FILTER('🔴 DATA Pengiriman - ORD'!C$2:C1009, '🔴 DATA Pengiriman - ORD'!B$2:B1009 = B66))"),"ORD-041, ORD-047")</f>
        <v>ORD-041, ORD-047</v>
      </c>
      <c r="E66" s="26">
        <f>COUNTIF(OrderShipment[Shipment ID],B66)</f>
        <v>2</v>
      </c>
      <c r="F66" s="48">
        <f>VLOOKUP(B66,OrderShipment[],3,FALSE())</f>
        <v>46159</v>
      </c>
      <c r="G66" s="26" t="str">
        <f>IFERROR(__xludf.DUMMYFUNCTION("TEXTJOIN("", "", TRUE, FILTER('🔴 DATA Pengiriman - ORD'!E$2:E1009, '🔴 DATA Pengiriman - ORD'!$B$2:$B1009 = $B66))"),"Salsaa, Hernawan")</f>
        <v>Salsaa, Hernawan</v>
      </c>
      <c r="H66" s="26" t="str">
        <f>IFERROR(__xludf.DUMMYFUNCTION("TEXTJOIN("", "", TRUE, FILTER('🔴 DATA Pengiriman - ORD'!F$2:F1009, '🔴 DATA Pengiriman - ORD'!B$2:B1009 = B66))"),"7° 44' 45.9838"" S 110° 22' 16.9262"" E, Homestay Mondoroko ""Bu Renuk""")</f>
        <v>7° 44' 45.9838" S 110° 22' 16.9262" E, Homestay Mondoroko "Bu Renuk"</v>
      </c>
      <c r="I66" s="19" t="s">
        <v>625</v>
      </c>
      <c r="J66" s="18">
        <v>34.8</v>
      </c>
      <c r="K66" s="26">
        <f t="shared" si="1"/>
        <v>23664</v>
      </c>
      <c r="L66" s="198" t="b">
        <v>0</v>
      </c>
      <c r="M66" s="198" t="b">
        <v>0</v>
      </c>
    </row>
    <row r="67" ht="22.5" customHeight="1">
      <c r="B67" s="196" t="s">
        <v>626</v>
      </c>
      <c r="C67" s="195" t="str">
        <f>VLOOKUP(Dashboard_Pengiriman[Shipment ID],OrderShipment[],7,FALSE)</f>
        <v>Mandiri</v>
      </c>
      <c r="D67" s="26" t="str">
        <f>IFERROR(__xludf.DUMMYFUNCTION("TEXTJOIN("", "", TRUE, FILTER('🔴 DATA Pengiriman - ORD'!C$2:C1009, '🔴 DATA Pengiriman - ORD'!B$2:B1009 = B67))"),"ORD-047")</f>
        <v>ORD-047</v>
      </c>
      <c r="E67" s="26">
        <f>COUNTIF(OrderShipment[Shipment ID],B67)</f>
        <v>1</v>
      </c>
      <c r="F67" s="48">
        <f>VLOOKUP(B67,OrderShipment[],3,FALSE())</f>
        <v>46160</v>
      </c>
      <c r="G67" s="26" t="str">
        <f>IFERROR(__xludf.DUMMYFUNCTION("TEXTJOIN("", "", TRUE, FILTER('🔴 DATA Pengiriman - ORD'!E$2:E1009, '🔴 DATA Pengiriman - ORD'!$B$2:$B1009 = $B67))"),"Hernawan")</f>
        <v>Hernawan</v>
      </c>
      <c r="H67" s="26" t="str">
        <f>IFERROR(__xludf.DUMMYFUNCTION("TEXTJOIN("", "", TRUE, FILTER('🔴 DATA Pengiriman - ORD'!F$2:F1009, '🔴 DATA Pengiriman - ORD'!B$2:B1009 = B67))"),"Homestay Mondoroko ""Bu Renuk""")</f>
        <v>Homestay Mondoroko "Bu Renuk"</v>
      </c>
      <c r="I67" s="19" t="s">
        <v>627</v>
      </c>
      <c r="J67" s="18">
        <v>33.3</v>
      </c>
      <c r="K67" s="26">
        <f t="shared" si="1"/>
        <v>22644</v>
      </c>
      <c r="L67" s="198" t="b">
        <v>0</v>
      </c>
      <c r="M67" s="198" t="b">
        <v>0</v>
      </c>
    </row>
    <row r="68" ht="22.5" customHeight="1">
      <c r="B68" s="196" t="s">
        <v>628</v>
      </c>
      <c r="C68" s="195" t="str">
        <f>VLOOKUP(Dashboard_Pengiriman[Shipment ID],OrderShipment[],7,FALSE)</f>
        <v>Fortuner</v>
      </c>
      <c r="D68" s="26" t="str">
        <f>IFERROR(__xludf.DUMMYFUNCTION("TEXTJOIN("", "", TRUE, FILTER('🔴 DATA Pengiriman - ORD'!C$2:C1009, '🔴 DATA Pengiriman - ORD'!B$2:B1009 = B68))"),"ORD-048")</f>
        <v>ORD-048</v>
      </c>
      <c r="E68" s="26">
        <f>COUNTIF(OrderShipment[Shipment ID],B68)</f>
        <v>1</v>
      </c>
      <c r="F68" s="48">
        <f>VLOOKUP(B68,OrderShipment[],3,FALSE())</f>
        <v>46162</v>
      </c>
      <c r="G68" s="26" t="str">
        <f>IFERROR(__xludf.DUMMYFUNCTION("TEXTJOIN("", "", TRUE, FILTER('🔴 DATA Pengiriman - ORD'!E$2:E1009, '🔴 DATA Pengiriman - ORD'!$B$2:$B1009 = $B68))"),"Wahida")</f>
        <v>Wahida</v>
      </c>
      <c r="H68" s="26" t="str">
        <f>IFERROR(__xludf.DUMMYFUNCTION("TEXTJOIN("", "", TRUE, FILTER('🔴 DATA Pengiriman - ORD'!F$2:F1009, '🔴 DATA Pengiriman - ORD'!B$2:B1009 = B68))"),"Griya Nousha")</f>
        <v>Griya Nousha</v>
      </c>
      <c r="I68" s="175"/>
      <c r="J68" s="18"/>
      <c r="K68" s="26" t="str">
        <f t="shared" si="1"/>
        <v/>
      </c>
      <c r="L68" s="198" t="b">
        <v>0</v>
      </c>
      <c r="M68" s="198" t="b">
        <v>0</v>
      </c>
    </row>
    <row r="69" ht="22.5" customHeight="1">
      <c r="B69" s="196" t="s">
        <v>629</v>
      </c>
      <c r="C69" s="195" t="str">
        <f>VLOOKUP(Dashboard_Pengiriman[Shipment ID],OrderShipment[],7,FALSE)</f>
        <v>Fortuner</v>
      </c>
      <c r="D69" s="26" t="str">
        <f>IFERROR(__xludf.DUMMYFUNCTION("TEXTJOIN("", "", TRUE, FILTER('🔴 DATA Pengiriman - ORD'!C$2:C1009, '🔴 DATA Pengiriman - ORD'!B$2:B1009 = B69))"),"ORD-049")</f>
        <v>ORD-049</v>
      </c>
      <c r="E69" s="26">
        <f>COUNTIF(OrderShipment[Shipment ID],B69)</f>
        <v>1</v>
      </c>
      <c r="F69" s="48">
        <f>VLOOKUP(B69,OrderShipment[],3,FALSE())</f>
        <v>46162</v>
      </c>
      <c r="G69" s="26" t="str">
        <f>IFERROR(__xludf.DUMMYFUNCTION("TEXTJOIN("", "", TRUE, FILTER('🔴 DATA Pengiriman - ORD'!E$2:E1009, '🔴 DATA Pengiriman - ORD'!$B$2:$B1009 = $B69))"),"Helena")</f>
        <v>Helena</v>
      </c>
      <c r="H69" s="26" t="str">
        <f>IFERROR(__xludf.DUMMYFUNCTION("TEXTJOIN("", "", TRUE, FILTER('🔴 DATA Pengiriman - ORD'!F$2:F1009, '🔴 DATA Pengiriman - ORD'!B$2:B1009 = B69))"),"BMT BIF Cabang Tajem")</f>
        <v>BMT BIF Cabang Tajem</v>
      </c>
      <c r="I69" s="175"/>
      <c r="J69" s="18"/>
      <c r="K69" s="26" t="str">
        <f t="shared" si="1"/>
        <v/>
      </c>
      <c r="L69" s="198" t="b">
        <v>0</v>
      </c>
      <c r="M69" s="198" t="b">
        <v>0</v>
      </c>
    </row>
    <row r="70" ht="22.5" customHeight="1">
      <c r="B70" s="196" t="s">
        <v>630</v>
      </c>
      <c r="C70" s="195" t="str">
        <f>VLOOKUP(Dashboard_Pengiriman[Shipment ID],OrderShipment[],7,FALSE)</f>
        <v>Mandiri</v>
      </c>
      <c r="D70" s="26" t="str">
        <f>IFERROR(__xludf.DUMMYFUNCTION("TEXTJOIN("", "", TRUE, FILTER('🔴 DATA Pengiriman - ORD'!C$2:C1009, '🔴 DATA Pengiriman - ORD'!B$2:B1009 = B70))"),"ORD-050")</f>
        <v>ORD-050</v>
      </c>
      <c r="E70" s="26">
        <f>COUNTIF(OrderShipment[Shipment ID],B70)</f>
        <v>1</v>
      </c>
      <c r="F70" s="48">
        <f>VLOOKUP(B70,OrderShipment[],3,FALSE())</f>
        <v>46163</v>
      </c>
      <c r="G70" s="26" t="str">
        <f>IFERROR(__xludf.DUMMYFUNCTION("TEXTJOIN("", "", TRUE, FILTER('🔴 DATA Pengiriman - ORD'!E$2:E1009, '🔴 DATA Pengiriman - ORD'!$B$2:$B1009 = $B70))"),"Bu Pujo ")</f>
        <v>Bu Pujo </v>
      </c>
      <c r="H70" s="26" t="str">
        <f>IFERROR(__xludf.DUMMYFUNCTION("TEXTJOIN("", "", TRUE, FILTER('🔴 DATA Pengiriman - ORD'!F$2:F1009, '🔴 DATA Pengiriman - ORD'!B$2:B1009 = B70))"),"7° 46' 12"" S 110° 19' 57.9"" E")</f>
        <v>7° 46' 12" S 110° 19' 57.9" E</v>
      </c>
      <c r="I70" s="19" t="s">
        <v>631</v>
      </c>
      <c r="J70" s="18">
        <v>12.2</v>
      </c>
      <c r="K70" s="26">
        <f t="shared" si="1"/>
        <v>8296</v>
      </c>
      <c r="L70" s="198" t="b">
        <v>0</v>
      </c>
      <c r="M70" s="198" t="b">
        <v>0</v>
      </c>
    </row>
    <row r="71" ht="22.5" customHeight="1">
      <c r="B71" s="196" t="s">
        <v>632</v>
      </c>
      <c r="C71" s="195" t="str">
        <f>VLOOKUP(Dashboard_Pengiriman[Shipment ID],OrderShipment[],7,FALSE)</f>
        <v>Mandiri</v>
      </c>
      <c r="D71" s="26" t="str">
        <f>IFERROR(__xludf.DUMMYFUNCTION("TEXTJOIN("", "", TRUE, FILTER('🔴 DATA Pengiriman - ORD'!C$2:C1009, '🔴 DATA Pengiriman - ORD'!B$2:B1009 = B71))"),"ORD-050")</f>
        <v>ORD-050</v>
      </c>
      <c r="E71" s="26">
        <f>COUNTIF(OrderShipment[Shipment ID],B71)</f>
        <v>1</v>
      </c>
      <c r="F71" s="48">
        <f>VLOOKUP(B71,OrderShipment[],3,FALSE())</f>
        <v>46164</v>
      </c>
      <c r="G71" s="26" t="str">
        <f>IFERROR(__xludf.DUMMYFUNCTION("TEXTJOIN("", "", TRUE, FILTER('🔴 DATA Pengiriman - ORD'!E$2:E1009, '🔴 DATA Pengiriman - ORD'!$B$2:$B1009 = $B71))"),"Bu Pujo ")</f>
        <v>Bu Pujo </v>
      </c>
      <c r="H71" s="26" t="str">
        <f>IFERROR(__xludf.DUMMYFUNCTION("TEXTJOIN("", "", TRUE, FILTER('🔴 DATA Pengiriman - ORD'!F$2:F1009, '🔴 DATA Pengiriman - ORD'!B$2:B1009 = B71))"),"7° 46' 12"" S 110° 19' 57.9"" E")</f>
        <v>7° 46' 12" S 110° 19' 57.9" E</v>
      </c>
      <c r="I71" s="19" t="s">
        <v>631</v>
      </c>
      <c r="J71" s="18">
        <v>12.2</v>
      </c>
      <c r="K71" s="26">
        <f t="shared" si="1"/>
        <v>8296</v>
      </c>
      <c r="L71" s="198" t="b">
        <v>0</v>
      </c>
      <c r="M71" s="198" t="b">
        <v>0</v>
      </c>
    </row>
    <row r="72" ht="22.5" customHeight="1">
      <c r="B72" s="196" t="s">
        <v>633</v>
      </c>
      <c r="C72" s="195" t="str">
        <f>VLOOKUP(Dashboard_Pengiriman[Shipment ID],OrderShipment[],7,FALSE)</f>
        <v>Fortuner</v>
      </c>
      <c r="D72" s="26" t="str">
        <f>IFERROR(__xludf.DUMMYFUNCTION("TEXTJOIN("", "", TRUE, FILTER('🔴 DATA Pengiriman - ORD'!C$2:C1009, '🔴 DATA Pengiriman - ORD'!B$2:B1009 = B72))"),"ORD-048")</f>
        <v>ORD-048</v>
      </c>
      <c r="E72" s="26">
        <f>COUNTIF(OrderShipment[Shipment ID],B72)</f>
        <v>1</v>
      </c>
      <c r="F72" s="48">
        <f>VLOOKUP(B72,OrderShipment[],3,FALSE())</f>
        <v>46165</v>
      </c>
      <c r="G72" s="26" t="str">
        <f>IFERROR(__xludf.DUMMYFUNCTION("TEXTJOIN("", "", TRUE, FILTER('🔴 DATA Pengiriman - ORD'!E$2:E1009, '🔴 DATA Pengiriman - ORD'!$B$2:$B1009 = $B72))"),"Wahida")</f>
        <v>Wahida</v>
      </c>
      <c r="H72" s="26" t="str">
        <f>IFERROR(__xludf.DUMMYFUNCTION("TEXTJOIN("", "", TRUE, FILTER('🔴 DATA Pengiriman - ORD'!F$2:F1009, '🔴 DATA Pengiriman - ORD'!B$2:B1009 = B72))"),"Griya Nousha")</f>
        <v>Griya Nousha</v>
      </c>
      <c r="I72" s="175"/>
      <c r="J72" s="18"/>
      <c r="K72" s="26" t="str">
        <f t="shared" si="1"/>
        <v/>
      </c>
      <c r="L72" s="198" t="b">
        <v>0</v>
      </c>
      <c r="M72" s="198" t="b">
        <v>0</v>
      </c>
    </row>
    <row r="73" ht="22.5" customHeight="1">
      <c r="B73" s="196" t="s">
        <v>634</v>
      </c>
      <c r="C73" s="195" t="str">
        <f>VLOOKUP(Dashboard_Pengiriman[Shipment ID],OrderShipment[],7,FALSE)</f>
        <v>Mandiri</v>
      </c>
      <c r="D73" s="26" t="str">
        <f>IFERROR(__xludf.DUMMYFUNCTION("TEXTJOIN("", "", TRUE, FILTER('🔴 DATA Pengiriman - ORD'!C$2:C1009, '🔴 DATA Pengiriman - ORD'!B$2:B1009 = B73))"),"ORD-051")</f>
        <v>ORD-051</v>
      </c>
      <c r="E73" s="26">
        <f>COUNTIF(OrderShipment[Shipment ID],B73)</f>
        <v>1</v>
      </c>
      <c r="F73" s="48">
        <f>VLOOKUP(B73,OrderShipment[],3,FALSE())</f>
        <v>46165</v>
      </c>
      <c r="G73" s="26" t="str">
        <f>IFERROR(__xludf.DUMMYFUNCTION("TEXTJOIN("", "", TRUE, FILTER('🔴 DATA Pengiriman - ORD'!E$2:E1009, '🔴 DATA Pengiriman - ORD'!$B$2:$B1009 = $B73))"),"Meilina")</f>
        <v>Meilina</v>
      </c>
      <c r="H73" s="26" t="str">
        <f>IFERROR(__xludf.DUMMYFUNCTION("TEXTJOIN("", "", TRUE, FILTER('🔴 DATA Pengiriman - ORD'!F$2:F1009, '🔴 DATA Pengiriman - ORD'!B$2:B1009 = B73))"),"Sambara HomeStay")</f>
        <v>Sambara HomeStay</v>
      </c>
      <c r="I73" s="19" t="s">
        <v>635</v>
      </c>
      <c r="J73" s="18">
        <v>20.8</v>
      </c>
      <c r="K73" s="26">
        <f t="shared" si="1"/>
        <v>14144</v>
      </c>
      <c r="L73" s="198" t="b">
        <v>0</v>
      </c>
      <c r="M73" s="198" t="b">
        <v>0</v>
      </c>
      <c r="N73" s="62" t="s">
        <v>636</v>
      </c>
    </row>
    <row r="74" ht="22.5" customHeight="1">
      <c r="B74" s="196" t="s">
        <v>637</v>
      </c>
      <c r="C74" s="195" t="str">
        <f>VLOOKUP(Dashboard_Pengiriman[Shipment ID],OrderShipment[],7,FALSE)</f>
        <v>Fortuner</v>
      </c>
      <c r="D74" s="26" t="str">
        <f>IFERROR(__xludf.DUMMYFUNCTION("TEXTJOIN("", "", TRUE, FILTER('🔴 DATA Pengiriman - ORD'!C$2:C1009, '🔴 DATA Pengiriman - ORD'!B$2:B1009 = B74))"),"ORD-049, ORD-052")</f>
        <v>ORD-049, ORD-052</v>
      </c>
      <c r="E74" s="26">
        <f>COUNTIF(OrderShipment[Shipment ID],B74)</f>
        <v>2</v>
      </c>
      <c r="F74" s="48">
        <f>VLOOKUP(B74,OrderShipment[],3,FALSE())</f>
        <v>46167</v>
      </c>
      <c r="G74" s="26" t="str">
        <f>IFERROR(__xludf.DUMMYFUNCTION("TEXTJOIN("", "", TRUE, FILTER('🔴 DATA Pengiriman - ORD'!E$2:E1009, '🔴 DATA Pengiriman - ORD'!$B$2:$B1009 = $B74))"),"Helena, Meilina")</f>
        <v>Helena, Meilina</v>
      </c>
      <c r="H74" s="26" t="str">
        <f>IFERROR(__xludf.DUMMYFUNCTION("TEXTJOIN("", "", TRUE, FILTER('🔴 DATA Pengiriman - ORD'!F$2:F1009, '🔴 DATA Pengiriman - ORD'!B$2:B1009 = B74))"),"BMT BIF Cabang Tajem, Sambara HomeStay")</f>
        <v>BMT BIF Cabang Tajem, Sambara HomeStay</v>
      </c>
      <c r="I74" s="175"/>
      <c r="J74" s="18"/>
      <c r="K74" s="26" t="str">
        <f t="shared" si="1"/>
        <v/>
      </c>
      <c r="L74" s="198" t="b">
        <v>0</v>
      </c>
      <c r="M74" s="198" t="b">
        <v>0</v>
      </c>
    </row>
    <row r="75" ht="22.5" customHeight="1">
      <c r="B75" s="196" t="s">
        <v>638</v>
      </c>
      <c r="C75" s="195" t="str">
        <f>VLOOKUP(Dashboard_Pengiriman[Shipment ID],OrderShipment[],7,FALSE)</f>
        <v>Mandiri</v>
      </c>
      <c r="D75" s="26" t="str">
        <f>IFERROR(__xludf.DUMMYFUNCTION("TEXTJOIN("", "", TRUE, FILTER('🔴 DATA Pengiriman - ORD'!C$2:C1009, '🔴 DATA Pengiriman - ORD'!B$2:B1009 = B75))"),"ORD-053, ORD-054")</f>
        <v>ORD-053, ORD-054</v>
      </c>
      <c r="E75" s="26">
        <f>COUNTIF(OrderShipment[Shipment ID],B75)</f>
        <v>2</v>
      </c>
      <c r="F75" s="48">
        <f>VLOOKUP(B75,OrderShipment[],3,FALSE())</f>
        <v>46168</v>
      </c>
      <c r="G75" s="26" t="str">
        <f>IFERROR(__xludf.DUMMYFUNCTION("TEXTJOIN("", "", TRUE, FILTER('🔴 DATA Pengiriman - ORD'!E$2:E1009, '🔴 DATA Pengiriman - ORD'!$B$2:$B1009 = $B75))"),"Retno, Supriyanto")</f>
        <v>Retno, Supriyanto</v>
      </c>
      <c r="H75" s="26" t="str">
        <f>IFERROR(__xludf.DUMMYFUNCTION("TEXTJOIN("", "", TRUE, FILTER('🔴 DATA Pengiriman - ORD'!F$2:F1009, '🔴 DATA Pengiriman - ORD'!B$2:B1009 = B75))"),"Royal Sedayu Residence, UD. SGS")</f>
        <v>Royal Sedayu Residence, UD. SGS</v>
      </c>
      <c r="I75" s="19" t="s">
        <v>639</v>
      </c>
      <c r="J75" s="18">
        <v>23.8</v>
      </c>
      <c r="K75" s="26">
        <f t="shared" si="1"/>
        <v>16184</v>
      </c>
      <c r="L75" s="198" t="b">
        <v>0</v>
      </c>
      <c r="M75" s="198" t="b">
        <v>0</v>
      </c>
    </row>
    <row r="76" ht="22.5" customHeight="1">
      <c r="B76" s="196" t="s">
        <v>640</v>
      </c>
      <c r="C76" s="195" t="str">
        <f>VLOOKUP(Dashboard_Pengiriman[Shipment ID],OrderShipment[],7,FALSE)</f>
        <v>Mandiri</v>
      </c>
      <c r="D76" s="26" t="str">
        <f>IFERROR(__xludf.DUMMYFUNCTION("TEXTJOIN("", "", TRUE, FILTER('🔴 DATA Pengiriman - ORD'!C$2:C1009, '🔴 DATA Pengiriman - ORD'!B$2:B1009 = B76))"),"ORD-052")</f>
        <v>ORD-052</v>
      </c>
      <c r="E76" s="26">
        <f>COUNTIF(OrderShipment[Shipment ID],B76)</f>
        <v>1</v>
      </c>
      <c r="F76" s="48">
        <f>VLOOKUP(B76,OrderShipment[],3,FALSE())</f>
        <v>46168</v>
      </c>
      <c r="G76" s="26" t="str">
        <f>IFERROR(__xludf.DUMMYFUNCTION("TEXTJOIN("", "", TRUE, FILTER('🔴 DATA Pengiriman - ORD'!E$2:E1009, '🔴 DATA Pengiriman - ORD'!$B$2:$B1009 = $B76))"),"Meilina")</f>
        <v>Meilina</v>
      </c>
      <c r="H76" s="26" t="str">
        <f>IFERROR(__xludf.DUMMYFUNCTION("TEXTJOIN("", "", TRUE, FILTER('🔴 DATA Pengiriman - ORD'!F$2:F1009, '🔴 DATA Pengiriman - ORD'!B$2:B1009 = B76))"),"Sambara HomeStay")</f>
        <v>Sambara HomeStay</v>
      </c>
      <c r="I76" s="19" t="s">
        <v>641</v>
      </c>
      <c r="J76" s="18">
        <v>24.9</v>
      </c>
      <c r="K76" s="26">
        <f t="shared" si="1"/>
        <v>16932</v>
      </c>
      <c r="L76" s="197"/>
      <c r="M76" s="197"/>
    </row>
    <row r="77" ht="22.5" customHeight="1">
      <c r="B77" s="196"/>
      <c r="C77" s="60"/>
      <c r="D77" s="53"/>
      <c r="E77" s="53"/>
      <c r="F77" s="53"/>
      <c r="G77" s="53"/>
      <c r="H77" s="53"/>
      <c r="I77" s="53"/>
      <c r="J77" s="53"/>
      <c r="K77" s="53">
        <f>SUM(Dashboard_Pengiriman[Biaya Ongkir])</f>
        <v>1112412</v>
      </c>
      <c r="L77" s="62" t="s">
        <v>201</v>
      </c>
      <c r="M77" s="62" t="s">
        <v>201</v>
      </c>
    </row>
    <row r="80">
      <c r="K80" s="187">
        <f>SUM(K49:K76)</f>
        <v>300628</v>
      </c>
    </row>
  </sheetData>
  <dataValidations>
    <dataValidation type="list" allowBlank="1" sqref="C3:C76">
      <formula1>"Mandiri,Fortuner,Display,#N/A"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30"/>
    <hyperlink r:id="rId28" ref="I31"/>
    <hyperlink r:id="rId29" ref="I32"/>
    <hyperlink r:id="rId30" ref="I34"/>
    <hyperlink r:id="rId31" ref="I36"/>
    <hyperlink r:id="rId32" ref="I37"/>
    <hyperlink r:id="rId33" ref="I41"/>
    <hyperlink r:id="rId34" ref="I43"/>
    <hyperlink r:id="rId35" ref="I45"/>
    <hyperlink r:id="rId36" ref="I46"/>
    <hyperlink r:id="rId37" ref="I47"/>
    <hyperlink r:id="rId38" ref="I48"/>
    <hyperlink r:id="rId39" ref="I50"/>
    <hyperlink r:id="rId40" ref="I51"/>
    <hyperlink r:id="rId41" ref="I52"/>
    <hyperlink r:id="rId42" ref="I53"/>
    <hyperlink r:id="rId43" ref="I54"/>
    <hyperlink r:id="rId44" ref="I55"/>
    <hyperlink r:id="rId45" ref="I57"/>
    <hyperlink r:id="rId46" ref="I58"/>
    <hyperlink r:id="rId47" ref="I60"/>
    <hyperlink r:id="rId48" ref="I64"/>
    <hyperlink r:id="rId49" ref="I65"/>
    <hyperlink r:id="rId50" ref="I66"/>
    <hyperlink r:id="rId51" ref="I67"/>
    <hyperlink r:id="rId52" ref="I70"/>
    <hyperlink r:id="rId53" ref="I71"/>
    <hyperlink r:id="rId54" ref="I73"/>
    <hyperlink r:id="rId55" ref="I75"/>
    <hyperlink r:id="rId56" ref="I76"/>
  </hyperlinks>
  <drawing r:id="rId57"/>
  <tableParts count="1">
    <tablePart r:id="rId5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10.0"/>
    <col customWidth="1" min="3" max="3" width="13.25"/>
    <col customWidth="1" min="4" max="4" width="16.88"/>
    <col customWidth="1" min="5" max="5" width="12.75"/>
    <col customWidth="1" min="6" max="6" width="17.75"/>
    <col customWidth="1" min="7" max="7" width="10.75"/>
    <col customWidth="1" min="8" max="8" width="13.0"/>
    <col customWidth="1" min="9" max="9" width="12.0"/>
    <col customWidth="1" min="10" max="10" width="8.25"/>
    <col customWidth="1" min="15" max="15" width="16.5"/>
  </cols>
  <sheetData>
    <row r="2" ht="22.5" customHeight="1">
      <c r="B2" s="47" t="s">
        <v>518</v>
      </c>
      <c r="C2" s="47" t="s">
        <v>642</v>
      </c>
      <c r="D2" s="188" t="s">
        <v>351</v>
      </c>
      <c r="E2" s="188" t="s">
        <v>354</v>
      </c>
      <c r="F2" s="188" t="s">
        <v>220</v>
      </c>
      <c r="G2" s="188" t="s">
        <v>643</v>
      </c>
      <c r="H2" s="47" t="s">
        <v>644</v>
      </c>
      <c r="I2" s="199" t="s">
        <v>352</v>
      </c>
      <c r="J2" s="189" t="s">
        <v>527</v>
      </c>
    </row>
    <row r="3" ht="22.5" customHeight="1">
      <c r="B3" s="62" t="s">
        <v>645</v>
      </c>
      <c r="C3" s="75" t="s">
        <v>26</v>
      </c>
      <c r="D3" s="76">
        <f>VLOOKUP(OrderShipment[Order ID],Orders[],IF(I3="Antar",4,6),FALSE)</f>
        <v>46052</v>
      </c>
      <c r="E3" s="62" t="str">
        <f>VLOOKUP(OrderShipment[Order ID],Orders[],2,FALSE)</f>
        <v>Agashi</v>
      </c>
      <c r="F3" s="6" t="str">
        <f>VLOOKUP(OrderShipment[Order ID],Orders[],3,FALSE)</f>
        <v>7° 46' 26.634" S 110° 22' 57.4212" E</v>
      </c>
      <c r="G3" s="62"/>
      <c r="H3" s="75" t="s">
        <v>29</v>
      </c>
      <c r="I3" s="75" t="s">
        <v>222</v>
      </c>
      <c r="J3" s="200" t="b">
        <v>1</v>
      </c>
      <c r="N3" s="187" t="str">
        <f>IFERROR(__xludf.DUMMYFUNCTION("FILTER( '🔵 Daftar Pesanan'!A2:A1008, ISNA( MATCH( '🔵 Daftar Pesanan'!A2:A1008, '🔴 DATA Pengiriman - ORD'!B2:B1008, 0 ) ) )"),"")</f>
        <v/>
      </c>
    </row>
    <row r="4" ht="22.5" customHeight="1">
      <c r="B4" s="62" t="s">
        <v>530</v>
      </c>
      <c r="C4" s="75" t="s">
        <v>26</v>
      </c>
      <c r="D4" s="76">
        <f>VLOOKUP(OrderShipment[Order ID],Orders[],IF(I4="Antar",4,6),FALSE)</f>
        <v>46054</v>
      </c>
      <c r="E4" s="62" t="str">
        <f>VLOOKUP(OrderShipment[Order ID],Orders[],2,FALSE)</f>
        <v>Agashi</v>
      </c>
      <c r="F4" s="6" t="str">
        <f>VLOOKUP(OrderShipment[Order ID],Orders[],3,FALSE)</f>
        <v>7° 46' 26.634" S 110° 22' 57.4212" E</v>
      </c>
      <c r="G4" s="62"/>
      <c r="H4" s="75" t="s">
        <v>30</v>
      </c>
      <c r="I4" s="75" t="s">
        <v>225</v>
      </c>
      <c r="J4" s="200" t="b">
        <v>1</v>
      </c>
      <c r="N4" s="187"/>
    </row>
    <row r="5" ht="22.5" customHeight="1">
      <c r="B5" s="62" t="s">
        <v>531</v>
      </c>
      <c r="C5" s="75" t="s">
        <v>31</v>
      </c>
      <c r="D5" s="76">
        <f>VLOOKUP(OrderShipment[Order ID],Orders[],IF(I5="Antar",4,6),FALSE)</f>
        <v>46058</v>
      </c>
      <c r="E5" s="62" t="str">
        <f>VLOOKUP(OrderShipment[Order ID],Orders[],2,FALSE)</f>
        <v>Via</v>
      </c>
      <c r="F5" s="6" t="str">
        <f>VLOOKUP(OrderShipment[Order ID],Orders[],3,FALSE)</f>
        <v>Rumah Raharja</v>
      </c>
      <c r="G5" s="62"/>
      <c r="H5" s="75" t="s">
        <v>30</v>
      </c>
      <c r="I5" s="75" t="s">
        <v>222</v>
      </c>
      <c r="J5" s="200" t="b">
        <v>1</v>
      </c>
      <c r="N5" s="187"/>
    </row>
    <row r="6" ht="22.5" customHeight="1">
      <c r="B6" s="62" t="s">
        <v>533</v>
      </c>
      <c r="C6" s="75" t="s">
        <v>31</v>
      </c>
      <c r="D6" s="76">
        <f>VLOOKUP(OrderShipment[Order ID],Orders[],IF(I6="Antar",4,6),FALSE)</f>
        <v>46062</v>
      </c>
      <c r="E6" s="62" t="str">
        <f>VLOOKUP(OrderShipment[Order ID],Orders[],2,FALSE)</f>
        <v>Via</v>
      </c>
      <c r="F6" s="6" t="str">
        <f>VLOOKUP(OrderShipment[Order ID],Orders[],3,FALSE)</f>
        <v>Rumah Raharja</v>
      </c>
      <c r="G6" s="62"/>
      <c r="H6" s="75" t="s">
        <v>30</v>
      </c>
      <c r="I6" s="75" t="s">
        <v>225</v>
      </c>
      <c r="J6" s="200" t="b">
        <v>1</v>
      </c>
      <c r="N6" s="187" t="str">
        <f>IFERROR(__xludf.DUMMYFUNCTION("""COMPUTED_VALUE"""),"Nomor Order")</f>
        <v>Nomor Order</v>
      </c>
    </row>
    <row r="7" ht="22.5" customHeight="1">
      <c r="B7" s="62" t="s">
        <v>534</v>
      </c>
      <c r="C7" s="75" t="s">
        <v>34</v>
      </c>
      <c r="D7" s="76">
        <f>VLOOKUP(OrderShipment[Order ID],Orders[],IF(I7="Antar",4,6),FALSE)</f>
        <v>46067</v>
      </c>
      <c r="E7" s="62" t="str">
        <f>VLOOKUP(OrderShipment[Order ID],Orders[],2,FALSE)</f>
        <v>Adani</v>
      </c>
      <c r="F7" s="6" t="str">
        <f>VLOOKUP(OrderShipment[Order ID],Orders[],3,FALSE)</f>
        <v>7° 41' 56.3453" S 110° 23' 14.1965" E</v>
      </c>
      <c r="G7" s="62"/>
      <c r="H7" s="75" t="s">
        <v>37</v>
      </c>
      <c r="I7" s="75" t="s">
        <v>222</v>
      </c>
      <c r="J7" s="200" t="b">
        <v>1</v>
      </c>
      <c r="N7" s="187" t="str">
        <f>IFERROR(__xludf.DUMMYFUNCTION("""COMPUTED_VALUE"""),"ORD-001")</f>
        <v>ORD-001</v>
      </c>
    </row>
    <row r="8" ht="22.5" customHeight="1">
      <c r="B8" s="62" t="s">
        <v>536</v>
      </c>
      <c r="C8" s="75" t="s">
        <v>38</v>
      </c>
      <c r="D8" s="76">
        <f>VLOOKUP(OrderShipment[Order ID],Orders[],IF(I8="Antar",4,6),FALSE)</f>
        <v>46067</v>
      </c>
      <c r="E8" s="62" t="str">
        <f>VLOOKUP(OrderShipment[Order ID],Orders[],2,FALSE)</f>
        <v>Harza</v>
      </c>
      <c r="F8" s="6" t="str">
        <f>VLOOKUP(OrderShipment[Order ID],Orders[],3,FALSE)</f>
        <v>RM. Ono Sambele</v>
      </c>
      <c r="G8" s="62"/>
      <c r="H8" s="75" t="s">
        <v>29</v>
      </c>
      <c r="I8" s="75" t="s">
        <v>222</v>
      </c>
      <c r="J8" s="200" t="b">
        <v>1</v>
      </c>
      <c r="N8" s="187" t="str">
        <f>IFERROR(__xludf.DUMMYFUNCTION("""COMPUTED_VALUE"""),"ORD-002")</f>
        <v>ORD-002</v>
      </c>
    </row>
    <row r="9" ht="22.5" customHeight="1">
      <c r="B9" s="62" t="s">
        <v>538</v>
      </c>
      <c r="C9" s="75" t="s">
        <v>34</v>
      </c>
      <c r="D9" s="76">
        <f>VLOOKUP(OrderShipment[Order ID],Orders[],IF(I9="Antar",4,6),FALSE)</f>
        <v>46068</v>
      </c>
      <c r="E9" s="62" t="str">
        <f>VLOOKUP(OrderShipment[Order ID],Orders[],2,FALSE)</f>
        <v>Adani</v>
      </c>
      <c r="F9" s="6" t="str">
        <f>VLOOKUP(OrderShipment[Order ID],Orders[],3,FALSE)</f>
        <v>7° 41' 56.3453" S 110° 23' 14.1965" E</v>
      </c>
      <c r="G9" s="62"/>
      <c r="H9" s="75" t="s">
        <v>29</v>
      </c>
      <c r="I9" s="75" t="s">
        <v>225</v>
      </c>
      <c r="J9" s="200" t="b">
        <v>1</v>
      </c>
      <c r="N9" s="187" t="str">
        <f>IFERROR(__xludf.DUMMYFUNCTION("""COMPUTED_VALUE"""),"ORD-003")</f>
        <v>ORD-003</v>
      </c>
    </row>
    <row r="10" ht="22.5" customHeight="1">
      <c r="B10" s="62" t="s">
        <v>539</v>
      </c>
      <c r="C10" s="183" t="s">
        <v>38</v>
      </c>
      <c r="D10" s="76">
        <f>VLOOKUP(OrderShipment[Order ID],Orders[],IF(I10="Antar",4,6),FALSE)</f>
        <v>46068</v>
      </c>
      <c r="E10" s="175" t="str">
        <f>VLOOKUP(OrderShipment[Order ID],Orders[],2,FALSE)</f>
        <v>Harza</v>
      </c>
      <c r="F10" s="19" t="str">
        <f>VLOOKUP(OrderShipment[Order ID],Orders[],3,FALSE)</f>
        <v>RM. Ono Sambele</v>
      </c>
      <c r="G10" s="175"/>
      <c r="H10" s="183" t="s">
        <v>37</v>
      </c>
      <c r="I10" s="183" t="s">
        <v>225</v>
      </c>
      <c r="J10" s="200" t="b">
        <v>1</v>
      </c>
      <c r="N10" s="187" t="str">
        <f>IFERROR(__xludf.DUMMYFUNCTION("""COMPUTED_VALUE"""),"ORD-004")</f>
        <v>ORD-004</v>
      </c>
    </row>
    <row r="11" ht="22.5" customHeight="1">
      <c r="B11" s="62" t="s">
        <v>540</v>
      </c>
      <c r="C11" s="183" t="s">
        <v>44</v>
      </c>
      <c r="D11" s="76">
        <f>VLOOKUP(OrderShipment[Order ID],Orders[],IF(I11="Antar",4,6),FALSE)</f>
        <v>46071</v>
      </c>
      <c r="E11" s="175" t="str">
        <f>VLOOKUP(OrderShipment[Order ID],Orders[],2,FALSE)</f>
        <v>Vivi</v>
      </c>
      <c r="F11" s="19" t="str">
        <f>VLOOKUP(OrderShipment[Order ID],Orders[],3,FALSE)</f>
        <v>Gloria Motor Katamso, Yka</v>
      </c>
      <c r="G11" s="175"/>
      <c r="H11" s="183" t="s">
        <v>29</v>
      </c>
      <c r="I11" s="183" t="s">
        <v>222</v>
      </c>
      <c r="J11" s="200" t="b">
        <v>1</v>
      </c>
      <c r="N11" s="187" t="str">
        <f>IFERROR(__xludf.DUMMYFUNCTION("""COMPUTED_VALUE"""),"ORD-005")</f>
        <v>ORD-005</v>
      </c>
    </row>
    <row r="12" ht="22.5" customHeight="1">
      <c r="B12" s="62" t="s">
        <v>541</v>
      </c>
      <c r="C12" s="183" t="s">
        <v>44</v>
      </c>
      <c r="D12" s="76">
        <f>VLOOKUP(OrderShipment[Order ID],Orders[],IF(I12="Antar",4,6),FALSE)</f>
        <v>46072</v>
      </c>
      <c r="E12" s="175" t="str">
        <f>VLOOKUP(OrderShipment[Order ID],Orders[],2,FALSE)</f>
        <v>Vivi</v>
      </c>
      <c r="F12" s="19" t="str">
        <f>VLOOKUP(OrderShipment[Order ID],Orders[],3,FALSE)</f>
        <v>Gloria Motor Katamso, Yka</v>
      </c>
      <c r="G12" s="175"/>
      <c r="H12" s="183" t="s">
        <v>29</v>
      </c>
      <c r="I12" s="183" t="s">
        <v>225</v>
      </c>
      <c r="J12" s="200" t="b">
        <v>1</v>
      </c>
      <c r="N12" s="187" t="str">
        <f>IFERROR(__xludf.DUMMYFUNCTION("""COMPUTED_VALUE"""),"ORD-006")</f>
        <v>ORD-006</v>
      </c>
    </row>
    <row r="13" ht="22.5" customHeight="1">
      <c r="B13" s="62" t="s">
        <v>542</v>
      </c>
      <c r="C13" s="183" t="s">
        <v>47</v>
      </c>
      <c r="D13" s="76">
        <f>VLOOKUP(OrderShipment[Order ID],Orders[],IF(I13="Antar",4,6),FALSE)</f>
        <v>46073</v>
      </c>
      <c r="E13" s="175" t="str">
        <f>VLOOKUP(OrderShipment[Order ID],Orders[],2,FALSE)</f>
        <v>Danie</v>
      </c>
      <c r="F13" s="201" t="str">
        <f>VLOOKUP(OrderShipment[Order ID],Orders[],3,FALSE)</f>
        <v>PESONA MENTARI REGENCY</v>
      </c>
      <c r="G13" s="175"/>
      <c r="H13" s="183" t="s">
        <v>29</v>
      </c>
      <c r="I13" s="183" t="s">
        <v>222</v>
      </c>
      <c r="J13" s="200" t="b">
        <v>1</v>
      </c>
      <c r="N13" s="187" t="str">
        <f>IFERROR(__xludf.DUMMYFUNCTION("""COMPUTED_VALUE"""),"ORD-007")</f>
        <v>ORD-007</v>
      </c>
    </row>
    <row r="14" ht="22.5" customHeight="1">
      <c r="B14" s="62" t="s">
        <v>544</v>
      </c>
      <c r="C14" s="183" t="s">
        <v>47</v>
      </c>
      <c r="D14" s="76">
        <f>VLOOKUP(OrderShipment[Order ID],Orders[],IF(I14="Antar",4,6),FALSE)</f>
        <v>46075</v>
      </c>
      <c r="E14" s="175" t="str">
        <f>VLOOKUP(OrderShipment[Order ID],Orders[],2,FALSE)</f>
        <v>Danie</v>
      </c>
      <c r="F14" s="201" t="str">
        <f>VLOOKUP(OrderShipment[Order ID],Orders[],3,FALSE)</f>
        <v>PESONA MENTARI REGENCY</v>
      </c>
      <c r="G14" s="175"/>
      <c r="H14" s="183" t="s">
        <v>30</v>
      </c>
      <c r="I14" s="183" t="s">
        <v>225</v>
      </c>
      <c r="J14" s="200" t="b">
        <v>1</v>
      </c>
      <c r="N14" s="187" t="str">
        <f>IFERROR(__xludf.DUMMYFUNCTION("""COMPUTED_VALUE"""),"ORD-009")</f>
        <v>ORD-009</v>
      </c>
    </row>
    <row r="15" ht="22.5" customHeight="1">
      <c r="B15" s="62" t="s">
        <v>545</v>
      </c>
      <c r="C15" s="183" t="s">
        <v>60</v>
      </c>
      <c r="D15" s="76">
        <f>VLOOKUP(OrderShipment[Order ID],Orders[],IF(I15="Antar",4,6),FALSE)</f>
        <v>46096</v>
      </c>
      <c r="E15" s="175" t="str">
        <f>VLOOKUP(OrderShipment[Order ID],Orders[],2,FALSE)</f>
        <v>Abdul Azis</v>
      </c>
      <c r="F15" s="201" t="str">
        <f>VLOOKUP(OrderShipment[Order ID],Orders[],3,FALSE)</f>
        <v>7° 46' 29.7264" S 110° 18' 51.2064" E</v>
      </c>
      <c r="G15" s="175"/>
      <c r="H15" s="183" t="s">
        <v>29</v>
      </c>
      <c r="I15" s="183" t="s">
        <v>222</v>
      </c>
      <c r="J15" s="200" t="b">
        <v>1</v>
      </c>
      <c r="N15" s="187" t="str">
        <f>IFERROR(__xludf.DUMMYFUNCTION("""COMPUTED_VALUE"""),"ORD-010")</f>
        <v>ORD-010</v>
      </c>
    </row>
    <row r="16" ht="22.5" customHeight="1">
      <c r="B16" s="62" t="s">
        <v>546</v>
      </c>
      <c r="C16" s="183" t="s">
        <v>60</v>
      </c>
      <c r="D16" s="76">
        <f>VLOOKUP(OrderShipment[Order ID],Orders[],IF(I16="Antar",4,6),FALSE)</f>
        <v>46098</v>
      </c>
      <c r="E16" s="175" t="str">
        <f>VLOOKUP(OrderShipment[Order ID],Orders[],2,FALSE)</f>
        <v>Abdul Azis</v>
      </c>
      <c r="F16" s="201" t="str">
        <f>VLOOKUP(OrderShipment[Order ID],Orders[],3,FALSE)</f>
        <v>7° 46' 29.7264" S 110° 18' 51.2064" E</v>
      </c>
      <c r="G16" s="175"/>
      <c r="H16" s="183" t="s">
        <v>29</v>
      </c>
      <c r="I16" s="183" t="s">
        <v>225</v>
      </c>
      <c r="J16" s="200" t="b">
        <v>1</v>
      </c>
      <c r="N16" s="187" t="str">
        <f>IFERROR(__xludf.DUMMYFUNCTION("""COMPUTED_VALUE"""),"ORD-011")</f>
        <v>ORD-011</v>
      </c>
    </row>
    <row r="17" ht="22.5" customHeight="1">
      <c r="B17" s="62" t="s">
        <v>546</v>
      </c>
      <c r="C17" s="183" t="s">
        <v>53</v>
      </c>
      <c r="D17" s="76">
        <f>VLOOKUP(OrderShipment[Order ID],Orders[],IF(I17="Antar",4,6),FALSE)</f>
        <v>46098</v>
      </c>
      <c r="E17" s="175" t="str">
        <f>VLOOKUP(OrderShipment[Order ID],Orders[],2,FALSE)</f>
        <v>Felis/Ella</v>
      </c>
      <c r="F17" s="201" t="str">
        <f>VLOOKUP(OrderShipment[Order ID],Orders[],3,FALSE)</f>
        <v>Jitar Dukuh</v>
      </c>
      <c r="G17" s="175"/>
      <c r="H17" s="183" t="s">
        <v>29</v>
      </c>
      <c r="I17" s="183" t="s">
        <v>222</v>
      </c>
      <c r="J17" s="200" t="b">
        <v>1</v>
      </c>
      <c r="N17" s="187" t="str">
        <f>IFERROR(__xludf.DUMMYFUNCTION("""COMPUTED_VALUE"""),"ORD-012")</f>
        <v>ORD-012</v>
      </c>
    </row>
    <row r="18" ht="22.5" customHeight="1">
      <c r="B18" s="62" t="s">
        <v>546</v>
      </c>
      <c r="C18" s="183" t="s">
        <v>63</v>
      </c>
      <c r="D18" s="76">
        <f>VLOOKUP(OrderShipment[Order ID],Orders[],IF(I18="Antar",4,6),FALSE)</f>
        <v>46098</v>
      </c>
      <c r="E18" s="175" t="str">
        <f>VLOOKUP(OrderShipment[Order ID],Orders[],2,FALSE)</f>
        <v>Intan</v>
      </c>
      <c r="F18" s="201" t="str">
        <f>VLOOKUP(OrderShipment[Order ID],Orders[],3,FALSE)</f>
        <v>Griya Alvita AK-4</v>
      </c>
      <c r="G18" s="175"/>
      <c r="H18" s="183" t="s">
        <v>29</v>
      </c>
      <c r="I18" s="183" t="s">
        <v>222</v>
      </c>
      <c r="J18" s="200" t="b">
        <v>1</v>
      </c>
      <c r="N18" s="187" t="str">
        <f>IFERROR(__xludf.DUMMYFUNCTION("""COMPUTED_VALUE"""),"ORD-013")</f>
        <v>ORD-013</v>
      </c>
    </row>
    <row r="19" ht="22.5" customHeight="1">
      <c r="B19" s="62" t="s">
        <v>548</v>
      </c>
      <c r="C19" s="183" t="s">
        <v>50</v>
      </c>
      <c r="D19" s="76">
        <f>VLOOKUP(OrderShipment[Order ID],Orders[],IF(I19="Antar",4,6),FALSE)</f>
        <v>46098</v>
      </c>
      <c r="E19" s="175" t="str">
        <f>VLOOKUP(OrderShipment[Order ID],Orders[],2,FALSE)</f>
        <v>Lucky Enjang</v>
      </c>
      <c r="F19" s="201" t="str">
        <f>VLOOKUP(OrderShipment[Order ID],Orders[],3,FALSE)</f>
        <v>BMT BIF Cabang Tajem</v>
      </c>
      <c r="G19" s="175"/>
      <c r="H19" s="183" t="s">
        <v>30</v>
      </c>
      <c r="I19" s="183" t="s">
        <v>222</v>
      </c>
      <c r="J19" s="200" t="b">
        <v>1</v>
      </c>
      <c r="N19" s="187" t="str">
        <f>IFERROR(__xludf.DUMMYFUNCTION("""COMPUTED_VALUE"""),"ORD-014")</f>
        <v>ORD-014</v>
      </c>
    </row>
    <row r="20" ht="22.5" customHeight="1">
      <c r="B20" s="62" t="s">
        <v>550</v>
      </c>
      <c r="C20" s="183" t="s">
        <v>50</v>
      </c>
      <c r="D20" s="76">
        <f>VLOOKUP(OrderShipment[Order ID],Orders[],IF(I20="Antar",4,6),FALSE)</f>
        <v>46099</v>
      </c>
      <c r="E20" s="175" t="str">
        <f>VLOOKUP(OrderShipment[Order ID],Orders[],2,FALSE)</f>
        <v>Lucky Enjang</v>
      </c>
      <c r="F20" s="201" t="str">
        <f>VLOOKUP(OrderShipment[Order ID],Orders[],3,FALSE)</f>
        <v>BMT BIF Cabang Tajem</v>
      </c>
      <c r="G20" s="175"/>
      <c r="H20" s="183" t="s">
        <v>30</v>
      </c>
      <c r="I20" s="183" t="s">
        <v>225</v>
      </c>
      <c r="J20" s="200" t="b">
        <v>1</v>
      </c>
      <c r="N20" s="187" t="str">
        <f>IFERROR(__xludf.DUMMYFUNCTION("""COMPUTED_VALUE"""),"ORD-015")</f>
        <v>ORD-015</v>
      </c>
    </row>
    <row r="21" ht="22.5" customHeight="1">
      <c r="B21" s="62" t="s">
        <v>551</v>
      </c>
      <c r="C21" s="183" t="s">
        <v>56</v>
      </c>
      <c r="D21" s="76">
        <f>VLOOKUP(OrderShipment[Order ID],Orders[],IF(I21="Antar",4,6),FALSE)</f>
        <v>46099</v>
      </c>
      <c r="E21" s="175" t="str">
        <f>VLOOKUP(OrderShipment[Order ID],Orders[],2,FALSE)</f>
        <v>Yani Andari</v>
      </c>
      <c r="F21" s="201" t="str">
        <f>VLOOKUP(OrderShipment[Order ID],Orders[],3,FALSE)</f>
        <v>HOS Warehouse</v>
      </c>
      <c r="G21" s="175"/>
      <c r="H21" s="183" t="s">
        <v>29</v>
      </c>
      <c r="I21" s="183" t="s">
        <v>222</v>
      </c>
      <c r="J21" s="200" t="b">
        <v>1</v>
      </c>
      <c r="N21" s="187" t="str">
        <f>IFERROR(__xludf.DUMMYFUNCTION("""COMPUTED_VALUE"""),"ORD-016")</f>
        <v>ORD-016</v>
      </c>
    </row>
    <row r="22" ht="22.5" customHeight="1">
      <c r="B22" s="62" t="s">
        <v>551</v>
      </c>
      <c r="C22" s="183" t="s">
        <v>66</v>
      </c>
      <c r="D22" s="76">
        <f>VLOOKUP(OrderShipment[Order ID],Orders[],IF(I22="Antar",4,6),FALSE)</f>
        <v>46099</v>
      </c>
      <c r="E22" s="175" t="str">
        <f>VLOOKUP(OrderShipment[Order ID],Orders[],2,FALSE)</f>
        <v>Fendy</v>
      </c>
      <c r="F22" s="201" t="str">
        <f>VLOOKUP(OrderShipment[Order ID],Orders[],3,FALSE)</f>
        <v>7° 48' 52.3195" S 110° 24' 26.6198" E</v>
      </c>
      <c r="G22" s="175"/>
      <c r="H22" s="183" t="s">
        <v>29</v>
      </c>
      <c r="I22" s="183" t="s">
        <v>222</v>
      </c>
      <c r="J22" s="200" t="b">
        <v>1</v>
      </c>
      <c r="N22" s="187" t="str">
        <f>IFERROR(__xludf.DUMMYFUNCTION("""COMPUTED_VALUE"""),"ORD-017")</f>
        <v>ORD-017</v>
      </c>
    </row>
    <row r="23" ht="22.5" customHeight="1">
      <c r="B23" s="62" t="s">
        <v>553</v>
      </c>
      <c r="C23" s="183" t="s">
        <v>41</v>
      </c>
      <c r="D23" s="76">
        <f>VLOOKUP(OrderShipment[Order ID],Orders[],IF(I23="Antar",4,6),FALSE)</f>
        <v>46100</v>
      </c>
      <c r="E23" s="175" t="str">
        <f>VLOOKUP(OrderShipment[Order ID],Orders[],2,FALSE)</f>
        <v>Nisrina</v>
      </c>
      <c r="F23" s="19" t="str">
        <f>VLOOKUP(OrderShipment[Order ID],Orders[],3,FALSE)</f>
        <v>Jl. Masjid Besar No.905</v>
      </c>
      <c r="G23" s="175"/>
      <c r="H23" s="183" t="s">
        <v>29</v>
      </c>
      <c r="I23" s="183" t="s">
        <v>222</v>
      </c>
      <c r="J23" s="200" t="b">
        <v>1</v>
      </c>
      <c r="N23" s="187" t="str">
        <f>IFERROR(__xludf.DUMMYFUNCTION("""COMPUTED_VALUE"""),"ORD-018")</f>
        <v>ORD-018</v>
      </c>
    </row>
    <row r="24" ht="22.5" customHeight="1">
      <c r="B24" s="62" t="s">
        <v>553</v>
      </c>
      <c r="C24" s="183" t="s">
        <v>75</v>
      </c>
      <c r="D24" s="76">
        <f>VLOOKUP(OrderShipment[Order ID],Orders[],IF(I24="Antar",4,6),FALSE)</f>
        <v>46100</v>
      </c>
      <c r="E24" s="175" t="str">
        <f>VLOOKUP(OrderShipment[Order ID],Orders[],2,FALSE)</f>
        <v>Abdul Azis</v>
      </c>
      <c r="F24" s="201" t="str">
        <f>VLOOKUP(OrderShipment[Order ID],Orders[],3,FALSE)</f>
        <v>7° 46' 29.7264" S 110° 18' 51.2064" E</v>
      </c>
      <c r="G24" s="175"/>
      <c r="H24" s="183" t="s">
        <v>29</v>
      </c>
      <c r="I24" s="183" t="s">
        <v>222</v>
      </c>
      <c r="J24" s="200" t="b">
        <v>1</v>
      </c>
      <c r="N24" s="187" t="str">
        <f>IFERROR(__xludf.DUMMYFUNCTION("""COMPUTED_VALUE"""),"ORD-019")</f>
        <v>ORD-019</v>
      </c>
    </row>
    <row r="25" ht="22.5" customHeight="1">
      <c r="B25" s="62" t="s">
        <v>555</v>
      </c>
      <c r="C25" s="183" t="s">
        <v>63</v>
      </c>
      <c r="D25" s="76">
        <f>VLOOKUP(OrderShipment[Order ID],Orders[],IF(I25="Antar",4,6),FALSE)</f>
        <v>46101</v>
      </c>
      <c r="E25" s="175" t="str">
        <f>VLOOKUP(OrderShipment[Order ID],Orders[],2,FALSE)</f>
        <v>Intan</v>
      </c>
      <c r="F25" s="201" t="str">
        <f>VLOOKUP(OrderShipment[Order ID],Orders[],3,FALSE)</f>
        <v>Griya Alvita AK-4</v>
      </c>
      <c r="G25" s="175"/>
      <c r="H25" s="183" t="s">
        <v>30</v>
      </c>
      <c r="I25" s="183" t="s">
        <v>225</v>
      </c>
      <c r="J25" s="200" t="b">
        <v>1</v>
      </c>
      <c r="N25" s="187" t="str">
        <f>IFERROR(__xludf.DUMMYFUNCTION("""COMPUTED_VALUE"""),"ORD-020")</f>
        <v>ORD-020</v>
      </c>
    </row>
    <row r="26" ht="22.5" customHeight="1">
      <c r="B26" s="62" t="s">
        <v>557</v>
      </c>
      <c r="C26" s="183" t="s">
        <v>69</v>
      </c>
      <c r="D26" s="76">
        <f>VLOOKUP(OrderShipment[Order ID],Orders[],IF(I26="Antar",4,6),FALSE)</f>
        <v>46101</v>
      </c>
      <c r="E26" s="175" t="str">
        <f>VLOOKUP(OrderShipment[Order ID],Orders[],2,FALSE)</f>
        <v>Antoni</v>
      </c>
      <c r="F26" s="201" t="str">
        <f>VLOOKUP(OrderShipment[Order ID],Orders[],3,FALSE)</f>
        <v>TUGU BINTANG DUSUN NYAMPLUNG</v>
      </c>
      <c r="G26" s="175"/>
      <c r="H26" s="183" t="s">
        <v>29</v>
      </c>
      <c r="I26" s="183" t="s">
        <v>222</v>
      </c>
      <c r="J26" s="200" t="b">
        <v>1</v>
      </c>
      <c r="N26" s="187" t="str">
        <f>IFERROR(__xludf.DUMMYFUNCTION("""COMPUTED_VALUE"""),"ORD-021")</f>
        <v>ORD-021</v>
      </c>
    </row>
    <row r="27" ht="22.5" customHeight="1">
      <c r="B27" s="62" t="s">
        <v>559</v>
      </c>
      <c r="C27" s="183" t="s">
        <v>75</v>
      </c>
      <c r="D27" s="76">
        <f>VLOOKUP(OrderShipment[Order ID],Orders[],IF(I27="Antar",4,6),FALSE)</f>
        <v>46103</v>
      </c>
      <c r="E27" s="175" t="str">
        <f>VLOOKUP(OrderShipment[Order ID],Orders[],2,FALSE)</f>
        <v>Abdul Azis</v>
      </c>
      <c r="F27" s="201" t="str">
        <f>VLOOKUP(OrderShipment[Order ID],Orders[],3,FALSE)</f>
        <v>7° 46' 29.7264" S 110° 18' 51.2064" E</v>
      </c>
      <c r="G27" s="175"/>
      <c r="H27" s="183" t="s">
        <v>29</v>
      </c>
      <c r="I27" s="183" t="s">
        <v>225</v>
      </c>
      <c r="J27" s="200" t="b">
        <v>1</v>
      </c>
      <c r="N27" s="187" t="str">
        <f>IFERROR(__xludf.DUMMYFUNCTION("""COMPUTED_VALUE"""),"ORD-022")</f>
        <v>ORD-022</v>
      </c>
    </row>
    <row r="28" ht="22.5" customHeight="1">
      <c r="B28" s="62" t="s">
        <v>561</v>
      </c>
      <c r="C28" s="183" t="s">
        <v>53</v>
      </c>
      <c r="D28" s="76">
        <f>VLOOKUP(OrderShipment[Order ID],Orders[],IF(I28="Antar",4,6),FALSE)</f>
        <v>46104</v>
      </c>
      <c r="E28" s="175" t="str">
        <f>VLOOKUP(OrderShipment[Order ID],Orders[],2,FALSE)</f>
        <v>Felis/Ella</v>
      </c>
      <c r="F28" s="201" t="str">
        <f>VLOOKUP(OrderShipment[Order ID],Orders[],3,FALSE)</f>
        <v>Jitar Dukuh</v>
      </c>
      <c r="G28" s="175">
        <v>1.0</v>
      </c>
      <c r="H28" s="183" t="s">
        <v>29</v>
      </c>
      <c r="I28" s="183" t="s">
        <v>225</v>
      </c>
      <c r="J28" s="200" t="b">
        <v>1</v>
      </c>
      <c r="N28" s="187" t="str">
        <f>IFERROR(__xludf.DUMMYFUNCTION("""COMPUTED_VALUE"""),"ORD-023")</f>
        <v>ORD-023</v>
      </c>
    </row>
    <row r="29" ht="22.5" customHeight="1">
      <c r="B29" s="62" t="s">
        <v>561</v>
      </c>
      <c r="C29" s="183" t="s">
        <v>41</v>
      </c>
      <c r="D29" s="76">
        <f>VLOOKUP(OrderShipment[Order ID],Orders[],IF(I29="Antar",4,6),FALSE)</f>
        <v>46104</v>
      </c>
      <c r="E29" s="175" t="str">
        <f>VLOOKUP(OrderShipment[Order ID],Orders[],2,FALSE)</f>
        <v>Nisrina</v>
      </c>
      <c r="F29" s="19" t="str">
        <f>VLOOKUP(OrderShipment[Order ID],Orders[],3,FALSE)</f>
        <v>Jl. Masjid Besar No.905</v>
      </c>
      <c r="G29" s="175">
        <v>2.0</v>
      </c>
      <c r="H29" s="183" t="s">
        <v>29</v>
      </c>
      <c r="I29" s="183" t="s">
        <v>225</v>
      </c>
      <c r="J29" s="200" t="b">
        <v>1</v>
      </c>
      <c r="N29" s="187" t="str">
        <f>IFERROR(__xludf.DUMMYFUNCTION("""COMPUTED_VALUE"""),"ORD-024")</f>
        <v>ORD-024</v>
      </c>
    </row>
    <row r="30" ht="22.5" customHeight="1">
      <c r="B30" s="62" t="s">
        <v>561</v>
      </c>
      <c r="C30" s="183" t="s">
        <v>76</v>
      </c>
      <c r="D30" s="76">
        <f>VLOOKUP(OrderShipment[Order ID],Orders[],IF(I30="Antar",4,6),FALSE)</f>
        <v>46104</v>
      </c>
      <c r="E30" s="175" t="str">
        <f>VLOOKUP(OrderShipment[Order ID],Orders[],2,FALSE)</f>
        <v>Alfrida</v>
      </c>
      <c r="F30" s="201" t="str">
        <f>VLOOKUP(OrderShipment[Order ID],Orders[],3,FALSE)</f>
        <v>Kontrakan Gg.Mulyadi</v>
      </c>
      <c r="G30" s="175">
        <v>3.0</v>
      </c>
      <c r="H30" s="183" t="s">
        <v>29</v>
      </c>
      <c r="I30" s="183" t="s">
        <v>222</v>
      </c>
      <c r="J30" s="200" t="b">
        <v>1</v>
      </c>
      <c r="N30" s="187" t="str">
        <f>IFERROR(__xludf.DUMMYFUNCTION("""COMPUTED_VALUE"""),"ORD-025")</f>
        <v>ORD-025</v>
      </c>
    </row>
    <row r="31" ht="22.5" customHeight="1">
      <c r="B31" s="62" t="s">
        <v>561</v>
      </c>
      <c r="C31" s="183" t="s">
        <v>72</v>
      </c>
      <c r="D31" s="76">
        <f>VLOOKUP(OrderShipment[Order ID],Orders[],IF(I31="Antar",4,6),FALSE)</f>
        <v>46104</v>
      </c>
      <c r="E31" s="175" t="str">
        <f>VLOOKUP(OrderShipment[Order ID],Orders[],2,FALSE)</f>
        <v>Feris</v>
      </c>
      <c r="F31" s="201" t="str">
        <f>VLOOKUP(OrderShipment[Order ID],Orders[],3,FALSE)</f>
        <v>7° 43' 19.7926" S 110° 23' 33.1865" E</v>
      </c>
      <c r="G31" s="175">
        <v>4.0</v>
      </c>
      <c r="H31" s="183" t="s">
        <v>29</v>
      </c>
      <c r="I31" s="183" t="s">
        <v>222</v>
      </c>
      <c r="J31" s="200" t="b">
        <v>1</v>
      </c>
      <c r="N31" s="187" t="str">
        <f>IFERROR(__xludf.DUMMYFUNCTION("""COMPUTED_VALUE"""),"ORD-026")</f>
        <v>ORD-026</v>
      </c>
    </row>
    <row r="32" ht="22.5" customHeight="1">
      <c r="B32" s="62" t="s">
        <v>563</v>
      </c>
      <c r="C32" s="183" t="s">
        <v>69</v>
      </c>
      <c r="D32" s="76">
        <f>VLOOKUP(OrderShipment[Order ID],Orders[],IF(I32="Antar",4,6),FALSE)</f>
        <v>46105</v>
      </c>
      <c r="E32" s="175" t="str">
        <f>VLOOKUP(OrderShipment[Order ID],Orders[],2,FALSE)</f>
        <v>Antoni</v>
      </c>
      <c r="F32" s="201" t="str">
        <f>VLOOKUP(OrderShipment[Order ID],Orders[],3,FALSE)</f>
        <v>TUGU BINTANG DUSUN NYAMPLUNG</v>
      </c>
      <c r="G32" s="175">
        <v>1.0</v>
      </c>
      <c r="H32" s="183" t="s">
        <v>29</v>
      </c>
      <c r="I32" s="183" t="s">
        <v>225</v>
      </c>
      <c r="J32" s="200" t="b">
        <v>1</v>
      </c>
      <c r="N32" s="187" t="str">
        <f>IFERROR(__xludf.DUMMYFUNCTION("""COMPUTED_VALUE"""),"ORD-027")</f>
        <v>ORD-027</v>
      </c>
    </row>
    <row r="33" ht="22.5" customHeight="1">
      <c r="B33" s="62" t="s">
        <v>563</v>
      </c>
      <c r="C33" s="183" t="s">
        <v>56</v>
      </c>
      <c r="D33" s="76">
        <f>VLOOKUP(OrderShipment[Order ID],Orders[],IF(I33="Antar",4,6),FALSE)</f>
        <v>46105</v>
      </c>
      <c r="E33" s="175" t="str">
        <f>VLOOKUP(OrderShipment[Order ID],Orders[],2,FALSE)</f>
        <v>Yani Andari</v>
      </c>
      <c r="F33" s="201" t="str">
        <f>VLOOKUP(OrderShipment[Order ID],Orders[],3,FALSE)</f>
        <v>HOS Warehouse</v>
      </c>
      <c r="G33" s="175">
        <v>2.0</v>
      </c>
      <c r="H33" s="183" t="s">
        <v>29</v>
      </c>
      <c r="I33" s="183" t="s">
        <v>225</v>
      </c>
      <c r="J33" s="200" t="b">
        <v>1</v>
      </c>
      <c r="N33" s="187" t="str">
        <f>IFERROR(__xludf.DUMMYFUNCTION("""COMPUTED_VALUE"""),"ORD-028")</f>
        <v>ORD-028</v>
      </c>
    </row>
    <row r="34" ht="22.5" customHeight="1">
      <c r="B34" s="62" t="s">
        <v>563</v>
      </c>
      <c r="C34" s="183" t="s">
        <v>82</v>
      </c>
      <c r="D34" s="76">
        <f>VLOOKUP(OrderShipment[Order ID],Orders[],IF(I34="Antar",4,6),FALSE)</f>
        <v>46105</v>
      </c>
      <c r="E34" s="175" t="str">
        <f>VLOOKUP(OrderShipment[Order ID],Orders[],2,FALSE)</f>
        <v>Eksperian</v>
      </c>
      <c r="F34" s="201" t="str">
        <f>VLOOKUP(OrderShipment[Order ID],Orders[],3,FALSE)</f>
        <v>Perumahan Taman Ayom</v>
      </c>
      <c r="G34" s="175">
        <v>3.0</v>
      </c>
      <c r="H34" s="183" t="s">
        <v>29</v>
      </c>
      <c r="I34" s="183" t="s">
        <v>222</v>
      </c>
      <c r="J34" s="200" t="b">
        <v>1</v>
      </c>
      <c r="N34" s="187" t="str">
        <f>IFERROR(__xludf.DUMMYFUNCTION("""COMPUTED_VALUE"""),"ORD-029")</f>
        <v>ORD-029</v>
      </c>
    </row>
    <row r="35" ht="22.5" customHeight="1">
      <c r="B35" s="62" t="s">
        <v>565</v>
      </c>
      <c r="C35" s="183" t="s">
        <v>72</v>
      </c>
      <c r="D35" s="76">
        <f>VLOOKUP(OrderShipment[Order ID],Orders[],IF(I35="Antar",4,6),FALSE)</f>
        <v>46106</v>
      </c>
      <c r="E35" s="175" t="str">
        <f>VLOOKUP(OrderShipment[Order ID],Orders[],2,FALSE)</f>
        <v>Feris</v>
      </c>
      <c r="F35" s="201" t="str">
        <f>VLOOKUP(OrderShipment[Order ID],Orders[],3,FALSE)</f>
        <v>7° 43' 19.7926" S 110° 23' 33.1865" E</v>
      </c>
      <c r="G35" s="175">
        <v>1.0</v>
      </c>
      <c r="H35" s="183" t="s">
        <v>29</v>
      </c>
      <c r="I35" s="183" t="s">
        <v>225</v>
      </c>
      <c r="J35" s="200" t="b">
        <v>1</v>
      </c>
      <c r="N35" s="187" t="str">
        <f>IFERROR(__xludf.DUMMYFUNCTION("""COMPUTED_VALUE"""),"ORD-030")</f>
        <v>ORD-030</v>
      </c>
    </row>
    <row r="36" ht="22.5" customHeight="1">
      <c r="B36" s="62" t="s">
        <v>565</v>
      </c>
      <c r="C36" s="183" t="s">
        <v>56</v>
      </c>
      <c r="D36" s="76">
        <v>46106.0</v>
      </c>
      <c r="E36" s="175" t="str">
        <f>VLOOKUP(OrderShipment[Order ID],Orders[],2,FALSE)</f>
        <v>Yani Andari</v>
      </c>
      <c r="F36" s="201" t="str">
        <f>VLOOKUP(OrderShipment[Order ID],Orders[],3,FALSE)</f>
        <v>HOS Warehouse</v>
      </c>
      <c r="G36" s="175">
        <v>2.0</v>
      </c>
      <c r="H36" s="183" t="s">
        <v>29</v>
      </c>
      <c r="I36" s="183" t="s">
        <v>225</v>
      </c>
      <c r="J36" s="200" t="b">
        <v>1</v>
      </c>
      <c r="N36" s="187" t="str">
        <f>IFERROR(__xludf.DUMMYFUNCTION("""COMPUTED_VALUE"""),"ORD-031")</f>
        <v>ORD-031</v>
      </c>
    </row>
    <row r="37" ht="22.5" customHeight="1">
      <c r="B37" s="62" t="s">
        <v>567</v>
      </c>
      <c r="C37" s="183" t="s">
        <v>72</v>
      </c>
      <c r="D37" s="76">
        <v>46107.0</v>
      </c>
      <c r="E37" s="175" t="str">
        <f>VLOOKUP(OrderShipment[Order ID],Orders[],2,FALSE)</f>
        <v>Feris</v>
      </c>
      <c r="F37" s="201" t="str">
        <f>VLOOKUP(OrderShipment[Order ID],Orders[],3,FALSE)</f>
        <v>7° 43' 19.7926" S 110° 23' 33.1865" E</v>
      </c>
      <c r="G37" s="175">
        <v>1.0</v>
      </c>
      <c r="H37" s="183" t="s">
        <v>29</v>
      </c>
      <c r="I37" s="183" t="s">
        <v>225</v>
      </c>
      <c r="J37" s="200" t="b">
        <v>1</v>
      </c>
      <c r="N37" s="187" t="str">
        <f>IFERROR(__xludf.DUMMYFUNCTION("""COMPUTED_VALUE"""),"ORD-032")</f>
        <v>ORD-032</v>
      </c>
    </row>
    <row r="38" ht="22.5" customHeight="1">
      <c r="B38" s="62" t="s">
        <v>567</v>
      </c>
      <c r="C38" s="183" t="s">
        <v>79</v>
      </c>
      <c r="D38" s="76">
        <f>VLOOKUP(OrderShipment[Order ID],Orders[],IF(I38="Antar",4,6),FALSE)</f>
        <v>46107</v>
      </c>
      <c r="E38" s="175" t="str">
        <f>VLOOKUP(OrderShipment[Order ID],Orders[],2,FALSE)</f>
        <v>Dzaky</v>
      </c>
      <c r="F38" s="201" t="str">
        <f>VLOOKUP(OrderShipment[Order ID],Orders[],3,FALSE)</f>
        <v>7° 42' 47.7036" S 110° 17' 7.3248" E</v>
      </c>
      <c r="G38" s="175">
        <v>2.0</v>
      </c>
      <c r="H38" s="183" t="s">
        <v>29</v>
      </c>
      <c r="I38" s="183" t="s">
        <v>222</v>
      </c>
      <c r="J38" s="200" t="b">
        <v>1</v>
      </c>
      <c r="N38" s="187" t="str">
        <f>IFERROR(__xludf.DUMMYFUNCTION("""COMPUTED_VALUE"""),"ORD-033")</f>
        <v>ORD-033</v>
      </c>
    </row>
    <row r="39" ht="22.5" customHeight="1">
      <c r="B39" s="62" t="s">
        <v>569</v>
      </c>
      <c r="C39" s="183" t="s">
        <v>85</v>
      </c>
      <c r="D39" s="76">
        <f>VLOOKUP(OrderShipment[Order ID],Orders[],IF(I39="Antar",4,6),FALSE)</f>
        <v>46108</v>
      </c>
      <c r="E39" s="175" t="str">
        <f>VLOOKUP(OrderShipment[Order ID],Orders[],2,FALSE)</f>
        <v>Muji</v>
      </c>
      <c r="F39" s="201" t="str">
        <f>VLOOKUP(OrderShipment[Order ID],Orders[],3,FALSE)</f>
        <v>Jalan Kaliurang No.km 19</v>
      </c>
      <c r="G39" s="175">
        <v>1.0</v>
      </c>
      <c r="H39" s="183" t="s">
        <v>29</v>
      </c>
      <c r="I39" s="183" t="s">
        <v>225</v>
      </c>
      <c r="J39" s="200" t="b">
        <v>1</v>
      </c>
      <c r="N39" s="187" t="str">
        <f>IFERROR(__xludf.DUMMYFUNCTION("""COMPUTED_VALUE"""),"ORD-034")</f>
        <v>ORD-034</v>
      </c>
    </row>
    <row r="40" ht="22.5" customHeight="1">
      <c r="B40" s="62" t="s">
        <v>569</v>
      </c>
      <c r="C40" s="183" t="s">
        <v>76</v>
      </c>
      <c r="D40" s="76">
        <f>VLOOKUP(OrderShipment[Order ID],Orders[],IF(I40="Antar",4,6),FALSE)</f>
        <v>46108</v>
      </c>
      <c r="E40" s="175" t="str">
        <f>VLOOKUP(OrderShipment[Order ID],Orders[],2,FALSE)</f>
        <v>Alfrida</v>
      </c>
      <c r="F40" s="201" t="str">
        <f>VLOOKUP(OrderShipment[Order ID],Orders[],3,FALSE)</f>
        <v>Kontrakan Gg.Mulyadi</v>
      </c>
      <c r="G40" s="175">
        <v>2.0</v>
      </c>
      <c r="H40" s="183" t="s">
        <v>29</v>
      </c>
      <c r="I40" s="183" t="s">
        <v>225</v>
      </c>
      <c r="J40" s="200" t="b">
        <v>1</v>
      </c>
      <c r="N40" s="187" t="str">
        <f>IFERROR(__xludf.DUMMYFUNCTION("""COMPUTED_VALUE"""),"ORD-035")</f>
        <v>ORD-035</v>
      </c>
    </row>
    <row r="41" ht="22.5" customHeight="1">
      <c r="B41" s="62" t="s">
        <v>569</v>
      </c>
      <c r="C41" s="183" t="s">
        <v>72</v>
      </c>
      <c r="D41" s="202">
        <v>46108.0</v>
      </c>
      <c r="E41" s="175" t="str">
        <f>VLOOKUP(OrderShipment[Order ID],Orders[],2,FALSE)</f>
        <v>Feris</v>
      </c>
      <c r="F41" s="201" t="str">
        <f>VLOOKUP(OrderShipment[Order ID],Orders[],3,FALSE)</f>
        <v>7° 43' 19.7926" S 110° 23' 33.1865" E</v>
      </c>
      <c r="G41" s="175">
        <v>3.0</v>
      </c>
      <c r="H41" s="183" t="s">
        <v>29</v>
      </c>
      <c r="I41" s="183" t="s">
        <v>225</v>
      </c>
      <c r="J41" s="200" t="b">
        <v>1</v>
      </c>
      <c r="N41" s="187" t="str">
        <f>IFERROR(__xludf.DUMMYFUNCTION("""COMPUTED_VALUE"""),"ORD-036")</f>
        <v>ORD-036</v>
      </c>
    </row>
    <row r="42" ht="22.5" customHeight="1">
      <c r="B42" s="62" t="s">
        <v>571</v>
      </c>
      <c r="C42" s="183" t="s">
        <v>66</v>
      </c>
      <c r="D42" s="76">
        <f>VLOOKUP(OrderShipment[Order ID],Orders[],IF(I42="Antar",4,6),FALSE)</f>
        <v>46109</v>
      </c>
      <c r="E42" s="175" t="str">
        <f>VLOOKUP(OrderShipment[Order ID],Orders[],2,FALSE)</f>
        <v>Fendy</v>
      </c>
      <c r="F42" s="201" t="str">
        <f>VLOOKUP(OrderShipment[Order ID],Orders[],3,FALSE)</f>
        <v>7° 48' 52.3195" S 110° 24' 26.6198" E</v>
      </c>
      <c r="G42" s="175"/>
      <c r="H42" s="183" t="s">
        <v>30</v>
      </c>
      <c r="I42" s="183" t="s">
        <v>225</v>
      </c>
      <c r="J42" s="200" t="b">
        <v>1</v>
      </c>
      <c r="N42" s="187" t="str">
        <f>IFERROR(__xludf.DUMMYFUNCTION("""COMPUTED_VALUE"""),"ORD-037")</f>
        <v>ORD-037</v>
      </c>
    </row>
    <row r="43" ht="22.5" customHeight="1">
      <c r="B43" s="62" t="s">
        <v>572</v>
      </c>
      <c r="C43" s="183" t="s">
        <v>88</v>
      </c>
      <c r="D43" s="203">
        <f>VLOOKUP(OrderShipment[Order ID],Orders[],IF(I43="Antar",4,6),FALSE)</f>
        <v>46109</v>
      </c>
      <c r="E43" s="175" t="str">
        <f>VLOOKUP(OrderShipment[Order ID],Orders[],2,FALSE)</f>
        <v>Jhon BT</v>
      </c>
      <c r="F43" s="201" t="str">
        <f>VLOOKUP(OrderShipment[Order ID],Orders[],3,FALSE)</f>
        <v>Gg. Saridi No.567</v>
      </c>
      <c r="G43" s="175"/>
      <c r="H43" s="183" t="s">
        <v>29</v>
      </c>
      <c r="I43" s="183" t="s">
        <v>222</v>
      </c>
      <c r="J43" s="200" t="b">
        <v>1</v>
      </c>
      <c r="N43" s="187" t="str">
        <f>IFERROR(__xludf.DUMMYFUNCTION("""COMPUTED_VALUE"""),"ORD-038")</f>
        <v>ORD-038</v>
      </c>
    </row>
    <row r="44" ht="22.5" customHeight="1">
      <c r="A44" s="153" t="s">
        <v>646</v>
      </c>
      <c r="B44" s="62" t="s">
        <v>574</v>
      </c>
      <c r="C44" s="183" t="s">
        <v>79</v>
      </c>
      <c r="D44" s="76">
        <f>VLOOKUP(OrderShipment[Order ID],Orders[],IF(I44="Antar",4,6),FALSE)</f>
        <v>46110</v>
      </c>
      <c r="E44" s="175" t="str">
        <f>VLOOKUP(OrderShipment[Order ID],Orders[],2,FALSE)</f>
        <v>Dzaky</v>
      </c>
      <c r="F44" s="201" t="str">
        <f>VLOOKUP(OrderShipment[Order ID],Orders[],3,FALSE)</f>
        <v>7° 42' 47.7036" S 110° 17' 7.3248" E</v>
      </c>
      <c r="G44" s="175">
        <v>1.0</v>
      </c>
      <c r="H44" s="183" t="s">
        <v>29</v>
      </c>
      <c r="I44" s="183" t="s">
        <v>225</v>
      </c>
      <c r="J44" s="200" t="b">
        <v>0</v>
      </c>
      <c r="N44" s="187" t="str">
        <f>IFERROR(__xludf.DUMMYFUNCTION("""COMPUTED_VALUE"""),"ORD-039")</f>
        <v>ORD-039</v>
      </c>
    </row>
    <row r="45" ht="22.5" customHeight="1">
      <c r="A45" s="153" t="s">
        <v>646</v>
      </c>
      <c r="B45" s="62" t="s">
        <v>574</v>
      </c>
      <c r="C45" s="183" t="s">
        <v>82</v>
      </c>
      <c r="D45" s="204">
        <v>46110.0</v>
      </c>
      <c r="E45" s="175" t="str">
        <f>VLOOKUP(OrderShipment[Order ID],Orders[],2,FALSE)</f>
        <v>Eksperian</v>
      </c>
      <c r="F45" s="201" t="str">
        <f>VLOOKUP(OrderShipment[Order ID],Orders[],3,FALSE)</f>
        <v>Perumahan Taman Ayom</v>
      </c>
      <c r="G45" s="175">
        <v>2.0</v>
      </c>
      <c r="H45" s="183" t="s">
        <v>29</v>
      </c>
      <c r="I45" s="183" t="s">
        <v>225</v>
      </c>
      <c r="J45" s="200" t="b">
        <v>0</v>
      </c>
      <c r="N45" s="187" t="str">
        <f>IFERROR(__xludf.DUMMYFUNCTION("""COMPUTED_VALUE"""),"ORD-040")</f>
        <v>ORD-040</v>
      </c>
    </row>
    <row r="46" ht="22.5" customHeight="1">
      <c r="B46" s="62" t="s">
        <v>576</v>
      </c>
      <c r="C46" s="183" t="s">
        <v>88</v>
      </c>
      <c r="D46" s="204">
        <v>46112.0</v>
      </c>
      <c r="E46" s="175" t="str">
        <f>VLOOKUP(OrderShipment[Order ID],Orders[],2,FALSE)</f>
        <v>Jhon BT</v>
      </c>
      <c r="F46" s="201" t="str">
        <f>VLOOKUP(OrderShipment[Order ID],Orders[],3,FALSE)</f>
        <v>Gg. Saridi No.567</v>
      </c>
      <c r="G46" s="175"/>
      <c r="H46" s="183" t="s">
        <v>29</v>
      </c>
      <c r="I46" s="183" t="s">
        <v>225</v>
      </c>
      <c r="J46" s="200" t="b">
        <v>1</v>
      </c>
      <c r="N46" s="187" t="str">
        <f>IFERROR(__xludf.DUMMYFUNCTION("""COMPUTED_VALUE"""),"ORD-041")</f>
        <v>ORD-041</v>
      </c>
    </row>
    <row r="47" ht="22.5" customHeight="1">
      <c r="B47" s="62" t="s">
        <v>577</v>
      </c>
      <c r="C47" s="183" t="s">
        <v>91</v>
      </c>
      <c r="D47" s="203">
        <f>VLOOKUP(OrderShipment[Order ID],Orders[],IF(I47="Antar",4,6),FALSE)</f>
        <v>46114</v>
      </c>
      <c r="E47" s="175" t="str">
        <f>VLOOKUP(OrderShipment[Order ID],Orders[],2,FALSE)</f>
        <v>Asti</v>
      </c>
      <c r="F47" s="201" t="str">
        <f>VLOOKUP(OrderShipment[Order ID],Orders[],3,FALSE)</f>
        <v>BATIKEAKU 2</v>
      </c>
      <c r="G47" s="175"/>
      <c r="H47" s="183" t="s">
        <v>30</v>
      </c>
      <c r="I47" s="183" t="s">
        <v>222</v>
      </c>
      <c r="J47" s="200" t="b">
        <v>1</v>
      </c>
      <c r="N47" s="187" t="str">
        <f>IFERROR(__xludf.DUMMYFUNCTION("""COMPUTED_VALUE"""),"ORD-042")</f>
        <v>ORD-042</v>
      </c>
    </row>
    <row r="48" ht="22.5" customHeight="1">
      <c r="B48" s="62" t="s">
        <v>578</v>
      </c>
      <c r="C48" s="183" t="s">
        <v>94</v>
      </c>
      <c r="D48" s="203">
        <f>VLOOKUP(OrderShipment[Order ID],Orders[],IF(I48="Antar",4,6),FALSE)</f>
        <v>46115</v>
      </c>
      <c r="E48" s="175" t="str">
        <f>VLOOKUP(OrderShipment[Order ID],Orders[],2,FALSE)</f>
        <v>Aries</v>
      </c>
      <c r="F48" s="201" t="str">
        <f>VLOOKUP(OrderShipment[Order ID],Orders[],3,FALSE)</f>
        <v>7° 44' 36.2404" S 110° 24' 12.6673" E</v>
      </c>
      <c r="G48" s="175"/>
      <c r="H48" s="183" t="s">
        <v>29</v>
      </c>
      <c r="I48" s="183" t="s">
        <v>222</v>
      </c>
      <c r="J48" s="200" t="b">
        <v>1</v>
      </c>
      <c r="N48" s="187" t="str">
        <f>IFERROR(__xludf.DUMMYFUNCTION("""COMPUTED_VALUE"""),"ORD-043")</f>
        <v>ORD-043</v>
      </c>
    </row>
    <row r="49" ht="22.5" customHeight="1">
      <c r="B49" s="62" t="s">
        <v>580</v>
      </c>
      <c r="C49" s="183" t="s">
        <v>98</v>
      </c>
      <c r="D49" s="203">
        <f>VLOOKUP(OrderShipment[Order ID],Orders[],IF(I49="Antar",4,6),FALSE)</f>
        <v>46118</v>
      </c>
      <c r="E49" s="175" t="str">
        <f>VLOOKUP(OrderShipment[Order ID],Orders[],2,FALSE)</f>
        <v>Zami</v>
      </c>
      <c r="F49" s="201" t="str">
        <f>VLOOKUP(OrderShipment[Order ID],Orders[],3,FALSE)</f>
        <v>Omah Cucu Teta</v>
      </c>
      <c r="G49" s="175"/>
      <c r="H49" s="183" t="s">
        <v>30</v>
      </c>
      <c r="I49" s="183" t="s">
        <v>222</v>
      </c>
      <c r="J49" s="200" t="b">
        <v>1</v>
      </c>
      <c r="N49" s="187" t="str">
        <f>IFERROR(__xludf.DUMMYFUNCTION("""COMPUTED_VALUE"""),"ORD-044")</f>
        <v>ORD-044</v>
      </c>
    </row>
    <row r="50" ht="22.5" customHeight="1">
      <c r="B50" s="62" t="s">
        <v>581</v>
      </c>
      <c r="C50" s="183" t="s">
        <v>94</v>
      </c>
      <c r="D50" s="203">
        <f>VLOOKUP(OrderShipment[Order ID],Orders[],IF(I50="Antar",4,6),FALSE)</f>
        <v>46118</v>
      </c>
      <c r="E50" s="175" t="str">
        <f>VLOOKUP(OrderShipment[Order ID],Orders[],2,FALSE)</f>
        <v>Aries</v>
      </c>
      <c r="F50" s="201" t="str">
        <f>VLOOKUP(OrderShipment[Order ID],Orders[],3,FALSE)</f>
        <v>7° 44' 36.2404" S 110° 24' 12.6673" E</v>
      </c>
      <c r="G50" s="175"/>
      <c r="H50" s="183" t="s">
        <v>29</v>
      </c>
      <c r="I50" s="183" t="s">
        <v>225</v>
      </c>
      <c r="J50" s="200" t="b">
        <v>1</v>
      </c>
      <c r="N50" s="187" t="str">
        <f>IFERROR(__xludf.DUMMYFUNCTION("""COMPUTED_VALUE"""),"ORD-045")</f>
        <v>ORD-045</v>
      </c>
    </row>
    <row r="51" ht="22.5" customHeight="1">
      <c r="B51" s="62" t="s">
        <v>582</v>
      </c>
      <c r="C51" s="183" t="s">
        <v>101</v>
      </c>
      <c r="D51" s="203">
        <f>VLOOKUP(OrderShipment[Order ID],Orders[],IF(I51="Antar",4,6),FALSE)</f>
        <v>46121</v>
      </c>
      <c r="E51" s="175" t="str">
        <f>VLOOKUP(OrderShipment[Order ID],Orders[],2,FALSE)</f>
        <v>Misfa</v>
      </c>
      <c r="F51" s="201" t="str">
        <f>VLOOKUP(OrderShipment[Order ID],Orders[],3,FALSE)</f>
        <v>Young Independent Home Produksi</v>
      </c>
      <c r="G51" s="175"/>
      <c r="H51" s="183" t="s">
        <v>29</v>
      </c>
      <c r="I51" s="183" t="s">
        <v>222</v>
      </c>
      <c r="J51" s="200" t="b">
        <v>1</v>
      </c>
      <c r="N51" s="187" t="str">
        <f>IFERROR(__xludf.DUMMYFUNCTION("""COMPUTED_VALUE"""),"ORD-046")</f>
        <v>ORD-046</v>
      </c>
    </row>
    <row r="52" ht="22.5" customHeight="1">
      <c r="B52" s="62" t="s">
        <v>584</v>
      </c>
      <c r="C52" s="183" t="s">
        <v>107</v>
      </c>
      <c r="D52" s="203">
        <f>VLOOKUP(OrderShipment[Order ID],Orders[],IF(I52="Antar",4,6),FALSE)</f>
        <v>46122</v>
      </c>
      <c r="E52" s="175" t="str">
        <f>VLOOKUP(OrderShipment[Order ID],Orders[],2,FALSE)</f>
        <v>Aryadi</v>
      </c>
      <c r="F52" s="201" t="str">
        <f>VLOOKUP(OrderShipment[Order ID],Orders[],3,FALSE)</f>
        <v>7° 48' 26.402" S 110° 24' 13.4089" E</v>
      </c>
      <c r="G52" s="175"/>
      <c r="H52" s="183" t="s">
        <v>30</v>
      </c>
      <c r="I52" s="183" t="s">
        <v>222</v>
      </c>
      <c r="J52" s="200" t="b">
        <v>1</v>
      </c>
      <c r="N52" s="187" t="str">
        <f>IFERROR(__xludf.DUMMYFUNCTION("""COMPUTED_VALUE"""),"ORD-047")</f>
        <v>ORD-047</v>
      </c>
    </row>
    <row r="53" ht="22.5" customHeight="1">
      <c r="B53" s="62" t="s">
        <v>584</v>
      </c>
      <c r="C53" s="183" t="s">
        <v>91</v>
      </c>
      <c r="D53" s="203">
        <f>VLOOKUP(OrderShipment[Order ID],Orders[],IF(I53="Antar",4,6),FALSE)</f>
        <v>46122</v>
      </c>
      <c r="E53" s="175" t="str">
        <f>VLOOKUP(OrderShipment[Order ID],Orders[],2,FALSE)</f>
        <v>Asti</v>
      </c>
      <c r="F53" s="201" t="str">
        <f>VLOOKUP(OrderShipment[Order ID],Orders[],3,FALSE)</f>
        <v>BATIKEAKU 2</v>
      </c>
      <c r="G53" s="175"/>
      <c r="H53" s="183" t="s">
        <v>30</v>
      </c>
      <c r="I53" s="183" t="s">
        <v>225</v>
      </c>
      <c r="J53" s="200" t="b">
        <v>1</v>
      </c>
      <c r="N53" s="187" t="str">
        <f>IFERROR(__xludf.DUMMYFUNCTION("""COMPUTED_VALUE"""),"ORD-048")</f>
        <v>ORD-048</v>
      </c>
    </row>
    <row r="54" ht="22.5" customHeight="1">
      <c r="B54" s="62" t="s">
        <v>584</v>
      </c>
      <c r="C54" s="183" t="s">
        <v>98</v>
      </c>
      <c r="D54" s="203">
        <f>VLOOKUP(OrderShipment[Order ID],Orders[],IF(I54="Antar",4,6),FALSE)</f>
        <v>46122</v>
      </c>
      <c r="E54" s="175" t="str">
        <f>VLOOKUP(OrderShipment[Order ID],Orders[],2,FALSE)</f>
        <v>Zami</v>
      </c>
      <c r="F54" s="201" t="str">
        <f>VLOOKUP(OrderShipment[Order ID],Orders[],3,FALSE)</f>
        <v>Omah Cucu Teta</v>
      </c>
      <c r="G54" s="175"/>
      <c r="H54" s="183" t="s">
        <v>30</v>
      </c>
      <c r="I54" s="183" t="s">
        <v>225</v>
      </c>
      <c r="J54" s="200" t="b">
        <v>1</v>
      </c>
      <c r="N54" s="187" t="str">
        <f>IFERROR(__xludf.DUMMYFUNCTION("""COMPUTED_VALUE"""),"ORD-049")</f>
        <v>ORD-049</v>
      </c>
    </row>
    <row r="55" ht="22.5" customHeight="1">
      <c r="B55" s="62" t="s">
        <v>585</v>
      </c>
      <c r="C55" s="183" t="s">
        <v>104</v>
      </c>
      <c r="D55" s="203">
        <f>VLOOKUP(OrderShipment[Order ID],Orders[],IF(I55="Antar",4,6),FALSE)</f>
        <v>46122</v>
      </c>
      <c r="E55" s="175" t="str">
        <f>VLOOKUP(OrderShipment[Order ID],Orders[],2,FALSE)</f>
        <v>Imron</v>
      </c>
      <c r="F55" s="201" t="str">
        <f>VLOOKUP(OrderShipment[Order ID],Orders[],3,FALSE)</f>
        <v>Joglo Brongkol Hall</v>
      </c>
      <c r="G55" s="175"/>
      <c r="H55" s="183" t="s">
        <v>30</v>
      </c>
      <c r="I55" s="183" t="s">
        <v>222</v>
      </c>
      <c r="J55" s="200" t="b">
        <v>1</v>
      </c>
      <c r="N55" s="187" t="str">
        <f>IFERROR(__xludf.DUMMYFUNCTION("""COMPUTED_VALUE"""),"ORD-050")</f>
        <v>ORD-050</v>
      </c>
    </row>
    <row r="56" ht="22.5" customHeight="1">
      <c r="B56" s="62" t="s">
        <v>586</v>
      </c>
      <c r="C56" s="183" t="s">
        <v>113</v>
      </c>
      <c r="D56" s="203">
        <f>VLOOKUP(OrderShipment[Order ID],Orders[],IF(I56="Antar",4,6),FALSE)</f>
        <v>46123</v>
      </c>
      <c r="E56" s="175" t="str">
        <f>VLOOKUP(OrderShipment[Order ID],Orders[],2,FALSE)</f>
        <v>Harmawan</v>
      </c>
      <c r="F56" s="201" t="str">
        <f>VLOOKUP(OrderShipment[Order ID],Orders[],3,FALSE)</f>
        <v>The Swantari Terrace View Villa</v>
      </c>
      <c r="G56" s="175"/>
      <c r="H56" s="183" t="s">
        <v>30</v>
      </c>
      <c r="I56" s="183" t="s">
        <v>222</v>
      </c>
      <c r="J56" s="200" t="b">
        <v>1</v>
      </c>
      <c r="N56" s="187" t="str">
        <f>IFERROR(__xludf.DUMMYFUNCTION("""COMPUTED_VALUE"""),"ORD-051")</f>
        <v>ORD-051</v>
      </c>
    </row>
    <row r="57" ht="22.5" customHeight="1">
      <c r="B57" s="62" t="s">
        <v>586</v>
      </c>
      <c r="C57" s="183" t="s">
        <v>104</v>
      </c>
      <c r="D57" s="203">
        <f>VLOOKUP(OrderShipment[Order ID],Orders[],IF(I57="Antar",4,6),FALSE)</f>
        <v>46123</v>
      </c>
      <c r="E57" s="175" t="str">
        <f>VLOOKUP(OrderShipment[Order ID],Orders[],2,FALSE)</f>
        <v>Imron</v>
      </c>
      <c r="F57" s="201" t="str">
        <f>VLOOKUP(OrderShipment[Order ID],Orders[],3,FALSE)</f>
        <v>Joglo Brongkol Hall</v>
      </c>
      <c r="G57" s="175"/>
      <c r="H57" s="183" t="s">
        <v>30</v>
      </c>
      <c r="I57" s="183" t="s">
        <v>225</v>
      </c>
      <c r="J57" s="200" t="b">
        <v>1</v>
      </c>
      <c r="N57" s="187" t="str">
        <f>IFERROR(__xludf.DUMMYFUNCTION("""COMPUTED_VALUE"""),"ORD-052")</f>
        <v>ORD-052</v>
      </c>
    </row>
    <row r="58" ht="22.5" customHeight="1">
      <c r="B58" s="62" t="s">
        <v>587</v>
      </c>
      <c r="C58" s="183" t="s">
        <v>110</v>
      </c>
      <c r="D58" s="203">
        <f>VLOOKUP(OrderShipment[Order ID],Orders[],IF(I58="Antar",4,6),FALSE)</f>
        <v>46123</v>
      </c>
      <c r="E58" s="175" t="str">
        <f>VLOOKUP(OrderShipment[Order ID],Orders[],2,FALSE)</f>
        <v>Emma</v>
      </c>
      <c r="F58" s="201" t="str">
        <f>VLOOKUP(OrderShipment[Order ID],Orders[],3,FALSE)</f>
        <v>Komisi Penanggulangan AIDS</v>
      </c>
      <c r="G58" s="175"/>
      <c r="H58" s="183" t="s">
        <v>29</v>
      </c>
      <c r="I58" s="183" t="s">
        <v>222</v>
      </c>
      <c r="J58" s="200" t="b">
        <v>1</v>
      </c>
      <c r="N58" s="187" t="str">
        <f>IFERROR(__xludf.DUMMYFUNCTION("""COMPUTED_VALUE"""),"ORD-053")</f>
        <v>ORD-053</v>
      </c>
    </row>
    <row r="59" ht="22.5" customHeight="1">
      <c r="B59" s="62" t="s">
        <v>589</v>
      </c>
      <c r="C59" s="205" t="s">
        <v>116</v>
      </c>
      <c r="D59" s="203">
        <f>VLOOKUP(OrderShipment[Order ID],Orders[],IF(I59="Antar",4,6),FALSE)</f>
        <v>46124</v>
      </c>
      <c r="E59" s="175" t="str">
        <f>VLOOKUP(OrderShipment[Order ID],Orders[],2,FALSE)</f>
        <v>Nawang</v>
      </c>
      <c r="F59" s="201" t="str">
        <f>VLOOKUP(OrderShipment[Order ID],Orders[],3,FALSE)</f>
        <v>ZAHRA IN HERE</v>
      </c>
      <c r="G59" s="175"/>
      <c r="H59" s="183" t="s">
        <v>30</v>
      </c>
      <c r="I59" s="183" t="s">
        <v>222</v>
      </c>
      <c r="J59" s="200" t="b">
        <v>1</v>
      </c>
      <c r="N59" s="187" t="str">
        <f>IFERROR(__xludf.DUMMYFUNCTION("""COMPUTED_VALUE"""),"ORD-054")</f>
        <v>ORD-054</v>
      </c>
    </row>
    <row r="60" ht="22.5" customHeight="1">
      <c r="B60" s="62" t="s">
        <v>589</v>
      </c>
      <c r="C60" s="183" t="s">
        <v>113</v>
      </c>
      <c r="D60" s="203">
        <f>VLOOKUP(OrderShipment[Order ID],Orders[],IF(I60="Antar",4,6),FALSE)</f>
        <v>46124</v>
      </c>
      <c r="E60" s="175" t="str">
        <f>VLOOKUP(OrderShipment[Order ID],Orders[],2,FALSE)</f>
        <v>Harmawan</v>
      </c>
      <c r="F60" s="201" t="str">
        <f>VLOOKUP(OrderShipment[Order ID],Orders[],3,FALSE)</f>
        <v>The Swantari Terrace View Villa</v>
      </c>
      <c r="G60" s="175"/>
      <c r="H60" s="183" t="s">
        <v>30</v>
      </c>
      <c r="I60" s="183" t="s">
        <v>225</v>
      </c>
      <c r="J60" s="200" t="b">
        <v>1</v>
      </c>
      <c r="N60" s="187" t="str">
        <f>IFERROR(__xludf.DUMMYFUNCTION("""COMPUTED_VALUE"""),"ORD-055")</f>
        <v>ORD-055</v>
      </c>
    </row>
    <row r="61" ht="22.5" customHeight="1">
      <c r="B61" s="62" t="s">
        <v>590</v>
      </c>
      <c r="C61" s="183" t="s">
        <v>107</v>
      </c>
      <c r="D61" s="203">
        <f>VLOOKUP(OrderShipment[Order ID],Orders[],IF(I61="Antar",4,6),FALSE)</f>
        <v>46124</v>
      </c>
      <c r="E61" s="175" t="str">
        <f>VLOOKUP(OrderShipment[Order ID],Orders[],2,FALSE)</f>
        <v>Aryadi</v>
      </c>
      <c r="F61" s="201" t="str">
        <f>VLOOKUP(OrderShipment[Order ID],Orders[],3,FALSE)</f>
        <v>7° 48' 26.402" S 110° 24' 13.4089" E</v>
      </c>
      <c r="G61" s="175"/>
      <c r="H61" s="183" t="s">
        <v>29</v>
      </c>
      <c r="I61" s="183" t="s">
        <v>225</v>
      </c>
      <c r="J61" s="200" t="b">
        <v>1</v>
      </c>
      <c r="N61" s="187" t="str">
        <f>IFERROR(__xludf.DUMMYFUNCTION("""COMPUTED_VALUE"""),"ORD-056")</f>
        <v>ORD-056</v>
      </c>
    </row>
    <row r="62" ht="22.5" customHeight="1">
      <c r="B62" s="62" t="s">
        <v>592</v>
      </c>
      <c r="C62" s="205" t="s">
        <v>116</v>
      </c>
      <c r="D62" s="203">
        <f>VLOOKUP(OrderShipment[Order ID],Orders[],IF(I62="Antar",4,6),FALSE)</f>
        <v>46125</v>
      </c>
      <c r="E62" s="175" t="str">
        <f>VLOOKUP(OrderShipment[Order ID],Orders[],2,FALSE)</f>
        <v>Nawang</v>
      </c>
      <c r="F62" s="201" t="str">
        <f>VLOOKUP(OrderShipment[Order ID],Orders[],3,FALSE)</f>
        <v>ZAHRA IN HERE</v>
      </c>
      <c r="G62" s="175"/>
      <c r="H62" s="183" t="s">
        <v>30</v>
      </c>
      <c r="I62" s="183" t="s">
        <v>225</v>
      </c>
      <c r="J62" s="200" t="b">
        <v>1</v>
      </c>
      <c r="N62" s="187" t="str">
        <f>IFERROR(__xludf.DUMMYFUNCTION("""COMPUTED_VALUE"""),"ORD-057")</f>
        <v>ORD-057</v>
      </c>
    </row>
    <row r="63" ht="22.5" customHeight="1">
      <c r="B63" s="62" t="s">
        <v>593</v>
      </c>
      <c r="C63" s="183" t="s">
        <v>110</v>
      </c>
      <c r="D63" s="203">
        <f>VLOOKUP(OrderShipment[Order ID],Orders[],IF(I63="Antar",4,6),FALSE)</f>
        <v>46125</v>
      </c>
      <c r="E63" s="175" t="str">
        <f>VLOOKUP(OrderShipment[Order ID],Orders[],2,FALSE)</f>
        <v>Emma</v>
      </c>
      <c r="F63" s="201" t="str">
        <f>VLOOKUP(OrderShipment[Order ID],Orders[],3,FALSE)</f>
        <v>Komisi Penanggulangan AIDS</v>
      </c>
      <c r="G63" s="175"/>
      <c r="H63" s="183" t="s">
        <v>29</v>
      </c>
      <c r="I63" s="183" t="s">
        <v>225</v>
      </c>
      <c r="J63" s="200" t="b">
        <v>1</v>
      </c>
      <c r="N63" s="187" t="str">
        <f>IFERROR(__xludf.DUMMYFUNCTION("""COMPUTED_VALUE"""),"ORD-058")</f>
        <v>ORD-058</v>
      </c>
    </row>
    <row r="64" ht="22.5" customHeight="1">
      <c r="B64" s="62" t="s">
        <v>594</v>
      </c>
      <c r="C64" s="183" t="s">
        <v>101</v>
      </c>
      <c r="D64" s="203">
        <f>VLOOKUP(OrderShipment[Order ID],Orders[],IF(I64="Antar",4,6),FALSE)</f>
        <v>46128</v>
      </c>
      <c r="E64" s="175" t="str">
        <f>VLOOKUP(OrderShipment[Order ID],Orders[],2,FALSE)</f>
        <v>Misfa</v>
      </c>
      <c r="F64" s="201" t="str">
        <f>VLOOKUP(OrderShipment[Order ID],Orders[],3,FALSE)</f>
        <v>Young Independent Home Produksi</v>
      </c>
      <c r="G64" s="175"/>
      <c r="H64" s="183" t="s">
        <v>29</v>
      </c>
      <c r="I64" s="183" t="s">
        <v>225</v>
      </c>
      <c r="J64" s="200" t="b">
        <v>1</v>
      </c>
      <c r="N64" s="187" t="str">
        <f>IFERROR(__xludf.DUMMYFUNCTION("""COMPUTED_VALUE"""),"ORD-059")</f>
        <v>ORD-059</v>
      </c>
    </row>
    <row r="65" ht="22.5" customHeight="1">
      <c r="B65" s="62" t="s">
        <v>595</v>
      </c>
      <c r="C65" s="183" t="s">
        <v>119</v>
      </c>
      <c r="D65" s="203">
        <f>VLOOKUP(OrderShipment[Order ID],Orders[],IF(I65="Antar",4,6),FALSE)</f>
        <v>46130</v>
      </c>
      <c r="E65" s="175" t="str">
        <f>VLOOKUP(OrderShipment[Order ID],Orders[],2,FALSE)</f>
        <v>Yayoe</v>
      </c>
      <c r="F65" s="201" t="str">
        <f>VLOOKUP(OrderShipment[Order ID],Orders[],3,FALSE)</f>
        <v>Kolam Renang Umbul Tirta</v>
      </c>
      <c r="G65" s="175"/>
      <c r="H65" s="183" t="s">
        <v>29</v>
      </c>
      <c r="I65" s="183" t="s">
        <v>222</v>
      </c>
      <c r="J65" s="200" t="b">
        <v>1</v>
      </c>
      <c r="N65" s="187" t="str">
        <f>IFERROR(__xludf.DUMMYFUNCTION("""COMPUTED_VALUE"""),"ORD-060")</f>
        <v>ORD-060</v>
      </c>
    </row>
    <row r="66" ht="22.5" customHeight="1">
      <c r="B66" s="62" t="s">
        <v>595</v>
      </c>
      <c r="C66" s="183" t="s">
        <v>122</v>
      </c>
      <c r="D66" s="203">
        <f>VLOOKUP(OrderShipment[Order ID],Orders[],IF(I66="Antar",4,6),FALSE)</f>
        <v>46130</v>
      </c>
      <c r="E66" s="175" t="str">
        <f>VLOOKUP(OrderShipment[Order ID],Orders[],2,FALSE)</f>
        <v>Baby</v>
      </c>
      <c r="F66" s="201" t="str">
        <f>VLOOKUP(OrderShipment[Order ID],Orders[],3,FALSE)</f>
        <v>Kost pak rakijo</v>
      </c>
      <c r="G66" s="175"/>
      <c r="H66" s="183" t="s">
        <v>29</v>
      </c>
      <c r="I66" s="183" t="s">
        <v>222</v>
      </c>
      <c r="J66" s="200" t="b">
        <v>1</v>
      </c>
      <c r="N66" s="187" t="str">
        <f>IFERROR(__xludf.DUMMYFUNCTION("""COMPUTED_VALUE"""),"ORD-061")</f>
        <v>ORD-061</v>
      </c>
    </row>
    <row r="67" ht="22.5" customHeight="1">
      <c r="B67" s="62" t="s">
        <v>597</v>
      </c>
      <c r="C67" s="183" t="s">
        <v>119</v>
      </c>
      <c r="D67" s="203">
        <f>VLOOKUP(OrderShipment[Order ID],Orders[],IF(I67="Antar",4,6),FALSE)</f>
        <v>46131</v>
      </c>
      <c r="E67" s="175" t="str">
        <f>VLOOKUP(OrderShipment[Order ID],Orders[],2,FALSE)</f>
        <v>Yayoe</v>
      </c>
      <c r="F67" s="201" t="str">
        <f>VLOOKUP(OrderShipment[Order ID],Orders[],3,FALSE)</f>
        <v>Kolam Renang Umbul Tirta</v>
      </c>
      <c r="G67" s="175"/>
      <c r="H67" s="183" t="s">
        <v>29</v>
      </c>
      <c r="I67" s="183" t="s">
        <v>225</v>
      </c>
      <c r="J67" s="200" t="b">
        <v>1</v>
      </c>
      <c r="N67" s="187" t="str">
        <f>IFERROR(__xludf.DUMMYFUNCTION("""COMPUTED_VALUE"""),"ORD-062")</f>
        <v>ORD-062</v>
      </c>
    </row>
    <row r="68" ht="22.5" customHeight="1">
      <c r="B68" s="62" t="s">
        <v>597</v>
      </c>
      <c r="C68" s="183" t="s">
        <v>122</v>
      </c>
      <c r="D68" s="203">
        <f>VLOOKUP(OrderShipment[Order ID],Orders[],IF(I68="Antar",4,6),FALSE)</f>
        <v>46131</v>
      </c>
      <c r="E68" s="175" t="str">
        <f>VLOOKUP(OrderShipment[Order ID],Orders[],2,FALSE)</f>
        <v>Baby</v>
      </c>
      <c r="F68" s="201" t="str">
        <f>VLOOKUP(OrderShipment[Order ID],Orders[],3,FALSE)</f>
        <v>Kost pak rakijo</v>
      </c>
      <c r="G68" s="175"/>
      <c r="H68" s="183" t="s">
        <v>29</v>
      </c>
      <c r="I68" s="183" t="s">
        <v>225</v>
      </c>
      <c r="J68" s="200" t="b">
        <v>1</v>
      </c>
      <c r="N68" s="187" t="str">
        <f>IFERROR(__xludf.DUMMYFUNCTION("""COMPUTED_VALUE"""),"ORD-063")</f>
        <v>ORD-063</v>
      </c>
    </row>
    <row r="69" ht="22.5" customHeight="1">
      <c r="B69" s="62" t="s">
        <v>598</v>
      </c>
      <c r="C69" s="75" t="s">
        <v>125</v>
      </c>
      <c r="D69" s="203">
        <f>VLOOKUP(OrderShipment[Order ID],Orders[],IF(I69="Antar",4,6),FALSE)</f>
        <v>46143</v>
      </c>
      <c r="E69" s="175" t="str">
        <f>VLOOKUP(OrderShipment[Order ID],Orders[],2,FALSE)</f>
        <v>Ling Santa</v>
      </c>
      <c r="F69" s="201" t="str">
        <f>VLOOKUP(OrderShipment[Order ID],Orders[],3,FALSE)</f>
        <v>Persada Homestay By WHouse</v>
      </c>
      <c r="G69" s="175" t="s">
        <v>647</v>
      </c>
      <c r="H69" s="183" t="s">
        <v>30</v>
      </c>
      <c r="I69" s="75" t="s">
        <v>222</v>
      </c>
      <c r="J69" s="200" t="b">
        <v>1</v>
      </c>
      <c r="M69" s="67"/>
      <c r="N69" s="187" t="str">
        <f>IFERROR(__xludf.DUMMYFUNCTION("""COMPUTED_VALUE"""),"ORD-064")</f>
        <v>ORD-064</v>
      </c>
    </row>
    <row r="70" ht="22.5" customHeight="1">
      <c r="B70" s="62" t="s">
        <v>598</v>
      </c>
      <c r="C70" s="75" t="s">
        <v>128</v>
      </c>
      <c r="D70" s="203">
        <f>VLOOKUP(OrderShipment[Order ID],Orders[],IF(I70="Antar",4,6),FALSE)</f>
        <v>46143</v>
      </c>
      <c r="E70" s="175" t="str">
        <f>VLOOKUP(OrderShipment[Order ID],Orders[],2,FALSE)</f>
        <v>Intan Candra</v>
      </c>
      <c r="F70" s="201" t="str">
        <f>VLOOKUP(OrderShipment[Order ID],Orders[],3,FALSE)</f>
        <v>Jl. Bumijo Tengah No.3</v>
      </c>
      <c r="G70" s="175" t="s">
        <v>647</v>
      </c>
      <c r="H70" s="183" t="s">
        <v>30</v>
      </c>
      <c r="I70" s="75" t="s">
        <v>222</v>
      </c>
      <c r="J70" s="200" t="b">
        <v>1</v>
      </c>
      <c r="N70" s="187"/>
    </row>
    <row r="71" ht="22.5" customHeight="1">
      <c r="B71" s="62" t="s">
        <v>599</v>
      </c>
      <c r="C71" s="75" t="s">
        <v>125</v>
      </c>
      <c r="D71" s="203">
        <f>VLOOKUP(OrderShipment[Order ID],Orders[],IF(I71="Antar",4,6),FALSE)</f>
        <v>46145</v>
      </c>
      <c r="E71" s="175" t="str">
        <f>VLOOKUP(OrderShipment[Order ID],Orders[],2,FALSE)</f>
        <v>Ling Santa</v>
      </c>
      <c r="F71" s="201" t="str">
        <f>VLOOKUP(OrderShipment[Order ID],Orders[],3,FALSE)</f>
        <v>Persada Homestay By WHouse</v>
      </c>
      <c r="G71" s="175"/>
      <c r="H71" s="183" t="s">
        <v>29</v>
      </c>
      <c r="I71" s="75" t="s">
        <v>225</v>
      </c>
      <c r="J71" s="200" t="b">
        <v>1</v>
      </c>
      <c r="N71" s="187"/>
    </row>
    <row r="72" ht="22.5" customHeight="1">
      <c r="B72" s="62" t="s">
        <v>601</v>
      </c>
      <c r="C72" s="75" t="s">
        <v>128</v>
      </c>
      <c r="D72" s="203">
        <f>VLOOKUP(OrderShipment[Order ID],Orders[],IF(I72="Antar",4,6),FALSE)</f>
        <v>46145</v>
      </c>
      <c r="E72" s="175" t="str">
        <f>VLOOKUP(OrderShipment[Order ID],Orders[],2,FALSE)</f>
        <v>Intan Candra</v>
      </c>
      <c r="F72" s="201" t="str">
        <f>VLOOKUP(OrderShipment[Order ID],Orders[],3,FALSE)</f>
        <v>Jl. Bumijo Tengah No.3</v>
      </c>
      <c r="G72" s="175"/>
      <c r="H72" s="183" t="s">
        <v>29</v>
      </c>
      <c r="I72" s="75" t="s">
        <v>225</v>
      </c>
      <c r="J72" s="200" t="b">
        <v>1</v>
      </c>
      <c r="N72" s="187"/>
    </row>
    <row r="73" ht="22.5" customHeight="1">
      <c r="B73" s="62" t="s">
        <v>603</v>
      </c>
      <c r="C73" s="75" t="s">
        <v>131</v>
      </c>
      <c r="D73" s="203">
        <f>VLOOKUP(OrderShipment[Order ID],Orders[],IF(I73="Antar",4,6),FALSE)</f>
        <v>46149</v>
      </c>
      <c r="E73" s="175" t="str">
        <f>VLOOKUP(OrderShipment[Order ID],Orders[],2,FALSE)</f>
        <v>Alex</v>
      </c>
      <c r="F73" s="201" t="str">
        <f>VLOOKUP(OrderShipment[Order ID],Orders[],3,FALSE)</f>
        <v>State Elementary School, Bokong</v>
      </c>
      <c r="G73" s="175"/>
      <c r="H73" s="183" t="s">
        <v>29</v>
      </c>
      <c r="I73" s="75" t="s">
        <v>222</v>
      </c>
      <c r="J73" s="200" t="b">
        <v>1</v>
      </c>
      <c r="N73" s="187"/>
    </row>
    <row r="74" ht="22.5" customHeight="1">
      <c r="B74" s="62" t="s">
        <v>605</v>
      </c>
      <c r="C74" s="75" t="s">
        <v>131</v>
      </c>
      <c r="D74" s="203">
        <f>VLOOKUP(OrderShipment[Order ID],Orders[],IF(I74="Antar",4,6),FALSE)</f>
        <v>46151</v>
      </c>
      <c r="E74" s="175" t="str">
        <f>VLOOKUP(OrderShipment[Order ID],Orders[],2,FALSE)</f>
        <v>Alex</v>
      </c>
      <c r="F74" s="201" t="str">
        <f>VLOOKUP(OrderShipment[Order ID],Orders[],3,FALSE)</f>
        <v>State Elementary School, Bokong</v>
      </c>
      <c r="G74" s="175"/>
      <c r="H74" s="183" t="s">
        <v>29</v>
      </c>
      <c r="I74" s="75" t="s">
        <v>225</v>
      </c>
      <c r="J74" s="200" t="b">
        <v>1</v>
      </c>
      <c r="N74" s="187"/>
    </row>
    <row r="75" ht="22.5" customHeight="1">
      <c r="B75" s="62" t="s">
        <v>606</v>
      </c>
      <c r="C75" s="75" t="s">
        <v>134</v>
      </c>
      <c r="D75" s="203">
        <f>VLOOKUP(OrderShipment[Order ID],Orders[],IF(I75="Antar",4,6),FALSE)</f>
        <v>46151</v>
      </c>
      <c r="E75" s="175" t="str">
        <f>VLOOKUP(OrderShipment[Order ID],Orders[],2,FALSE)</f>
        <v>Armyda</v>
      </c>
      <c r="F75" s="201" t="str">
        <f>VLOOKUP(OrderShipment[Order ID],Orders[],3,FALSE)</f>
        <v>7° 48' 39.7901" S 110° 17' 25.9807" E</v>
      </c>
      <c r="G75" s="175"/>
      <c r="H75" s="183" t="s">
        <v>29</v>
      </c>
      <c r="I75" s="75" t="s">
        <v>222</v>
      </c>
      <c r="J75" s="200" t="b">
        <v>1</v>
      </c>
      <c r="N75" s="187"/>
    </row>
    <row r="76" ht="22.5" customHeight="1">
      <c r="B76" s="62" t="s">
        <v>606</v>
      </c>
      <c r="C76" s="75" t="s">
        <v>137</v>
      </c>
      <c r="D76" s="203">
        <f>VLOOKUP(OrderShipment[Order ID],Orders[],IF(I76="Antar",4,6),FALSE)</f>
        <v>46151</v>
      </c>
      <c r="E76" s="175" t="str">
        <f>VLOOKUP(OrderShipment[Order ID],Orders[],2,FALSE)</f>
        <v>Adhitama</v>
      </c>
      <c r="F76" s="201" t="str">
        <f>VLOOKUP(OrderShipment[Order ID],Orders[],3,FALSE)</f>
        <v>BPKI Dinas Pariwisata DIY</v>
      </c>
      <c r="G76" s="175"/>
      <c r="H76" s="183" t="s">
        <v>29</v>
      </c>
      <c r="I76" s="75" t="s">
        <v>222</v>
      </c>
      <c r="J76" s="200" t="b">
        <v>1</v>
      </c>
      <c r="N76" s="187"/>
    </row>
    <row r="77" ht="22.5" customHeight="1">
      <c r="B77" s="62" t="s">
        <v>608</v>
      </c>
      <c r="C77" s="75" t="s">
        <v>134</v>
      </c>
      <c r="D77" s="203">
        <f>VLOOKUP(OrderShipment[Order ID],Orders[],IF(I77="Antar",4,6),FALSE)</f>
        <v>46152</v>
      </c>
      <c r="E77" s="175" t="str">
        <f>VLOOKUP(OrderShipment[Order ID],Orders[],2,FALSE)</f>
        <v>Armyda</v>
      </c>
      <c r="F77" s="201" t="str">
        <f>VLOOKUP(OrderShipment[Order ID],Orders[],3,FALSE)</f>
        <v>7° 48' 39.7901" S 110° 17' 25.9807" E</v>
      </c>
      <c r="G77" s="175"/>
      <c r="H77" s="183" t="s">
        <v>29</v>
      </c>
      <c r="I77" s="75" t="s">
        <v>225</v>
      </c>
      <c r="J77" s="200" t="b">
        <v>1</v>
      </c>
      <c r="N77" s="187"/>
    </row>
    <row r="78" ht="22.5" customHeight="1">
      <c r="B78" s="62" t="s">
        <v>608</v>
      </c>
      <c r="C78" s="75" t="s">
        <v>137</v>
      </c>
      <c r="D78" s="203">
        <f>VLOOKUP(OrderShipment[Order ID],Orders[],IF(I78="Antar",4,6),FALSE)</f>
        <v>46152</v>
      </c>
      <c r="E78" s="175" t="str">
        <f>VLOOKUP(OrderShipment[Order ID],Orders[],2,FALSE)</f>
        <v>Adhitama</v>
      </c>
      <c r="F78" s="201" t="str">
        <f>VLOOKUP(OrderShipment[Order ID],Orders[],3,FALSE)</f>
        <v>BPKI Dinas Pariwisata DIY</v>
      </c>
      <c r="G78" s="175"/>
      <c r="H78" s="183" t="s">
        <v>29</v>
      </c>
      <c r="I78" s="75" t="s">
        <v>225</v>
      </c>
      <c r="J78" s="200" t="b">
        <v>1</v>
      </c>
      <c r="N78" s="187"/>
    </row>
    <row r="79" ht="22.5" customHeight="1">
      <c r="B79" s="62" t="s">
        <v>609</v>
      </c>
      <c r="C79" s="75" t="s">
        <v>140</v>
      </c>
      <c r="D79" s="203">
        <f>VLOOKUP(OrderShipment[Order ID],Orders[],IF(I79="Antar",4,6),FALSE)</f>
        <v>46153</v>
      </c>
      <c r="E79" s="175" t="str">
        <f>VLOOKUP(OrderShipment[Order ID],Orders[],2,FALSE)</f>
        <v>Qui - Jo</v>
      </c>
      <c r="F79" s="201" t="str">
        <f>VLOOKUP(OrderShipment[Order ID],Orders[],3,FALSE)</f>
        <v>Gg. Bougenville 8-3</v>
      </c>
      <c r="G79" s="175"/>
      <c r="H79" s="183" t="s">
        <v>30</v>
      </c>
      <c r="I79" s="75" t="s">
        <v>222</v>
      </c>
      <c r="J79" s="200" t="b">
        <v>1</v>
      </c>
      <c r="N79" s="187"/>
    </row>
    <row r="80" ht="22.5" customHeight="1">
      <c r="B80" s="62" t="s">
        <v>610</v>
      </c>
      <c r="C80" s="75" t="s">
        <v>143</v>
      </c>
      <c r="D80" s="203">
        <f>VLOOKUP(OrderShipment[Order ID],Orders[],IF(I80="Antar",4,6),FALSE)</f>
        <v>46155</v>
      </c>
      <c r="E80" s="175" t="str">
        <f>VLOOKUP(OrderShipment[Order ID],Orders[],2,FALSE)</f>
        <v>Anik</v>
      </c>
      <c r="F80" s="201" t="str">
        <f>VLOOKUP(OrderShipment[Order ID],Orders[],3,FALSE)</f>
        <v>Digituin Creative Lab</v>
      </c>
      <c r="G80" s="175">
        <v>1.0</v>
      </c>
      <c r="H80" s="183" t="s">
        <v>29</v>
      </c>
      <c r="I80" s="75" t="s">
        <v>222</v>
      </c>
      <c r="J80" s="200" t="b">
        <v>1</v>
      </c>
      <c r="N80" s="187"/>
    </row>
    <row r="81" ht="22.5" customHeight="1">
      <c r="B81" s="62" t="s">
        <v>610</v>
      </c>
      <c r="C81" s="75" t="s">
        <v>140</v>
      </c>
      <c r="D81" s="203">
        <f>VLOOKUP(OrderShipment[Order ID],Orders[],IF(I81="Antar",4,6),FALSE)</f>
        <v>46155</v>
      </c>
      <c r="E81" s="175" t="str">
        <f>VLOOKUP(OrderShipment[Order ID],Orders[],2,FALSE)</f>
        <v>Qui - Jo</v>
      </c>
      <c r="F81" s="201" t="str">
        <f>VLOOKUP(OrderShipment[Order ID],Orders[],3,FALSE)</f>
        <v>Gg. Bougenville 8-3</v>
      </c>
      <c r="G81" s="175">
        <v>2.0</v>
      </c>
      <c r="H81" s="183" t="s">
        <v>29</v>
      </c>
      <c r="I81" s="75" t="s">
        <v>225</v>
      </c>
      <c r="J81" s="200" t="b">
        <v>1</v>
      </c>
      <c r="N81" s="187"/>
    </row>
    <row r="82" ht="22.5" customHeight="1">
      <c r="B82" s="62" t="s">
        <v>612</v>
      </c>
      <c r="C82" s="75" t="s">
        <v>146</v>
      </c>
      <c r="D82" s="203">
        <f>VLOOKUP(OrderShipment[Order ID],Orders[],IF(I82="Antar",4,6),FALSE)</f>
        <v>46156</v>
      </c>
      <c r="E82" s="175" t="str">
        <f>VLOOKUP(OrderShipment[Order ID],Orders[],2,FALSE)</f>
        <v>Salsaa</v>
      </c>
      <c r="F82" s="201" t="str">
        <f>VLOOKUP(OrderShipment[Order ID],Orders[],3,FALSE)</f>
        <v>7° 44' 45.9838" S 110° 22' 16.9262" E</v>
      </c>
      <c r="G82" s="175"/>
      <c r="H82" s="183" t="s">
        <v>29</v>
      </c>
      <c r="I82" s="75" t="s">
        <v>222</v>
      </c>
      <c r="J82" s="200" t="b">
        <v>1</v>
      </c>
      <c r="N82" s="187"/>
    </row>
    <row r="83" ht="22.5" customHeight="1">
      <c r="B83" s="62" t="s">
        <v>612</v>
      </c>
      <c r="C83" s="75" t="s">
        <v>149</v>
      </c>
      <c r="D83" s="203">
        <f>VLOOKUP(OrderShipment[Order ID],Orders[],IF(I83="Antar",4,6),FALSE)</f>
        <v>46156</v>
      </c>
      <c r="E83" s="175" t="str">
        <f>VLOOKUP(OrderShipment[Order ID],Orders[],2,FALSE)</f>
        <v>Nita</v>
      </c>
      <c r="F83" s="201" t="str">
        <f>VLOOKUP(OrderShipment[Order ID],Orders[],3,FALSE)</f>
        <v>Nitasya MUA &amp; MANA Kopi Office</v>
      </c>
      <c r="G83" s="175"/>
      <c r="H83" s="183" t="s">
        <v>29</v>
      </c>
      <c r="I83" s="75" t="s">
        <v>222</v>
      </c>
      <c r="J83" s="200" t="b">
        <v>1</v>
      </c>
      <c r="N83" s="187"/>
    </row>
    <row r="84" ht="22.5" customHeight="1">
      <c r="B84" s="62" t="s">
        <v>612</v>
      </c>
      <c r="C84" s="75" t="s">
        <v>152</v>
      </c>
      <c r="D84" s="203">
        <f>VLOOKUP(OrderShipment[Order ID],Orders[],IF(I84="Antar",4,6),FALSE)</f>
        <v>46156</v>
      </c>
      <c r="E84" s="175" t="str">
        <f>VLOOKUP(OrderShipment[Order ID],Orders[],2,FALSE)</f>
        <v>Wening</v>
      </c>
      <c r="F84" s="201" t="str">
        <f>VLOOKUP(OrderShipment[Order ID],Orders[],3,FALSE)</f>
        <v>7° 44' 22.978" S 110° 19' 24.9078" E</v>
      </c>
      <c r="G84" s="175"/>
      <c r="H84" s="183" t="s">
        <v>29</v>
      </c>
      <c r="I84" s="75" t="s">
        <v>222</v>
      </c>
      <c r="J84" s="200" t="b">
        <v>1</v>
      </c>
      <c r="N84" s="187"/>
    </row>
    <row r="85" ht="22.5" customHeight="1">
      <c r="B85" s="62" t="s">
        <v>614</v>
      </c>
      <c r="C85" s="75" t="s">
        <v>155</v>
      </c>
      <c r="D85" s="203">
        <f>VLOOKUP(OrderShipment[Order ID],Orders[],IF(I85="Antar",4,6),FALSE)</f>
        <v>46156</v>
      </c>
      <c r="E85" s="175" t="str">
        <f>VLOOKUP(OrderShipment[Order ID],Orders[],2,FALSE)</f>
        <v>Andhi</v>
      </c>
      <c r="F85" s="201" t="str">
        <f>VLOOKUP(OrderShipment[Order ID],Orders[],3,FALSE)</f>
        <v>Kalya Hotel</v>
      </c>
      <c r="G85" s="175"/>
      <c r="H85" s="183" t="s">
        <v>30</v>
      </c>
      <c r="I85" s="75" t="s">
        <v>222</v>
      </c>
      <c r="J85" s="200" t="b">
        <v>1</v>
      </c>
      <c r="N85" s="187"/>
    </row>
    <row r="86" ht="22.5" customHeight="1">
      <c r="B86" s="62" t="s">
        <v>615</v>
      </c>
      <c r="C86" s="75" t="s">
        <v>143</v>
      </c>
      <c r="D86" s="203">
        <f>VLOOKUP(OrderShipment[Order ID],Orders[],IF(I86="Antar",4,6),FALSE)</f>
        <v>46157</v>
      </c>
      <c r="E86" s="175" t="str">
        <f>VLOOKUP(OrderShipment[Order ID],Orders[],2,FALSE)</f>
        <v>Anik</v>
      </c>
      <c r="F86" s="201" t="str">
        <f>VLOOKUP(OrderShipment[Order ID],Orders[],3,FALSE)</f>
        <v>Digituin Creative Lab</v>
      </c>
      <c r="G86" s="175"/>
      <c r="H86" s="183" t="s">
        <v>29</v>
      </c>
      <c r="I86" s="75" t="s">
        <v>225</v>
      </c>
      <c r="J86" s="200" t="b">
        <v>1</v>
      </c>
      <c r="N86" s="187"/>
    </row>
    <row r="87" ht="22.5" customHeight="1">
      <c r="B87" s="62" t="s">
        <v>617</v>
      </c>
      <c r="C87" s="75" t="s">
        <v>155</v>
      </c>
      <c r="D87" s="203">
        <f>VLOOKUP(OrderShipment[Order ID],Orders[],IF(I87="Antar",4,6),FALSE)</f>
        <v>46157</v>
      </c>
      <c r="E87" s="175" t="str">
        <f>VLOOKUP(OrderShipment[Order ID],Orders[],2,FALSE)</f>
        <v>Andhi</v>
      </c>
      <c r="F87" s="201" t="str">
        <f>VLOOKUP(OrderShipment[Order ID],Orders[],3,FALSE)</f>
        <v>Kalya Hotel</v>
      </c>
      <c r="G87" s="175"/>
      <c r="H87" s="183" t="s">
        <v>30</v>
      </c>
      <c r="I87" s="75" t="s">
        <v>225</v>
      </c>
      <c r="J87" s="200" t="b">
        <v>1</v>
      </c>
      <c r="N87" s="187"/>
    </row>
    <row r="88" ht="22.5" customHeight="1">
      <c r="B88" s="62" t="s">
        <v>618</v>
      </c>
      <c r="C88" s="75" t="s">
        <v>158</v>
      </c>
      <c r="D88" s="203">
        <f>VLOOKUP(OrderShipment[Order ID],Orders[],IF(I88="Antar",4,6),FALSE)</f>
        <v>46157</v>
      </c>
      <c r="E88" s="175" t="str">
        <f>VLOOKUP(OrderShipment[Order ID],Orders[],2,FALSE)</f>
        <v>Uwie</v>
      </c>
      <c r="F88" s="201" t="str">
        <f>VLOOKUP(OrderShipment[Order ID],Orders[],3,FALSE)</f>
        <v>Singgah.ndalem</v>
      </c>
      <c r="G88" s="175"/>
      <c r="H88" s="183" t="s">
        <v>30</v>
      </c>
      <c r="I88" s="75" t="s">
        <v>222</v>
      </c>
      <c r="J88" s="200" t="b">
        <v>1</v>
      </c>
      <c r="N88" s="187"/>
    </row>
    <row r="89" ht="22.5" customHeight="1">
      <c r="B89" s="62" t="s">
        <v>619</v>
      </c>
      <c r="C89" s="75" t="s">
        <v>158</v>
      </c>
      <c r="D89" s="203">
        <f>VLOOKUP(OrderShipment[Order ID],Orders[],IF(I89="Antar",4,6),FALSE)</f>
        <v>46158</v>
      </c>
      <c r="E89" s="175" t="str">
        <f>VLOOKUP(OrderShipment[Order ID],Orders[],2,FALSE)</f>
        <v>Uwie</v>
      </c>
      <c r="F89" s="201" t="str">
        <f>VLOOKUP(OrderShipment[Order ID],Orders[],3,FALSE)</f>
        <v>Singgah.ndalem</v>
      </c>
      <c r="G89" s="175"/>
      <c r="H89" s="183" t="s">
        <v>30</v>
      </c>
      <c r="I89" s="75" t="s">
        <v>225</v>
      </c>
      <c r="J89" s="200" t="b">
        <v>1</v>
      </c>
      <c r="N89" s="187"/>
    </row>
    <row r="90" ht="22.5" customHeight="1">
      <c r="B90" s="62" t="s">
        <v>620</v>
      </c>
      <c r="C90" s="75" t="s">
        <v>161</v>
      </c>
      <c r="D90" s="203">
        <f>VLOOKUP(OrderShipment[Order ID],Orders[],IF(I90="Antar",4,6),FALSE)</f>
        <v>46158</v>
      </c>
      <c r="E90" s="175" t="str">
        <f>VLOOKUP(OrderShipment[Order ID],Orders[],2,FALSE)</f>
        <v>Taufik</v>
      </c>
      <c r="F90" s="201" t="str">
        <f>VLOOKUP(OrderShipment[Order ID],Orders[],3,FALSE)</f>
        <v>7° 43' 33.7901" S 110° 15' 46.994" E</v>
      </c>
      <c r="G90" s="175"/>
      <c r="H90" s="183" t="s">
        <v>29</v>
      </c>
      <c r="I90" s="75" t="s">
        <v>222</v>
      </c>
      <c r="J90" s="200" t="b">
        <v>1</v>
      </c>
      <c r="N90" s="187"/>
    </row>
    <row r="91" ht="22.5" customHeight="1">
      <c r="B91" s="62" t="s">
        <v>622</v>
      </c>
      <c r="C91" s="183" t="s">
        <v>152</v>
      </c>
      <c r="D91" s="203">
        <f>VLOOKUP(OrderShipment[Order ID],Orders[],IF(I91="Antar",4,6),FALSE)</f>
        <v>46159</v>
      </c>
      <c r="E91" s="175" t="str">
        <f>VLOOKUP(OrderShipment[Order ID],Orders[],2,FALSE)</f>
        <v>Wening</v>
      </c>
      <c r="F91" s="201" t="str">
        <f>VLOOKUP(OrderShipment[Order ID],Orders[],3,FALSE)</f>
        <v>7° 44' 22.978" S 110° 19' 24.9078" E</v>
      </c>
      <c r="G91" s="175"/>
      <c r="H91" s="183" t="s">
        <v>29</v>
      </c>
      <c r="I91" s="183" t="s">
        <v>225</v>
      </c>
      <c r="J91" s="200" t="b">
        <v>1</v>
      </c>
      <c r="N91" s="187"/>
    </row>
    <row r="92" ht="22.5" customHeight="1">
      <c r="B92" s="62" t="s">
        <v>622</v>
      </c>
      <c r="C92" s="75" t="s">
        <v>149</v>
      </c>
      <c r="D92" s="203">
        <f>VLOOKUP(OrderShipment[Order ID],Orders[],IF(I92="Antar",4,6),FALSE)</f>
        <v>46159</v>
      </c>
      <c r="E92" s="175" t="str">
        <f>VLOOKUP(OrderShipment[Order ID],Orders[],2,FALSE)</f>
        <v>Nita</v>
      </c>
      <c r="F92" s="201" t="str">
        <f>VLOOKUP(OrderShipment[Order ID],Orders[],3,FALSE)</f>
        <v>Nitasya MUA &amp; MANA Kopi Office</v>
      </c>
      <c r="G92" s="175"/>
      <c r="H92" s="183" t="s">
        <v>29</v>
      </c>
      <c r="I92" s="75" t="s">
        <v>225</v>
      </c>
      <c r="J92" s="200" t="b">
        <v>1</v>
      </c>
      <c r="N92" s="187"/>
    </row>
    <row r="93" ht="22.5" customHeight="1">
      <c r="B93" s="62" t="s">
        <v>622</v>
      </c>
      <c r="C93" s="183" t="s">
        <v>161</v>
      </c>
      <c r="D93" s="203">
        <f>VLOOKUP(OrderShipment[Order ID],Orders[],IF(I93="Antar",4,6),FALSE)</f>
        <v>46159</v>
      </c>
      <c r="E93" s="175" t="str">
        <f>VLOOKUP(OrderShipment[Order ID],Orders[],2,FALSE)</f>
        <v>Taufik</v>
      </c>
      <c r="F93" s="201" t="str">
        <f>VLOOKUP(OrderShipment[Order ID],Orders[],3,FALSE)</f>
        <v>7° 43' 33.7901" S 110° 15' 46.994" E</v>
      </c>
      <c r="G93" s="175"/>
      <c r="H93" s="183" t="s">
        <v>29</v>
      </c>
      <c r="I93" s="183" t="s">
        <v>225</v>
      </c>
      <c r="J93" s="200" t="b">
        <v>1</v>
      </c>
      <c r="N93" s="187"/>
    </row>
    <row r="94" ht="22.5" customHeight="1">
      <c r="B94" s="62" t="s">
        <v>624</v>
      </c>
      <c r="C94" s="75" t="s">
        <v>146</v>
      </c>
      <c r="D94" s="203">
        <f>VLOOKUP(OrderShipment[Order ID],Orders[],IF(I94="Antar",4,6),FALSE)</f>
        <v>46159</v>
      </c>
      <c r="E94" s="175" t="str">
        <f>VLOOKUP(OrderShipment[Order ID],Orders[],2,FALSE)</f>
        <v>Salsaa</v>
      </c>
      <c r="F94" s="201" t="str">
        <f>VLOOKUP(OrderShipment[Order ID],Orders[],3,FALSE)</f>
        <v>7° 44' 45.9838" S 110° 22' 16.9262" E</v>
      </c>
      <c r="G94" s="175"/>
      <c r="H94" s="183" t="s">
        <v>29</v>
      </c>
      <c r="I94" s="75" t="s">
        <v>225</v>
      </c>
      <c r="J94" s="200" t="b">
        <v>1</v>
      </c>
      <c r="N94" s="187"/>
    </row>
    <row r="95" ht="22.5" customHeight="1">
      <c r="B95" s="62" t="s">
        <v>624</v>
      </c>
      <c r="C95" s="183" t="s">
        <v>164</v>
      </c>
      <c r="D95" s="203">
        <f>VLOOKUP(OrderShipment[Order ID],Orders[],IF(I95="Antar",4,6),FALSE)</f>
        <v>46159</v>
      </c>
      <c r="E95" s="175" t="str">
        <f>VLOOKUP(OrderShipment[Order ID],Orders[],2,FALSE)</f>
        <v>Hernawan</v>
      </c>
      <c r="F95" s="201" t="str">
        <f>VLOOKUP(OrderShipment[Order ID],Orders[],3,FALSE)</f>
        <v>Homestay Mondoroko "Bu Renuk"</v>
      </c>
      <c r="G95" s="175"/>
      <c r="H95" s="183" t="s">
        <v>29</v>
      </c>
      <c r="I95" s="183" t="s">
        <v>222</v>
      </c>
      <c r="J95" s="200" t="b">
        <v>1</v>
      </c>
      <c r="N95" s="187"/>
    </row>
    <row r="96" ht="22.5" customHeight="1">
      <c r="B96" s="62" t="s">
        <v>626</v>
      </c>
      <c r="C96" s="183" t="s">
        <v>164</v>
      </c>
      <c r="D96" s="203">
        <f>VLOOKUP(OrderShipment[Order ID],Orders[],IF(I96="Antar",4,6),FALSE)</f>
        <v>46160</v>
      </c>
      <c r="E96" s="175" t="str">
        <f>VLOOKUP(OrderShipment[Order ID],Orders[],2,FALSE)</f>
        <v>Hernawan</v>
      </c>
      <c r="F96" s="201" t="str">
        <f>VLOOKUP(OrderShipment[Order ID],Orders[],3,FALSE)</f>
        <v>Homestay Mondoroko "Bu Renuk"</v>
      </c>
      <c r="G96" s="175"/>
      <c r="H96" s="183" t="s">
        <v>29</v>
      </c>
      <c r="I96" s="183" t="s">
        <v>225</v>
      </c>
      <c r="J96" s="200" t="b">
        <v>1</v>
      </c>
      <c r="N96" s="187"/>
    </row>
    <row r="97" ht="22.5" customHeight="1">
      <c r="B97" s="62" t="s">
        <v>628</v>
      </c>
      <c r="C97" s="183" t="s">
        <v>167</v>
      </c>
      <c r="D97" s="203">
        <f>VLOOKUP(OrderShipment[Order ID],Orders[],IF(I97="Antar",4,6),FALSE)</f>
        <v>46162</v>
      </c>
      <c r="E97" s="175" t="str">
        <f>VLOOKUP(OrderShipment[Order ID],Orders[],2,FALSE)</f>
        <v>Wahida</v>
      </c>
      <c r="F97" s="201" t="str">
        <f>VLOOKUP(OrderShipment[Order ID],Orders[],3,FALSE)</f>
        <v>Griya Nousha</v>
      </c>
      <c r="G97" s="175"/>
      <c r="H97" s="183" t="s">
        <v>30</v>
      </c>
      <c r="I97" s="183" t="s">
        <v>222</v>
      </c>
      <c r="J97" s="200" t="b">
        <v>1</v>
      </c>
      <c r="N97" s="187"/>
    </row>
    <row r="98" ht="22.5" customHeight="1">
      <c r="B98" s="62" t="s">
        <v>629</v>
      </c>
      <c r="C98" s="183" t="s">
        <v>170</v>
      </c>
      <c r="D98" s="203">
        <f>VLOOKUP(OrderShipment[Order ID],Orders[],IF(I98="Antar",4,6),FALSE)</f>
        <v>46162</v>
      </c>
      <c r="E98" s="175" t="str">
        <f>VLOOKUP(OrderShipment[Order ID],Orders[],2,FALSE)</f>
        <v>Helena</v>
      </c>
      <c r="F98" s="201" t="str">
        <f>VLOOKUP(OrderShipment[Order ID],Orders[],3,FALSE)</f>
        <v>BMT BIF Cabang Tajem</v>
      </c>
      <c r="G98" s="175"/>
      <c r="H98" s="183" t="s">
        <v>30</v>
      </c>
      <c r="I98" s="183" t="s">
        <v>222</v>
      </c>
      <c r="J98" s="200" t="b">
        <v>1</v>
      </c>
      <c r="N98" s="187"/>
    </row>
    <row r="99" ht="22.5" customHeight="1">
      <c r="B99" s="62" t="s">
        <v>630</v>
      </c>
      <c r="C99" s="183" t="s">
        <v>172</v>
      </c>
      <c r="D99" s="203">
        <f>VLOOKUP(OrderShipment[Order ID],Orders[],IF(I99="Antar",4,6),FALSE)</f>
        <v>46163</v>
      </c>
      <c r="E99" s="175" t="str">
        <f>VLOOKUP(OrderShipment[Order ID],Orders[],2,FALSE)</f>
        <v>Bu Pujo </v>
      </c>
      <c r="F99" s="201" t="str">
        <f>VLOOKUP(OrderShipment[Order ID],Orders[],3,FALSE)</f>
        <v>7° 46' 12" S 110° 19' 57.9" E</v>
      </c>
      <c r="G99" s="175"/>
      <c r="H99" s="183" t="s">
        <v>29</v>
      </c>
      <c r="I99" s="183" t="s">
        <v>222</v>
      </c>
      <c r="J99" s="200" t="b">
        <v>1</v>
      </c>
      <c r="N99" s="187"/>
    </row>
    <row r="100" ht="22.5" customHeight="1">
      <c r="B100" s="62" t="s">
        <v>632</v>
      </c>
      <c r="C100" s="183" t="s">
        <v>172</v>
      </c>
      <c r="D100" s="203">
        <f>VLOOKUP(OrderShipment[Order ID],Orders[],IF(I100="Antar",4,6),FALSE)</f>
        <v>46164</v>
      </c>
      <c r="E100" s="175" t="str">
        <f>VLOOKUP(OrderShipment[Order ID],Orders[],2,FALSE)</f>
        <v>Bu Pujo </v>
      </c>
      <c r="F100" s="201" t="str">
        <f>VLOOKUP(OrderShipment[Order ID],Orders[],3,FALSE)</f>
        <v>7° 46' 12" S 110° 19' 57.9" E</v>
      </c>
      <c r="G100" s="175"/>
      <c r="H100" s="183" t="s">
        <v>29</v>
      </c>
      <c r="I100" s="183" t="s">
        <v>225</v>
      </c>
      <c r="J100" s="200" t="b">
        <v>1</v>
      </c>
      <c r="N100" s="187"/>
    </row>
    <row r="101" ht="22.5" customHeight="1">
      <c r="B101" s="62" t="s">
        <v>633</v>
      </c>
      <c r="C101" s="183" t="s">
        <v>167</v>
      </c>
      <c r="D101" s="203">
        <f>VLOOKUP(OrderShipment[Order ID],Orders[],IF(I101="Antar",4,6),FALSE)</f>
        <v>46165</v>
      </c>
      <c r="E101" s="175" t="str">
        <f>VLOOKUP(OrderShipment[Order ID],Orders[],2,FALSE)</f>
        <v>Wahida</v>
      </c>
      <c r="F101" s="201" t="str">
        <f>VLOOKUP(OrderShipment[Order ID],Orders[],3,FALSE)</f>
        <v>Griya Nousha</v>
      </c>
      <c r="G101" s="175"/>
      <c r="H101" s="183" t="s">
        <v>30</v>
      </c>
      <c r="I101" s="183" t="s">
        <v>225</v>
      </c>
      <c r="J101" s="200" t="b">
        <v>1</v>
      </c>
      <c r="N101" s="187"/>
    </row>
    <row r="102" ht="22.5" customHeight="1">
      <c r="B102" s="62" t="s">
        <v>634</v>
      </c>
      <c r="C102" s="183" t="s">
        <v>175</v>
      </c>
      <c r="D102" s="203">
        <f>VLOOKUP(OrderShipment[Order ID],Orders[],IF(I102="Antar",4,6),FALSE)</f>
        <v>46165</v>
      </c>
      <c r="E102" s="175" t="str">
        <f>VLOOKUP(OrderShipment[Order ID],Orders[],2,FALSE)</f>
        <v>Meilina</v>
      </c>
      <c r="F102" s="201" t="str">
        <f>VLOOKUP(OrderShipment[Order ID],Orders[],3,FALSE)</f>
        <v>Sambara HomeStay</v>
      </c>
      <c r="G102" s="175"/>
      <c r="H102" s="183" t="s">
        <v>29</v>
      </c>
      <c r="I102" s="183" t="s">
        <v>222</v>
      </c>
      <c r="J102" s="200" t="b">
        <v>1</v>
      </c>
      <c r="N102" s="187"/>
    </row>
    <row r="103" ht="22.5" customHeight="1">
      <c r="B103" s="62" t="s">
        <v>637</v>
      </c>
      <c r="C103" s="183" t="s">
        <v>170</v>
      </c>
      <c r="D103" s="203">
        <f>VLOOKUP(OrderShipment[Order ID],Orders[],IF(I103="Antar",4,6),FALSE)</f>
        <v>46167</v>
      </c>
      <c r="E103" s="175" t="str">
        <f>VLOOKUP(OrderShipment[Order ID],Orders[],2,FALSE)</f>
        <v>Helena</v>
      </c>
      <c r="F103" s="201" t="str">
        <f>VLOOKUP(OrderShipment[Order ID],Orders[],3,FALSE)</f>
        <v>BMT BIF Cabang Tajem</v>
      </c>
      <c r="G103" s="175"/>
      <c r="H103" s="183" t="s">
        <v>30</v>
      </c>
      <c r="I103" s="183" t="s">
        <v>225</v>
      </c>
      <c r="J103" s="200" t="b">
        <v>1</v>
      </c>
      <c r="N103" s="187"/>
    </row>
    <row r="104" ht="22.5" customHeight="1">
      <c r="B104" s="62" t="s">
        <v>637</v>
      </c>
      <c r="C104" s="183" t="s">
        <v>178</v>
      </c>
      <c r="D104" s="203">
        <f>VLOOKUP(OrderShipment[Order ID],Orders[],IF(I104="Antar",4,6),FALSE)</f>
        <v>46167</v>
      </c>
      <c r="E104" s="175" t="str">
        <f>VLOOKUP(OrderShipment[Order ID],Orders[],2,FALSE)</f>
        <v>Meilina</v>
      </c>
      <c r="F104" s="201" t="str">
        <f>VLOOKUP(OrderShipment[Order ID],Orders[],3,FALSE)</f>
        <v>Sambara HomeStay</v>
      </c>
      <c r="G104" s="175"/>
      <c r="H104" s="183" t="s">
        <v>30</v>
      </c>
      <c r="I104" s="183" t="s">
        <v>222</v>
      </c>
      <c r="J104" s="200" t="b">
        <v>1</v>
      </c>
      <c r="N104" s="187"/>
    </row>
    <row r="105" ht="22.5" customHeight="1">
      <c r="B105" s="62" t="s">
        <v>638</v>
      </c>
      <c r="C105" s="183" t="s">
        <v>179</v>
      </c>
      <c r="D105" s="203">
        <f>VLOOKUP(OrderShipment[Order ID],Orders[],IF(I105="Antar",4,6),FALSE)</f>
        <v>46168</v>
      </c>
      <c r="E105" s="175" t="str">
        <f>VLOOKUP(OrderShipment[Order ID],Orders[],2,FALSE)</f>
        <v>Retno</v>
      </c>
      <c r="F105" s="19" t="str">
        <f>VLOOKUP(OrderShipment[Order ID],Orders[],3,FALSE)</f>
        <v>Royal Sedayu Residence</v>
      </c>
      <c r="G105" s="175"/>
      <c r="H105" s="183" t="s">
        <v>29</v>
      </c>
      <c r="I105" s="183" t="s">
        <v>222</v>
      </c>
      <c r="J105" s="200" t="b">
        <v>1</v>
      </c>
      <c r="N105" s="187"/>
    </row>
    <row r="106" ht="22.5" customHeight="1">
      <c r="B106" s="62" t="s">
        <v>638</v>
      </c>
      <c r="C106" s="183" t="s">
        <v>182</v>
      </c>
      <c r="D106" s="203">
        <f>VLOOKUP(OrderShipment[Order ID],Orders[],IF(I106="Antar",4,6),FALSE)</f>
        <v>46168</v>
      </c>
      <c r="E106" s="175" t="str">
        <f>VLOOKUP(OrderShipment[Order ID],Orders[],2,FALSE)</f>
        <v>Supriyanto</v>
      </c>
      <c r="F106" s="19" t="s">
        <v>648</v>
      </c>
      <c r="G106" s="175"/>
      <c r="H106" s="183" t="s">
        <v>29</v>
      </c>
      <c r="I106" s="183" t="s">
        <v>222</v>
      </c>
      <c r="J106" s="200" t="b">
        <v>1</v>
      </c>
      <c r="N106" s="187"/>
    </row>
    <row r="107" ht="22.5" customHeight="1">
      <c r="B107" s="62" t="s">
        <v>640</v>
      </c>
      <c r="C107" s="183" t="s">
        <v>178</v>
      </c>
      <c r="D107" s="203">
        <f>VLOOKUP(OrderShipment[Order ID],Orders[],IF(I107="Antar",4,6),FALSE)</f>
        <v>46168</v>
      </c>
      <c r="E107" s="175" t="str">
        <f>VLOOKUP(OrderShipment[Order ID],Orders[],2,FALSE)</f>
        <v>Meilina</v>
      </c>
      <c r="F107" s="201" t="str">
        <f>VLOOKUP(OrderShipment[Order ID],Orders[],3,FALSE)</f>
        <v>Sambara HomeStay</v>
      </c>
      <c r="G107" s="175"/>
      <c r="H107" s="183" t="s">
        <v>29</v>
      </c>
      <c r="I107" s="183" t="s">
        <v>225</v>
      </c>
      <c r="J107" s="200" t="b">
        <v>1</v>
      </c>
      <c r="N107" s="187"/>
    </row>
    <row r="108" ht="22.5" customHeight="1">
      <c r="B108" s="173"/>
      <c r="C108" s="183" t="s">
        <v>184</v>
      </c>
      <c r="D108" s="203">
        <f>VLOOKUP(OrderShipment[Order ID],Orders[],IF(I108="Antar",4,6),FALSE)</f>
        <v>46171</v>
      </c>
      <c r="E108" s="175" t="str">
        <f>VLOOKUP(OrderShipment[Order ID],Orders[],2,FALSE)</f>
        <v>M. Lutfi</v>
      </c>
      <c r="F108" s="201" t="str">
        <f>VLOOKUP(OrderShipment[Order ID],Orders[],3,FALSE)</f>
        <v>Homestay Sido Sare</v>
      </c>
      <c r="G108" s="175"/>
      <c r="H108" s="174"/>
      <c r="I108" s="183" t="s">
        <v>222</v>
      </c>
      <c r="J108" s="200" t="b">
        <v>0</v>
      </c>
      <c r="N108" s="187"/>
    </row>
    <row r="109" ht="22.5" customHeight="1">
      <c r="B109" s="173"/>
      <c r="C109" s="183" t="s">
        <v>179</v>
      </c>
      <c r="D109" s="203">
        <f>VLOOKUP(OrderShipment[Order ID],Orders[],IF(I109="Antar",4,6),FALSE)</f>
        <v>46172</v>
      </c>
      <c r="E109" s="175" t="str">
        <f>VLOOKUP(OrderShipment[Order ID],Orders[],2,FALSE)</f>
        <v>Retno</v>
      </c>
      <c r="F109" s="19" t="str">
        <f>VLOOKUP(OrderShipment[Order ID],Orders[],3,FALSE)</f>
        <v>Royal Sedayu Residence</v>
      </c>
      <c r="G109" s="175"/>
      <c r="H109" s="174"/>
      <c r="I109" s="183" t="s">
        <v>225</v>
      </c>
      <c r="J109" s="200" t="b">
        <v>0</v>
      </c>
      <c r="N109" s="187"/>
    </row>
    <row r="110" ht="22.5" customHeight="1">
      <c r="B110" s="173"/>
      <c r="C110" s="183" t="s">
        <v>187</v>
      </c>
      <c r="D110" s="203">
        <f>VLOOKUP(OrderShipment[Order ID],Orders[],IF(I110="Antar",4,6),FALSE)</f>
        <v>46172</v>
      </c>
      <c r="E110" s="175" t="str">
        <f>VLOOKUP(OrderShipment[Order ID],Orders[],2,FALSE)</f>
        <v>Andi</v>
      </c>
      <c r="F110" s="201" t="str">
        <f>VLOOKUP(OrderShipment[Order ID],Orders[],3,FALSE)</f>
        <v>Gg. Loncang No.162-136</v>
      </c>
      <c r="G110" s="175"/>
      <c r="H110" s="174"/>
      <c r="I110" s="183" t="s">
        <v>222</v>
      </c>
      <c r="J110" s="200" t="b">
        <v>0</v>
      </c>
      <c r="N110" s="187"/>
    </row>
    <row r="111" ht="22.5" customHeight="1">
      <c r="B111" s="173"/>
      <c r="C111" s="183" t="s">
        <v>190</v>
      </c>
      <c r="D111" s="203">
        <f>VLOOKUP(OrderShipment[Order ID],Orders[],IF(I111="Antar",4,6),FALSE)</f>
        <v>46172</v>
      </c>
      <c r="E111" s="175" t="str">
        <f>VLOOKUP(OrderShipment[Order ID],Orders[],2,FALSE)</f>
        <v>Tri Widh</v>
      </c>
      <c r="F111" s="201" t="str">
        <f>VLOOKUP(OrderShipment[Order ID],Orders[],3,FALSE)</f>
        <v>7° 44' 21.0905" S 110° 24' 28.4566" E</v>
      </c>
      <c r="G111" s="175"/>
      <c r="H111" s="174"/>
      <c r="I111" s="183" t="s">
        <v>222</v>
      </c>
      <c r="J111" s="200" t="b">
        <v>0</v>
      </c>
      <c r="N111" s="187"/>
    </row>
    <row r="112" ht="22.5" customHeight="1">
      <c r="B112" s="173"/>
      <c r="C112" s="183" t="s">
        <v>182</v>
      </c>
      <c r="D112" s="203">
        <f>VLOOKUP(OrderShipment[Order ID],Orders[],IF(I112="Antar",4,6),FALSE)</f>
        <v>46174</v>
      </c>
      <c r="E112" s="175" t="str">
        <f>VLOOKUP(OrderShipment[Order ID],Orders[],2,FALSE)</f>
        <v>Supriyanto</v>
      </c>
      <c r="F112" s="19" t="s">
        <v>648</v>
      </c>
      <c r="G112" s="175"/>
      <c r="H112" s="174"/>
      <c r="I112" s="183" t="s">
        <v>225</v>
      </c>
      <c r="J112" s="200" t="b">
        <v>0</v>
      </c>
      <c r="N112" s="187"/>
    </row>
    <row r="113" ht="22.5" customHeight="1">
      <c r="B113" s="173"/>
      <c r="C113" s="183" t="s">
        <v>184</v>
      </c>
      <c r="D113" s="203">
        <f>VLOOKUP(OrderShipment[Order ID],Orders[],IF(I113="Antar",4,6),FALSE)</f>
        <v>46174</v>
      </c>
      <c r="E113" s="175" t="str">
        <f>VLOOKUP(OrderShipment[Order ID],Orders[],2,FALSE)</f>
        <v>M. Lutfi</v>
      </c>
      <c r="F113" s="201" t="str">
        <f>VLOOKUP(OrderShipment[Order ID],Orders[],3,FALSE)</f>
        <v>Homestay Sido Sare</v>
      </c>
      <c r="G113" s="175"/>
      <c r="H113" s="174"/>
      <c r="I113" s="183" t="s">
        <v>225</v>
      </c>
      <c r="J113" s="200" t="b">
        <v>0</v>
      </c>
      <c r="N113" s="187"/>
    </row>
    <row r="114" ht="22.5" customHeight="1">
      <c r="B114" s="173"/>
      <c r="C114" s="183" t="s">
        <v>187</v>
      </c>
      <c r="D114" s="203">
        <f>VLOOKUP(OrderShipment[Order ID],Orders[],IF(I114="Antar",4,6),FALSE)</f>
        <v>46174</v>
      </c>
      <c r="E114" s="175" t="str">
        <f>VLOOKUP(OrderShipment[Order ID],Orders[],2,FALSE)</f>
        <v>Andi</v>
      </c>
      <c r="F114" s="201" t="str">
        <f>VLOOKUP(OrderShipment[Order ID],Orders[],3,FALSE)</f>
        <v>Gg. Loncang No.162-136</v>
      </c>
      <c r="G114" s="175"/>
      <c r="H114" s="174"/>
      <c r="I114" s="183" t="s">
        <v>225</v>
      </c>
      <c r="J114" s="200" t="b">
        <v>0</v>
      </c>
      <c r="N114" s="187"/>
    </row>
    <row r="115" ht="22.5" customHeight="1">
      <c r="B115" s="173"/>
      <c r="C115" s="183" t="s">
        <v>190</v>
      </c>
      <c r="D115" s="203">
        <f>VLOOKUP(OrderShipment[Order ID],Orders[],IF(I115="Antar",4,6),FALSE)</f>
        <v>46174</v>
      </c>
      <c r="E115" s="175" t="str">
        <f>VLOOKUP(OrderShipment[Order ID],Orders[],2,FALSE)</f>
        <v>Tri Widh</v>
      </c>
      <c r="F115" s="201" t="str">
        <f>VLOOKUP(OrderShipment[Order ID],Orders[],3,FALSE)</f>
        <v>7° 44' 21.0905" S 110° 24' 28.4566" E</v>
      </c>
      <c r="G115" s="175"/>
      <c r="H115" s="174"/>
      <c r="I115" s="183" t="s">
        <v>225</v>
      </c>
      <c r="J115" s="200" t="b">
        <v>0</v>
      </c>
      <c r="N115" s="187"/>
    </row>
    <row r="116">
      <c r="N116" s="187"/>
    </row>
    <row r="117">
      <c r="N117" s="187"/>
    </row>
    <row r="118">
      <c r="N118" s="187"/>
    </row>
    <row r="119">
      <c r="N119" s="187"/>
    </row>
    <row r="120">
      <c r="N120" s="187"/>
    </row>
    <row r="121">
      <c r="N121" s="187"/>
    </row>
    <row r="122">
      <c r="N122" s="187"/>
    </row>
    <row r="123">
      <c r="N123" s="187"/>
    </row>
    <row r="124">
      <c r="N124" s="187"/>
    </row>
    <row r="125">
      <c r="N125" s="187"/>
    </row>
    <row r="126">
      <c r="N126" s="187"/>
    </row>
    <row r="127">
      <c r="N127" s="187"/>
    </row>
    <row r="128">
      <c r="N128" s="187"/>
    </row>
    <row r="129">
      <c r="N129" s="187"/>
    </row>
    <row r="130">
      <c r="N130" s="187"/>
    </row>
    <row r="131">
      <c r="N131" s="187"/>
    </row>
    <row r="132">
      <c r="N132" s="187"/>
    </row>
    <row r="133">
      <c r="N133" s="187"/>
    </row>
    <row r="134">
      <c r="N134" s="187"/>
    </row>
    <row r="135">
      <c r="N135" s="187"/>
    </row>
    <row r="136">
      <c r="N136" s="187"/>
    </row>
    <row r="137">
      <c r="N137" s="187"/>
    </row>
    <row r="138">
      <c r="N138" s="187"/>
    </row>
    <row r="139">
      <c r="N139" s="187"/>
    </row>
    <row r="140">
      <c r="N140" s="187"/>
    </row>
    <row r="141">
      <c r="N141" s="187"/>
    </row>
    <row r="142">
      <c r="N142" s="187"/>
    </row>
    <row r="143">
      <c r="N143" s="187"/>
    </row>
    <row r="144">
      <c r="N144" s="187"/>
    </row>
    <row r="145">
      <c r="N145" s="187"/>
    </row>
    <row r="146">
      <c r="N146" s="187"/>
    </row>
    <row r="147">
      <c r="N147" s="187"/>
    </row>
    <row r="148">
      <c r="N148" s="187"/>
    </row>
    <row r="149">
      <c r="N149" s="187"/>
    </row>
    <row r="150">
      <c r="N150" s="187"/>
    </row>
    <row r="151">
      <c r="N151" s="187"/>
    </row>
    <row r="152">
      <c r="N152" s="187"/>
    </row>
    <row r="153">
      <c r="N153" s="187"/>
    </row>
    <row r="154">
      <c r="N154" s="187"/>
    </row>
    <row r="155">
      <c r="N155" s="187"/>
    </row>
    <row r="156">
      <c r="N156" s="187"/>
    </row>
    <row r="157">
      <c r="N157" s="187"/>
    </row>
    <row r="158">
      <c r="N158" s="187"/>
    </row>
    <row r="159">
      <c r="N159" s="187"/>
    </row>
    <row r="160">
      <c r="N160" s="187"/>
    </row>
    <row r="161">
      <c r="N161" s="187"/>
    </row>
    <row r="162">
      <c r="N162" s="187"/>
    </row>
    <row r="163">
      <c r="N163" s="187"/>
    </row>
    <row r="164">
      <c r="N164" s="187"/>
    </row>
    <row r="165">
      <c r="N165" s="187"/>
    </row>
    <row r="166">
      <c r="N166" s="187"/>
    </row>
    <row r="167">
      <c r="N167" s="187"/>
    </row>
    <row r="168">
      <c r="N168" s="187"/>
    </row>
    <row r="169">
      <c r="N169" s="187"/>
    </row>
    <row r="170">
      <c r="N170" s="187"/>
    </row>
    <row r="171">
      <c r="N171" s="187"/>
    </row>
    <row r="172">
      <c r="N172" s="187"/>
    </row>
    <row r="173">
      <c r="N173" s="187"/>
    </row>
    <row r="174">
      <c r="N174" s="187"/>
    </row>
    <row r="175">
      <c r="N175" s="187"/>
    </row>
    <row r="176">
      <c r="N176" s="187"/>
    </row>
    <row r="177">
      <c r="N177" s="187"/>
    </row>
    <row r="178">
      <c r="N178" s="187"/>
    </row>
    <row r="179">
      <c r="N179" s="187"/>
    </row>
    <row r="180">
      <c r="N180" s="187"/>
    </row>
    <row r="181">
      <c r="N181" s="187"/>
    </row>
    <row r="182">
      <c r="N182" s="187"/>
    </row>
    <row r="183">
      <c r="N183" s="187"/>
    </row>
    <row r="184">
      <c r="N184" s="187"/>
    </row>
    <row r="185">
      <c r="N185" s="187"/>
    </row>
    <row r="186">
      <c r="N186" s="187"/>
    </row>
    <row r="187">
      <c r="N187" s="187"/>
    </row>
    <row r="188">
      <c r="N188" s="187"/>
    </row>
    <row r="189">
      <c r="N189" s="187"/>
    </row>
    <row r="190">
      <c r="N190" s="187"/>
    </row>
    <row r="191">
      <c r="N191" s="187"/>
    </row>
    <row r="192">
      <c r="N192" s="187"/>
    </row>
    <row r="193">
      <c r="N193" s="187"/>
    </row>
    <row r="194">
      <c r="N194" s="187"/>
    </row>
    <row r="195">
      <c r="N195" s="187"/>
    </row>
    <row r="196">
      <c r="N196" s="187"/>
    </row>
    <row r="197">
      <c r="N197" s="187"/>
    </row>
    <row r="198">
      <c r="N198" s="187"/>
    </row>
    <row r="199">
      <c r="N199" s="187"/>
    </row>
    <row r="200">
      <c r="N200" s="187"/>
    </row>
    <row r="201">
      <c r="N201" s="187"/>
    </row>
    <row r="202">
      <c r="N202" s="187"/>
    </row>
    <row r="203">
      <c r="N203" s="187"/>
    </row>
    <row r="204">
      <c r="N204" s="187"/>
    </row>
    <row r="205">
      <c r="N205" s="187"/>
    </row>
    <row r="206">
      <c r="N206" s="187"/>
    </row>
    <row r="207">
      <c r="N207" s="187"/>
    </row>
    <row r="208">
      <c r="N208" s="187"/>
    </row>
    <row r="209">
      <c r="N209" s="187"/>
    </row>
    <row r="210">
      <c r="N210" s="187"/>
    </row>
    <row r="211">
      <c r="N211" s="187"/>
    </row>
    <row r="212">
      <c r="N212" s="187"/>
    </row>
    <row r="213">
      <c r="N213" s="187"/>
    </row>
    <row r="214">
      <c r="N214" s="187"/>
    </row>
    <row r="215">
      <c r="N215" s="187"/>
    </row>
    <row r="216">
      <c r="N216" s="187"/>
    </row>
    <row r="217">
      <c r="N217" s="187"/>
    </row>
    <row r="218">
      <c r="N218" s="187"/>
    </row>
    <row r="219">
      <c r="N219" s="187"/>
    </row>
    <row r="220">
      <c r="N220" s="187"/>
    </row>
    <row r="221">
      <c r="N221" s="187"/>
    </row>
    <row r="222">
      <c r="N222" s="187"/>
    </row>
    <row r="223">
      <c r="N223" s="187"/>
    </row>
    <row r="224">
      <c r="N224" s="187"/>
    </row>
    <row r="225">
      <c r="N225" s="187"/>
    </row>
    <row r="226">
      <c r="N226" s="187"/>
    </row>
    <row r="227">
      <c r="N227" s="187"/>
    </row>
    <row r="228">
      <c r="N228" s="187"/>
    </row>
    <row r="229">
      <c r="N229" s="187"/>
    </row>
    <row r="230">
      <c r="N230" s="187"/>
    </row>
    <row r="231">
      <c r="N231" s="187"/>
    </row>
    <row r="232">
      <c r="N232" s="187"/>
    </row>
    <row r="233">
      <c r="N233" s="187"/>
    </row>
    <row r="234">
      <c r="N234" s="187"/>
    </row>
    <row r="235">
      <c r="N235" s="187"/>
    </row>
    <row r="236">
      <c r="N236" s="187"/>
    </row>
    <row r="237">
      <c r="N237" s="187"/>
    </row>
    <row r="238">
      <c r="N238" s="187"/>
    </row>
    <row r="239">
      <c r="N239" s="187"/>
    </row>
    <row r="240">
      <c r="N240" s="187"/>
    </row>
    <row r="241">
      <c r="N241" s="187"/>
    </row>
    <row r="242">
      <c r="N242" s="187"/>
    </row>
    <row r="243">
      <c r="N243" s="187"/>
    </row>
    <row r="244">
      <c r="N244" s="187"/>
    </row>
    <row r="245">
      <c r="N245" s="187"/>
    </row>
    <row r="246">
      <c r="N246" s="187"/>
    </row>
    <row r="247">
      <c r="N247" s="187"/>
    </row>
    <row r="248">
      <c r="N248" s="187"/>
    </row>
    <row r="249">
      <c r="N249" s="187"/>
    </row>
    <row r="250">
      <c r="N250" s="187"/>
    </row>
    <row r="251">
      <c r="N251" s="187"/>
    </row>
    <row r="252">
      <c r="N252" s="187"/>
    </row>
    <row r="253">
      <c r="N253" s="187"/>
    </row>
    <row r="254">
      <c r="N254" s="187"/>
    </row>
    <row r="255">
      <c r="N255" s="187"/>
    </row>
    <row r="256">
      <c r="N256" s="187"/>
    </row>
    <row r="257">
      <c r="N257" s="187"/>
    </row>
    <row r="258">
      <c r="N258" s="187"/>
    </row>
    <row r="259">
      <c r="N259" s="187"/>
    </row>
    <row r="260">
      <c r="N260" s="187"/>
    </row>
    <row r="261">
      <c r="N261" s="187"/>
    </row>
    <row r="262">
      <c r="N262" s="187"/>
    </row>
    <row r="263">
      <c r="N263" s="187"/>
    </row>
    <row r="264">
      <c r="N264" s="187"/>
    </row>
    <row r="265">
      <c r="N265" s="187"/>
    </row>
    <row r="266">
      <c r="N266" s="187"/>
    </row>
    <row r="267">
      <c r="N267" s="187"/>
    </row>
    <row r="268">
      <c r="N268" s="187"/>
    </row>
    <row r="269">
      <c r="N269" s="187"/>
    </row>
    <row r="270">
      <c r="N270" s="187"/>
    </row>
    <row r="271">
      <c r="N271" s="187"/>
    </row>
    <row r="272">
      <c r="N272" s="187"/>
    </row>
    <row r="273">
      <c r="N273" s="187"/>
    </row>
    <row r="274">
      <c r="N274" s="187"/>
    </row>
    <row r="275">
      <c r="N275" s="187"/>
    </row>
    <row r="276">
      <c r="N276" s="187"/>
    </row>
    <row r="277">
      <c r="N277" s="187"/>
    </row>
    <row r="278">
      <c r="N278" s="187"/>
    </row>
    <row r="279">
      <c r="N279" s="187"/>
    </row>
    <row r="280">
      <c r="N280" s="187"/>
    </row>
    <row r="281">
      <c r="N281" s="187"/>
    </row>
    <row r="282">
      <c r="N282" s="187"/>
    </row>
    <row r="283">
      <c r="N283" s="187"/>
    </row>
    <row r="284">
      <c r="N284" s="187"/>
    </row>
    <row r="285">
      <c r="N285" s="187"/>
    </row>
    <row r="286">
      <c r="N286" s="187"/>
    </row>
    <row r="287">
      <c r="N287" s="187"/>
    </row>
    <row r="288">
      <c r="N288" s="187"/>
    </row>
    <row r="289">
      <c r="N289" s="187"/>
    </row>
    <row r="290">
      <c r="N290" s="187"/>
    </row>
    <row r="291">
      <c r="N291" s="187"/>
    </row>
    <row r="292">
      <c r="N292" s="187"/>
    </row>
    <row r="293">
      <c r="N293" s="187"/>
    </row>
    <row r="294">
      <c r="N294" s="187"/>
    </row>
    <row r="295">
      <c r="N295" s="187"/>
    </row>
    <row r="296">
      <c r="N296" s="187"/>
    </row>
    <row r="297">
      <c r="N297" s="187"/>
    </row>
    <row r="298">
      <c r="N298" s="187"/>
    </row>
    <row r="299">
      <c r="N299" s="187"/>
    </row>
    <row r="300">
      <c r="N300" s="187"/>
    </row>
    <row r="301">
      <c r="N301" s="187"/>
    </row>
    <row r="302">
      <c r="N302" s="187"/>
    </row>
    <row r="303">
      <c r="N303" s="187"/>
    </row>
    <row r="304">
      <c r="N304" s="187"/>
    </row>
    <row r="305">
      <c r="N305" s="187"/>
    </row>
    <row r="306">
      <c r="N306" s="187"/>
    </row>
    <row r="307">
      <c r="N307" s="187"/>
    </row>
    <row r="308">
      <c r="N308" s="187"/>
    </row>
    <row r="309">
      <c r="N309" s="187"/>
    </row>
    <row r="310">
      <c r="N310" s="187"/>
    </row>
    <row r="311">
      <c r="N311" s="187"/>
    </row>
    <row r="312">
      <c r="N312" s="187"/>
    </row>
    <row r="313">
      <c r="N313" s="187"/>
    </row>
    <row r="314">
      <c r="N314" s="187"/>
    </row>
    <row r="315">
      <c r="N315" s="187"/>
    </row>
    <row r="316">
      <c r="N316" s="187"/>
    </row>
    <row r="317">
      <c r="N317" s="187"/>
    </row>
    <row r="318">
      <c r="N318" s="187"/>
    </row>
    <row r="319">
      <c r="N319" s="187"/>
    </row>
    <row r="320">
      <c r="N320" s="187"/>
    </row>
    <row r="321">
      <c r="N321" s="187"/>
    </row>
    <row r="322">
      <c r="N322" s="187"/>
    </row>
    <row r="323">
      <c r="N323" s="187"/>
    </row>
    <row r="324">
      <c r="N324" s="187"/>
    </row>
    <row r="325">
      <c r="N325" s="187"/>
    </row>
    <row r="326">
      <c r="N326" s="187"/>
    </row>
    <row r="327">
      <c r="N327" s="187"/>
    </row>
    <row r="328">
      <c r="N328" s="187"/>
    </row>
    <row r="329">
      <c r="N329" s="187"/>
    </row>
    <row r="330">
      <c r="N330" s="187"/>
    </row>
    <row r="331">
      <c r="N331" s="187"/>
    </row>
    <row r="332">
      <c r="N332" s="187"/>
    </row>
    <row r="333">
      <c r="N333" s="187"/>
    </row>
    <row r="334">
      <c r="N334" s="187"/>
    </row>
    <row r="335">
      <c r="N335" s="187"/>
    </row>
    <row r="336">
      <c r="N336" s="187"/>
    </row>
    <row r="337">
      <c r="N337" s="187"/>
    </row>
    <row r="338">
      <c r="N338" s="187"/>
    </row>
    <row r="339">
      <c r="N339" s="187"/>
    </row>
    <row r="340">
      <c r="N340" s="187"/>
    </row>
    <row r="341">
      <c r="N341" s="187"/>
    </row>
    <row r="342">
      <c r="N342" s="187"/>
    </row>
    <row r="343">
      <c r="N343" s="187"/>
    </row>
    <row r="344">
      <c r="N344" s="187"/>
    </row>
    <row r="345">
      <c r="N345" s="187"/>
    </row>
    <row r="346">
      <c r="N346" s="187"/>
    </row>
    <row r="347">
      <c r="N347" s="187"/>
    </row>
    <row r="348">
      <c r="N348" s="187"/>
    </row>
    <row r="349">
      <c r="N349" s="187"/>
    </row>
    <row r="350">
      <c r="N350" s="187"/>
    </row>
    <row r="351">
      <c r="N351" s="187"/>
    </row>
    <row r="352">
      <c r="N352" s="187"/>
    </row>
    <row r="353">
      <c r="N353" s="187"/>
    </row>
    <row r="354">
      <c r="N354" s="187"/>
    </row>
    <row r="355">
      <c r="N355" s="187"/>
    </row>
    <row r="356">
      <c r="N356" s="187"/>
    </row>
    <row r="357">
      <c r="N357" s="187"/>
    </row>
    <row r="358">
      <c r="N358" s="187"/>
    </row>
    <row r="359">
      <c r="N359" s="187"/>
    </row>
    <row r="360">
      <c r="N360" s="187"/>
    </row>
    <row r="361">
      <c r="N361" s="187"/>
    </row>
    <row r="362">
      <c r="N362" s="187"/>
    </row>
    <row r="363">
      <c r="N363" s="187"/>
    </row>
    <row r="364">
      <c r="N364" s="187"/>
    </row>
    <row r="365">
      <c r="N365" s="187"/>
    </row>
    <row r="366">
      <c r="N366" s="187"/>
    </row>
    <row r="367">
      <c r="N367" s="187"/>
    </row>
    <row r="368">
      <c r="N368" s="187"/>
    </row>
    <row r="369">
      <c r="N369" s="187"/>
    </row>
    <row r="370">
      <c r="N370" s="187"/>
    </row>
    <row r="371">
      <c r="N371" s="187"/>
    </row>
    <row r="372">
      <c r="N372" s="187"/>
    </row>
    <row r="373">
      <c r="N373" s="187"/>
    </row>
    <row r="374">
      <c r="N374" s="187"/>
    </row>
    <row r="375">
      <c r="N375" s="187"/>
    </row>
    <row r="376">
      <c r="N376" s="187"/>
    </row>
    <row r="377">
      <c r="N377" s="187"/>
    </row>
    <row r="378">
      <c r="N378" s="187"/>
    </row>
    <row r="379">
      <c r="N379" s="187"/>
    </row>
    <row r="380">
      <c r="N380" s="187"/>
    </row>
    <row r="381">
      <c r="N381" s="187"/>
    </row>
    <row r="382">
      <c r="N382" s="187"/>
    </row>
    <row r="383">
      <c r="N383" s="187"/>
    </row>
    <row r="384">
      <c r="N384" s="187"/>
    </row>
    <row r="385">
      <c r="N385" s="187"/>
    </row>
    <row r="386">
      <c r="N386" s="187"/>
    </row>
    <row r="387">
      <c r="N387" s="187"/>
    </row>
    <row r="388">
      <c r="N388" s="187"/>
    </row>
    <row r="389">
      <c r="N389" s="187"/>
    </row>
    <row r="390">
      <c r="N390" s="187"/>
    </row>
    <row r="391">
      <c r="N391" s="187"/>
    </row>
    <row r="392">
      <c r="N392" s="187"/>
    </row>
    <row r="393">
      <c r="N393" s="187"/>
    </row>
    <row r="394">
      <c r="N394" s="187"/>
    </row>
    <row r="395">
      <c r="N395" s="187"/>
    </row>
    <row r="396">
      <c r="N396" s="187"/>
    </row>
    <row r="397">
      <c r="N397" s="187"/>
    </row>
    <row r="398">
      <c r="N398" s="187"/>
    </row>
    <row r="399">
      <c r="N399" s="187"/>
    </row>
    <row r="400">
      <c r="N400" s="187"/>
    </row>
    <row r="401">
      <c r="N401" s="187"/>
    </row>
    <row r="402">
      <c r="N402" s="187"/>
    </row>
    <row r="403">
      <c r="N403" s="187"/>
    </row>
    <row r="404">
      <c r="N404" s="187"/>
    </row>
    <row r="405">
      <c r="N405" s="187"/>
    </row>
    <row r="406">
      <c r="N406" s="187"/>
    </row>
    <row r="407">
      <c r="N407" s="187"/>
    </row>
    <row r="408">
      <c r="N408" s="187"/>
    </row>
    <row r="409">
      <c r="N409" s="187"/>
    </row>
    <row r="410">
      <c r="N410" s="187"/>
    </row>
    <row r="411">
      <c r="N411" s="187"/>
    </row>
    <row r="412">
      <c r="N412" s="187"/>
    </row>
    <row r="413">
      <c r="N413" s="187"/>
    </row>
    <row r="414">
      <c r="N414" s="187"/>
    </row>
    <row r="415">
      <c r="N415" s="187"/>
    </row>
    <row r="416">
      <c r="N416" s="187"/>
    </row>
    <row r="417">
      <c r="N417" s="187"/>
    </row>
    <row r="418">
      <c r="N418" s="187"/>
    </row>
    <row r="419">
      <c r="N419" s="187"/>
    </row>
    <row r="420">
      <c r="N420" s="187"/>
    </row>
    <row r="421">
      <c r="N421" s="187"/>
    </row>
    <row r="422">
      <c r="N422" s="187"/>
    </row>
    <row r="423">
      <c r="N423" s="187"/>
    </row>
    <row r="424">
      <c r="N424" s="187"/>
    </row>
    <row r="425">
      <c r="N425" s="187"/>
    </row>
    <row r="426">
      <c r="N426" s="187"/>
    </row>
    <row r="427">
      <c r="N427" s="187"/>
    </row>
    <row r="428">
      <c r="N428" s="187"/>
    </row>
    <row r="429">
      <c r="N429" s="187"/>
    </row>
    <row r="430">
      <c r="N430" s="187"/>
    </row>
    <row r="431">
      <c r="N431" s="187"/>
    </row>
    <row r="432">
      <c r="N432" s="187"/>
    </row>
    <row r="433">
      <c r="N433" s="187"/>
    </row>
    <row r="434">
      <c r="N434" s="187"/>
    </row>
    <row r="435">
      <c r="N435" s="187"/>
    </row>
    <row r="436">
      <c r="N436" s="187"/>
    </row>
    <row r="437">
      <c r="N437" s="187"/>
    </row>
    <row r="438">
      <c r="N438" s="187"/>
    </row>
    <row r="439">
      <c r="N439" s="187"/>
    </row>
    <row r="440">
      <c r="N440" s="187"/>
    </row>
    <row r="441">
      <c r="N441" s="187"/>
    </row>
    <row r="442">
      <c r="N442" s="187"/>
    </row>
    <row r="443">
      <c r="N443" s="187"/>
    </row>
    <row r="444">
      <c r="N444" s="187"/>
    </row>
    <row r="445">
      <c r="N445" s="187"/>
    </row>
    <row r="446">
      <c r="N446" s="187"/>
    </row>
    <row r="447">
      <c r="N447" s="187"/>
    </row>
    <row r="448">
      <c r="N448" s="187"/>
    </row>
    <row r="449">
      <c r="N449" s="187"/>
    </row>
    <row r="450">
      <c r="N450" s="187"/>
    </row>
    <row r="451">
      <c r="N451" s="187"/>
    </row>
    <row r="452">
      <c r="N452" s="187"/>
    </row>
    <row r="453">
      <c r="N453" s="187"/>
    </row>
    <row r="454">
      <c r="N454" s="187"/>
    </row>
    <row r="455">
      <c r="N455" s="187"/>
    </row>
    <row r="456">
      <c r="N456" s="187"/>
    </row>
    <row r="457">
      <c r="N457" s="187"/>
    </row>
    <row r="458">
      <c r="N458" s="187"/>
    </row>
    <row r="459">
      <c r="N459" s="187"/>
    </row>
    <row r="460">
      <c r="N460" s="187"/>
    </row>
    <row r="461">
      <c r="N461" s="187"/>
    </row>
    <row r="462">
      <c r="N462" s="187"/>
    </row>
    <row r="463">
      <c r="N463" s="187"/>
    </row>
    <row r="464">
      <c r="N464" s="187"/>
    </row>
    <row r="465">
      <c r="N465" s="187"/>
    </row>
    <row r="466">
      <c r="N466" s="187"/>
    </row>
    <row r="467">
      <c r="N467" s="187"/>
    </row>
    <row r="468">
      <c r="N468" s="187"/>
    </row>
    <row r="469">
      <c r="N469" s="187"/>
    </row>
    <row r="470">
      <c r="N470" s="187"/>
    </row>
    <row r="471">
      <c r="N471" s="187"/>
    </row>
    <row r="472">
      <c r="N472" s="187"/>
    </row>
    <row r="473">
      <c r="N473" s="187"/>
    </row>
    <row r="474">
      <c r="N474" s="187"/>
    </row>
    <row r="475">
      <c r="N475" s="187"/>
    </row>
    <row r="476">
      <c r="N476" s="187"/>
    </row>
    <row r="477">
      <c r="N477" s="187"/>
    </row>
    <row r="478">
      <c r="N478" s="187"/>
    </row>
    <row r="479">
      <c r="N479" s="187"/>
    </row>
    <row r="480">
      <c r="N480" s="187"/>
    </row>
    <row r="481">
      <c r="N481" s="187"/>
    </row>
    <row r="482">
      <c r="N482" s="187"/>
    </row>
    <row r="483">
      <c r="N483" s="187"/>
    </row>
    <row r="484">
      <c r="N484" s="187"/>
    </row>
    <row r="485">
      <c r="N485" s="187"/>
    </row>
    <row r="486">
      <c r="N486" s="187"/>
    </row>
    <row r="487">
      <c r="N487" s="187"/>
    </row>
    <row r="488">
      <c r="N488" s="187"/>
    </row>
    <row r="489">
      <c r="N489" s="187"/>
    </row>
    <row r="490">
      <c r="N490" s="187"/>
    </row>
    <row r="491">
      <c r="N491" s="187"/>
    </row>
    <row r="492">
      <c r="N492" s="187"/>
    </row>
    <row r="493">
      <c r="N493" s="187"/>
    </row>
    <row r="494">
      <c r="N494" s="187"/>
    </row>
    <row r="495">
      <c r="N495" s="187"/>
    </row>
    <row r="496">
      <c r="N496" s="187"/>
    </row>
    <row r="497">
      <c r="N497" s="187"/>
    </row>
    <row r="498">
      <c r="N498" s="187"/>
    </row>
    <row r="499">
      <c r="N499" s="187"/>
    </row>
    <row r="500">
      <c r="N500" s="187"/>
    </row>
    <row r="501">
      <c r="N501" s="187"/>
    </row>
    <row r="502">
      <c r="N502" s="187"/>
    </row>
    <row r="503">
      <c r="N503" s="187"/>
    </row>
    <row r="504">
      <c r="N504" s="187"/>
    </row>
    <row r="505">
      <c r="N505" s="187"/>
    </row>
    <row r="506">
      <c r="N506" s="187"/>
    </row>
    <row r="507">
      <c r="N507" s="187"/>
    </row>
    <row r="508">
      <c r="N508" s="187"/>
    </row>
    <row r="509">
      <c r="N509" s="187"/>
    </row>
    <row r="510">
      <c r="N510" s="187"/>
    </row>
    <row r="511">
      <c r="N511" s="187"/>
    </row>
    <row r="512">
      <c r="N512" s="187"/>
    </row>
    <row r="513">
      <c r="N513" s="187"/>
    </row>
    <row r="514">
      <c r="N514" s="187"/>
    </row>
    <row r="515">
      <c r="N515" s="187"/>
    </row>
    <row r="516">
      <c r="N516" s="187"/>
    </row>
    <row r="517">
      <c r="N517" s="187"/>
    </row>
    <row r="518">
      <c r="N518" s="187"/>
    </row>
    <row r="519">
      <c r="N519" s="187"/>
    </row>
    <row r="520">
      <c r="N520" s="187"/>
    </row>
    <row r="521">
      <c r="N521" s="187"/>
    </row>
    <row r="522">
      <c r="N522" s="187"/>
    </row>
    <row r="523">
      <c r="N523" s="187"/>
    </row>
    <row r="524">
      <c r="N524" s="187"/>
    </row>
    <row r="525">
      <c r="N525" s="187"/>
    </row>
    <row r="526">
      <c r="N526" s="187"/>
    </row>
    <row r="527">
      <c r="N527" s="187"/>
    </row>
    <row r="528">
      <c r="N528" s="187"/>
    </row>
    <row r="529">
      <c r="N529" s="187"/>
    </row>
    <row r="530">
      <c r="N530" s="187"/>
    </row>
    <row r="531">
      <c r="N531" s="187"/>
    </row>
    <row r="532">
      <c r="N532" s="187"/>
    </row>
    <row r="533">
      <c r="N533" s="187"/>
    </row>
    <row r="534">
      <c r="N534" s="187"/>
    </row>
    <row r="535">
      <c r="N535" s="187"/>
    </row>
    <row r="536">
      <c r="N536" s="187"/>
    </row>
    <row r="537">
      <c r="N537" s="187"/>
    </row>
    <row r="538">
      <c r="N538" s="187"/>
    </row>
    <row r="539">
      <c r="N539" s="187"/>
    </row>
    <row r="540">
      <c r="N540" s="187"/>
    </row>
    <row r="541">
      <c r="N541" s="187"/>
    </row>
    <row r="542">
      <c r="N542" s="187"/>
    </row>
    <row r="543">
      <c r="N543" s="187"/>
    </row>
    <row r="544">
      <c r="N544" s="187"/>
    </row>
    <row r="545">
      <c r="N545" s="187"/>
    </row>
    <row r="546">
      <c r="N546" s="187"/>
    </row>
    <row r="547">
      <c r="N547" s="187"/>
    </row>
    <row r="548">
      <c r="N548" s="187"/>
    </row>
    <row r="549">
      <c r="N549" s="187"/>
    </row>
    <row r="550">
      <c r="N550" s="187"/>
    </row>
    <row r="551">
      <c r="N551" s="187"/>
    </row>
    <row r="552">
      <c r="N552" s="187"/>
    </row>
    <row r="553">
      <c r="N553" s="187"/>
    </row>
    <row r="554">
      <c r="N554" s="187"/>
    </row>
    <row r="555">
      <c r="N555" s="187"/>
    </row>
    <row r="556">
      <c r="N556" s="187"/>
    </row>
    <row r="557">
      <c r="N557" s="187"/>
    </row>
    <row r="558">
      <c r="N558" s="187"/>
    </row>
    <row r="559">
      <c r="N559" s="187"/>
    </row>
    <row r="560">
      <c r="N560" s="187"/>
    </row>
    <row r="561">
      <c r="N561" s="187"/>
    </row>
    <row r="562">
      <c r="N562" s="187"/>
    </row>
    <row r="563">
      <c r="N563" s="187"/>
    </row>
    <row r="564">
      <c r="N564" s="187"/>
    </row>
    <row r="565">
      <c r="N565" s="187"/>
    </row>
    <row r="566">
      <c r="N566" s="187"/>
    </row>
    <row r="567">
      <c r="N567" s="187"/>
    </row>
    <row r="568">
      <c r="N568" s="187"/>
    </row>
    <row r="569">
      <c r="N569" s="187"/>
    </row>
    <row r="570">
      <c r="N570" s="187"/>
    </row>
    <row r="571">
      <c r="N571" s="187"/>
    </row>
    <row r="572">
      <c r="N572" s="187"/>
    </row>
    <row r="573">
      <c r="N573" s="187"/>
    </row>
    <row r="574">
      <c r="N574" s="187"/>
    </row>
    <row r="575">
      <c r="N575" s="187"/>
    </row>
    <row r="576">
      <c r="N576" s="187"/>
    </row>
    <row r="577">
      <c r="N577" s="187"/>
    </row>
    <row r="578">
      <c r="N578" s="187"/>
    </row>
    <row r="579">
      <c r="N579" s="187"/>
    </row>
    <row r="580">
      <c r="N580" s="187"/>
    </row>
    <row r="581">
      <c r="N581" s="187"/>
    </row>
    <row r="582">
      <c r="N582" s="187"/>
    </row>
    <row r="583">
      <c r="N583" s="187"/>
    </row>
    <row r="584">
      <c r="N584" s="187"/>
    </row>
    <row r="585">
      <c r="N585" s="187"/>
    </row>
    <row r="586">
      <c r="N586" s="187"/>
    </row>
    <row r="587">
      <c r="N587" s="187"/>
    </row>
    <row r="588">
      <c r="N588" s="187"/>
    </row>
    <row r="589">
      <c r="N589" s="187"/>
    </row>
    <row r="590">
      <c r="N590" s="187"/>
    </row>
    <row r="591">
      <c r="N591" s="187"/>
    </row>
    <row r="592">
      <c r="N592" s="187"/>
    </row>
    <row r="593">
      <c r="N593" s="187"/>
    </row>
    <row r="594">
      <c r="N594" s="187"/>
    </row>
    <row r="595">
      <c r="N595" s="187"/>
    </row>
    <row r="596">
      <c r="N596" s="187"/>
    </row>
    <row r="597">
      <c r="N597" s="187"/>
    </row>
    <row r="598">
      <c r="N598" s="187"/>
    </row>
    <row r="599">
      <c r="N599" s="187"/>
    </row>
    <row r="600">
      <c r="N600" s="187"/>
    </row>
    <row r="601">
      <c r="N601" s="187"/>
    </row>
    <row r="602">
      <c r="N602" s="187"/>
    </row>
    <row r="603">
      <c r="N603" s="187"/>
    </row>
    <row r="604">
      <c r="N604" s="187"/>
    </row>
    <row r="605">
      <c r="N605" s="187"/>
    </row>
    <row r="606">
      <c r="N606" s="187"/>
    </row>
    <row r="607">
      <c r="N607" s="187"/>
    </row>
    <row r="608">
      <c r="N608" s="187"/>
    </row>
    <row r="609">
      <c r="N609" s="187"/>
    </row>
    <row r="610">
      <c r="N610" s="187"/>
    </row>
    <row r="611">
      <c r="N611" s="187"/>
    </row>
    <row r="612">
      <c r="N612" s="187"/>
    </row>
    <row r="613">
      <c r="N613" s="187"/>
    </row>
    <row r="614">
      <c r="N614" s="187"/>
    </row>
    <row r="615">
      <c r="N615" s="187"/>
    </row>
    <row r="616">
      <c r="N616" s="187"/>
    </row>
    <row r="617">
      <c r="N617" s="187"/>
    </row>
    <row r="618">
      <c r="N618" s="187"/>
    </row>
    <row r="619">
      <c r="N619" s="187"/>
    </row>
    <row r="620">
      <c r="N620" s="187"/>
    </row>
    <row r="621">
      <c r="N621" s="187"/>
    </row>
    <row r="622">
      <c r="N622" s="187"/>
    </row>
    <row r="623">
      <c r="N623" s="187"/>
    </row>
    <row r="624">
      <c r="N624" s="187"/>
    </row>
    <row r="625">
      <c r="N625" s="187"/>
    </row>
    <row r="626">
      <c r="N626" s="187"/>
    </row>
    <row r="627">
      <c r="N627" s="187"/>
    </row>
    <row r="628">
      <c r="N628" s="187"/>
    </row>
    <row r="629">
      <c r="N629" s="187"/>
    </row>
    <row r="630">
      <c r="N630" s="187"/>
    </row>
    <row r="631">
      <c r="N631" s="187"/>
    </row>
    <row r="632">
      <c r="N632" s="187"/>
    </row>
    <row r="633">
      <c r="N633" s="187"/>
    </row>
    <row r="634">
      <c r="N634" s="187"/>
    </row>
    <row r="635">
      <c r="N635" s="187"/>
    </row>
    <row r="636">
      <c r="N636" s="187"/>
    </row>
    <row r="637">
      <c r="N637" s="187"/>
    </row>
    <row r="638">
      <c r="N638" s="187"/>
    </row>
    <row r="639">
      <c r="N639" s="187"/>
    </row>
    <row r="640">
      <c r="N640" s="187"/>
    </row>
    <row r="641">
      <c r="N641" s="187"/>
    </row>
    <row r="642">
      <c r="N642" s="187"/>
    </row>
    <row r="643">
      <c r="N643" s="187"/>
    </row>
    <row r="644">
      <c r="N644" s="187"/>
    </row>
    <row r="645">
      <c r="N645" s="187"/>
    </row>
    <row r="646">
      <c r="N646" s="187"/>
    </row>
    <row r="647">
      <c r="N647" s="187"/>
    </row>
    <row r="648">
      <c r="N648" s="187"/>
    </row>
    <row r="649">
      <c r="N649" s="187"/>
    </row>
    <row r="650">
      <c r="N650" s="187"/>
    </row>
    <row r="651">
      <c r="N651" s="187"/>
    </row>
    <row r="652">
      <c r="N652" s="187"/>
    </row>
    <row r="653">
      <c r="N653" s="187"/>
    </row>
    <row r="654">
      <c r="N654" s="187"/>
    </row>
    <row r="655">
      <c r="N655" s="187"/>
    </row>
    <row r="656">
      <c r="N656" s="187"/>
    </row>
    <row r="657">
      <c r="N657" s="187"/>
    </row>
    <row r="658">
      <c r="N658" s="187"/>
    </row>
    <row r="659">
      <c r="N659" s="187"/>
    </row>
    <row r="660">
      <c r="N660" s="187"/>
    </row>
    <row r="661">
      <c r="N661" s="187"/>
    </row>
    <row r="662">
      <c r="N662" s="187"/>
    </row>
    <row r="663">
      <c r="N663" s="187"/>
    </row>
    <row r="664">
      <c r="N664" s="187"/>
    </row>
    <row r="665">
      <c r="N665" s="187"/>
    </row>
    <row r="666">
      <c r="N666" s="187"/>
    </row>
    <row r="667">
      <c r="N667" s="187"/>
    </row>
    <row r="668">
      <c r="N668" s="187"/>
    </row>
    <row r="669">
      <c r="N669" s="187"/>
    </row>
    <row r="670">
      <c r="N670" s="187"/>
    </row>
    <row r="671">
      <c r="N671" s="187"/>
    </row>
    <row r="672">
      <c r="N672" s="187"/>
    </row>
    <row r="673">
      <c r="N673" s="187"/>
    </row>
    <row r="674">
      <c r="N674" s="187"/>
    </row>
    <row r="675">
      <c r="N675" s="187"/>
    </row>
    <row r="676">
      <c r="N676" s="187"/>
    </row>
    <row r="677">
      <c r="N677" s="187"/>
    </row>
    <row r="678">
      <c r="N678" s="187"/>
    </row>
    <row r="679">
      <c r="N679" s="187"/>
    </row>
    <row r="680">
      <c r="N680" s="187"/>
    </row>
    <row r="681">
      <c r="N681" s="187"/>
    </row>
    <row r="682">
      <c r="N682" s="187"/>
    </row>
    <row r="683">
      <c r="N683" s="187"/>
    </row>
    <row r="684">
      <c r="N684" s="187"/>
    </row>
    <row r="685">
      <c r="N685" s="187"/>
    </row>
    <row r="686">
      <c r="N686" s="187"/>
    </row>
    <row r="687">
      <c r="N687" s="187"/>
    </row>
    <row r="688">
      <c r="N688" s="187"/>
    </row>
    <row r="689">
      <c r="N689" s="187"/>
    </row>
    <row r="690">
      <c r="N690" s="187"/>
    </row>
    <row r="691">
      <c r="N691" s="187"/>
    </row>
    <row r="692">
      <c r="N692" s="187"/>
    </row>
    <row r="693">
      <c r="N693" s="187"/>
    </row>
    <row r="694">
      <c r="N694" s="187"/>
    </row>
    <row r="695">
      <c r="N695" s="187"/>
    </row>
    <row r="696">
      <c r="N696" s="187"/>
    </row>
    <row r="697">
      <c r="N697" s="187"/>
    </row>
    <row r="698">
      <c r="N698" s="187"/>
    </row>
    <row r="699">
      <c r="N699" s="187"/>
    </row>
    <row r="700">
      <c r="N700" s="187"/>
    </row>
    <row r="701">
      <c r="N701" s="187"/>
    </row>
    <row r="702">
      <c r="N702" s="187"/>
    </row>
    <row r="703">
      <c r="N703" s="187"/>
    </row>
    <row r="704">
      <c r="N704" s="187"/>
    </row>
    <row r="705">
      <c r="N705" s="187"/>
    </row>
    <row r="706">
      <c r="N706" s="187"/>
    </row>
    <row r="707">
      <c r="N707" s="187"/>
    </row>
    <row r="708">
      <c r="N708" s="187"/>
    </row>
    <row r="709">
      <c r="N709" s="187"/>
    </row>
    <row r="710">
      <c r="N710" s="187"/>
    </row>
    <row r="711">
      <c r="N711" s="187"/>
    </row>
    <row r="712">
      <c r="N712" s="187"/>
    </row>
    <row r="713">
      <c r="N713" s="187"/>
    </row>
    <row r="714">
      <c r="N714" s="187"/>
    </row>
    <row r="715">
      <c r="N715" s="187"/>
    </row>
    <row r="716">
      <c r="N716" s="187"/>
    </row>
    <row r="717">
      <c r="N717" s="187"/>
    </row>
    <row r="718">
      <c r="N718" s="187"/>
    </row>
    <row r="719">
      <c r="N719" s="187"/>
    </row>
    <row r="720">
      <c r="N720" s="187"/>
    </row>
    <row r="721">
      <c r="N721" s="187"/>
    </row>
    <row r="722">
      <c r="N722" s="187"/>
    </row>
    <row r="723">
      <c r="N723" s="187"/>
    </row>
    <row r="724">
      <c r="N724" s="187"/>
    </row>
    <row r="725">
      <c r="N725" s="187"/>
    </row>
    <row r="726">
      <c r="N726" s="187"/>
    </row>
    <row r="727">
      <c r="N727" s="187"/>
    </row>
    <row r="728">
      <c r="N728" s="187"/>
    </row>
    <row r="729">
      <c r="N729" s="187"/>
    </row>
    <row r="730">
      <c r="N730" s="187"/>
    </row>
    <row r="731">
      <c r="N731" s="187"/>
    </row>
    <row r="732">
      <c r="N732" s="187"/>
    </row>
    <row r="733">
      <c r="N733" s="187"/>
    </row>
    <row r="734">
      <c r="N734" s="187"/>
    </row>
    <row r="735">
      <c r="N735" s="187"/>
    </row>
    <row r="736">
      <c r="N736" s="187"/>
    </row>
    <row r="737">
      <c r="N737" s="187"/>
    </row>
    <row r="738">
      <c r="N738" s="187"/>
    </row>
    <row r="739">
      <c r="N739" s="187"/>
    </row>
    <row r="740">
      <c r="N740" s="187"/>
    </row>
    <row r="741">
      <c r="N741" s="187"/>
    </row>
    <row r="742">
      <c r="N742" s="187"/>
    </row>
    <row r="743">
      <c r="N743" s="187"/>
    </row>
    <row r="744">
      <c r="N744" s="187"/>
    </row>
    <row r="745">
      <c r="N745" s="187"/>
    </row>
    <row r="746">
      <c r="N746" s="187"/>
    </row>
    <row r="747">
      <c r="N747" s="187"/>
    </row>
    <row r="748">
      <c r="N748" s="187"/>
    </row>
    <row r="749">
      <c r="N749" s="187"/>
    </row>
    <row r="750">
      <c r="N750" s="187"/>
    </row>
    <row r="751">
      <c r="N751" s="187"/>
    </row>
    <row r="752">
      <c r="N752" s="187"/>
    </row>
    <row r="753">
      <c r="N753" s="187"/>
    </row>
    <row r="754">
      <c r="N754" s="187"/>
    </row>
    <row r="755">
      <c r="N755" s="187"/>
    </row>
    <row r="756">
      <c r="N756" s="187"/>
    </row>
    <row r="757">
      <c r="N757" s="187"/>
    </row>
    <row r="758">
      <c r="N758" s="187"/>
    </row>
    <row r="759">
      <c r="N759" s="187"/>
    </row>
    <row r="760">
      <c r="N760" s="187"/>
    </row>
    <row r="761">
      <c r="N761" s="187"/>
    </row>
    <row r="762">
      <c r="N762" s="187"/>
    </row>
    <row r="763">
      <c r="N763" s="187"/>
    </row>
    <row r="764">
      <c r="N764" s="187"/>
    </row>
    <row r="765">
      <c r="N765" s="187"/>
    </row>
    <row r="766">
      <c r="N766" s="187"/>
    </row>
    <row r="767">
      <c r="N767" s="187"/>
    </row>
    <row r="768">
      <c r="N768" s="187"/>
    </row>
    <row r="769">
      <c r="N769" s="187"/>
    </row>
    <row r="770">
      <c r="N770" s="187"/>
    </row>
    <row r="771">
      <c r="N771" s="187"/>
    </row>
    <row r="772">
      <c r="N772" s="187"/>
    </row>
    <row r="773">
      <c r="N773" s="187"/>
    </row>
    <row r="774">
      <c r="N774" s="187"/>
    </row>
    <row r="775">
      <c r="N775" s="187"/>
    </row>
    <row r="776">
      <c r="N776" s="187"/>
    </row>
    <row r="777">
      <c r="N777" s="187"/>
    </row>
    <row r="778">
      <c r="N778" s="187"/>
    </row>
    <row r="779">
      <c r="N779" s="187"/>
    </row>
    <row r="780">
      <c r="N780" s="187"/>
    </row>
    <row r="781">
      <c r="N781" s="187"/>
    </row>
    <row r="782">
      <c r="N782" s="187"/>
    </row>
    <row r="783">
      <c r="N783" s="187"/>
    </row>
    <row r="784">
      <c r="N784" s="187"/>
    </row>
    <row r="785">
      <c r="N785" s="187"/>
    </row>
    <row r="786">
      <c r="N786" s="187"/>
    </row>
    <row r="787">
      <c r="N787" s="187"/>
    </row>
    <row r="788">
      <c r="N788" s="187"/>
    </row>
    <row r="789">
      <c r="N789" s="187"/>
    </row>
    <row r="790">
      <c r="N790" s="187"/>
    </row>
    <row r="791">
      <c r="N791" s="187"/>
    </row>
    <row r="792">
      <c r="N792" s="187"/>
    </row>
    <row r="793">
      <c r="N793" s="187"/>
    </row>
    <row r="794">
      <c r="N794" s="187"/>
    </row>
    <row r="795">
      <c r="N795" s="187"/>
    </row>
    <row r="796">
      <c r="N796" s="187"/>
    </row>
    <row r="797">
      <c r="N797" s="187"/>
    </row>
    <row r="798">
      <c r="N798" s="187"/>
    </row>
    <row r="799">
      <c r="N799" s="187"/>
    </row>
    <row r="800">
      <c r="N800" s="187"/>
    </row>
    <row r="801">
      <c r="N801" s="187"/>
    </row>
    <row r="802">
      <c r="N802" s="187"/>
    </row>
    <row r="803">
      <c r="N803" s="187"/>
    </row>
    <row r="804">
      <c r="N804" s="187"/>
    </row>
    <row r="805">
      <c r="N805" s="187"/>
    </row>
    <row r="806">
      <c r="N806" s="187"/>
    </row>
    <row r="807">
      <c r="N807" s="187"/>
    </row>
    <row r="808">
      <c r="N808" s="187"/>
    </row>
    <row r="809">
      <c r="N809" s="187"/>
    </row>
    <row r="810">
      <c r="N810" s="187"/>
    </row>
    <row r="811">
      <c r="N811" s="187"/>
    </row>
    <row r="812">
      <c r="N812" s="187"/>
    </row>
    <row r="813">
      <c r="N813" s="187"/>
    </row>
    <row r="814">
      <c r="N814" s="187"/>
    </row>
    <row r="815">
      <c r="N815" s="187"/>
    </row>
    <row r="816">
      <c r="N816" s="187"/>
    </row>
    <row r="817">
      <c r="N817" s="187"/>
    </row>
    <row r="818">
      <c r="N818" s="187"/>
    </row>
    <row r="819">
      <c r="N819" s="187"/>
    </row>
    <row r="820">
      <c r="N820" s="187"/>
    </row>
    <row r="821">
      <c r="N821" s="187"/>
    </row>
    <row r="822">
      <c r="N822" s="187"/>
    </row>
    <row r="823">
      <c r="N823" s="187"/>
    </row>
    <row r="824">
      <c r="N824" s="187"/>
    </row>
    <row r="825">
      <c r="N825" s="187"/>
    </row>
    <row r="826">
      <c r="N826" s="187"/>
    </row>
    <row r="827">
      <c r="N827" s="187"/>
    </row>
    <row r="828">
      <c r="N828" s="187"/>
    </row>
    <row r="829">
      <c r="N829" s="187"/>
    </row>
    <row r="830">
      <c r="N830" s="187"/>
    </row>
    <row r="831">
      <c r="N831" s="187"/>
    </row>
    <row r="832">
      <c r="N832" s="187"/>
    </row>
    <row r="833">
      <c r="N833" s="187"/>
    </row>
    <row r="834">
      <c r="N834" s="187"/>
    </row>
    <row r="835">
      <c r="N835" s="187"/>
    </row>
    <row r="836">
      <c r="N836" s="187"/>
    </row>
    <row r="837">
      <c r="N837" s="187"/>
    </row>
    <row r="838">
      <c r="N838" s="187"/>
    </row>
    <row r="839">
      <c r="N839" s="187"/>
    </row>
    <row r="840">
      <c r="N840" s="187"/>
    </row>
    <row r="841">
      <c r="N841" s="187"/>
    </row>
    <row r="842">
      <c r="N842" s="187"/>
    </row>
    <row r="843">
      <c r="N843" s="187"/>
    </row>
    <row r="844">
      <c r="N844" s="187"/>
    </row>
    <row r="845">
      <c r="N845" s="187"/>
    </row>
    <row r="846">
      <c r="N846" s="187"/>
    </row>
    <row r="847">
      <c r="N847" s="187"/>
    </row>
    <row r="848">
      <c r="N848" s="187"/>
    </row>
    <row r="849">
      <c r="N849" s="187"/>
    </row>
    <row r="850">
      <c r="N850" s="187"/>
    </row>
    <row r="851">
      <c r="N851" s="187"/>
    </row>
    <row r="852">
      <c r="N852" s="187"/>
    </row>
    <row r="853">
      <c r="N853" s="187"/>
    </row>
    <row r="854">
      <c r="N854" s="187"/>
    </row>
    <row r="855">
      <c r="N855" s="187"/>
    </row>
    <row r="856">
      <c r="N856" s="187"/>
    </row>
    <row r="857">
      <c r="N857" s="187"/>
    </row>
    <row r="858">
      <c r="N858" s="187"/>
    </row>
    <row r="859">
      <c r="N859" s="187"/>
    </row>
    <row r="860">
      <c r="N860" s="187"/>
    </row>
    <row r="861">
      <c r="N861" s="187"/>
    </row>
    <row r="862">
      <c r="N862" s="187"/>
    </row>
    <row r="863">
      <c r="N863" s="187"/>
    </row>
    <row r="864">
      <c r="N864" s="187"/>
    </row>
    <row r="865">
      <c r="N865" s="187"/>
    </row>
    <row r="866">
      <c r="N866" s="187"/>
    </row>
    <row r="867">
      <c r="N867" s="187"/>
    </row>
    <row r="868">
      <c r="N868" s="187"/>
    </row>
    <row r="869">
      <c r="N869" s="187"/>
    </row>
    <row r="870">
      <c r="N870" s="187"/>
    </row>
    <row r="871">
      <c r="N871" s="187"/>
    </row>
    <row r="872">
      <c r="N872" s="187"/>
    </row>
    <row r="873">
      <c r="N873" s="187"/>
    </row>
    <row r="874">
      <c r="N874" s="187"/>
    </row>
    <row r="875">
      <c r="N875" s="187"/>
    </row>
    <row r="876">
      <c r="N876" s="187"/>
    </row>
    <row r="877">
      <c r="N877" s="187"/>
    </row>
    <row r="878">
      <c r="N878" s="187"/>
    </row>
    <row r="879">
      <c r="N879" s="187"/>
    </row>
    <row r="880">
      <c r="N880" s="187"/>
    </row>
    <row r="881">
      <c r="N881" s="187"/>
    </row>
    <row r="882">
      <c r="N882" s="187"/>
    </row>
    <row r="883">
      <c r="N883" s="187"/>
    </row>
    <row r="884">
      <c r="N884" s="187"/>
    </row>
    <row r="885">
      <c r="N885" s="187"/>
    </row>
    <row r="886">
      <c r="N886" s="187"/>
    </row>
    <row r="887">
      <c r="N887" s="187"/>
    </row>
    <row r="888">
      <c r="N888" s="187"/>
    </row>
    <row r="889">
      <c r="N889" s="187"/>
    </row>
    <row r="890">
      <c r="N890" s="187"/>
    </row>
    <row r="891">
      <c r="N891" s="187"/>
    </row>
    <row r="892">
      <c r="N892" s="187"/>
    </row>
    <row r="893">
      <c r="N893" s="187"/>
    </row>
    <row r="894">
      <c r="N894" s="187"/>
    </row>
    <row r="895">
      <c r="N895" s="187"/>
    </row>
    <row r="896">
      <c r="N896" s="187"/>
    </row>
    <row r="897">
      <c r="N897" s="187"/>
    </row>
    <row r="898">
      <c r="N898" s="187"/>
    </row>
    <row r="899">
      <c r="N899" s="187"/>
    </row>
    <row r="900">
      <c r="N900" s="187"/>
    </row>
    <row r="901">
      <c r="N901" s="187"/>
    </row>
    <row r="902">
      <c r="N902" s="187"/>
    </row>
    <row r="903">
      <c r="N903" s="187"/>
    </row>
    <row r="904">
      <c r="N904" s="187"/>
    </row>
    <row r="905">
      <c r="N905" s="187"/>
    </row>
    <row r="906">
      <c r="N906" s="187"/>
    </row>
    <row r="907">
      <c r="N907" s="187"/>
    </row>
    <row r="908">
      <c r="N908" s="187"/>
    </row>
    <row r="909">
      <c r="N909" s="187"/>
    </row>
    <row r="910">
      <c r="N910" s="187"/>
    </row>
    <row r="911">
      <c r="N911" s="187"/>
    </row>
    <row r="912">
      <c r="N912" s="187"/>
    </row>
    <row r="913">
      <c r="N913" s="187"/>
    </row>
    <row r="914">
      <c r="N914" s="187"/>
    </row>
    <row r="915">
      <c r="N915" s="187"/>
    </row>
    <row r="916">
      <c r="N916" s="187"/>
    </row>
    <row r="917">
      <c r="N917" s="187"/>
    </row>
    <row r="918">
      <c r="N918" s="187"/>
    </row>
    <row r="919">
      <c r="N919" s="187"/>
    </row>
    <row r="920">
      <c r="N920" s="187"/>
    </row>
    <row r="921">
      <c r="N921" s="187"/>
    </row>
    <row r="922">
      <c r="N922" s="187"/>
    </row>
    <row r="923">
      <c r="N923" s="187"/>
    </row>
    <row r="924">
      <c r="N924" s="187"/>
    </row>
    <row r="925">
      <c r="N925" s="187"/>
    </row>
    <row r="926">
      <c r="N926" s="187"/>
    </row>
    <row r="927">
      <c r="N927" s="187"/>
    </row>
    <row r="928">
      <c r="N928" s="187"/>
    </row>
    <row r="929">
      <c r="N929" s="187"/>
    </row>
    <row r="930">
      <c r="N930" s="187"/>
    </row>
    <row r="931">
      <c r="N931" s="187"/>
    </row>
    <row r="932">
      <c r="N932" s="187"/>
    </row>
    <row r="933">
      <c r="N933" s="187"/>
    </row>
    <row r="934">
      <c r="N934" s="187"/>
    </row>
    <row r="935">
      <c r="N935" s="187"/>
    </row>
    <row r="936">
      <c r="N936" s="187"/>
    </row>
    <row r="937">
      <c r="N937" s="187"/>
    </row>
    <row r="938">
      <c r="N938" s="187"/>
    </row>
    <row r="939">
      <c r="N939" s="187"/>
    </row>
    <row r="940">
      <c r="N940" s="187"/>
    </row>
    <row r="941">
      <c r="N941" s="187"/>
    </row>
    <row r="942">
      <c r="N942" s="187"/>
    </row>
    <row r="943">
      <c r="N943" s="187"/>
    </row>
    <row r="944">
      <c r="N944" s="187"/>
    </row>
    <row r="945">
      <c r="N945" s="187"/>
    </row>
    <row r="946">
      <c r="N946" s="187"/>
    </row>
    <row r="947">
      <c r="N947" s="187"/>
    </row>
    <row r="948">
      <c r="N948" s="187"/>
    </row>
    <row r="949">
      <c r="N949" s="187"/>
    </row>
    <row r="950">
      <c r="N950" s="187"/>
    </row>
    <row r="951">
      <c r="N951" s="187"/>
    </row>
    <row r="952">
      <c r="N952" s="187"/>
    </row>
    <row r="953">
      <c r="N953" s="187"/>
    </row>
    <row r="954">
      <c r="N954" s="187"/>
    </row>
    <row r="955">
      <c r="N955" s="187"/>
    </row>
    <row r="956">
      <c r="N956" s="187"/>
    </row>
    <row r="957">
      <c r="N957" s="187"/>
    </row>
    <row r="958">
      <c r="N958" s="187"/>
    </row>
    <row r="959">
      <c r="N959" s="187"/>
    </row>
    <row r="960">
      <c r="N960" s="187"/>
    </row>
    <row r="961">
      <c r="N961" s="187"/>
    </row>
    <row r="962">
      <c r="N962" s="187"/>
    </row>
    <row r="963">
      <c r="N963" s="187"/>
    </row>
    <row r="964">
      <c r="N964" s="187"/>
    </row>
    <row r="965">
      <c r="N965" s="187"/>
    </row>
    <row r="966">
      <c r="N966" s="187"/>
    </row>
    <row r="967">
      <c r="N967" s="187"/>
    </row>
    <row r="968">
      <c r="N968" s="187"/>
    </row>
    <row r="969">
      <c r="N969" s="187"/>
    </row>
    <row r="970">
      <c r="N970" s="187"/>
    </row>
    <row r="971">
      <c r="N971" s="187"/>
    </row>
    <row r="972">
      <c r="N972" s="187"/>
    </row>
    <row r="973">
      <c r="N973" s="187"/>
    </row>
    <row r="974">
      <c r="N974" s="187"/>
    </row>
    <row r="975">
      <c r="N975" s="187"/>
    </row>
    <row r="976">
      <c r="N976" s="187"/>
    </row>
    <row r="977">
      <c r="N977" s="187"/>
    </row>
    <row r="978">
      <c r="N978" s="187"/>
    </row>
    <row r="979">
      <c r="N979" s="187"/>
    </row>
    <row r="980">
      <c r="N980" s="187"/>
    </row>
    <row r="981">
      <c r="N981" s="187"/>
    </row>
    <row r="982">
      <c r="N982" s="187"/>
    </row>
    <row r="983">
      <c r="N983" s="187"/>
    </row>
    <row r="984">
      <c r="N984" s="187"/>
    </row>
    <row r="985">
      <c r="N985" s="187"/>
    </row>
    <row r="986">
      <c r="N986" s="187"/>
    </row>
    <row r="987">
      <c r="N987" s="187"/>
    </row>
    <row r="988">
      <c r="N988" s="187"/>
    </row>
    <row r="989">
      <c r="N989" s="187"/>
    </row>
    <row r="990">
      <c r="N990" s="187"/>
    </row>
    <row r="991">
      <c r="N991" s="187"/>
    </row>
    <row r="992">
      <c r="N992" s="187"/>
    </row>
    <row r="993">
      <c r="N993" s="187"/>
    </row>
    <row r="994">
      <c r="N994" s="187"/>
    </row>
    <row r="995">
      <c r="N995" s="187"/>
    </row>
    <row r="996">
      <c r="N996" s="187"/>
    </row>
    <row r="997">
      <c r="N997" s="187"/>
    </row>
    <row r="998">
      <c r="N998" s="187"/>
    </row>
    <row r="999">
      <c r="N999" s="187"/>
    </row>
    <row r="1000">
      <c r="N1000" s="187"/>
    </row>
    <row r="1001">
      <c r="N1001" s="187"/>
    </row>
    <row r="1002">
      <c r="N1002" s="187"/>
    </row>
    <row r="1003">
      <c r="N1003" s="187"/>
    </row>
    <row r="1004">
      <c r="N1004" s="187"/>
    </row>
    <row r="1005">
      <c r="N1005" s="187"/>
    </row>
    <row r="1006">
      <c r="N1006" s="187"/>
    </row>
    <row r="1007">
      <c r="N1007" s="187"/>
    </row>
    <row r="1008">
      <c r="N1008" s="187"/>
    </row>
  </sheetData>
  <customSheetViews>
    <customSheetView guid="{7FE7F33E-B9D4-489B-A9C8-3845E62ABAD2}" filter="1" showAutoFilter="1">
      <autoFilter ref="$B$2:$J$115">
        <sortState ref="B2:J115">
          <sortCondition ref="B2:B115"/>
        </sortState>
      </autoFilter>
    </customSheetView>
  </customSheetViews>
  <dataValidations>
    <dataValidation type="custom" allowBlank="1" showDropDown="1" sqref="D3:D115">
      <formula1>OR(NOT(ISERROR(DATEVALUE(D3))), AND(ISNUMBER(D3), LEFT(CELL("format", D3))="D"))</formula1>
    </dataValidation>
    <dataValidation type="list" allowBlank="1" sqref="H3:H115">
      <formula1>"Mandiri,Display,Fortuner"</formula1>
    </dataValidation>
    <dataValidation type="list" allowBlank="1" sqref="I3:I115">
      <formula1>"Antar,Jemput"</formula1>
    </dataValidation>
    <dataValidation type="list" allowBlank="1" sqref="C3:C115">
      <formula1>#REF!</formula1>
    </dataValidation>
  </dataValidations>
  <hyperlinks>
    <hyperlink r:id="rId1" ref="F106"/>
    <hyperlink r:id="rId2" ref="F112"/>
  </hyperlinks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34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rawing r:id="rId2"/>
</worksheet>
</file>