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Default Extension="png" ContentType="image/png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 autoCompressPictures="0"/>
  <bookViews>
    <workbookView xWindow="-20" yWindow="-20" windowWidth="25500" windowHeight="14180" activeTab="3"/>
  </bookViews>
  <sheets>
    <sheet name="ED" sheetId="1" r:id="rId1"/>
    <sheet name="ED Lab" sheetId="2" r:id="rId2"/>
    <sheet name="MP" sheetId="3" r:id="rId3"/>
    <sheet name="MF" sheetId="4" r:id="rId4"/>
    <sheet name="MF Lab" sheetId="5" r:id="rId5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M87" i="1"/>
  <c r="AP87"/>
  <c r="AV119"/>
  <c r="AX119"/>
  <c r="AM119"/>
  <c r="AP119"/>
  <c r="AB119"/>
  <c r="AY119"/>
  <c r="AV118"/>
  <c r="AX118"/>
  <c r="AM118"/>
  <c r="AP118"/>
  <c r="AB118"/>
  <c r="AY118"/>
  <c r="AV117"/>
  <c r="AX117"/>
  <c r="AM117"/>
  <c r="AP117"/>
  <c r="AB117"/>
  <c r="AY117"/>
  <c r="AV116"/>
  <c r="AX116"/>
  <c r="AM116"/>
  <c r="AP116"/>
  <c r="AB116"/>
  <c r="AY116"/>
  <c r="AV115"/>
  <c r="AX115"/>
  <c r="AM115"/>
  <c r="AP115"/>
  <c r="AB115"/>
  <c r="AY115"/>
  <c r="AV114"/>
  <c r="AX114"/>
  <c r="AM114"/>
  <c r="AP114"/>
  <c r="AB114"/>
  <c r="AY114"/>
  <c r="AV113"/>
  <c r="AX113"/>
  <c r="AM113"/>
  <c r="AP113"/>
  <c r="AB113"/>
  <c r="AY113"/>
  <c r="AV112"/>
  <c r="AX112"/>
  <c r="AM112"/>
  <c r="AP112"/>
  <c r="AB112"/>
  <c r="AY112"/>
  <c r="AV111"/>
  <c r="AX111"/>
  <c r="AM111"/>
  <c r="AP111"/>
  <c r="AB111"/>
  <c r="AY111"/>
  <c r="AV110"/>
  <c r="AX110"/>
  <c r="AM110"/>
  <c r="AP110"/>
  <c r="AB110"/>
  <c r="AY110"/>
  <c r="AV109"/>
  <c r="AX109"/>
  <c r="AM109"/>
  <c r="AP109"/>
  <c r="AB109"/>
  <c r="AY109"/>
  <c r="AV108"/>
  <c r="AX108"/>
  <c r="AM108"/>
  <c r="AP108"/>
  <c r="AB108"/>
  <c r="AY108"/>
  <c r="AV107"/>
  <c r="AX107"/>
  <c r="AM107"/>
  <c r="AP107"/>
  <c r="AB107"/>
  <c r="AY107"/>
  <c r="AV106"/>
  <c r="AX106"/>
  <c r="AM106"/>
  <c r="AP106"/>
  <c r="AB106"/>
  <c r="AY106"/>
  <c r="AV105"/>
  <c r="AX105"/>
  <c r="AM105"/>
  <c r="AP105"/>
  <c r="AB105"/>
  <c r="AY105"/>
  <c r="AV104"/>
  <c r="AX104"/>
  <c r="AM104"/>
  <c r="AP104"/>
  <c r="AB104"/>
  <c r="AY104"/>
  <c r="AV103"/>
  <c r="AX103"/>
  <c r="AM103"/>
  <c r="AP103"/>
  <c r="AB103"/>
  <c r="AY103"/>
  <c r="AV102"/>
  <c r="AX102"/>
  <c r="AM102"/>
  <c r="AP102"/>
  <c r="AB102"/>
  <c r="AY102"/>
  <c r="AV101"/>
  <c r="AX101"/>
  <c r="AM101"/>
  <c r="AP101"/>
  <c r="AB101"/>
  <c r="AY101"/>
  <c r="AV100"/>
  <c r="AX100"/>
  <c r="AM100"/>
  <c r="AP100"/>
  <c r="AB100"/>
  <c r="AY100"/>
  <c r="AV99"/>
  <c r="AX99"/>
  <c r="AM99"/>
  <c r="AP99"/>
  <c r="AB99"/>
  <c r="AY99"/>
  <c r="AV98"/>
  <c r="AX98"/>
  <c r="AM98"/>
  <c r="AP98"/>
  <c r="AB98"/>
  <c r="AY98"/>
  <c r="AV97"/>
  <c r="AX97"/>
  <c r="AM97"/>
  <c r="AP97"/>
  <c r="AB97"/>
  <c r="AY97"/>
  <c r="AV96"/>
  <c r="AX96"/>
  <c r="AM96"/>
  <c r="AP96"/>
  <c r="AB96"/>
  <c r="AY96"/>
  <c r="AV95"/>
  <c r="AX95"/>
  <c r="AM95"/>
  <c r="AP95"/>
  <c r="AB95"/>
  <c r="AY95"/>
  <c r="AV94"/>
  <c r="AX94"/>
  <c r="AM94"/>
  <c r="AP94"/>
  <c r="AB94"/>
  <c r="AY94"/>
  <c r="AV93"/>
  <c r="AX93"/>
  <c r="AM93"/>
  <c r="AP93"/>
  <c r="AB93"/>
  <c r="AY93"/>
  <c r="AV92"/>
  <c r="AX92"/>
  <c r="AM92"/>
  <c r="AP92"/>
  <c r="AB92"/>
  <c r="AY92"/>
  <c r="AV91"/>
  <c r="AX91"/>
  <c r="AM91"/>
  <c r="AP91"/>
  <c r="AB91"/>
  <c r="AY91"/>
  <c r="AV90"/>
  <c r="AX90"/>
  <c r="AM90"/>
  <c r="AP90"/>
  <c r="AB90"/>
  <c r="AY90"/>
  <c r="AV89"/>
  <c r="AX89"/>
  <c r="AM89"/>
  <c r="AP89"/>
  <c r="AB89"/>
  <c r="AY89"/>
  <c r="AV88"/>
  <c r="AX88"/>
  <c r="AM88"/>
  <c r="AP88"/>
  <c r="AB88"/>
  <c r="AY88"/>
  <c r="AV87"/>
  <c r="AX87"/>
  <c r="AB87"/>
  <c r="AY87"/>
  <c r="AV86"/>
  <c r="AX86"/>
  <c r="AM86"/>
  <c r="AP86"/>
  <c r="AB86"/>
  <c r="AY86"/>
  <c r="AV85"/>
  <c r="AX85"/>
  <c r="AM85"/>
  <c r="AP85"/>
  <c r="AB85"/>
  <c r="AY85"/>
  <c r="AV84"/>
  <c r="AX84"/>
  <c r="AM84"/>
  <c r="AP84"/>
  <c r="AB84"/>
  <c r="AY84"/>
  <c r="AV83"/>
  <c r="AX83"/>
  <c r="AM83"/>
  <c r="AP83"/>
  <c r="AB83"/>
  <c r="AY83"/>
  <c r="AV82"/>
  <c r="AX82"/>
  <c r="AM82"/>
  <c r="AP82"/>
  <c r="AB82"/>
  <c r="AY82"/>
  <c r="AV81"/>
  <c r="AX81"/>
  <c r="AM81"/>
  <c r="AP81"/>
  <c r="AB81"/>
  <c r="AY81"/>
  <c r="AV80"/>
  <c r="AX80"/>
  <c r="AM80"/>
  <c r="AP80"/>
  <c r="AB80"/>
  <c r="AY80"/>
  <c r="AV79"/>
  <c r="AX79"/>
  <c r="AM79"/>
  <c r="AP79"/>
  <c r="AB79"/>
  <c r="AY79"/>
  <c r="AV78"/>
  <c r="AX78"/>
  <c r="AM78"/>
  <c r="AP78"/>
  <c r="AB78"/>
  <c r="AY78"/>
  <c r="AV77"/>
  <c r="AX77"/>
  <c r="AM77"/>
  <c r="AP77"/>
  <c r="AB77"/>
  <c r="AY77"/>
  <c r="AV76"/>
  <c r="AX76"/>
  <c r="AM76"/>
  <c r="AP76"/>
  <c r="AB76"/>
  <c r="AY76"/>
  <c r="AV75"/>
  <c r="AX75"/>
  <c r="AM75"/>
  <c r="AP75"/>
  <c r="AB75"/>
  <c r="AY75"/>
  <c r="AV60"/>
  <c r="AX60"/>
  <c r="AM60"/>
  <c r="AP60"/>
  <c r="AB60"/>
  <c r="AY60"/>
  <c r="AV59"/>
  <c r="AX59"/>
  <c r="AM59"/>
  <c r="AP59"/>
  <c r="AB59"/>
  <c r="AY59"/>
  <c r="AV58"/>
  <c r="AX58"/>
  <c r="AM58"/>
  <c r="AP58"/>
  <c r="AB58"/>
  <c r="AY58"/>
  <c r="AV57"/>
  <c r="AX57"/>
  <c r="AM57"/>
  <c r="AP57"/>
  <c r="AB57"/>
  <c r="AY57"/>
  <c r="AV56"/>
  <c r="AX56"/>
  <c r="AM56"/>
  <c r="AP56"/>
  <c r="AB56"/>
  <c r="AY56"/>
  <c r="AV55"/>
  <c r="AX55"/>
  <c r="AM55"/>
  <c r="AP55"/>
  <c r="AB55"/>
  <c r="AY55"/>
  <c r="AV54"/>
  <c r="AX54"/>
  <c r="AM54"/>
  <c r="AP54"/>
  <c r="AB54"/>
  <c r="AY54"/>
  <c r="AV53"/>
  <c r="AX53"/>
  <c r="AM53"/>
  <c r="AP53"/>
  <c r="AB53"/>
  <c r="AY53"/>
  <c r="AV52"/>
  <c r="AX52"/>
  <c r="AM52"/>
  <c r="AP52"/>
  <c r="AB52"/>
  <c r="AY52"/>
  <c r="AV51"/>
  <c r="AX51"/>
  <c r="AM51"/>
  <c r="AP51"/>
  <c r="AB51"/>
  <c r="AY51"/>
  <c r="AV50"/>
  <c r="AX50"/>
  <c r="AM50"/>
  <c r="AP50"/>
  <c r="AB50"/>
  <c r="AY50"/>
  <c r="AV49"/>
  <c r="AX49"/>
  <c r="AM49"/>
  <c r="AP49"/>
  <c r="AB49"/>
  <c r="AY49"/>
  <c r="AV48"/>
  <c r="AX48"/>
  <c r="AM48"/>
  <c r="AP48"/>
  <c r="AB48"/>
  <c r="AY48"/>
  <c r="AV47"/>
  <c r="AX47"/>
  <c r="AM47"/>
  <c r="AP47"/>
  <c r="AB47"/>
  <c r="AY47"/>
  <c r="AV46"/>
  <c r="AX46"/>
  <c r="AM46"/>
  <c r="AP46"/>
  <c r="AB46"/>
  <c r="AY46"/>
  <c r="AV45"/>
  <c r="AX45"/>
  <c r="AM45"/>
  <c r="AP45"/>
  <c r="AB45"/>
  <c r="AY45"/>
  <c r="AV44"/>
  <c r="AX44"/>
  <c r="AM44"/>
  <c r="AP44"/>
  <c r="AB44"/>
  <c r="AY44"/>
  <c r="AV43"/>
  <c r="AX43"/>
  <c r="AM43"/>
  <c r="AP43"/>
  <c r="AB43"/>
  <c r="AY43"/>
  <c r="AV42"/>
  <c r="AX42"/>
  <c r="AM42"/>
  <c r="AP42"/>
  <c r="AB42"/>
  <c r="AY42"/>
  <c r="AV41"/>
  <c r="AX41"/>
  <c r="AM41"/>
  <c r="AP41"/>
  <c r="AB41"/>
  <c r="AY41"/>
  <c r="AV40"/>
  <c r="AX40"/>
  <c r="AM40"/>
  <c r="AP40"/>
  <c r="AB40"/>
  <c r="AY40"/>
  <c r="AV39"/>
  <c r="AX39"/>
  <c r="AM39"/>
  <c r="AP39"/>
  <c r="AB39"/>
  <c r="AY39"/>
  <c r="AV38"/>
  <c r="AX38"/>
  <c r="AM38"/>
  <c r="AP38"/>
  <c r="AB38"/>
  <c r="AY38"/>
  <c r="AV37"/>
  <c r="AX37"/>
  <c r="AM37"/>
  <c r="AP37"/>
  <c r="AB37"/>
  <c r="AY37"/>
  <c r="AV36"/>
  <c r="AX36"/>
  <c r="AM36"/>
  <c r="AP36"/>
  <c r="AB36"/>
  <c r="AY36"/>
  <c r="AV35"/>
  <c r="AX35"/>
  <c r="AM35"/>
  <c r="AP35"/>
  <c r="AB35"/>
  <c r="AY35"/>
  <c r="AV34"/>
  <c r="AX34"/>
  <c r="AM34"/>
  <c r="AP34"/>
  <c r="AB34"/>
  <c r="AY34"/>
  <c r="AV33"/>
  <c r="AX33"/>
  <c r="AM33"/>
  <c r="AP33"/>
  <c r="AB33"/>
  <c r="AY33"/>
  <c r="AV32"/>
  <c r="AX32"/>
  <c r="AM32"/>
  <c r="AP32"/>
  <c r="AB32"/>
  <c r="AY32"/>
  <c r="AV31"/>
  <c r="AX31"/>
  <c r="AM31"/>
  <c r="AP31"/>
  <c r="AB31"/>
  <c r="AY31"/>
  <c r="AV30"/>
  <c r="AX30"/>
  <c r="AM30"/>
  <c r="AP30"/>
  <c r="AB30"/>
  <c r="AY30"/>
  <c r="AV29"/>
  <c r="AX29"/>
  <c r="AM29"/>
  <c r="AP29"/>
  <c r="AB29"/>
  <c r="AY29"/>
  <c r="AV28"/>
  <c r="AX28"/>
  <c r="AM28"/>
  <c r="AP28"/>
  <c r="AB28"/>
  <c r="AY28"/>
  <c r="AV27"/>
  <c r="AX27"/>
  <c r="AM27"/>
  <c r="AP27"/>
  <c r="AB27"/>
  <c r="AY27"/>
  <c r="AV26"/>
  <c r="AX26"/>
  <c r="AM26"/>
  <c r="AP26"/>
  <c r="AB26"/>
  <c r="AY26"/>
  <c r="AV25"/>
  <c r="AX25"/>
  <c r="AM25"/>
  <c r="AP25"/>
  <c r="AB25"/>
  <c r="AY25"/>
  <c r="AV24"/>
  <c r="AX24"/>
  <c r="AM24"/>
  <c r="AP24"/>
  <c r="AB24"/>
  <c r="AY24"/>
  <c r="AV23"/>
  <c r="AX23"/>
  <c r="AM23"/>
  <c r="AP23"/>
  <c r="AB23"/>
  <c r="AY23"/>
  <c r="AV22"/>
  <c r="AX22"/>
  <c r="AM22"/>
  <c r="AP22"/>
  <c r="AB22"/>
  <c r="AY22"/>
  <c r="AV21"/>
  <c r="AX21"/>
  <c r="AM21"/>
  <c r="AP21"/>
  <c r="AB21"/>
  <c r="AY21"/>
  <c r="AV20"/>
  <c r="AX20"/>
  <c r="AM20"/>
  <c r="AP20"/>
  <c r="AB20"/>
  <c r="AY20"/>
  <c r="AV19"/>
  <c r="AX19"/>
  <c r="AM19"/>
  <c r="AP19"/>
  <c r="AB19"/>
  <c r="AY19"/>
  <c r="AV18"/>
  <c r="AX18"/>
  <c r="AM18"/>
  <c r="AP18"/>
  <c r="AB18"/>
  <c r="AY18"/>
  <c r="AV17"/>
  <c r="AX17"/>
  <c r="AM17"/>
  <c r="AP17"/>
  <c r="AB17"/>
  <c r="AY17"/>
  <c r="AV16"/>
  <c r="AX16"/>
  <c r="AM16"/>
  <c r="AP16"/>
  <c r="AB16"/>
  <c r="AY16"/>
  <c r="AV15"/>
  <c r="AX15"/>
  <c r="AM15"/>
  <c r="AP15"/>
  <c r="AB15"/>
  <c r="AY15"/>
  <c r="AV14"/>
  <c r="AX14"/>
  <c r="AM14"/>
  <c r="AP14"/>
  <c r="AB14"/>
  <c r="AY14"/>
  <c r="AM120"/>
  <c r="AM61"/>
  <c r="AV120"/>
  <c r="AV61"/>
  <c r="AX120"/>
  <c r="AX61"/>
  <c r="AP120"/>
  <c r="AP61"/>
  <c r="AB120"/>
  <c r="AB61"/>
  <c r="X19" i="2"/>
  <c r="AA19"/>
  <c r="O107"/>
  <c r="AI107"/>
  <c r="AI106"/>
  <c r="AI105"/>
  <c r="AI104"/>
  <c r="AI103"/>
  <c r="AI102"/>
  <c r="AI101"/>
  <c r="AI100"/>
  <c r="AI99"/>
  <c r="AI98"/>
  <c r="AI97"/>
  <c r="AI96"/>
  <c r="AI95"/>
  <c r="AI94"/>
  <c r="AI93"/>
  <c r="AI92"/>
  <c r="AI91"/>
  <c r="AI85"/>
  <c r="AI84"/>
  <c r="AI83"/>
  <c r="AI82"/>
  <c r="AI81"/>
  <c r="AI80"/>
  <c r="AI79"/>
  <c r="AI78"/>
  <c r="AI77"/>
  <c r="AI76"/>
  <c r="AI75"/>
  <c r="AI74"/>
  <c r="AI73"/>
  <c r="AI72"/>
  <c r="AI71"/>
  <c r="AI70"/>
  <c r="AI69"/>
  <c r="AI68"/>
  <c r="AI67"/>
  <c r="AI66"/>
  <c r="AI65"/>
  <c r="AI64"/>
  <c r="AI57"/>
  <c r="AI56"/>
  <c r="AI55"/>
  <c r="AI54"/>
  <c r="AI53"/>
  <c r="AI52"/>
  <c r="AI51"/>
  <c r="AI50"/>
  <c r="AI49"/>
  <c r="AI48"/>
  <c r="AI47"/>
  <c r="AI46"/>
  <c r="AI45"/>
  <c r="AI44"/>
  <c r="AI43"/>
  <c r="AI42"/>
  <c r="AI41"/>
  <c r="AI40"/>
  <c r="AI39"/>
  <c r="AI38"/>
  <c r="AI37"/>
  <c r="AI36"/>
  <c r="AI35"/>
  <c r="AI34"/>
  <c r="AI28"/>
  <c r="AI27"/>
  <c r="AI26"/>
  <c r="AI25"/>
  <c r="AI24"/>
  <c r="AI23"/>
  <c r="AI22"/>
  <c r="AI21"/>
  <c r="AI20"/>
  <c r="AI19"/>
  <c r="AI18"/>
  <c r="AI16"/>
  <c r="AI15"/>
  <c r="AI14"/>
  <c r="AH69"/>
  <c r="AH68"/>
  <c r="AG14"/>
  <c r="AJ14"/>
  <c r="AJ107"/>
  <c r="AG106"/>
  <c r="AJ106"/>
  <c r="AH105"/>
  <c r="AG105"/>
  <c r="AJ105"/>
  <c r="AG104"/>
  <c r="AJ104"/>
  <c r="AH103"/>
  <c r="AG103"/>
  <c r="AJ103"/>
  <c r="AH102"/>
  <c r="AG102"/>
  <c r="AJ102"/>
  <c r="AH101"/>
  <c r="AG101"/>
  <c r="AJ101"/>
  <c r="AH100"/>
  <c r="AG100"/>
  <c r="AJ100"/>
  <c r="AH99"/>
  <c r="AG99"/>
  <c r="AJ99"/>
  <c r="AH98"/>
  <c r="AG98"/>
  <c r="AJ98"/>
  <c r="AG97"/>
  <c r="AJ97"/>
  <c r="AG96"/>
  <c r="AJ96"/>
  <c r="AH95"/>
  <c r="AG95"/>
  <c r="AJ95"/>
  <c r="AH94"/>
  <c r="AG94"/>
  <c r="AJ94"/>
  <c r="AH93"/>
  <c r="AG93"/>
  <c r="AJ93"/>
  <c r="AG92"/>
  <c r="AJ92"/>
  <c r="AG91"/>
  <c r="AJ91"/>
  <c r="AJ85"/>
  <c r="AH84"/>
  <c r="AG84"/>
  <c r="AJ84"/>
  <c r="AG83"/>
  <c r="AJ83"/>
  <c r="AH82"/>
  <c r="AG82"/>
  <c r="AJ82"/>
  <c r="AG81"/>
  <c r="AJ81"/>
  <c r="AG80"/>
  <c r="AJ80"/>
  <c r="AH79"/>
  <c r="AG79"/>
  <c r="AJ79"/>
  <c r="AG78"/>
  <c r="AJ78"/>
  <c r="AH77"/>
  <c r="AG77"/>
  <c r="AJ77"/>
  <c r="AG76"/>
  <c r="AJ76"/>
  <c r="AG75"/>
  <c r="AJ75"/>
  <c r="AG74"/>
  <c r="AJ74"/>
  <c r="AG73"/>
  <c r="AJ73"/>
  <c r="AG72"/>
  <c r="AJ72"/>
  <c r="AG71"/>
  <c r="AJ71"/>
  <c r="AG70"/>
  <c r="AJ70"/>
  <c r="AG69"/>
  <c r="AJ69"/>
  <c r="AG68"/>
  <c r="AJ68"/>
  <c r="AG67"/>
  <c r="AJ67"/>
  <c r="AG66"/>
  <c r="AJ66"/>
  <c r="AG65"/>
  <c r="AJ65"/>
  <c r="AH64"/>
  <c r="AG64"/>
  <c r="AJ64"/>
  <c r="AJ57"/>
  <c r="AH56"/>
  <c r="AG56"/>
  <c r="AJ56"/>
  <c r="AG55"/>
  <c r="AJ55"/>
  <c r="AH54"/>
  <c r="AG54"/>
  <c r="AJ54"/>
  <c r="AH53"/>
  <c r="AG53"/>
  <c r="AJ53"/>
  <c r="AH52"/>
  <c r="AG52"/>
  <c r="AJ52"/>
  <c r="AG51"/>
  <c r="AJ51"/>
  <c r="AH50"/>
  <c r="AG50"/>
  <c r="AJ50"/>
  <c r="AH49"/>
  <c r="AG49"/>
  <c r="AJ49"/>
  <c r="AG48"/>
  <c r="AJ48"/>
  <c r="AH47"/>
  <c r="AG47"/>
  <c r="AJ47"/>
  <c r="AG46"/>
  <c r="AJ46"/>
  <c r="AG45"/>
  <c r="AJ45"/>
  <c r="AH44"/>
  <c r="AG44"/>
  <c r="AJ44"/>
  <c r="AH43"/>
  <c r="AG43"/>
  <c r="AJ43"/>
  <c r="AG42"/>
  <c r="AJ42"/>
  <c r="AG41"/>
  <c r="AJ41"/>
  <c r="AH40"/>
  <c r="AG40"/>
  <c r="AJ40"/>
  <c r="AH39"/>
  <c r="AG39"/>
  <c r="AJ39"/>
  <c r="AG38"/>
  <c r="AJ38"/>
  <c r="AH37"/>
  <c r="AG37"/>
  <c r="AJ37"/>
  <c r="AH36"/>
  <c r="AG36"/>
  <c r="AJ36"/>
  <c r="AH35"/>
  <c r="AG35"/>
  <c r="AJ35"/>
  <c r="AG34"/>
  <c r="AJ34"/>
  <c r="AG28"/>
  <c r="AJ28"/>
  <c r="AH27"/>
  <c r="AG27"/>
  <c r="AJ27"/>
  <c r="AH26"/>
  <c r="AG26"/>
  <c r="AJ26"/>
  <c r="AG25"/>
  <c r="AJ25"/>
  <c r="AH24"/>
  <c r="AG24"/>
  <c r="AJ24"/>
  <c r="AH23"/>
  <c r="AG23"/>
  <c r="AJ23"/>
  <c r="AH22"/>
  <c r="AG22"/>
  <c r="AJ22"/>
  <c r="AH21"/>
  <c r="AG21"/>
  <c r="AJ21"/>
  <c r="AG20"/>
  <c r="AJ20"/>
  <c r="AH19"/>
  <c r="AG19"/>
  <c r="AJ19"/>
  <c r="AG18"/>
  <c r="AJ18"/>
  <c r="AI17"/>
  <c r="AH17"/>
  <c r="AG17"/>
  <c r="AJ17"/>
  <c r="AH16"/>
  <c r="AG16"/>
  <c r="AJ16"/>
  <c r="AG15"/>
  <c r="AJ15"/>
  <c r="X24"/>
  <c r="AA24"/>
  <c r="X107"/>
  <c r="X106"/>
  <c r="X15"/>
  <c r="X105"/>
  <c r="X104"/>
  <c r="X103"/>
  <c r="X102"/>
  <c r="X101"/>
  <c r="X99"/>
  <c r="X98"/>
  <c r="X97"/>
  <c r="X96"/>
  <c r="X95"/>
  <c r="X94"/>
  <c r="X93"/>
  <c r="X92"/>
  <c r="X91"/>
  <c r="X100"/>
  <c r="X85"/>
  <c r="X84"/>
  <c r="X83"/>
  <c r="X82"/>
  <c r="X81"/>
  <c r="X80"/>
  <c r="X79"/>
  <c r="X78"/>
  <c r="X77"/>
  <c r="X76"/>
  <c r="X75"/>
  <c r="X74"/>
  <c r="X73"/>
  <c r="X72"/>
  <c r="X71"/>
  <c r="X70"/>
  <c r="X69"/>
  <c r="X68"/>
  <c r="X67"/>
  <c r="X66"/>
  <c r="X65"/>
  <c r="X64"/>
  <c r="X57"/>
  <c r="X56"/>
  <c r="X55"/>
  <c r="X54"/>
  <c r="X53"/>
  <c r="X52"/>
  <c r="X51"/>
  <c r="X50"/>
  <c r="X49"/>
  <c r="X48"/>
  <c r="X47"/>
  <c r="X46"/>
  <c r="X45"/>
  <c r="X44"/>
  <c r="X43"/>
  <c r="X42"/>
  <c r="X41"/>
  <c r="X40"/>
  <c r="X39"/>
  <c r="X38"/>
  <c r="X37"/>
  <c r="X36"/>
  <c r="X35"/>
  <c r="X34"/>
  <c r="AA106"/>
  <c r="AA15"/>
  <c r="AA105"/>
  <c r="AA104"/>
  <c r="AA103"/>
  <c r="AA102"/>
  <c r="AA101"/>
  <c r="AA100"/>
  <c r="AA99"/>
  <c r="AA98"/>
  <c r="AA97"/>
  <c r="AA96"/>
  <c r="AA95"/>
  <c r="AA94"/>
  <c r="AA93"/>
  <c r="AA92"/>
  <c r="AA91"/>
  <c r="AA84"/>
  <c r="AA83"/>
  <c r="AA82"/>
  <c r="AA81"/>
  <c r="AA80"/>
  <c r="AA79"/>
  <c r="AA78"/>
  <c r="AA77"/>
  <c r="AA76"/>
  <c r="AA75"/>
  <c r="AA74"/>
  <c r="AA73"/>
  <c r="AA72"/>
  <c r="AA71"/>
  <c r="AA70"/>
  <c r="AA69"/>
  <c r="AA68"/>
  <c r="AA67"/>
  <c r="AA66"/>
  <c r="AA65"/>
  <c r="AA64"/>
  <c r="AA56"/>
  <c r="AA55"/>
  <c r="AA54"/>
  <c r="AA53"/>
  <c r="AA52"/>
  <c r="AA51"/>
  <c r="AA50"/>
  <c r="AA49"/>
  <c r="AA48"/>
  <c r="AA47"/>
  <c r="AA46"/>
  <c r="AA45"/>
  <c r="AA44"/>
  <c r="AA43"/>
  <c r="AA42"/>
  <c r="AA41"/>
  <c r="AA40"/>
  <c r="AA39"/>
  <c r="AA38"/>
  <c r="AA37"/>
  <c r="AA36"/>
  <c r="AA35"/>
  <c r="AA34"/>
  <c r="AA107"/>
  <c r="AA85"/>
  <c r="AA57"/>
  <c r="X16"/>
  <c r="X27"/>
  <c r="X26"/>
  <c r="X25"/>
  <c r="X23"/>
  <c r="X22"/>
  <c r="X21"/>
  <c r="X20"/>
  <c r="X18"/>
  <c r="X17"/>
  <c r="X14"/>
  <c r="AA27"/>
  <c r="AA26"/>
  <c r="AA25"/>
  <c r="AA23"/>
  <c r="AA22"/>
  <c r="AA21"/>
  <c r="AA20"/>
  <c r="AA18"/>
  <c r="AA17"/>
  <c r="AA16"/>
  <c r="AA14"/>
  <c r="X28"/>
  <c r="AA28"/>
  <c r="O97"/>
  <c r="O106"/>
  <c r="O15"/>
  <c r="O105"/>
  <c r="O104"/>
  <c r="O103"/>
  <c r="O102"/>
  <c r="O101"/>
  <c r="O100"/>
  <c r="O99"/>
  <c r="O98"/>
  <c r="O96"/>
  <c r="O95"/>
  <c r="O94"/>
  <c r="O93"/>
  <c r="O92"/>
  <c r="O91"/>
  <c r="O84"/>
  <c r="O83"/>
  <c r="O82"/>
  <c r="O81"/>
  <c r="O80"/>
  <c r="O79"/>
  <c r="O78"/>
  <c r="O77"/>
  <c r="O76"/>
  <c r="O75"/>
  <c r="O74"/>
  <c r="O73"/>
  <c r="O72"/>
  <c r="O71"/>
  <c r="O70"/>
  <c r="O69"/>
  <c r="O68"/>
  <c r="O67"/>
  <c r="O66"/>
  <c r="O65"/>
  <c r="O64"/>
  <c r="O56"/>
  <c r="O55"/>
  <c r="O54"/>
  <c r="O53"/>
  <c r="O52"/>
  <c r="O51"/>
  <c r="O50"/>
  <c r="O49"/>
  <c r="O48"/>
  <c r="O47"/>
  <c r="O46"/>
  <c r="O45"/>
  <c r="O44"/>
  <c r="O43"/>
  <c r="O42"/>
  <c r="O41"/>
  <c r="O40"/>
  <c r="O39"/>
  <c r="O38"/>
  <c r="O37"/>
  <c r="O36"/>
  <c r="O35"/>
  <c r="O34"/>
  <c r="O27"/>
  <c r="O26"/>
  <c r="O25"/>
  <c r="O24"/>
  <c r="O23"/>
  <c r="O22"/>
  <c r="O21"/>
  <c r="O20"/>
  <c r="O19"/>
  <c r="O18"/>
  <c r="O17"/>
  <c r="O16"/>
  <c r="O28"/>
  <c r="O14"/>
  <c r="T40" i="4"/>
  <c r="W40"/>
  <c r="Q40"/>
  <c r="L40"/>
  <c r="X40"/>
  <c r="T39"/>
  <c r="W39"/>
  <c r="Q39"/>
  <c r="L39"/>
  <c r="X39"/>
  <c r="T38"/>
  <c r="W38"/>
  <c r="Q38"/>
  <c r="L38"/>
  <c r="X38"/>
  <c r="T37"/>
  <c r="W37"/>
  <c r="Q37"/>
  <c r="L37"/>
  <c r="X37"/>
  <c r="W36"/>
  <c r="Q36"/>
  <c r="L36"/>
  <c r="X36"/>
  <c r="T35"/>
  <c r="W35"/>
  <c r="Q35"/>
  <c r="L35"/>
  <c r="X35"/>
  <c r="T34"/>
  <c r="W34"/>
  <c r="Q34"/>
  <c r="L34"/>
  <c r="X34"/>
  <c r="T33"/>
  <c r="W33"/>
  <c r="Q33"/>
  <c r="L33"/>
  <c r="X33"/>
  <c r="T32"/>
  <c r="W32"/>
  <c r="Q32"/>
  <c r="L32"/>
  <c r="X32"/>
  <c r="T31"/>
  <c r="W31"/>
  <c r="Q31"/>
  <c r="L31"/>
  <c r="X31"/>
  <c r="T30"/>
  <c r="W30"/>
  <c r="Q30"/>
  <c r="L30"/>
  <c r="X30"/>
  <c r="T29"/>
  <c r="W29"/>
  <c r="Q29"/>
  <c r="L29"/>
  <c r="X29"/>
  <c r="T28"/>
  <c r="W28"/>
  <c r="Q28"/>
  <c r="L28"/>
  <c r="X28"/>
  <c r="T27"/>
  <c r="W27"/>
  <c r="Q27"/>
  <c r="L27"/>
  <c r="X27"/>
  <c r="T26"/>
  <c r="W26"/>
  <c r="Q26"/>
  <c r="L26"/>
  <c r="X26"/>
  <c r="T25"/>
  <c r="W25"/>
  <c r="Q25"/>
  <c r="L25"/>
  <c r="X25"/>
  <c r="T24"/>
  <c r="W24"/>
  <c r="Q24"/>
  <c r="L24"/>
  <c r="X24"/>
  <c r="T23"/>
  <c r="W23"/>
  <c r="Q23"/>
  <c r="L23"/>
  <c r="X23"/>
  <c r="T22"/>
  <c r="W22"/>
  <c r="Q22"/>
  <c r="L22"/>
  <c r="X22"/>
  <c r="T21"/>
  <c r="W21"/>
  <c r="Q21"/>
  <c r="L21"/>
  <c r="X21"/>
  <c r="W20"/>
  <c r="Q20"/>
  <c r="L20"/>
  <c r="X20"/>
  <c r="W19"/>
  <c r="Q19"/>
  <c r="L19"/>
  <c r="X19"/>
  <c r="T18"/>
  <c r="W18"/>
  <c r="Q18"/>
  <c r="L18"/>
  <c r="X18"/>
  <c r="T17"/>
  <c r="W17"/>
  <c r="Q17"/>
  <c r="L17"/>
  <c r="X17"/>
  <c r="W16"/>
  <c r="Q16"/>
  <c r="L16"/>
  <c r="X16"/>
  <c r="T15"/>
  <c r="W15"/>
  <c r="Q15"/>
  <c r="L15"/>
  <c r="X15"/>
  <c r="T14"/>
  <c r="W14"/>
  <c r="Q14"/>
  <c r="L14"/>
  <c r="X14"/>
  <c r="W41"/>
  <c r="Q41"/>
  <c r="L41"/>
  <c r="Y40" i="5"/>
  <c r="Q40"/>
  <c r="K40"/>
  <c r="Z40"/>
  <c r="X39"/>
  <c r="Y39"/>
  <c r="Q39"/>
  <c r="K39"/>
  <c r="Z39"/>
  <c r="Y38"/>
  <c r="Q38"/>
  <c r="K38"/>
  <c r="Z38"/>
  <c r="X37"/>
  <c r="Y37"/>
  <c r="Q37"/>
  <c r="K37"/>
  <c r="Z37"/>
  <c r="Y36"/>
  <c r="Q36"/>
  <c r="K36"/>
  <c r="Z36"/>
  <c r="Y35"/>
  <c r="Q35"/>
  <c r="K35"/>
  <c r="Z35"/>
  <c r="Y34"/>
  <c r="Q34"/>
  <c r="K34"/>
  <c r="Z34"/>
  <c r="Y33"/>
  <c r="Q33"/>
  <c r="K33"/>
  <c r="Z33"/>
  <c r="X32"/>
  <c r="Y32"/>
  <c r="Q32"/>
  <c r="K32"/>
  <c r="Z32"/>
  <c r="Y31"/>
  <c r="Q31"/>
  <c r="K31"/>
  <c r="Z31"/>
  <c r="X30"/>
  <c r="Y30"/>
  <c r="Q30"/>
  <c r="K30"/>
  <c r="Z30"/>
  <c r="X29"/>
  <c r="Y29"/>
  <c r="Q29"/>
  <c r="K29"/>
  <c r="Z29"/>
  <c r="X28"/>
  <c r="Y28"/>
  <c r="Q28"/>
  <c r="K28"/>
  <c r="Z28"/>
  <c r="X27"/>
  <c r="Y27"/>
  <c r="Q27"/>
  <c r="K27"/>
  <c r="Z27"/>
  <c r="X26"/>
  <c r="Y26"/>
  <c r="Q26"/>
  <c r="K26"/>
  <c r="Z26"/>
  <c r="Y25"/>
  <c r="Q25"/>
  <c r="K25"/>
  <c r="Z25"/>
  <c r="Y24"/>
  <c r="Q24"/>
  <c r="K24"/>
  <c r="Z24"/>
  <c r="Y23"/>
  <c r="Q23"/>
  <c r="K23"/>
  <c r="Z23"/>
  <c r="Y22"/>
  <c r="Q22"/>
  <c r="K22"/>
  <c r="Z22"/>
  <c r="X21"/>
  <c r="Y21"/>
  <c r="Q21"/>
  <c r="K21"/>
  <c r="Z21"/>
  <c r="Y20"/>
  <c r="Q20"/>
  <c r="K20"/>
  <c r="Z20"/>
  <c r="Y19"/>
  <c r="Q19"/>
  <c r="K19"/>
  <c r="Z19"/>
  <c r="X18"/>
  <c r="Y18"/>
  <c r="Q18"/>
  <c r="K18"/>
  <c r="Z18"/>
  <c r="Y17"/>
  <c r="Q17"/>
  <c r="K17"/>
  <c r="Z17"/>
  <c r="X16"/>
  <c r="Y16"/>
  <c r="Q16"/>
  <c r="K16"/>
  <c r="Z16"/>
  <c r="Y15"/>
  <c r="Q15"/>
  <c r="K15"/>
  <c r="Z15"/>
  <c r="X14"/>
  <c r="Y14"/>
  <c r="Q14"/>
  <c r="K14"/>
  <c r="Z14"/>
  <c r="Y41"/>
  <c r="Q41"/>
  <c r="K41"/>
  <c r="AS34" i="3"/>
  <c r="AS33"/>
  <c r="AS32"/>
  <c r="AS31"/>
  <c r="AS30"/>
  <c r="AS29"/>
  <c r="AS27"/>
  <c r="AS26"/>
  <c r="AS25"/>
  <c r="AS24"/>
  <c r="AS23"/>
  <c r="AS21"/>
  <c r="AS19"/>
  <c r="AS28"/>
  <c r="AS18"/>
  <c r="AS17"/>
  <c r="AS16"/>
  <c r="AS15"/>
  <c r="AR35"/>
  <c r="AU35"/>
  <c r="AR34"/>
  <c r="AU34"/>
  <c r="AR33"/>
  <c r="AU33"/>
  <c r="AR32"/>
  <c r="AU32"/>
  <c r="AR31"/>
  <c r="AU31"/>
  <c r="AR30"/>
  <c r="AU30"/>
  <c r="AR29"/>
  <c r="AU29"/>
  <c r="AR28"/>
  <c r="AU28"/>
  <c r="AR27"/>
  <c r="AU27"/>
  <c r="AR26"/>
  <c r="AU26"/>
  <c r="AR25"/>
  <c r="AU25"/>
  <c r="AR24"/>
  <c r="AU24"/>
  <c r="AR23"/>
  <c r="AU23"/>
  <c r="AR22"/>
  <c r="AU22"/>
  <c r="AR21"/>
  <c r="AU21"/>
  <c r="AR20"/>
  <c r="AU20"/>
  <c r="AR19"/>
  <c r="AU19"/>
  <c r="AR18"/>
  <c r="AU18"/>
  <c r="AR17"/>
  <c r="AU17"/>
  <c r="AR16"/>
  <c r="AU16"/>
  <c r="AR15"/>
  <c r="AU15"/>
  <c r="AR14"/>
  <c r="AD35"/>
  <c r="AG35"/>
  <c r="AC34"/>
  <c r="AD34"/>
  <c r="AG34"/>
  <c r="AC33"/>
  <c r="AD33"/>
  <c r="AG33"/>
  <c r="AC32"/>
  <c r="AD32"/>
  <c r="AG32"/>
  <c r="AC31"/>
  <c r="AD31"/>
  <c r="AG31"/>
  <c r="AD30"/>
  <c r="AG30"/>
  <c r="AD29"/>
  <c r="AG29"/>
  <c r="AC28"/>
  <c r="AD28"/>
  <c r="AG28"/>
  <c r="AC27"/>
  <c r="AD27"/>
  <c r="AG27"/>
  <c r="AD26"/>
  <c r="AG26"/>
  <c r="AD25"/>
  <c r="AG25"/>
  <c r="AD24"/>
  <c r="AG24"/>
  <c r="AC23"/>
  <c r="AD23"/>
  <c r="AG23"/>
  <c r="AC22"/>
  <c r="AD22"/>
  <c r="AG22"/>
  <c r="AC21"/>
  <c r="AD21"/>
  <c r="AG21"/>
  <c r="AD20"/>
  <c r="AG20"/>
  <c r="AC19"/>
  <c r="AD19"/>
  <c r="AG19"/>
  <c r="AD18"/>
  <c r="AG18"/>
  <c r="AC17"/>
  <c r="AD17"/>
  <c r="AG17"/>
  <c r="AD16"/>
  <c r="AG16"/>
  <c r="AD15"/>
  <c r="AG15"/>
  <c r="AD14"/>
  <c r="AG14"/>
  <c r="X35"/>
  <c r="Y35"/>
  <c r="X34"/>
  <c r="Y34"/>
  <c r="X33"/>
  <c r="Y33"/>
  <c r="X32"/>
  <c r="Y32"/>
  <c r="X31"/>
  <c r="Y31"/>
  <c r="X30"/>
  <c r="Y30"/>
  <c r="X29"/>
  <c r="Y29"/>
  <c r="X28"/>
  <c r="Y28"/>
  <c r="X27"/>
  <c r="Y27"/>
  <c r="X26"/>
  <c r="Y26"/>
  <c r="X25"/>
  <c r="Y25"/>
  <c r="X24"/>
  <c r="Y24"/>
  <c r="X23"/>
  <c r="Y23"/>
  <c r="X22"/>
  <c r="Y22"/>
  <c r="X21"/>
  <c r="Y21"/>
  <c r="X20"/>
  <c r="Y20"/>
  <c r="X19"/>
  <c r="Y19"/>
  <c r="X18"/>
  <c r="Y18"/>
  <c r="X17"/>
  <c r="Y17"/>
  <c r="X16"/>
  <c r="Y16"/>
  <c r="X15"/>
  <c r="Y15"/>
  <c r="X14"/>
  <c r="Y14"/>
</calcChain>
</file>

<file path=xl/sharedStrings.xml><?xml version="1.0" encoding="utf-8"?>
<sst xmlns="http://schemas.openxmlformats.org/spreadsheetml/2006/main" count="1193" uniqueCount="535">
  <si>
    <t>2</t>
    <phoneticPr fontId="23" type="noConversion"/>
  </si>
  <si>
    <t>14</t>
    <phoneticPr fontId="23" type="noConversion"/>
  </si>
  <si>
    <t>.5</t>
    <phoneticPr fontId="23" type="noConversion"/>
  </si>
  <si>
    <t>2.5</t>
    <phoneticPr fontId="23" type="noConversion"/>
  </si>
  <si>
    <t>JUEV 9-11AM</t>
  </si>
  <si>
    <t>INGENIERIA DE SISTEMAS</t>
  </si>
  <si>
    <t>2</t>
    <phoneticPr fontId="23" type="noConversion"/>
  </si>
  <si>
    <t>HUAHUASONCCO POMA, MICHAEL PAUL</t>
  </si>
  <si>
    <t>2013202011</t>
  </si>
  <si>
    <t>HUILLCA GUTIERREZ, CRISTIAN EDUARDO</t>
  </si>
  <si>
    <t>2015701231</t>
  </si>
  <si>
    <t>VIE 9-11am</t>
  </si>
  <si>
    <t>PROM</t>
    <phoneticPr fontId="23" type="noConversion"/>
  </si>
  <si>
    <t>DALMAO QUIROA, ALVARO JOAO</t>
  </si>
  <si>
    <t>2012223941</t>
  </si>
  <si>
    <t>ESPINOZA ESCOBAR, ALVARO DIEGO</t>
  </si>
  <si>
    <t>2012601522</t>
  </si>
  <si>
    <t>FLORES PEREZ, MARGARET MASIEL</t>
  </si>
  <si>
    <t>JIMENEZ BALDARRAGO, DANIEL HUMBERTO</t>
  </si>
  <si>
    <t>2016246191</t>
  </si>
  <si>
    <t>APAZA TODCO, LUIS ANGEL</t>
  </si>
  <si>
    <t>2016246221</t>
  </si>
  <si>
    <t>CALDERON SAMATA, BRUNO DANIEL</t>
  </si>
  <si>
    <t>QUIÑONES GAMERO, JORGE MIGUEL</t>
  </si>
  <si>
    <t>2012248281</t>
  </si>
  <si>
    <t>VARGAS CARBAJAL, ERIC VAROY</t>
  </si>
  <si>
    <t xml:space="preserve">PACSI GAMBOA, LOURDES PRISCILA </t>
  </si>
  <si>
    <t>PALMA ESPINOZA, DIANA BELEN</t>
  </si>
  <si>
    <t>PAMO DELGADO, RODRIGO EDMUR</t>
  </si>
  <si>
    <t>SANTA CRUZ LEIVA, FRANK LUIS</t>
  </si>
  <si>
    <t>2016246541</t>
  </si>
  <si>
    <t>2012223841</t>
  </si>
  <si>
    <t>TORRES TONE, JOSE CARLOS</t>
  </si>
  <si>
    <t>GUTIERREZ QUINTANILLA, ANDREA ISABEL</t>
  </si>
  <si>
    <t>2013246741</t>
  </si>
  <si>
    <t>QUILLA ARISPE, MISHEL ANGELA</t>
  </si>
  <si>
    <t xml:space="preserve">LISTADO DE ALUMNOS MATRICULADOS
</t>
  </si>
  <si>
    <t>71</t>
  </si>
  <si>
    <t>27/02/2016</t>
  </si>
  <si>
    <t>2015222861</t>
  </si>
  <si>
    <t>Ej1 Clase</t>
    <phoneticPr fontId="23" type="noConversion"/>
  </si>
  <si>
    <t>RAMOS JARA, HERNAN YURI</t>
  </si>
  <si>
    <t>2015244331</t>
  </si>
  <si>
    <t>11/03/2016</t>
  </si>
  <si>
    <t>2012223871</t>
  </si>
  <si>
    <t>VERA QUISPE, ROLDY ALEX</t>
  </si>
  <si>
    <t>Ej2 casa</t>
    <phoneticPr fontId="23" type="noConversion"/>
  </si>
  <si>
    <t>BANDA CARDENAS, ALFONSO</t>
    <phoneticPr fontId="23" type="noConversion"/>
  </si>
  <si>
    <t>C3</t>
    <phoneticPr fontId="23" type="noConversion"/>
  </si>
  <si>
    <t>Ej2 Clase</t>
    <phoneticPr fontId="23" type="noConversion"/>
  </si>
  <si>
    <t>C4</t>
    <phoneticPr fontId="23" type="noConversion"/>
  </si>
  <si>
    <t>2015203581</t>
  </si>
  <si>
    <t>RODRIGUEZ RODRIGUEZ, MAURICIO KEVIN</t>
  </si>
  <si>
    <t>Cuestionarios</t>
    <phoneticPr fontId="23" type="noConversion"/>
  </si>
  <si>
    <t>Ptos PC</t>
    <phoneticPr fontId="23" type="noConversion"/>
  </si>
  <si>
    <t>SEC/GRU</t>
  </si>
  <si>
    <t>COD. DOC</t>
  </si>
  <si>
    <t>FEC. MAT.</t>
  </si>
  <si>
    <t>METODOS FORMALES EN INGENIERIA DE SOFTWARE</t>
  </si>
  <si>
    <t>2012240321</t>
  </si>
  <si>
    <t>COD. ASI.</t>
  </si>
  <si>
    <t xml:space="preserve">BALLENAS LAZARO, ALDO RICHARD </t>
  </si>
  <si>
    <t>CRUZ LLAYQUE, JORGE LUIS</t>
  </si>
  <si>
    <t>2011242031</t>
  </si>
  <si>
    <t>Pcal</t>
    <phoneticPr fontId="23" type="noConversion"/>
  </si>
  <si>
    <t>C6</t>
    <phoneticPr fontId="23" type="noConversion"/>
  </si>
  <si>
    <t>Ej3 Clase</t>
    <phoneticPr fontId="23" type="noConversion"/>
  </si>
  <si>
    <t>LUQUE CRUZADO FREDY MOISES</t>
  </si>
  <si>
    <t>RAMOS SALAS, BRUNO MICHAEL</t>
  </si>
  <si>
    <t>VELARDE HERENCIA, RODRIGO</t>
  </si>
  <si>
    <t>MOROCHARA YANA, DEYVY OSCAR</t>
  </si>
  <si>
    <t>PROM</t>
    <phoneticPr fontId="23" type="noConversion"/>
  </si>
  <si>
    <t>PINTO VELAZCO, PATRICK JOEL</t>
  </si>
  <si>
    <t>2015241091</t>
  </si>
  <si>
    <t>VIVANCO LOZANO, MAURICIO ALCIDES</t>
  </si>
  <si>
    <t>2012702101</t>
  </si>
  <si>
    <t>2012248461</t>
  </si>
  <si>
    <t>PAREDES PAREDES, GABRIELA ALEJANDRA</t>
  </si>
  <si>
    <t>2012223811</t>
  </si>
  <si>
    <t>ROJAS GOMEZ, CRISTIAN EMILIO</t>
  </si>
  <si>
    <t>2012802081</t>
  </si>
  <si>
    <t>ZEGARRA VILCA, STEVEN HERMAN</t>
  </si>
  <si>
    <t>Delegado</t>
  </si>
  <si>
    <t>brayanDLS98@gmail.com</t>
  </si>
  <si>
    <t>Delegada</t>
  </si>
  <si>
    <t>ZHONG , SHAOWEN</t>
  </si>
  <si>
    <t>P3</t>
    <phoneticPr fontId="23" type="noConversion"/>
  </si>
  <si>
    <t>5</t>
    <phoneticPr fontId="23" type="noConversion"/>
  </si>
  <si>
    <t>5</t>
    <phoneticPr fontId="23" type="noConversion"/>
  </si>
  <si>
    <t>5</t>
    <phoneticPr fontId="23" type="noConversion"/>
  </si>
  <si>
    <t>2.5</t>
    <phoneticPr fontId="23" type="noConversion"/>
  </si>
  <si>
    <t>1.5</t>
    <phoneticPr fontId="23" type="noConversion"/>
  </si>
  <si>
    <t>CALLATA ESPINOZA, DAVID ANDREWS</t>
  </si>
  <si>
    <t>2016246251</t>
  </si>
  <si>
    <t>CARNERO MAYORGA, MANUEL FABIAN</t>
  </si>
  <si>
    <t>2016246281</t>
  </si>
  <si>
    <t>CHARCA VERA, JUAN ENRIQUE</t>
  </si>
  <si>
    <t>2015247121</t>
  </si>
  <si>
    <t>APLAZ</t>
    <phoneticPr fontId="23" type="noConversion"/>
  </si>
  <si>
    <t>1.5</t>
    <phoneticPr fontId="23" type="noConversion"/>
  </si>
  <si>
    <t>2.5</t>
    <phoneticPr fontId="23" type="noConversion"/>
  </si>
  <si>
    <t>TITO FLORES, LUIS FELIPE</t>
    <phoneticPr fontId="23" type="noConversion"/>
  </si>
  <si>
    <t>DUEÑAS BERMITT, SUE-ELLEN MELISSA</t>
  </si>
  <si>
    <t>2012223951</t>
  </si>
  <si>
    <t>FIGUEROA QUIROZ, FIDEL ENRIQUE</t>
  </si>
  <si>
    <t>2012201781</t>
  </si>
  <si>
    <t>2</t>
    <phoneticPr fontId="23" type="noConversion"/>
  </si>
  <si>
    <t>2.5</t>
    <phoneticPr fontId="23" type="noConversion"/>
  </si>
  <si>
    <t>2</t>
    <phoneticPr fontId="23" type="noConversion"/>
  </si>
  <si>
    <t>3.5</t>
    <phoneticPr fontId="23" type="noConversion"/>
  </si>
  <si>
    <t>2</t>
    <phoneticPr fontId="23" type="noConversion"/>
  </si>
  <si>
    <t>4</t>
    <phoneticPr fontId="23" type="noConversion"/>
  </si>
  <si>
    <t>3</t>
    <phoneticPr fontId="23" type="noConversion"/>
  </si>
  <si>
    <t>ANDIA CACERES, JOHN</t>
    <phoneticPr fontId="23" type="noConversion"/>
  </si>
  <si>
    <t>S2</t>
    <phoneticPr fontId="23" type="noConversion"/>
  </si>
  <si>
    <t>5</t>
    <phoneticPr fontId="23" type="noConversion"/>
  </si>
  <si>
    <t>5</t>
    <phoneticPr fontId="23" type="noConversion"/>
  </si>
  <si>
    <t>5</t>
    <phoneticPr fontId="23" type="noConversion"/>
  </si>
  <si>
    <t>4</t>
    <phoneticPr fontId="23" type="noConversion"/>
  </si>
  <si>
    <t>03/03/2016</t>
  </si>
  <si>
    <t>2015247501</t>
  </si>
  <si>
    <t>MAMANI ALFARO, FERDINAN JHOAQUIN</t>
  </si>
  <si>
    <t>04/03/2016</t>
  </si>
  <si>
    <t>2012223761</t>
  </si>
  <si>
    <t>MANSILLA MOSCOSO, PAOLO MAURICIO</t>
  </si>
  <si>
    <t>3</t>
    <phoneticPr fontId="23" type="noConversion"/>
  </si>
  <si>
    <t>2014245471</t>
  </si>
  <si>
    <t>ALVAREZ HERRERA, RAMIRO MIGUEL</t>
  </si>
  <si>
    <t>2012201681</t>
  </si>
  <si>
    <t>BEDOYA CARRILLO, ALAN DEYBY JUNIOR</t>
  </si>
  <si>
    <t>2012242581</t>
  </si>
  <si>
    <t>Nros Primos</t>
    <phoneticPr fontId="23" type="noConversion"/>
  </si>
  <si>
    <t>Primos</t>
    <phoneticPr fontId="23" type="noConversion"/>
  </si>
  <si>
    <t>Python</t>
    <phoneticPr fontId="23" type="noConversion"/>
  </si>
  <si>
    <t>P</t>
    <phoneticPr fontId="23" type="noConversion"/>
  </si>
  <si>
    <t>P</t>
    <phoneticPr fontId="23" type="noConversion"/>
  </si>
  <si>
    <t>P11</t>
    <phoneticPr fontId="23" type="noConversion"/>
  </si>
  <si>
    <t>Asist</t>
    <phoneticPr fontId="23" type="noConversion"/>
  </si>
  <si>
    <t>L8</t>
    <phoneticPr fontId="23" type="noConversion"/>
  </si>
  <si>
    <t>L9</t>
    <phoneticPr fontId="23" type="noConversion"/>
  </si>
  <si>
    <t>L10</t>
    <phoneticPr fontId="23" type="noConversion"/>
  </si>
  <si>
    <t>PROM</t>
    <phoneticPr fontId="23" type="noConversion"/>
  </si>
  <si>
    <t xml:space="preserve">PACHECO REVILLA, ALEXANDER ANDREI </t>
  </si>
  <si>
    <t>2013240681</t>
  </si>
  <si>
    <t>LAZO PORTUGAL, RAMIRO FRANCHESCO</t>
  </si>
  <si>
    <t>MARTINEZ PALOMINO, EDUARDO JESUS</t>
  </si>
  <si>
    <t>Ej1 casa</t>
    <phoneticPr fontId="23" type="noConversion"/>
  </si>
  <si>
    <t xml:space="preserve">PROGRAMA PROFESIONAL      
</t>
  </si>
  <si>
    <t>NOMBRE</t>
  </si>
  <si>
    <t>RIVERA PACHECO, ALEJANDRO GONZALO</t>
  </si>
  <si>
    <t>2015202941</t>
  </si>
  <si>
    <t>RODRIGUEZ ALVAREZ, AAROM KEVIN</t>
  </si>
  <si>
    <t>JORGE OCHARAN RAMOS</t>
    <phoneticPr fontId="23" type="noConversion"/>
  </si>
  <si>
    <t>P</t>
    <phoneticPr fontId="23" type="noConversion"/>
  </si>
  <si>
    <t>P</t>
    <phoneticPr fontId="23" type="noConversion"/>
  </si>
  <si>
    <t>P</t>
    <phoneticPr fontId="23" type="noConversion"/>
  </si>
  <si>
    <t>2015800271</t>
  </si>
  <si>
    <t>2015241361</t>
  </si>
  <si>
    <t>2015701872</t>
  </si>
  <si>
    <t>2015200361</t>
  </si>
  <si>
    <t>SALAZAR ARIZANCA, JEAN KRISTOFER</t>
  </si>
  <si>
    <t>2013224132</t>
  </si>
  <si>
    <t>SALAS PEREZ, GUADALUPE SOLANGE</t>
  </si>
  <si>
    <t>Trab</t>
    <phoneticPr fontId="23" type="noConversion"/>
  </si>
  <si>
    <t>17.5%</t>
    <phoneticPr fontId="23" type="noConversion"/>
  </si>
  <si>
    <t>50%</t>
    <phoneticPr fontId="23" type="noConversion"/>
  </si>
  <si>
    <t>T1 Casa</t>
    <phoneticPr fontId="23" type="noConversion"/>
  </si>
  <si>
    <t>Teo3</t>
    <phoneticPr fontId="23" type="noConversion"/>
  </si>
  <si>
    <t>Teo5</t>
    <phoneticPr fontId="23" type="noConversion"/>
  </si>
  <si>
    <t>ASIST</t>
    <phoneticPr fontId="23" type="noConversion"/>
  </si>
  <si>
    <t>Examen1</t>
    <phoneticPr fontId="23" type="noConversion"/>
  </si>
  <si>
    <t>PROM</t>
    <phoneticPr fontId="23" type="noConversion"/>
  </si>
  <si>
    <t>Teo5y6</t>
    <phoneticPr fontId="23" type="noConversion"/>
  </si>
  <si>
    <t>Teo06</t>
    <phoneticPr fontId="23" type="noConversion"/>
  </si>
  <si>
    <t>Asist</t>
    <phoneticPr fontId="23" type="noConversion"/>
  </si>
  <si>
    <t>EXAM2</t>
    <phoneticPr fontId="23" type="noConversion"/>
  </si>
  <si>
    <t>PROM</t>
    <phoneticPr fontId="23" type="noConversion"/>
  </si>
  <si>
    <t>Expo</t>
    <phoneticPr fontId="23" type="noConversion"/>
  </si>
  <si>
    <t>T13</t>
    <phoneticPr fontId="23" type="noConversion"/>
  </si>
  <si>
    <t xml:space="preserve">VILLENA TORRES, JOSE MIGUEL </t>
  </si>
  <si>
    <t>METODOLOGIA DE LA PROGRAMACION</t>
  </si>
  <si>
    <t>7101118</t>
  </si>
  <si>
    <t>Clase10</t>
    <phoneticPr fontId="23" type="noConversion"/>
  </si>
  <si>
    <t>Clase10</t>
    <phoneticPr fontId="23" type="noConversion"/>
  </si>
  <si>
    <t>ASIST</t>
    <phoneticPr fontId="23" type="noConversion"/>
  </si>
  <si>
    <t>EXAM2</t>
    <phoneticPr fontId="23" type="noConversion"/>
  </si>
  <si>
    <t>PROM</t>
    <phoneticPr fontId="23" type="noConversion"/>
  </si>
  <si>
    <t>Ej3 casa</t>
    <phoneticPr fontId="23" type="noConversion"/>
  </si>
  <si>
    <t>C5</t>
    <phoneticPr fontId="23" type="noConversion"/>
  </si>
  <si>
    <t>Ej4 casa</t>
    <phoneticPr fontId="23" type="noConversion"/>
  </si>
  <si>
    <t>APARICIO HUAMANTUNA, KARINA RUTH</t>
  </si>
  <si>
    <t>ESQUIEROS HERMOZA, PERCY ALEJANDRO</t>
  </si>
  <si>
    <t>GALLEGOS BELTRAN, KATHERIN VICTORIA</t>
  </si>
  <si>
    <t>GUERREROS HUANCA, YERSON GINO</t>
  </si>
  <si>
    <t>GUTIERREZ AMPUERO, DIEGO MARIO DE JESUS</t>
  </si>
  <si>
    <t xml:space="preserve">HERRERA MAMANI, JASMIN RUBI </t>
  </si>
  <si>
    <t>INSUA GONZALEZ, MIGUEL ARMANDO</t>
  </si>
  <si>
    <t>JIMENEZ CHATA, SAMAEL MARCOS</t>
  </si>
  <si>
    <t>PAREDES MANSILLA, CARLOS MIGUEL</t>
  </si>
  <si>
    <t>TICONA SUCARI, MARCO ANTONIO</t>
  </si>
  <si>
    <t>OSIS ORELLANA, WILBERT JUNIOR</t>
  </si>
  <si>
    <t>3</t>
    <phoneticPr fontId="23" type="noConversion"/>
  </si>
  <si>
    <t>5</t>
    <phoneticPr fontId="23" type="noConversion"/>
  </si>
  <si>
    <t>L4</t>
    <phoneticPr fontId="23" type="noConversion"/>
  </si>
  <si>
    <t>L5</t>
    <phoneticPr fontId="23" type="noConversion"/>
  </si>
  <si>
    <t>L6</t>
    <phoneticPr fontId="23" type="noConversion"/>
  </si>
  <si>
    <t>HERRERA GAMARRA, DIEGO</t>
  </si>
  <si>
    <t>25/02/2016</t>
  </si>
  <si>
    <t>2015101021</t>
  </si>
  <si>
    <t>COAGUILA CALAPUJA, GEAMPIER ALBERTO</t>
  </si>
  <si>
    <t>DELGADO BUSTAMANTE, JOSE LEORNARDO</t>
  </si>
  <si>
    <t>2016210082</t>
  </si>
  <si>
    <t>DIAZ ALFARO, MARIA FERNANDA</t>
  </si>
  <si>
    <t>Exam</t>
    <phoneticPr fontId="23" type="noConversion"/>
  </si>
  <si>
    <t>PROM</t>
    <phoneticPr fontId="23" type="noConversion"/>
  </si>
  <si>
    <t>TALAVERA MANZANARES, LESLIE FAVIOLA</t>
  </si>
  <si>
    <t>2016246602</t>
  </si>
  <si>
    <t>VALENCIA VILCA, YOISI MILAGROS</t>
  </si>
  <si>
    <t>2016246641</t>
  </si>
  <si>
    <t>ZAMBRANO AROQUIPA, ERICK</t>
  </si>
  <si>
    <t>PPPP</t>
    <phoneticPr fontId="23" type="noConversion"/>
  </si>
  <si>
    <t>PPPP</t>
    <phoneticPr fontId="23" type="noConversion"/>
  </si>
  <si>
    <t>S3</t>
    <phoneticPr fontId="23" type="noConversion"/>
  </si>
  <si>
    <t>S4</t>
    <phoneticPr fontId="23" type="noConversion"/>
  </si>
  <si>
    <t>S5</t>
    <phoneticPr fontId="23" type="noConversion"/>
  </si>
  <si>
    <t>S6</t>
    <phoneticPr fontId="23" type="noConversion"/>
  </si>
  <si>
    <t xml:space="preserve">ORE RONDON, YOSELYN ROMINA </t>
  </si>
  <si>
    <t>P10</t>
    <phoneticPr fontId="23" type="noConversion"/>
  </si>
  <si>
    <t>C1</t>
    <phoneticPr fontId="23" type="noConversion"/>
  </si>
  <si>
    <t>C2</t>
    <phoneticPr fontId="23" type="noConversion"/>
  </si>
  <si>
    <t>1</t>
    <phoneticPr fontId="23" type="noConversion"/>
  </si>
  <si>
    <t>3</t>
    <phoneticPr fontId="23" type="noConversion"/>
  </si>
  <si>
    <t xml:space="preserve">BARREDA MUÑOZ, SOLANGE ELIZABETH </t>
  </si>
  <si>
    <t>BEDREGAL VERA, JOSEPH PATRICIO</t>
  </si>
  <si>
    <t>BENAVIDES SILVA, SOPHIA ANDREA</t>
  </si>
  <si>
    <t>ASIST</t>
    <phoneticPr fontId="23" type="noConversion"/>
  </si>
  <si>
    <t>QUINONES GAMERO, JORGE MIGUEL</t>
    <phoneticPr fontId="23" type="noConversion"/>
  </si>
  <si>
    <t>ASIST</t>
    <phoneticPr fontId="23" type="noConversion"/>
  </si>
  <si>
    <t>ASIST</t>
    <phoneticPr fontId="23" type="noConversion"/>
  </si>
  <si>
    <t>15/02/2016</t>
  </si>
  <si>
    <t>CASTRO DELGADO, GUSTAVO</t>
  </si>
  <si>
    <t>26/02/2016</t>
  </si>
  <si>
    <t>2015600801</t>
  </si>
  <si>
    <t xml:space="preserve">PACHECO HUACHACA, ALONSO MARCEL </t>
  </si>
  <si>
    <t>PPP</t>
    <phoneticPr fontId="23" type="noConversion"/>
  </si>
  <si>
    <t>cadenas</t>
    <phoneticPr fontId="23" type="noConversion"/>
  </si>
  <si>
    <t>L6</t>
    <phoneticPr fontId="23" type="noConversion"/>
  </si>
  <si>
    <t>L7</t>
    <phoneticPr fontId="23" type="noConversion"/>
  </si>
  <si>
    <t>Cuestionarios</t>
    <phoneticPr fontId="23" type="noConversion"/>
  </si>
  <si>
    <t>P15</t>
    <phoneticPr fontId="23" type="noConversion"/>
  </si>
  <si>
    <t>P15</t>
    <phoneticPr fontId="23" type="noConversion"/>
  </si>
  <si>
    <t>P14Clase</t>
    <phoneticPr fontId="23" type="noConversion"/>
  </si>
  <si>
    <t>P14Casa</t>
    <phoneticPr fontId="23" type="noConversion"/>
  </si>
  <si>
    <t>2013600331</t>
  </si>
  <si>
    <t>Pcal</t>
    <phoneticPr fontId="23" type="noConversion"/>
  </si>
  <si>
    <t>Asist</t>
    <phoneticPr fontId="23" type="noConversion"/>
  </si>
  <si>
    <t>PROM</t>
    <phoneticPr fontId="23" type="noConversion"/>
  </si>
  <si>
    <t>L5</t>
    <phoneticPr fontId="23" type="noConversion"/>
  </si>
  <si>
    <t>L3 B</t>
    <phoneticPr fontId="23" type="noConversion"/>
  </si>
  <si>
    <t>L3 A</t>
    <phoneticPr fontId="23" type="noConversion"/>
  </si>
  <si>
    <t>Pcal</t>
    <phoneticPr fontId="23" type="noConversion"/>
  </si>
  <si>
    <t>2011601901</t>
  </si>
  <si>
    <t>PAREDES CANO, JEISSON DANIEL</t>
  </si>
  <si>
    <t>2012602252</t>
  </si>
  <si>
    <t xml:space="preserve">DONGO TORRES, KATYA PETRONILA </t>
  </si>
  <si>
    <t>2009702462</t>
  </si>
  <si>
    <t>LUNES 5-7PM</t>
  </si>
  <si>
    <t>3</t>
    <phoneticPr fontId="23" type="noConversion"/>
  </si>
  <si>
    <t>1</t>
    <phoneticPr fontId="23" type="noConversion"/>
  </si>
  <si>
    <t>JUEV 7-9AM</t>
  </si>
  <si>
    <t>2.5</t>
    <phoneticPr fontId="23" type="noConversion"/>
  </si>
  <si>
    <t>1.5</t>
    <phoneticPr fontId="23" type="noConversion"/>
  </si>
  <si>
    <t>2</t>
    <phoneticPr fontId="23" type="noConversion"/>
  </si>
  <si>
    <t>TICONA LAURA, RONNY ALEX</t>
    <phoneticPr fontId="23" type="noConversion"/>
  </si>
  <si>
    <t>09/03/2016</t>
  </si>
  <si>
    <t>17/02/2016</t>
  </si>
  <si>
    <t>17/03/2016</t>
  </si>
  <si>
    <t>02/03/2016</t>
  </si>
  <si>
    <t>07/03/2016</t>
  </si>
  <si>
    <t>Trab</t>
    <phoneticPr fontId="23" type="noConversion"/>
  </si>
  <si>
    <t>60%</t>
    <phoneticPr fontId="23" type="noConversion"/>
  </si>
  <si>
    <t>EXAM</t>
    <phoneticPr fontId="23" type="noConversion"/>
  </si>
  <si>
    <t>PROM</t>
    <phoneticPr fontId="23" type="noConversion"/>
  </si>
  <si>
    <t>Ej 7 8</t>
    <phoneticPr fontId="23" type="noConversion"/>
  </si>
  <si>
    <t>Gramat</t>
    <phoneticPr fontId="23" type="noConversion"/>
  </si>
  <si>
    <t>Pcal L11</t>
    <phoneticPr fontId="23" type="noConversion"/>
  </si>
  <si>
    <t>ESTRUCTURAS DISCRETAS II</t>
  </si>
  <si>
    <t>CORRALES DELGADO CARLO JOSE LUIS</t>
  </si>
  <si>
    <t xml:space="preserve">LLANQUE JOÑO, JOSEPH EDWIN </t>
  </si>
  <si>
    <t>L6 B</t>
    <phoneticPr fontId="23" type="noConversion"/>
  </si>
  <si>
    <t>P6</t>
    <phoneticPr fontId="23" type="noConversion"/>
  </si>
  <si>
    <t>P7</t>
    <phoneticPr fontId="23" type="noConversion"/>
  </si>
  <si>
    <t>L7AulaVirtual</t>
    <phoneticPr fontId="23" type="noConversion"/>
  </si>
  <si>
    <t>Asist</t>
    <phoneticPr fontId="23" type="noConversion"/>
  </si>
  <si>
    <t>PCAL</t>
    <phoneticPr fontId="23" type="noConversion"/>
  </si>
  <si>
    <t>2013222961</t>
  </si>
  <si>
    <t>2015101242</t>
  </si>
  <si>
    <t>MANCILLA MEDINA, KAROL NICOLE</t>
  </si>
  <si>
    <t>2010222621</t>
  </si>
  <si>
    <t>MAYTA COA, JUNIOR JAVIER</t>
  </si>
  <si>
    <t>2011222751</t>
  </si>
  <si>
    <t>2016246491</t>
  </si>
  <si>
    <t xml:space="preserve">RAMOS ALATRISTA, EDDY ROBINSON </t>
  </si>
  <si>
    <t>Ptos intervensiones</t>
  </si>
  <si>
    <t>En la excelencia académica y profesional</t>
  </si>
  <si>
    <t>2005202001</t>
  </si>
  <si>
    <t>LUQUE CORDOVA, MISHELL DAYANA</t>
  </si>
  <si>
    <t>2016246402</t>
  </si>
  <si>
    <t>MAMANI CRUZ, MARY CARMEN</t>
  </si>
  <si>
    <t>2016101071</t>
  </si>
  <si>
    <t>MARTINEZ GOMEZ, DANIEL MANOLO</t>
  </si>
  <si>
    <t>2016246421</t>
  </si>
  <si>
    <t>MEJIA MAYTA, LUIS DANTE</t>
  </si>
  <si>
    <t>2016110252</t>
  </si>
  <si>
    <t>CHAVEZ JIMENEZ, BRUNO MAXIMILIANO HUMBERTO</t>
  </si>
  <si>
    <t>COAGUILA HUARANKA, MICHAEL CESAR</t>
  </si>
  <si>
    <t>ALATRISTA TORRES, PATRICK ALONSO</t>
  </si>
  <si>
    <t xml:space="preserve">ALVAREZ CHAVEZ, VICTOR ROMAN </t>
  </si>
  <si>
    <t>FLORES VALERO, CARLOS ALBINO ARTURO</t>
  </si>
  <si>
    <t>2013244801</t>
  </si>
  <si>
    <t>GUTIERREZ BORDA, GONZALO ALONSO</t>
  </si>
  <si>
    <t>2015201522</t>
  </si>
  <si>
    <t xml:space="preserve">COD. P.P. </t>
  </si>
  <si>
    <t>ASIGNATURA</t>
  </si>
  <si>
    <t>DOCENTE</t>
  </si>
  <si>
    <t>NRO</t>
  </si>
  <si>
    <t>CODIGO</t>
  </si>
  <si>
    <t>T12</t>
    <phoneticPr fontId="23" type="noConversion"/>
  </si>
  <si>
    <t>T13</t>
    <phoneticPr fontId="23" type="noConversion"/>
  </si>
  <si>
    <t>ASIST</t>
    <phoneticPr fontId="23" type="noConversion"/>
  </si>
  <si>
    <t>T12</t>
    <phoneticPr fontId="23" type="noConversion"/>
  </si>
  <si>
    <t>T10</t>
    <phoneticPr fontId="23" type="noConversion"/>
  </si>
  <si>
    <t>2011110171</t>
  </si>
  <si>
    <t>2015101821</t>
  </si>
  <si>
    <t>Nros Perfectos</t>
    <phoneticPr fontId="23" type="noConversion"/>
  </si>
  <si>
    <t>T9</t>
    <phoneticPr fontId="23" type="noConversion"/>
  </si>
  <si>
    <t>T11</t>
    <phoneticPr fontId="23" type="noConversion"/>
  </si>
  <si>
    <t>T11</t>
    <phoneticPr fontId="23" type="noConversion"/>
  </si>
  <si>
    <t>AutoEval</t>
    <phoneticPr fontId="23" type="noConversion"/>
  </si>
  <si>
    <t>T9</t>
    <phoneticPr fontId="23" type="noConversion"/>
  </si>
  <si>
    <t>T10</t>
    <phoneticPr fontId="23" type="noConversion"/>
  </si>
  <si>
    <t>P</t>
    <phoneticPr fontId="23" type="noConversion"/>
  </si>
  <si>
    <t>TORREBLANCA CORNEJO, JORDAN ANDRE</t>
  </si>
  <si>
    <t>2014223981</t>
  </si>
  <si>
    <t>TORRES SUAÑA, JHON EDUARD</t>
  </si>
  <si>
    <t>2012400041</t>
  </si>
  <si>
    <t>S7</t>
    <phoneticPr fontId="23" type="noConversion"/>
  </si>
  <si>
    <t>C7</t>
    <phoneticPr fontId="23" type="noConversion"/>
  </si>
  <si>
    <t>Trab</t>
    <phoneticPr fontId="23" type="noConversion"/>
  </si>
  <si>
    <t>VALCARCEL CASTILLO, LEONARDO WILFREDO</t>
  </si>
  <si>
    <t>2015242091</t>
  </si>
  <si>
    <t xml:space="preserve">VILCA LOPEZ, LUIS ANGEL </t>
  </si>
  <si>
    <t>23/02/2016</t>
  </si>
  <si>
    <t>2015801251</t>
  </si>
  <si>
    <t>BERNEDO FERNANDEZ, DIEGO MAURICIO</t>
  </si>
  <si>
    <t>CAPARO TORRES, PIERRE</t>
  </si>
  <si>
    <t>2005701952</t>
  </si>
  <si>
    <t>2015700361</t>
  </si>
  <si>
    <t>S3AV</t>
    <phoneticPr fontId="23" type="noConversion"/>
  </si>
  <si>
    <t>S6AV</t>
    <phoneticPr fontId="23" type="noConversion"/>
  </si>
  <si>
    <t>PCAL</t>
    <phoneticPr fontId="23" type="noConversion"/>
  </si>
  <si>
    <t>TRAB</t>
    <phoneticPr fontId="23" type="noConversion"/>
  </si>
  <si>
    <t>10%</t>
    <phoneticPr fontId="23" type="noConversion"/>
  </si>
  <si>
    <t>60%</t>
    <phoneticPr fontId="23" type="noConversion"/>
  </si>
  <si>
    <t>50%</t>
    <phoneticPr fontId="23" type="noConversion"/>
  </si>
  <si>
    <t>40%</t>
    <phoneticPr fontId="23" type="noConversion"/>
  </si>
  <si>
    <t>AutoEval</t>
    <phoneticPr fontId="23" type="noConversion"/>
  </si>
  <si>
    <t xml:space="preserve">UNIVERSIDAD CATÓLICA DE SANTA MARÍA
</t>
  </si>
  <si>
    <t>2</t>
    <phoneticPr fontId="23" type="noConversion"/>
  </si>
  <si>
    <t>QUINA BOLANOS, JORGE ALBERTO</t>
    <phoneticPr fontId="23" type="noConversion"/>
  </si>
  <si>
    <t>AYUDANTE</t>
    <phoneticPr fontId="23" type="noConversion"/>
  </si>
  <si>
    <t>MIRINA GONZALES RODRIGUEZ</t>
    <phoneticPr fontId="23" type="noConversion"/>
  </si>
  <si>
    <t>P</t>
    <phoneticPr fontId="23" type="noConversion"/>
  </si>
  <si>
    <t>AYUDANTE</t>
    <phoneticPr fontId="23" type="noConversion"/>
  </si>
  <si>
    <t>AYUDANTE</t>
    <phoneticPr fontId="23" type="noConversion"/>
  </si>
  <si>
    <t>JULIO LUNA FLORES</t>
    <phoneticPr fontId="23" type="noConversion"/>
  </si>
  <si>
    <t>Aplaz</t>
    <phoneticPr fontId="23" type="noConversion"/>
  </si>
  <si>
    <t>Aplaz</t>
    <phoneticPr fontId="23" type="noConversion"/>
  </si>
  <si>
    <t>PINARES CHIRINOS, GUIDO</t>
  </si>
  <si>
    <t xml:space="preserve">QUIROZ CERVANTES, SEBASTIAN EDUARDO </t>
  </si>
  <si>
    <t>HUAHUACHAMPI CCALLATA, ALDAIR JORDY</t>
  </si>
  <si>
    <t>2015242311</t>
  </si>
  <si>
    <t>SOLARI RIVERA, SALVADOR RODRIGO</t>
  </si>
  <si>
    <t>S1</t>
    <phoneticPr fontId="23" type="noConversion"/>
  </si>
  <si>
    <t>2016246531</t>
  </si>
  <si>
    <t>URQUIZO COLLADO, PEDRO ALEJANDRO EMMANUEL</t>
  </si>
  <si>
    <t xml:space="preserve">SILVA TORRES, LUIS MIGUEL </t>
  </si>
  <si>
    <t>2016246572</t>
  </si>
  <si>
    <t>VALDIVIA CORNEJO, EDUARDO ANTONIO</t>
  </si>
  <si>
    <t xml:space="preserve">VERA VERA, BRAYAN </t>
  </si>
  <si>
    <t>VIZCARRA GALLEGOS, JOEL EDUARDO</t>
  </si>
  <si>
    <t>ZEGARRA DELGADO, ALONSO ROBERTO</t>
  </si>
  <si>
    <t>Semestre Impar 2016</t>
  </si>
  <si>
    <t>lunes, 21 de marzo de 2016 18:15</t>
  </si>
  <si>
    <t>7103258</t>
  </si>
  <si>
    <t xml:space="preserve">MELO GONZALES, KEVYN MAURO </t>
  </si>
  <si>
    <t xml:space="preserve">QUIROZ MONTAÑEZ, GILMAR ANTHONY </t>
  </si>
  <si>
    <t>P9</t>
    <phoneticPr fontId="23" type="noConversion"/>
  </si>
  <si>
    <t>P11</t>
    <phoneticPr fontId="23" type="noConversion"/>
  </si>
  <si>
    <t>codingbat</t>
    <phoneticPr fontId="23" type="noConversion"/>
  </si>
  <si>
    <t>45%</t>
    <phoneticPr fontId="23" type="noConversion"/>
  </si>
  <si>
    <t>2015204401</t>
  </si>
  <si>
    <t xml:space="preserve">TELLO SALAS, JOHAN ARTURO </t>
  </si>
  <si>
    <t>2008601791</t>
  </si>
  <si>
    <t>2011802081</t>
  </si>
  <si>
    <t>2011241291</t>
  </si>
  <si>
    <t>2015200721</t>
  </si>
  <si>
    <t>2015201151</t>
  </si>
  <si>
    <t>EXAM1</t>
    <phoneticPr fontId="23" type="noConversion"/>
  </si>
  <si>
    <t>2012201461</t>
  </si>
  <si>
    <t>GARCIA MARTINEZ, GONZALO ENRIQUE</t>
  </si>
  <si>
    <t>2012223971</t>
  </si>
  <si>
    <t>20/02/2016</t>
  </si>
  <si>
    <t>DEL CASTILLO CORZO, PIERO ARAMIS</t>
  </si>
  <si>
    <t xml:space="preserve">DELGADO TALAVERA, FRAÑO FLAVIO </t>
  </si>
  <si>
    <t>2015801341</t>
  </si>
  <si>
    <t>2016246331</t>
  </si>
  <si>
    <t>GONZALES HUARAYA, IVAN VICTOR</t>
  </si>
  <si>
    <t>2012244171</t>
  </si>
  <si>
    <t>HUAYNASI ARONE, ROBERTO CARLOS</t>
  </si>
  <si>
    <t>2012100511</t>
  </si>
  <si>
    <t>QUINA BOLAÑOS, JORGE ALBERTO</t>
  </si>
  <si>
    <t>2015240512</t>
  </si>
  <si>
    <t>DAVILA GONZALES, ISAMAR CRISTINA</t>
  </si>
  <si>
    <t>2015221871</t>
  </si>
  <si>
    <t>DE LA CRUZ BARRIOS, NINO ARMANDO</t>
  </si>
  <si>
    <t>NIEBLES MAMANI, LUIS</t>
  </si>
  <si>
    <t xml:space="preserve">BENAVENTE QUISPE, WELS ROYMER </t>
  </si>
  <si>
    <t>16/03/2016</t>
  </si>
  <si>
    <t>2015132011</t>
  </si>
  <si>
    <t>CABRERA GUILLEN, WILLY</t>
  </si>
  <si>
    <t>2015241021</t>
  </si>
  <si>
    <t>CASAS BRAVO, KEVIN ANSELMO</t>
  </si>
  <si>
    <t>P2</t>
    <phoneticPr fontId="23" type="noConversion"/>
  </si>
  <si>
    <t>BANDA CARDENAS, ALFONSO</t>
    <phoneticPr fontId="23" type="noConversion"/>
  </si>
  <si>
    <t>16/02/2016</t>
  </si>
  <si>
    <t>08/03/2016</t>
  </si>
  <si>
    <t>14/03/2016</t>
  </si>
  <si>
    <t>18/02/2016</t>
  </si>
  <si>
    <t>10/03/2016</t>
  </si>
  <si>
    <t>19/02/2016</t>
  </si>
  <si>
    <t>REINOSO FLORES, GUSTAVO EDUARDO</t>
  </si>
  <si>
    <t>RIVERA ZUÑIGA, KEVIN JAIRO</t>
  </si>
  <si>
    <t>SALAS DELGADO, OLGUER BRIAN</t>
  </si>
  <si>
    <t xml:space="preserve">SILVA SALAS, MARIGRACE KIMBERLY STEFANIA </t>
  </si>
  <si>
    <t>Arequipa</t>
  </si>
  <si>
    <t>A</t>
  </si>
  <si>
    <t>1564</t>
  </si>
  <si>
    <t>lunes, 21 de marzo de 2016 18:16</t>
  </si>
  <si>
    <t>B</t>
  </si>
  <si>
    <t>CARPIO POSTIGO, SEBASTIAN SANTIAGO</t>
  </si>
  <si>
    <t>CASTILLO VERA, FRANCO ANDREE JULIO</t>
  </si>
  <si>
    <t>2016246231</t>
  </si>
  <si>
    <t>MEDINA PEREZ, CARLOS ARTURO</t>
  </si>
  <si>
    <t>2015201841</t>
  </si>
  <si>
    <t>2011240742</t>
  </si>
  <si>
    <t>2015100301</t>
  </si>
  <si>
    <t>2011802151</t>
  </si>
  <si>
    <t>7109292</t>
  </si>
  <si>
    <t>18/03/2016</t>
  </si>
  <si>
    <t>15/03/2016</t>
  </si>
  <si>
    <t>ANDIA CACERES, JOHN</t>
  </si>
  <si>
    <t>MONTES OLIVAR, ALVARO CESAR</t>
  </si>
  <si>
    <t>2010222721</t>
  </si>
  <si>
    <t>MONTES ROMERO, HOLGER JUNIOR</t>
  </si>
  <si>
    <t>2015200562</t>
  </si>
  <si>
    <t>2012204441</t>
  </si>
  <si>
    <t>2015200151</t>
  </si>
  <si>
    <t>2015601432</t>
  </si>
  <si>
    <t>2012245952</t>
  </si>
  <si>
    <t>2015201931</t>
  </si>
  <si>
    <t>2016246392</t>
  </si>
  <si>
    <t>2013223361</t>
  </si>
  <si>
    <t>2008701301</t>
  </si>
  <si>
    <t>2015701661</t>
  </si>
  <si>
    <t>2011702591</t>
  </si>
  <si>
    <t>2012203881</t>
  </si>
  <si>
    <t>2010600691</t>
  </si>
  <si>
    <t>2015245722</t>
  </si>
  <si>
    <t>2011245571</t>
  </si>
  <si>
    <t>2013250911</t>
  </si>
  <si>
    <t>2011210141</t>
  </si>
  <si>
    <t>2015701371</t>
  </si>
  <si>
    <t>2015245491</t>
  </si>
  <si>
    <t>2013247471</t>
  </si>
  <si>
    <t>MIGUEL MEDINA HUAMANI</t>
    <phoneticPr fontId="23" type="noConversion"/>
  </si>
  <si>
    <t>P10B</t>
    <phoneticPr fontId="23" type="noConversion"/>
  </si>
  <si>
    <t>PACHECO LUQUE, FERNANDO</t>
  </si>
  <si>
    <t>VALDIVIA CORNEJO, EDUARDO</t>
    <phoneticPr fontId="23" type="noConversion"/>
  </si>
  <si>
    <t>HURTADO BUSTAMANTE, HENRY JESUS</t>
  </si>
  <si>
    <t>2012801981</t>
  </si>
  <si>
    <t>2015244801</t>
  </si>
  <si>
    <t>2012223881</t>
  </si>
  <si>
    <t>ALVAREZ ESCOBEDO, LUIS ANTHONY</t>
  </si>
  <si>
    <t>2015247671</t>
  </si>
  <si>
    <t>24/02/2016</t>
  </si>
  <si>
    <t>2015223151</t>
  </si>
  <si>
    <t>DÍAZ LLONTOP, JOAN MANUEL</t>
  </si>
  <si>
    <t>2014600732</t>
  </si>
  <si>
    <t>PROM</t>
    <phoneticPr fontId="23" type="noConversion"/>
  </si>
  <si>
    <t>L2</t>
    <phoneticPr fontId="23" type="noConversion"/>
  </si>
  <si>
    <t>Pcal</t>
    <phoneticPr fontId="23" type="noConversion"/>
  </si>
  <si>
    <t>PROM</t>
    <phoneticPr fontId="23" type="noConversion"/>
  </si>
  <si>
    <t>L1</t>
    <phoneticPr fontId="23" type="noConversion"/>
  </si>
  <si>
    <t>JOSE CONDORI QUICANA</t>
    <phoneticPr fontId="23" type="noConversion"/>
  </si>
  <si>
    <t>21/03/2016</t>
  </si>
  <si>
    <t>22/02/2016</t>
  </si>
  <si>
    <t>TEJADA MELLADO, EDER</t>
  </si>
  <si>
    <t>VELARDE HERENCIA, RODRIGO</t>
    <phoneticPr fontId="23" type="noConversion"/>
  </si>
  <si>
    <t>andreitagp1998@hotmail.com</t>
  </si>
  <si>
    <t>P1A</t>
  </si>
  <si>
    <t>P1B</t>
  </si>
  <si>
    <t>ModeloRedes</t>
    <phoneticPr fontId="23" type="noConversion"/>
  </si>
  <si>
    <t>2009245641</t>
  </si>
  <si>
    <t>TICONA LAURA, RONNY ALEX</t>
  </si>
  <si>
    <t>2015246481</t>
  </si>
  <si>
    <t>TITO FLORES, LUIS FELIPE</t>
  </si>
  <si>
    <t xml:space="preserve">DIAZ VASQUEZ, GABRIELLA ANGELIQUE </t>
  </si>
  <si>
    <t>2013201001</t>
  </si>
  <si>
    <t>2015244231</t>
  </si>
  <si>
    <t>2015220671</t>
  </si>
  <si>
    <t>2015800802</t>
  </si>
  <si>
    <t>2015241201</t>
  </si>
  <si>
    <t>2015200692</t>
  </si>
  <si>
    <t>2015220311</t>
  </si>
  <si>
    <t>2015100951</t>
  </si>
  <si>
    <t>2015100992</t>
  </si>
  <si>
    <t>2012223981</t>
  </si>
  <si>
    <t>2009246121</t>
  </si>
  <si>
    <t>2015201181</t>
  </si>
  <si>
    <t>2015222231</t>
  </si>
  <si>
    <t>2006223541</t>
  </si>
  <si>
    <t>PROM</t>
    <phoneticPr fontId="23" type="noConversion"/>
  </si>
  <si>
    <t>P8</t>
    <phoneticPr fontId="23" type="noConversion"/>
  </si>
  <si>
    <t>TRAB</t>
    <phoneticPr fontId="23" type="noConversion"/>
  </si>
</sst>
</file>

<file path=xl/styles.xml><?xml version="1.0" encoding="utf-8"?>
<styleSheet xmlns="http://schemas.openxmlformats.org/spreadsheetml/2006/main">
  <numFmts count="1">
    <numFmt numFmtId="164" formatCode="0.0"/>
  </numFmts>
  <fonts count="28">
    <font>
      <sz val="11"/>
      <color indexed="8"/>
      <name val="Calibri"/>
      <family val="2"/>
    </font>
    <font>
      <sz val="9.75"/>
      <color indexed="8"/>
      <name val="Times New Roman"/>
    </font>
    <font>
      <b/>
      <sz val="9"/>
      <color indexed="8"/>
      <name val="Microsoft Sans Serif"/>
    </font>
    <font>
      <b/>
      <sz val="9"/>
      <color indexed="8"/>
      <name val="Microsoft Sans Serif"/>
    </font>
    <font>
      <sz val="9"/>
      <color indexed="8"/>
      <name val="Microsoft Sans Serif"/>
    </font>
    <font>
      <b/>
      <sz val="9"/>
      <color indexed="8"/>
      <name val="Microsoft Sans Serif"/>
    </font>
    <font>
      <sz val="9"/>
      <color indexed="8"/>
      <name val="Microsoft Sans Serif"/>
    </font>
    <font>
      <b/>
      <sz val="12"/>
      <color indexed="8"/>
      <name val="Microsoft Sans Serif"/>
    </font>
    <font>
      <sz val="9"/>
      <color indexed="8"/>
      <name val="Microsoft Sans Serif"/>
    </font>
    <font>
      <sz val="9"/>
      <color indexed="8"/>
      <name val="Microsoft Sans Serif"/>
    </font>
    <font>
      <sz val="9"/>
      <color indexed="8"/>
      <name val="Microsoft Sans Serif"/>
    </font>
    <font>
      <b/>
      <sz val="15"/>
      <color indexed="8"/>
      <name val="Microsoft Sans Serif"/>
    </font>
    <font>
      <b/>
      <sz val="9"/>
      <color indexed="8"/>
      <name val="Microsoft Sans Serif"/>
    </font>
    <font>
      <i/>
      <sz val="10"/>
      <color indexed="8"/>
      <name val="Microsoft Sans Serif"/>
    </font>
    <font>
      <sz val="9"/>
      <color indexed="8"/>
      <name val="Microsoft Sans Serif"/>
    </font>
    <font>
      <i/>
      <sz val="11"/>
      <color indexed="8"/>
      <name val="Microsoft Sans Serif"/>
    </font>
    <font>
      <b/>
      <sz val="9"/>
      <color indexed="8"/>
      <name val="Microsoft Sans Serif"/>
    </font>
    <font>
      <sz val="9"/>
      <color indexed="8"/>
      <name val="Microsoft Sans Serif"/>
    </font>
    <font>
      <sz val="7"/>
      <color indexed="8"/>
      <name val="Microsoft Sans Serif"/>
    </font>
    <font>
      <sz val="9"/>
      <color indexed="8"/>
      <name val="Microsoft Sans Serif"/>
    </font>
    <font>
      <sz val="11"/>
      <color indexed="8"/>
      <name val="Calibri"/>
      <family val="2"/>
    </font>
    <font>
      <u/>
      <sz val="11"/>
      <color theme="10"/>
      <name val="Calibri"/>
    </font>
    <font>
      <b/>
      <sz val="11"/>
      <color indexed="8"/>
      <name val="Calibri"/>
      <family val="2"/>
    </font>
    <font>
      <sz val="8"/>
      <name val="Verdana"/>
    </font>
    <font>
      <sz val="12"/>
      <color indexed="8"/>
      <name val="Microsoft Sans Serif"/>
    </font>
    <font>
      <sz val="12"/>
      <color indexed="8"/>
      <name val="Calibri"/>
      <family val="2"/>
    </font>
    <font>
      <sz val="9"/>
      <color indexed="8"/>
      <name val="Calibri"/>
    </font>
    <font>
      <i/>
      <sz val="11"/>
      <color indexed="8"/>
      <name val="Calibri"/>
      <family val="2"/>
    </font>
  </fonts>
  <fills count="26">
    <fill>
      <patternFill patternType="none"/>
    </fill>
    <fill>
      <patternFill patternType="gray125"/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rgb="FFD3D3D3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none">
        <fgColor rgb="FFFFFFFF"/>
      </patternFill>
    </fill>
    <fill>
      <patternFill patternType="solid">
        <fgColor indexed="22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3"/>
        <bgColor indexed="64"/>
      </patternFill>
    </fill>
  </fills>
  <borders count="34">
    <border>
      <left/>
      <right/>
      <top/>
      <bottom/>
      <diagonal/>
    </border>
    <border>
      <left/>
      <right/>
      <top/>
      <bottom/>
      <diagonal/>
    </border>
    <border>
      <left style="thick">
        <color rgb="FFC0C0C0"/>
      </left>
      <right/>
      <top style="thick">
        <color rgb="FFC0C0C0"/>
      </top>
      <bottom/>
      <diagonal/>
    </border>
    <border>
      <left style="thick">
        <color rgb="FFC0C0C0"/>
      </left>
      <right style="thick">
        <color rgb="FFC0C0C0"/>
      </right>
      <top style="thick">
        <color rgb="FFC0C0C0"/>
      </top>
      <bottom style="thick">
        <color rgb="FFC0C0C0"/>
      </bottom>
      <diagonal/>
    </border>
    <border>
      <left style="thick">
        <color rgb="FFC0C0C0"/>
      </left>
      <right style="thick">
        <color rgb="FFC0C0C0"/>
      </right>
      <top/>
      <bottom style="thick">
        <color rgb="FFC0C0C0"/>
      </bottom>
      <diagonal/>
    </border>
    <border>
      <left/>
      <right style="thick">
        <color rgb="FFC0C0C0"/>
      </right>
      <top style="thick">
        <color rgb="FFC0C0C0"/>
      </top>
      <bottom style="thick">
        <color rgb="FFC0C0C0"/>
      </bottom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ck">
        <color rgb="FFC0C0C0"/>
      </top>
      <bottom/>
      <diagonal/>
    </border>
    <border>
      <left/>
      <right style="thick">
        <color rgb="FFC0C0C0"/>
      </right>
      <top/>
      <bottom style="thick">
        <color rgb="FFC0C0C0"/>
      </bottom>
      <diagonal/>
    </border>
    <border>
      <left/>
      <right style="thick">
        <color rgb="FFC0C0C0"/>
      </right>
      <top style="thick">
        <color rgb="FFC0C0C0"/>
      </top>
      <bottom/>
      <diagonal/>
    </border>
    <border>
      <left/>
      <right/>
      <top/>
      <bottom style="thick">
        <color indexed="22"/>
      </bottom>
      <diagonal/>
    </border>
    <border>
      <left style="thick">
        <color indexed="22"/>
      </left>
      <right/>
      <top style="thick">
        <color indexed="22"/>
      </top>
      <bottom style="thick">
        <color indexed="22"/>
      </bottom>
      <diagonal/>
    </border>
    <border>
      <left/>
      <right style="thick">
        <color indexed="22"/>
      </right>
      <top style="thick">
        <color indexed="22"/>
      </top>
      <bottom style="thick">
        <color indexed="22"/>
      </bottom>
      <diagonal/>
    </border>
    <border>
      <left/>
      <right/>
      <top style="thick">
        <color indexed="22"/>
      </top>
      <bottom style="thick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ck">
        <color indexed="22"/>
      </right>
      <top style="thick">
        <color indexed="22"/>
      </top>
      <bottom/>
      <diagonal/>
    </border>
    <border>
      <left/>
      <right/>
      <top style="thick">
        <color indexed="2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22"/>
      </left>
      <right/>
      <top/>
      <bottom style="thick">
        <color indexed="2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ck">
        <color indexed="22"/>
      </top>
      <bottom style="thick">
        <color indexed="22"/>
      </bottom>
      <diagonal/>
    </border>
  </borders>
  <cellStyleXfs count="11">
    <xf numFmtId="0" fontId="0" fillId="0" borderId="0"/>
    <xf numFmtId="0" fontId="20" fillId="20" borderId="15"/>
    <xf numFmtId="0" fontId="20" fillId="20" borderId="15"/>
    <xf numFmtId="0" fontId="20" fillId="20" borderId="15"/>
    <xf numFmtId="0" fontId="20" fillId="20" borderId="15"/>
    <xf numFmtId="0" fontId="20" fillId="20" borderId="15"/>
    <xf numFmtId="0" fontId="20" fillId="20" borderId="15"/>
    <xf numFmtId="0" fontId="20" fillId="20" borderId="15"/>
    <xf numFmtId="0" fontId="20" fillId="20" borderId="15"/>
    <xf numFmtId="0" fontId="20" fillId="20" borderId="15"/>
    <xf numFmtId="0" fontId="21" fillId="0" borderId="0" applyNumberFormat="0" applyFill="0" applyBorder="0" applyAlignment="0" applyProtection="0"/>
  </cellStyleXfs>
  <cellXfs count="328">
    <xf numFmtId="0" fontId="0" fillId="0" borderId="0" xfId="0"/>
    <xf numFmtId="49" fontId="10" fillId="11" borderId="10" xfId="0" applyNumberFormat="1" applyFont="1" applyFill="1" applyBorder="1" applyAlignment="1">
      <alignment horizontal="left" vertical="center" wrapText="1"/>
    </xf>
    <xf numFmtId="0" fontId="12" fillId="13" borderId="12" xfId="0" applyFont="1" applyFill="1" applyBorder="1" applyAlignment="1">
      <alignment horizontal="left" vertical="center" wrapText="1"/>
    </xf>
    <xf numFmtId="0" fontId="16" fillId="17" borderId="16" xfId="0" applyFont="1" applyFill="1" applyBorder="1" applyAlignment="1">
      <alignment horizontal="center" vertical="center" wrapText="1"/>
    </xf>
    <xf numFmtId="0" fontId="20" fillId="20" borderId="15" xfId="1"/>
    <xf numFmtId="49" fontId="4" fillId="20" borderId="18" xfId="1" applyNumberFormat="1" applyFont="1" applyFill="1" applyBorder="1" applyAlignment="1">
      <alignment horizontal="left" vertical="center" wrapText="1"/>
    </xf>
    <xf numFmtId="0" fontId="2" fillId="17" borderId="16" xfId="1" applyFont="1" applyFill="1" applyBorder="1" applyAlignment="1">
      <alignment horizontal="left" vertical="center" wrapText="1"/>
    </xf>
    <xf numFmtId="0" fontId="2" fillId="17" borderId="16" xfId="1" applyFont="1" applyFill="1" applyBorder="1" applyAlignment="1">
      <alignment horizontal="center" vertical="center" wrapText="1"/>
    </xf>
    <xf numFmtId="0" fontId="20" fillId="20" borderId="15" xfId="2"/>
    <xf numFmtId="49" fontId="4" fillId="20" borderId="18" xfId="2" applyNumberFormat="1" applyFont="1" applyFill="1" applyBorder="1" applyAlignment="1">
      <alignment horizontal="left" vertical="center" wrapText="1"/>
    </xf>
    <xf numFmtId="0" fontId="2" fillId="17" borderId="16" xfId="2" applyFont="1" applyFill="1" applyBorder="1" applyAlignment="1">
      <alignment horizontal="left" vertical="center" wrapText="1"/>
    </xf>
    <xf numFmtId="0" fontId="2" fillId="17" borderId="16" xfId="2" applyFont="1" applyFill="1" applyBorder="1" applyAlignment="1">
      <alignment horizontal="center" vertical="center" wrapText="1"/>
    </xf>
    <xf numFmtId="0" fontId="1" fillId="20" borderId="15" xfId="2" applyFont="1" applyFill="1" applyBorder="1" applyAlignment="1">
      <alignment horizontal="center" vertical="center" wrapText="1"/>
    </xf>
    <xf numFmtId="0" fontId="2" fillId="20" borderId="3" xfId="2" applyFont="1" applyFill="1" applyBorder="1" applyAlignment="1">
      <alignment horizontal="center" vertical="top" wrapText="1"/>
    </xf>
    <xf numFmtId="0" fontId="4" fillId="20" borderId="4" xfId="2" applyFont="1" applyFill="1" applyBorder="1" applyAlignment="1">
      <alignment horizontal="center" vertical="top" wrapText="1"/>
    </xf>
    <xf numFmtId="49" fontId="4" fillId="20" borderId="16" xfId="2" applyNumberFormat="1" applyFont="1" applyFill="1" applyBorder="1" applyAlignment="1">
      <alignment horizontal="center" vertical="center" wrapText="1"/>
    </xf>
    <xf numFmtId="0" fontId="4" fillId="20" borderId="15" xfId="2" applyFont="1" applyFill="1" applyBorder="1" applyAlignment="1">
      <alignment horizontal="right" vertical="top" wrapText="1"/>
    </xf>
    <xf numFmtId="0" fontId="15" fillId="20" borderId="15" xfId="2" applyFont="1" applyFill="1" applyBorder="1" applyAlignment="1">
      <alignment horizontal="left" vertical="top" wrapText="1"/>
    </xf>
    <xf numFmtId="0" fontId="7" fillId="20" borderId="15" xfId="2" applyFont="1" applyFill="1" applyBorder="1" applyAlignment="1">
      <alignment horizontal="center" vertical="top" wrapText="1"/>
    </xf>
    <xf numFmtId="0" fontId="1" fillId="20" borderId="15" xfId="2" applyFont="1" applyFill="1" applyBorder="1" applyAlignment="1">
      <alignment horizontal="center" vertical="center" wrapText="1"/>
    </xf>
    <xf numFmtId="49" fontId="4" fillId="20" borderId="18" xfId="4" applyNumberFormat="1" applyFont="1" applyFill="1" applyBorder="1" applyAlignment="1">
      <alignment horizontal="left" vertical="center" wrapText="1"/>
    </xf>
    <xf numFmtId="0" fontId="2" fillId="17" borderId="16" xfId="4" applyFont="1" applyFill="1" applyBorder="1" applyAlignment="1">
      <alignment horizontal="left" vertical="center" wrapText="1"/>
    </xf>
    <xf numFmtId="0" fontId="2" fillId="17" borderId="16" xfId="4" applyFont="1" applyFill="1" applyBorder="1" applyAlignment="1">
      <alignment horizontal="center" vertical="center" wrapText="1"/>
    </xf>
    <xf numFmtId="0" fontId="2" fillId="20" borderId="3" xfId="4" applyFont="1" applyFill="1" applyBorder="1" applyAlignment="1">
      <alignment horizontal="center" vertical="top" wrapText="1"/>
    </xf>
    <xf numFmtId="0" fontId="4" fillId="20" borderId="4" xfId="4" applyFont="1" applyFill="1" applyBorder="1" applyAlignment="1">
      <alignment horizontal="center" vertical="top" wrapText="1"/>
    </xf>
    <xf numFmtId="49" fontId="4" fillId="20" borderId="16" xfId="4" applyNumberFormat="1" applyFont="1" applyFill="1" applyBorder="1" applyAlignment="1">
      <alignment horizontal="center" vertical="center" wrapText="1"/>
    </xf>
    <xf numFmtId="0" fontId="1" fillId="20" borderId="15" xfId="4" applyFont="1" applyFill="1" applyBorder="1" applyAlignment="1">
      <alignment horizontal="center" vertical="center" wrapText="1"/>
    </xf>
    <xf numFmtId="0" fontId="20" fillId="20" borderId="15" xfId="5"/>
    <xf numFmtId="49" fontId="4" fillId="20" borderId="18" xfId="5" applyNumberFormat="1" applyFont="1" applyFill="1" applyBorder="1" applyAlignment="1">
      <alignment horizontal="left" vertical="center" wrapText="1"/>
    </xf>
    <xf numFmtId="0" fontId="2" fillId="17" borderId="16" xfId="5" applyFont="1" applyFill="1" applyBorder="1" applyAlignment="1">
      <alignment horizontal="left" vertical="center" wrapText="1"/>
    </xf>
    <xf numFmtId="0" fontId="2" fillId="17" borderId="16" xfId="5" applyFont="1" applyFill="1" applyBorder="1" applyAlignment="1">
      <alignment horizontal="center" vertical="center" wrapText="1"/>
    </xf>
    <xf numFmtId="0" fontId="2" fillId="20" borderId="3" xfId="5" applyFont="1" applyFill="1" applyBorder="1" applyAlignment="1">
      <alignment horizontal="center" vertical="top" wrapText="1"/>
    </xf>
    <xf numFmtId="0" fontId="4" fillId="20" borderId="4" xfId="5" applyFont="1" applyFill="1" applyBorder="1" applyAlignment="1">
      <alignment horizontal="center" vertical="top" wrapText="1"/>
    </xf>
    <xf numFmtId="49" fontId="4" fillId="20" borderId="16" xfId="5" applyNumberFormat="1" applyFont="1" applyFill="1" applyBorder="1" applyAlignment="1">
      <alignment horizontal="center" vertical="center" wrapText="1"/>
    </xf>
    <xf numFmtId="0" fontId="4" fillId="20" borderId="15" xfId="5" applyFont="1" applyFill="1" applyBorder="1" applyAlignment="1">
      <alignment horizontal="right" vertical="top" wrapText="1"/>
    </xf>
    <xf numFmtId="0" fontId="1" fillId="20" borderId="15" xfId="5" applyFont="1" applyFill="1" applyBorder="1" applyAlignment="1">
      <alignment horizontal="center" vertical="center" wrapText="1"/>
    </xf>
    <xf numFmtId="0" fontId="20" fillId="20" borderId="15" xfId="6"/>
    <xf numFmtId="49" fontId="4" fillId="20" borderId="18" xfId="6" applyNumberFormat="1" applyFont="1" applyFill="1" applyBorder="1" applyAlignment="1">
      <alignment horizontal="left" vertical="center" wrapText="1"/>
    </xf>
    <xf numFmtId="0" fontId="2" fillId="17" borderId="16" xfId="6" applyFont="1" applyFill="1" applyBorder="1" applyAlignment="1">
      <alignment horizontal="left" vertical="center" wrapText="1"/>
    </xf>
    <xf numFmtId="0" fontId="2" fillId="17" borderId="16" xfId="6" applyFont="1" applyFill="1" applyBorder="1" applyAlignment="1">
      <alignment horizontal="center" vertical="center" wrapText="1"/>
    </xf>
    <xf numFmtId="0" fontId="2" fillId="20" borderId="3" xfId="6" applyFont="1" applyFill="1" applyBorder="1" applyAlignment="1">
      <alignment horizontal="center" vertical="top" wrapText="1"/>
    </xf>
    <xf numFmtId="49" fontId="4" fillId="20" borderId="16" xfId="6" applyNumberFormat="1" applyFont="1" applyFill="1" applyBorder="1" applyAlignment="1">
      <alignment horizontal="center" vertical="center" wrapText="1"/>
    </xf>
    <xf numFmtId="0" fontId="4" fillId="20" borderId="15" xfId="6" applyFont="1" applyFill="1" applyBorder="1" applyAlignment="1">
      <alignment horizontal="right" vertical="top" wrapText="1"/>
    </xf>
    <xf numFmtId="0" fontId="1" fillId="20" borderId="15" xfId="6" applyFont="1" applyFill="1" applyBorder="1" applyAlignment="1">
      <alignment horizontal="center" vertical="center" wrapText="1"/>
    </xf>
    <xf numFmtId="0" fontId="20" fillId="20" borderId="15" xfId="7"/>
    <xf numFmtId="49" fontId="4" fillId="20" borderId="18" xfId="7" applyNumberFormat="1" applyFont="1" applyFill="1" applyBorder="1" applyAlignment="1">
      <alignment horizontal="left" vertical="center" wrapText="1"/>
    </xf>
    <xf numFmtId="0" fontId="2" fillId="17" borderId="16" xfId="7" applyFont="1" applyFill="1" applyBorder="1" applyAlignment="1">
      <alignment horizontal="left" vertical="center" wrapText="1"/>
    </xf>
    <xf numFmtId="0" fontId="2" fillId="17" borderId="16" xfId="7" applyFont="1" applyFill="1" applyBorder="1" applyAlignment="1">
      <alignment horizontal="center" vertical="center" wrapText="1"/>
    </xf>
    <xf numFmtId="0" fontId="2" fillId="20" borderId="3" xfId="7" applyFont="1" applyFill="1" applyBorder="1" applyAlignment="1">
      <alignment horizontal="center" vertical="top" wrapText="1"/>
    </xf>
    <xf numFmtId="0" fontId="4" fillId="20" borderId="4" xfId="7" applyFont="1" applyFill="1" applyBorder="1" applyAlignment="1">
      <alignment horizontal="center" vertical="top" wrapText="1"/>
    </xf>
    <xf numFmtId="49" fontId="4" fillId="20" borderId="16" xfId="7" applyNumberFormat="1" applyFont="1" applyFill="1" applyBorder="1" applyAlignment="1">
      <alignment horizontal="center" vertical="center" wrapText="1"/>
    </xf>
    <xf numFmtId="0" fontId="20" fillId="20" borderId="15" xfId="8"/>
    <xf numFmtId="49" fontId="4" fillId="20" borderId="18" xfId="8" applyNumberFormat="1" applyFont="1" applyFill="1" applyBorder="1" applyAlignment="1">
      <alignment horizontal="left" vertical="center" wrapText="1"/>
    </xf>
    <xf numFmtId="0" fontId="2" fillId="17" borderId="16" xfId="8" applyFont="1" applyFill="1" applyBorder="1" applyAlignment="1">
      <alignment horizontal="left" vertical="center" wrapText="1"/>
    </xf>
    <xf numFmtId="0" fontId="2" fillId="17" borderId="16" xfId="8" applyFont="1" applyFill="1" applyBorder="1" applyAlignment="1">
      <alignment horizontal="center" vertical="center" wrapText="1"/>
    </xf>
    <xf numFmtId="0" fontId="2" fillId="20" borderId="3" xfId="8" applyFont="1" applyFill="1" applyBorder="1" applyAlignment="1">
      <alignment horizontal="center" vertical="top" wrapText="1"/>
    </xf>
    <xf numFmtId="0" fontId="4" fillId="20" borderId="4" xfId="8" applyFont="1" applyFill="1" applyBorder="1" applyAlignment="1">
      <alignment horizontal="center" vertical="top" wrapText="1"/>
    </xf>
    <xf numFmtId="49" fontId="4" fillId="20" borderId="16" xfId="8" applyNumberFormat="1" applyFont="1" applyFill="1" applyBorder="1" applyAlignment="1">
      <alignment horizontal="center" vertical="center" wrapText="1"/>
    </xf>
    <xf numFmtId="0" fontId="20" fillId="20" borderId="15" xfId="9"/>
    <xf numFmtId="49" fontId="4" fillId="20" borderId="18" xfId="9" applyNumberFormat="1" applyFont="1" applyFill="1" applyBorder="1" applyAlignment="1">
      <alignment horizontal="left" vertical="center" wrapText="1"/>
    </xf>
    <xf numFmtId="0" fontId="2" fillId="17" borderId="16" xfId="9" applyFont="1" applyFill="1" applyBorder="1" applyAlignment="1">
      <alignment horizontal="left" vertical="center" wrapText="1"/>
    </xf>
    <xf numFmtId="0" fontId="2" fillId="17" borderId="16" xfId="9" applyFont="1" applyFill="1" applyBorder="1" applyAlignment="1">
      <alignment horizontal="center" vertical="center" wrapText="1"/>
    </xf>
    <xf numFmtId="0" fontId="2" fillId="20" borderId="3" xfId="9" applyFont="1" applyFill="1" applyBorder="1" applyAlignment="1">
      <alignment horizontal="center" vertical="top" wrapText="1"/>
    </xf>
    <xf numFmtId="0" fontId="4" fillId="20" borderId="4" xfId="9" applyFont="1" applyFill="1" applyBorder="1" applyAlignment="1">
      <alignment horizontal="center" vertical="top" wrapText="1"/>
    </xf>
    <xf numFmtId="49" fontId="4" fillId="20" borderId="16" xfId="9" applyNumberFormat="1" applyFont="1" applyFill="1" applyBorder="1" applyAlignment="1">
      <alignment horizontal="center" vertical="center" wrapText="1"/>
    </xf>
    <xf numFmtId="49" fontId="4" fillId="20" borderId="15" xfId="2" applyNumberFormat="1" applyFont="1" applyFill="1" applyBorder="1" applyAlignment="1">
      <alignment horizontal="left" vertical="center" wrapText="1"/>
    </xf>
    <xf numFmtId="0" fontId="2" fillId="17" borderId="15" xfId="2" applyFont="1" applyFill="1" applyBorder="1" applyAlignment="1">
      <alignment horizontal="center" vertical="center" wrapText="1"/>
    </xf>
    <xf numFmtId="49" fontId="4" fillId="20" borderId="15" xfId="4" applyNumberFormat="1" applyFont="1" applyFill="1" applyBorder="1" applyAlignment="1">
      <alignment horizontal="left" vertical="center" wrapText="1"/>
    </xf>
    <xf numFmtId="49" fontId="4" fillId="20" borderId="15" xfId="5" applyNumberFormat="1" applyFont="1" applyFill="1" applyBorder="1" applyAlignment="1">
      <alignment horizontal="left" vertical="center" wrapText="1"/>
    </xf>
    <xf numFmtId="49" fontId="4" fillId="20" borderId="15" xfId="6" applyNumberFormat="1" applyFont="1" applyFill="1" applyBorder="1" applyAlignment="1">
      <alignment horizontal="left" vertical="center" wrapText="1"/>
    </xf>
    <xf numFmtId="0" fontId="2" fillId="17" borderId="15" xfId="6" applyFont="1" applyFill="1" applyBorder="1" applyAlignment="1">
      <alignment horizontal="center" vertical="center" wrapText="1"/>
    </xf>
    <xf numFmtId="0" fontId="22" fillId="0" borderId="23" xfId="0" applyFont="1" applyBorder="1"/>
    <xf numFmtId="0" fontId="0" fillId="0" borderId="23" xfId="0" applyBorder="1"/>
    <xf numFmtId="0" fontId="21" fillId="0" borderId="23" xfId="10" applyBorder="1"/>
    <xf numFmtId="0" fontId="2" fillId="20" borderId="22" xfId="2" applyFont="1" applyFill="1" applyBorder="1" applyAlignment="1">
      <alignment horizontal="center" vertical="center" wrapText="1"/>
    </xf>
    <xf numFmtId="49" fontId="4" fillId="20" borderId="19" xfId="2" applyNumberFormat="1" applyFont="1" applyFill="1" applyBorder="1" applyAlignment="1">
      <alignment horizontal="center" vertical="center" wrapText="1"/>
    </xf>
    <xf numFmtId="0" fontId="22" fillId="0" borderId="23" xfId="0" applyFont="1" applyBorder="1" applyAlignment="1">
      <alignment horizontal="center"/>
    </xf>
    <xf numFmtId="49" fontId="4" fillId="20" borderId="23" xfId="2" applyNumberFormat="1" applyFont="1" applyFill="1" applyBorder="1" applyAlignment="1">
      <alignment horizontal="center" vertical="center" wrapText="1"/>
    </xf>
    <xf numFmtId="0" fontId="2" fillId="20" borderId="22" xfId="4" applyFont="1" applyFill="1" applyBorder="1" applyAlignment="1">
      <alignment horizontal="center" vertical="center" wrapText="1"/>
    </xf>
    <xf numFmtId="49" fontId="4" fillId="20" borderId="19" xfId="4" applyNumberFormat="1" applyFont="1" applyFill="1" applyBorder="1" applyAlignment="1">
      <alignment horizontal="center" vertical="center" wrapText="1"/>
    </xf>
    <xf numFmtId="49" fontId="4" fillId="20" borderId="23" xfId="4" applyNumberFormat="1" applyFont="1" applyFill="1" applyBorder="1" applyAlignment="1">
      <alignment horizontal="center" vertical="center" wrapText="1"/>
    </xf>
    <xf numFmtId="0" fontId="2" fillId="20" borderId="22" xfId="5" applyFont="1" applyFill="1" applyBorder="1" applyAlignment="1">
      <alignment horizontal="center" vertical="center" wrapText="1"/>
    </xf>
    <xf numFmtId="49" fontId="4" fillId="20" borderId="19" xfId="5" applyNumberFormat="1" applyFont="1" applyFill="1" applyBorder="1" applyAlignment="1">
      <alignment horizontal="center" vertical="center" wrapText="1"/>
    </xf>
    <xf numFmtId="49" fontId="4" fillId="20" borderId="23" xfId="5" applyNumberFormat="1" applyFont="1" applyFill="1" applyBorder="1" applyAlignment="1">
      <alignment horizontal="center" vertical="center" wrapText="1"/>
    </xf>
    <xf numFmtId="49" fontId="4" fillId="20" borderId="23" xfId="6" applyNumberFormat="1" applyFont="1" applyFill="1" applyBorder="1" applyAlignment="1">
      <alignment horizontal="center" vertical="center" wrapText="1"/>
    </xf>
    <xf numFmtId="0" fontId="2" fillId="20" borderId="22" xfId="7" applyFont="1" applyFill="1" applyBorder="1" applyAlignment="1">
      <alignment horizontal="center" vertical="center" wrapText="1"/>
    </xf>
    <xf numFmtId="49" fontId="4" fillId="20" borderId="19" xfId="7" applyNumberFormat="1" applyFont="1" applyFill="1" applyBorder="1" applyAlignment="1">
      <alignment horizontal="center" vertical="center" wrapText="1"/>
    </xf>
    <xf numFmtId="0" fontId="2" fillId="20" borderId="22" xfId="8" applyFont="1" applyFill="1" applyBorder="1" applyAlignment="1">
      <alignment horizontal="center" vertical="center" wrapText="1"/>
    </xf>
    <xf numFmtId="49" fontId="4" fillId="20" borderId="19" xfId="8" applyNumberFormat="1" applyFont="1" applyFill="1" applyBorder="1" applyAlignment="1">
      <alignment horizontal="center" vertical="center" wrapText="1"/>
    </xf>
    <xf numFmtId="0" fontId="2" fillId="20" borderId="22" xfId="9" applyFont="1" applyFill="1" applyBorder="1" applyAlignment="1">
      <alignment horizontal="center" vertical="center" wrapText="1"/>
    </xf>
    <xf numFmtId="49" fontId="4" fillId="20" borderId="19" xfId="9" applyNumberFormat="1" applyFont="1" applyFill="1" applyBorder="1" applyAlignment="1">
      <alignment horizontal="center" vertical="center" wrapText="1"/>
    </xf>
    <xf numFmtId="0" fontId="20" fillId="20" borderId="15" xfId="5" applyFont="1"/>
    <xf numFmtId="0" fontId="2" fillId="21" borderId="23" xfId="2" applyFont="1" applyFill="1" applyBorder="1" applyAlignment="1">
      <alignment horizontal="center" vertical="center" wrapText="1"/>
    </xf>
    <xf numFmtId="0" fontId="2" fillId="20" borderId="23" xfId="2" applyFont="1" applyFill="1" applyBorder="1" applyAlignment="1">
      <alignment horizontal="center" vertical="center" wrapText="1"/>
    </xf>
    <xf numFmtId="0" fontId="4" fillId="20" borderId="28" xfId="6" applyFont="1" applyFill="1" applyBorder="1" applyAlignment="1">
      <alignment horizontal="center" vertical="top" wrapText="1"/>
    </xf>
    <xf numFmtId="0" fontId="2" fillId="20" borderId="26" xfId="6" applyFont="1" applyFill="1" applyBorder="1" applyAlignment="1">
      <alignment horizontal="center" vertical="center" wrapText="1"/>
    </xf>
    <xf numFmtId="0" fontId="2" fillId="20" borderId="27" xfId="2" applyFont="1" applyFill="1" applyBorder="1" applyAlignment="1">
      <alignment horizontal="center" vertical="center" wrapText="1"/>
    </xf>
    <xf numFmtId="0" fontId="22" fillId="0" borderId="27" xfId="0" applyFont="1" applyBorder="1" applyAlignment="1">
      <alignment horizontal="center"/>
    </xf>
    <xf numFmtId="49" fontId="4" fillId="20" borderId="17" xfId="9" applyNumberFormat="1" applyFont="1" applyFill="1" applyBorder="1" applyAlignment="1">
      <alignment horizontal="left" vertical="center" wrapText="1"/>
    </xf>
    <xf numFmtId="0" fontId="0" fillId="0" borderId="23" xfId="0" applyBorder="1" applyAlignment="1">
      <alignment horizontal="center"/>
    </xf>
    <xf numFmtId="0" fontId="0" fillId="0" borderId="24" xfId="0" applyFill="1" applyBorder="1"/>
    <xf numFmtId="0" fontId="0" fillId="0" borderId="29" xfId="0" applyBorder="1"/>
    <xf numFmtId="0" fontId="22" fillId="0" borderId="23" xfId="0" applyFont="1" applyFill="1" applyBorder="1"/>
    <xf numFmtId="0" fontId="0" fillId="0" borderId="23" xfId="0" applyFill="1" applyBorder="1"/>
    <xf numFmtId="164" fontId="0" fillId="0" borderId="0" xfId="0" applyNumberFormat="1"/>
    <xf numFmtId="164" fontId="22" fillId="0" borderId="23" xfId="0" applyNumberFormat="1" applyFont="1" applyBorder="1"/>
    <xf numFmtId="164" fontId="0" fillId="0" borderId="23" xfId="0" applyNumberFormat="1" applyBorder="1"/>
    <xf numFmtId="164" fontId="21" fillId="0" borderId="23" xfId="10" applyNumberFormat="1" applyBorder="1"/>
    <xf numFmtId="1" fontId="0" fillId="0" borderId="0" xfId="0" applyNumberFormat="1"/>
    <xf numFmtId="1" fontId="0" fillId="0" borderId="23" xfId="0" applyNumberFormat="1" applyBorder="1"/>
    <xf numFmtId="0" fontId="4" fillId="20" borderId="17" xfId="2" applyNumberFormat="1" applyFont="1" applyFill="1" applyBorder="1" applyAlignment="1">
      <alignment horizontal="left" vertical="center"/>
    </xf>
    <xf numFmtId="0" fontId="4" fillId="20" borderId="15" xfId="6" applyFont="1" applyFill="1" applyBorder="1" applyAlignment="1">
      <alignment horizontal="center" vertical="top" wrapText="1"/>
    </xf>
    <xf numFmtId="0" fontId="0" fillId="0" borderId="0" xfId="0" applyFill="1" applyBorder="1"/>
    <xf numFmtId="9" fontId="0" fillId="0" borderId="23" xfId="0" applyNumberFormat="1" applyBorder="1"/>
    <xf numFmtId="9" fontId="0" fillId="0" borderId="0" xfId="0" applyNumberFormat="1"/>
    <xf numFmtId="164" fontId="0" fillId="22" borderId="0" xfId="0" applyNumberFormat="1" applyFill="1"/>
    <xf numFmtId="164" fontId="0" fillId="22" borderId="23" xfId="0" applyNumberFormat="1" applyFill="1" applyBorder="1"/>
    <xf numFmtId="164" fontId="0" fillId="22" borderId="0" xfId="0" applyNumberFormat="1" applyFill="1"/>
    <xf numFmtId="164" fontId="0" fillId="22" borderId="23" xfId="0" applyNumberFormat="1" applyFill="1" applyBorder="1"/>
    <xf numFmtId="164" fontId="22" fillId="22" borderId="23" xfId="0" applyNumberFormat="1" applyFont="1" applyFill="1" applyBorder="1"/>
    <xf numFmtId="164" fontId="0" fillId="22" borderId="0" xfId="0" applyNumberFormat="1" applyFill="1"/>
    <xf numFmtId="164" fontId="0" fillId="22" borderId="23" xfId="0" applyNumberFormat="1" applyFill="1" applyBorder="1"/>
    <xf numFmtId="164" fontId="22" fillId="22" borderId="23" xfId="0" applyNumberFormat="1" applyFont="1" applyFill="1" applyBorder="1" applyAlignment="1">
      <alignment horizontal="center"/>
    </xf>
    <xf numFmtId="164" fontId="0" fillId="23" borderId="23" xfId="0" applyNumberFormat="1" applyFill="1" applyBorder="1"/>
    <xf numFmtId="164" fontId="0" fillId="0" borderId="23" xfId="0" applyNumberFormat="1" applyFill="1" applyBorder="1"/>
    <xf numFmtId="49" fontId="24" fillId="20" borderId="0" xfId="7" applyNumberFormat="1" applyFont="1" applyFill="1" applyBorder="1" applyAlignment="1">
      <alignment horizontal="left" vertical="center" wrapText="1"/>
    </xf>
    <xf numFmtId="0" fontId="25" fillId="0" borderId="0" xfId="0" applyFont="1" applyAlignment="1">
      <alignment horizontal="left"/>
    </xf>
    <xf numFmtId="0" fontId="0" fillId="0" borderId="15" xfId="0" applyBorder="1"/>
    <xf numFmtId="164" fontId="0" fillId="0" borderId="0" xfId="0" applyNumberFormat="1"/>
    <xf numFmtId="164" fontId="0" fillId="0" borderId="23" xfId="0" applyNumberFormat="1" applyBorder="1"/>
    <xf numFmtId="164" fontId="0" fillId="22" borderId="0" xfId="0" applyNumberFormat="1" applyFill="1"/>
    <xf numFmtId="164" fontId="0" fillId="22" borderId="23" xfId="0" applyNumberFormat="1" applyFill="1" applyBorder="1"/>
    <xf numFmtId="10" fontId="0" fillId="0" borderId="23" xfId="0" quotePrefix="1" applyNumberFormat="1" applyBorder="1"/>
    <xf numFmtId="164" fontId="0" fillId="0" borderId="23" xfId="0" quotePrefix="1" applyNumberFormat="1" applyBorder="1"/>
    <xf numFmtId="0" fontId="0" fillId="0" borderId="30" xfId="0" applyFill="1" applyBorder="1"/>
    <xf numFmtId="164" fontId="22" fillId="0" borderId="23" xfId="0" applyNumberFormat="1" applyFont="1" applyBorder="1"/>
    <xf numFmtId="164" fontId="22" fillId="22" borderId="23" xfId="0" applyNumberFormat="1" applyFont="1" applyFill="1" applyBorder="1"/>
    <xf numFmtId="1" fontId="22" fillId="0" borderId="23" xfId="0" applyNumberFormat="1" applyFont="1" applyBorder="1"/>
    <xf numFmtId="164" fontId="0" fillId="0" borderId="0" xfId="0" applyNumberFormat="1"/>
    <xf numFmtId="164" fontId="0" fillId="0" borderId="23" xfId="0" applyNumberFormat="1" applyBorder="1"/>
    <xf numFmtId="164" fontId="0" fillId="22" borderId="0" xfId="0" applyNumberFormat="1" applyFill="1"/>
    <xf numFmtId="164" fontId="0" fillId="22" borderId="23" xfId="0" applyNumberFormat="1" applyFill="1" applyBorder="1"/>
    <xf numFmtId="164" fontId="0" fillId="22" borderId="0" xfId="0" applyNumberFormat="1" applyFill="1"/>
    <xf numFmtId="164" fontId="0" fillId="22" borderId="23" xfId="0" applyNumberFormat="1" applyFill="1" applyBorder="1"/>
    <xf numFmtId="0" fontId="26" fillId="0" borderId="0" xfId="0" applyFont="1"/>
    <xf numFmtId="164" fontId="0" fillId="24" borderId="23" xfId="0" applyNumberFormat="1" applyFill="1" applyBorder="1"/>
    <xf numFmtId="0" fontId="22" fillId="0" borderId="23" xfId="0" applyFont="1" applyBorder="1" applyAlignment="1">
      <alignment horizontal="left"/>
    </xf>
    <xf numFmtId="9" fontId="0" fillId="0" borderId="23" xfId="0" applyNumberFormat="1" applyBorder="1" applyAlignment="1">
      <alignment horizontal="center"/>
    </xf>
    <xf numFmtId="164" fontId="0" fillId="22" borderId="0" xfId="0" applyNumberFormat="1" applyFill="1"/>
    <xf numFmtId="164" fontId="0" fillId="22" borderId="23" xfId="0" applyNumberFormat="1" applyFill="1" applyBorder="1"/>
    <xf numFmtId="164" fontId="22" fillId="22" borderId="23" xfId="0" applyNumberFormat="1" applyFont="1" applyFill="1" applyBorder="1"/>
    <xf numFmtId="1" fontId="0" fillId="0" borderId="0" xfId="0" quotePrefix="1" applyNumberFormat="1"/>
    <xf numFmtId="164" fontId="0" fillId="0" borderId="0" xfId="0" quotePrefix="1" applyNumberFormat="1"/>
    <xf numFmtId="0" fontId="0" fillId="0" borderId="0" xfId="0" quotePrefix="1"/>
    <xf numFmtId="0" fontId="0" fillId="0" borderId="31" xfId="0" applyFill="1" applyBorder="1"/>
    <xf numFmtId="164" fontId="0" fillId="22" borderId="0" xfId="0" applyNumberFormat="1" applyFill="1"/>
    <xf numFmtId="164" fontId="0" fillId="22" borderId="23" xfId="0" applyNumberFormat="1" applyFill="1" applyBorder="1"/>
    <xf numFmtId="0" fontId="27" fillId="0" borderId="23" xfId="0" applyFont="1" applyBorder="1"/>
    <xf numFmtId="1" fontId="0" fillId="0" borderId="0" xfId="0" applyNumberFormat="1" applyFill="1"/>
    <xf numFmtId="1" fontId="0" fillId="0" borderId="23" xfId="0" applyNumberFormat="1" applyFill="1" applyBorder="1"/>
    <xf numFmtId="1" fontId="0" fillId="20" borderId="15" xfId="0" applyNumberFormat="1" applyFill="1" applyBorder="1"/>
    <xf numFmtId="0" fontId="0" fillId="25" borderId="0" xfId="0" applyFill="1"/>
    <xf numFmtId="0" fontId="0" fillId="25" borderId="23" xfId="0" applyFill="1" applyBorder="1"/>
    <xf numFmtId="0" fontId="22" fillId="25" borderId="23" xfId="0" applyFont="1" applyFill="1" applyBorder="1" applyAlignment="1">
      <alignment horizontal="center"/>
    </xf>
    <xf numFmtId="0" fontId="0" fillId="25" borderId="0" xfId="0" applyFill="1" applyBorder="1"/>
    <xf numFmtId="9" fontId="0" fillId="25" borderId="23" xfId="0" applyNumberFormat="1" applyFill="1" applyBorder="1"/>
    <xf numFmtId="0" fontId="22" fillId="25" borderId="23" xfId="0" applyFont="1" applyFill="1" applyBorder="1"/>
    <xf numFmtId="0" fontId="0" fillId="25" borderId="24" xfId="0" applyFill="1" applyBorder="1"/>
    <xf numFmtId="0" fontId="0" fillId="22" borderId="0" xfId="0" applyFill="1"/>
    <xf numFmtId="1" fontId="0" fillId="0" borderId="0" xfId="0" applyNumberFormat="1"/>
    <xf numFmtId="1" fontId="0" fillId="0" borderId="23" xfId="0" applyNumberFormat="1" applyBorder="1"/>
    <xf numFmtId="1" fontId="0" fillId="0" borderId="0" xfId="0" quotePrefix="1" applyNumberFormat="1"/>
    <xf numFmtId="164" fontId="0" fillId="22" borderId="23" xfId="0" applyNumberFormat="1" applyFill="1" applyBorder="1"/>
    <xf numFmtId="0" fontId="0" fillId="0" borderId="24" xfId="0" applyBorder="1"/>
    <xf numFmtId="164" fontId="0" fillId="0" borderId="0" xfId="0" applyNumberFormat="1"/>
    <xf numFmtId="164" fontId="0" fillId="22" borderId="0" xfId="0" applyNumberFormat="1" applyFill="1"/>
    <xf numFmtId="0" fontId="6" fillId="7" borderId="20" xfId="0" applyNumberFormat="1" applyFont="1" applyFill="1" applyBorder="1" applyAlignment="1">
      <alignment horizontal="left" vertical="center"/>
    </xf>
    <xf numFmtId="0" fontId="6" fillId="7" borderId="22" xfId="0" applyNumberFormat="1" applyFont="1" applyFill="1" applyBorder="1" applyAlignment="1">
      <alignment horizontal="left" vertical="center"/>
    </xf>
    <xf numFmtId="0" fontId="6" fillId="7" borderId="21" xfId="0" applyNumberFormat="1" applyFont="1" applyFill="1" applyBorder="1" applyAlignment="1">
      <alignment horizontal="left" vertical="center"/>
    </xf>
    <xf numFmtId="0" fontId="6" fillId="7" borderId="6" xfId="0" applyNumberFormat="1" applyFont="1" applyFill="1" applyBorder="1" applyAlignment="1">
      <alignment horizontal="left" vertical="center"/>
    </xf>
    <xf numFmtId="0" fontId="4" fillId="20" borderId="17" xfId="1" applyNumberFormat="1" applyFont="1" applyFill="1" applyBorder="1" applyAlignment="1">
      <alignment horizontal="left" vertical="center"/>
    </xf>
    <xf numFmtId="0" fontId="2" fillId="20" borderId="5" xfId="1" applyNumberFormat="1" applyFont="1" applyFill="1" applyBorder="1" applyAlignment="1">
      <alignment horizontal="center" vertical="center"/>
    </xf>
    <xf numFmtId="0" fontId="2" fillId="17" borderId="16" xfId="1" applyNumberFormat="1" applyFont="1" applyFill="1" applyBorder="1" applyAlignment="1">
      <alignment horizontal="left" vertical="center"/>
    </xf>
    <xf numFmtId="0" fontId="11" fillId="20" borderId="15" xfId="1" applyNumberFormat="1" applyFont="1" applyFill="1" applyBorder="1" applyAlignment="1">
      <alignment horizontal="left" vertical="top"/>
    </xf>
    <xf numFmtId="0" fontId="4" fillId="20" borderId="18" xfId="1" applyNumberFormat="1" applyFont="1" applyFill="1" applyBorder="1" applyAlignment="1">
      <alignment horizontal="left" vertical="center"/>
    </xf>
    <xf numFmtId="0" fontId="4" fillId="20" borderId="16" xfId="1" applyNumberFormat="1" applyFont="1" applyFill="1" applyBorder="1" applyAlignment="1">
      <alignment horizontal="left" vertical="center"/>
    </xf>
    <xf numFmtId="0" fontId="7" fillId="20" borderId="15" xfId="1" applyNumberFormat="1" applyFont="1" applyFill="1" applyBorder="1" applyAlignment="1">
      <alignment horizontal="center" vertical="top"/>
    </xf>
    <xf numFmtId="0" fontId="1" fillId="20" borderId="19" xfId="1" applyNumberFormat="1" applyFont="1" applyFill="1" applyBorder="1" applyAlignment="1">
      <alignment horizontal="center" vertical="center"/>
    </xf>
    <xf numFmtId="0" fontId="10" fillId="11" borderId="10" xfId="0" applyNumberFormat="1" applyFont="1" applyFill="1" applyBorder="1" applyAlignment="1">
      <alignment horizontal="left" vertical="center"/>
    </xf>
    <xf numFmtId="0" fontId="9" fillId="10" borderId="9" xfId="0" applyNumberFormat="1" applyFont="1" applyFill="1" applyBorder="1" applyAlignment="1">
      <alignment horizontal="left" vertical="center"/>
    </xf>
    <xf numFmtId="0" fontId="7" fillId="8" borderId="7" xfId="0" applyNumberFormat="1" applyFont="1" applyFill="1" applyBorder="1" applyAlignment="1">
      <alignment horizontal="center" vertical="top"/>
    </xf>
    <xf numFmtId="0" fontId="1" fillId="2" borderId="19" xfId="0" applyNumberFormat="1" applyFont="1" applyFill="1" applyBorder="1" applyAlignment="1">
      <alignment horizontal="center" vertical="center"/>
    </xf>
    <xf numFmtId="0" fontId="5" fillId="6" borderId="5" xfId="0" applyNumberFormat="1" applyFont="1" applyFill="1" applyBorder="1" applyAlignment="1">
      <alignment horizontal="center" vertical="center"/>
    </xf>
    <xf numFmtId="0" fontId="12" fillId="13" borderId="12" xfId="0" applyNumberFormat="1" applyFont="1" applyFill="1" applyBorder="1" applyAlignment="1">
      <alignment horizontal="left" vertical="center"/>
    </xf>
    <xf numFmtId="0" fontId="11" fillId="12" borderId="11" xfId="0" applyNumberFormat="1" applyFont="1" applyFill="1" applyBorder="1" applyAlignment="1">
      <alignment horizontal="left" vertical="top"/>
    </xf>
    <xf numFmtId="0" fontId="0" fillId="0" borderId="0" xfId="0" applyNumberFormat="1" applyAlignment="1"/>
    <xf numFmtId="0" fontId="20" fillId="20" borderId="15" xfId="1" applyNumberFormat="1" applyAlignment="1"/>
    <xf numFmtId="164" fontId="0" fillId="0" borderId="0" xfId="0" quotePrefix="1" applyNumberFormat="1"/>
    <xf numFmtId="164" fontId="0" fillId="0" borderId="32" xfId="0" applyNumberFormat="1" applyBorder="1"/>
    <xf numFmtId="164" fontId="0" fillId="22" borderId="23" xfId="0" applyNumberFormat="1" applyFill="1" applyBorder="1"/>
    <xf numFmtId="164" fontId="0" fillId="25" borderId="0" xfId="0" applyNumberFormat="1" applyFill="1"/>
    <xf numFmtId="164" fontId="0" fillId="22" borderId="0" xfId="0" applyNumberFormat="1" applyFill="1"/>
    <xf numFmtId="164" fontId="0" fillId="25" borderId="23" xfId="0" applyNumberFormat="1" applyFill="1" applyBorder="1"/>
    <xf numFmtId="164" fontId="0" fillId="22" borderId="23" xfId="0" applyNumberFormat="1" applyFill="1" applyBorder="1"/>
    <xf numFmtId="164" fontId="22" fillId="25" borderId="23" xfId="0" applyNumberFormat="1" applyFont="1" applyFill="1" applyBorder="1"/>
    <xf numFmtId="164" fontId="22" fillId="22" borderId="23" xfId="0" applyNumberFormat="1" applyFont="1" applyFill="1" applyBorder="1"/>
    <xf numFmtId="164" fontId="0" fillId="22" borderId="0" xfId="0" applyNumberFormat="1" applyFill="1"/>
    <xf numFmtId="164" fontId="0" fillId="22" borderId="0" xfId="0" applyNumberFormat="1" applyFill="1" applyBorder="1"/>
    <xf numFmtId="164" fontId="0" fillId="22" borderId="23" xfId="0" applyNumberFormat="1" applyFill="1" applyBorder="1"/>
    <xf numFmtId="164" fontId="22" fillId="22" borderId="23" xfId="0" applyNumberFormat="1" applyFont="1" applyFill="1" applyBorder="1"/>
    <xf numFmtId="164" fontId="0" fillId="24" borderId="23" xfId="0" applyNumberFormat="1" applyFill="1" applyBorder="1"/>
    <xf numFmtId="164" fontId="0" fillId="0" borderId="0" xfId="0" applyNumberFormat="1"/>
    <xf numFmtId="164" fontId="0" fillId="0" borderId="23" xfId="0" applyNumberFormat="1" applyBorder="1"/>
    <xf numFmtId="164" fontId="0" fillId="0" borderId="30" xfId="0" applyNumberFormat="1" applyFill="1" applyBorder="1"/>
    <xf numFmtId="164" fontId="0" fillId="24" borderId="23" xfId="0" applyNumberFormat="1" applyFill="1" applyBorder="1"/>
    <xf numFmtId="164" fontId="0" fillId="0" borderId="15" xfId="0" applyNumberFormat="1" applyBorder="1"/>
    <xf numFmtId="0" fontId="4" fillId="5" borderId="4" xfId="0" applyFont="1" applyFill="1" applyBorder="1" applyAlignment="1">
      <alignment horizontal="center" vertical="top" wrapText="1"/>
    </xf>
    <xf numFmtId="49" fontId="6" fillId="7" borderId="6" xfId="0" applyNumberFormat="1" applyFont="1" applyFill="1" applyBorder="1" applyAlignment="1">
      <alignment horizontal="left" vertical="center" wrapText="1"/>
    </xf>
    <xf numFmtId="0" fontId="4" fillId="20" borderId="4" xfId="1" applyFont="1" applyFill="1" applyBorder="1" applyAlignment="1">
      <alignment horizontal="center" vertical="top" wrapText="1"/>
    </xf>
    <xf numFmtId="0" fontId="14" fillId="15" borderId="14" xfId="0" applyFont="1" applyFill="1" applyBorder="1" applyAlignment="1">
      <alignment horizontal="right" vertical="top" wrapText="1"/>
    </xf>
    <xf numFmtId="0" fontId="15" fillId="16" borderId="15" xfId="0" applyFont="1" applyFill="1" applyBorder="1" applyAlignment="1">
      <alignment horizontal="left" vertical="top" wrapText="1"/>
    </xf>
    <xf numFmtId="49" fontId="17" fillId="18" borderId="20" xfId="0" applyNumberFormat="1" applyFont="1" applyFill="1" applyBorder="1" applyAlignment="1">
      <alignment horizontal="center" vertical="center" wrapText="1"/>
    </xf>
    <xf numFmtId="49" fontId="17" fillId="18" borderId="22" xfId="0" applyNumberFormat="1" applyFont="1" applyFill="1" applyBorder="1" applyAlignment="1">
      <alignment horizontal="center" vertical="center" wrapText="1"/>
    </xf>
    <xf numFmtId="49" fontId="17" fillId="18" borderId="33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 wrapText="1"/>
    </xf>
    <xf numFmtId="49" fontId="4" fillId="20" borderId="20" xfId="1" applyNumberFormat="1" applyFont="1" applyFill="1" applyBorder="1" applyAlignment="1">
      <alignment horizontal="center" vertical="center" wrapText="1"/>
    </xf>
    <xf numFmtId="49" fontId="4" fillId="20" borderId="22" xfId="1" applyNumberFormat="1" applyFont="1" applyFill="1" applyBorder="1" applyAlignment="1">
      <alignment horizontal="center" vertical="center" wrapText="1"/>
    </xf>
    <xf numFmtId="49" fontId="4" fillId="20" borderId="33" xfId="1" applyNumberFormat="1" applyFont="1" applyFill="1" applyBorder="1" applyAlignment="1">
      <alignment horizontal="center" vertical="center" wrapText="1"/>
    </xf>
    <xf numFmtId="0" fontId="4" fillId="20" borderId="15" xfId="1" applyFont="1" applyFill="1" applyBorder="1" applyAlignment="1">
      <alignment horizontal="right" vertical="top" wrapText="1"/>
    </xf>
    <xf numFmtId="49" fontId="13" fillId="14" borderId="13" xfId="0" applyNumberFormat="1" applyFont="1" applyFill="1" applyBorder="1" applyAlignment="1">
      <alignment horizontal="center" vertical="top" wrapText="1"/>
    </xf>
    <xf numFmtId="49" fontId="10" fillId="11" borderId="22" xfId="0" applyNumberFormat="1" applyFont="1" applyFill="1" applyBorder="1" applyAlignment="1">
      <alignment horizontal="left" vertical="center" wrapText="1"/>
    </xf>
    <xf numFmtId="49" fontId="10" fillId="11" borderId="21" xfId="0" applyNumberFormat="1" applyFont="1" applyFill="1" applyBorder="1" applyAlignment="1">
      <alignment horizontal="left" vertical="center" wrapText="1"/>
    </xf>
    <xf numFmtId="0" fontId="2" fillId="3" borderId="2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top" wrapText="1"/>
    </xf>
    <xf numFmtId="0" fontId="12" fillId="13" borderId="12" xfId="0" applyFont="1" applyFill="1" applyBorder="1" applyAlignment="1">
      <alignment horizontal="left" vertical="center" wrapText="1"/>
    </xf>
    <xf numFmtId="0" fontId="5" fillId="6" borderId="20" xfId="0" applyFont="1" applyFill="1" applyBorder="1" applyAlignment="1">
      <alignment horizontal="center" vertical="center" wrapText="1"/>
    </xf>
    <xf numFmtId="0" fontId="5" fillId="6" borderId="22" xfId="0" applyFont="1" applyFill="1" applyBorder="1" applyAlignment="1">
      <alignment horizontal="center" vertical="center" wrapText="1"/>
    </xf>
    <xf numFmtId="0" fontId="5" fillId="6" borderId="33" xfId="0" applyFont="1" applyFill="1" applyBorder="1" applyAlignment="1">
      <alignment horizontal="center" vertical="center" wrapText="1"/>
    </xf>
    <xf numFmtId="49" fontId="8" fillId="9" borderId="8" xfId="0" applyNumberFormat="1" applyFont="1" applyFill="1" applyBorder="1" applyAlignment="1">
      <alignment horizontal="center" vertical="center" wrapText="1"/>
    </xf>
    <xf numFmtId="49" fontId="18" fillId="19" borderId="20" xfId="0" applyNumberFormat="1" applyFont="1" applyFill="1" applyBorder="1" applyAlignment="1">
      <alignment horizontal="center" vertical="center" wrapText="1"/>
    </xf>
    <xf numFmtId="49" fontId="18" fillId="19" borderId="21" xfId="0" applyNumberFormat="1" applyFont="1" applyFill="1" applyBorder="1" applyAlignment="1">
      <alignment horizontal="center" vertical="center" wrapText="1"/>
    </xf>
    <xf numFmtId="49" fontId="19" fillId="20" borderId="22" xfId="0" applyNumberFormat="1" applyFont="1" applyFill="1" applyBorder="1" applyAlignment="1">
      <alignment horizontal="center" vertical="center" wrapText="1"/>
    </xf>
    <xf numFmtId="49" fontId="19" fillId="20" borderId="21" xfId="0" applyNumberFormat="1" applyFont="1" applyFill="1" applyBorder="1" applyAlignment="1">
      <alignment horizontal="center" vertical="center" wrapText="1"/>
    </xf>
    <xf numFmtId="49" fontId="4" fillId="20" borderId="17" xfId="1" applyNumberFormat="1" applyFont="1" applyFill="1" applyBorder="1" applyAlignment="1">
      <alignment horizontal="left" vertical="center" wrapText="1"/>
    </xf>
    <xf numFmtId="49" fontId="18" fillId="20" borderId="20" xfId="1" applyNumberFormat="1" applyFont="1" applyFill="1" applyBorder="1" applyAlignment="1">
      <alignment horizontal="center" vertical="center" wrapText="1"/>
    </xf>
    <xf numFmtId="49" fontId="18" fillId="20" borderId="21" xfId="1" applyNumberFormat="1" applyFont="1" applyFill="1" applyBorder="1" applyAlignment="1">
      <alignment horizontal="center" vertical="center" wrapText="1"/>
    </xf>
    <xf numFmtId="49" fontId="4" fillId="20" borderId="21" xfId="1" applyNumberFormat="1" applyFont="1" applyFill="1" applyBorder="1" applyAlignment="1">
      <alignment horizontal="center" vertical="center" wrapText="1"/>
    </xf>
    <xf numFmtId="49" fontId="4" fillId="20" borderId="22" xfId="1" applyNumberFormat="1" applyFont="1" applyFill="1" applyBorder="1" applyAlignment="1">
      <alignment horizontal="left" vertical="center" wrapText="1"/>
    </xf>
    <xf numFmtId="49" fontId="4" fillId="20" borderId="21" xfId="1" applyNumberFormat="1" applyFont="1" applyFill="1" applyBorder="1" applyAlignment="1">
      <alignment horizontal="left" vertical="center" wrapText="1"/>
    </xf>
    <xf numFmtId="49" fontId="4" fillId="20" borderId="16" xfId="1" applyNumberFormat="1" applyFont="1" applyFill="1" applyBorder="1" applyAlignment="1">
      <alignment horizontal="center" vertical="center" wrapText="1"/>
    </xf>
    <xf numFmtId="0" fontId="2" fillId="17" borderId="2" xfId="1" applyFont="1" applyFill="1" applyBorder="1" applyAlignment="1">
      <alignment horizontal="left" vertical="center" wrapText="1"/>
    </xf>
    <xf numFmtId="0" fontId="2" fillId="20" borderId="3" xfId="1" applyFont="1" applyFill="1" applyBorder="1" applyAlignment="1">
      <alignment horizontal="center" vertical="top" wrapText="1"/>
    </xf>
    <xf numFmtId="0" fontId="1" fillId="20" borderId="15" xfId="1" applyFont="1" applyFill="1" applyBorder="1" applyAlignment="1">
      <alignment horizontal="center" vertical="center" wrapText="1"/>
    </xf>
    <xf numFmtId="0" fontId="2" fillId="20" borderId="5" xfId="1" applyFont="1" applyFill="1" applyBorder="1" applyAlignment="1">
      <alignment horizontal="center" vertical="center" wrapText="1"/>
    </xf>
    <xf numFmtId="0" fontId="2" fillId="17" borderId="16" xfId="1" applyFont="1" applyFill="1" applyBorder="1" applyAlignment="1">
      <alignment horizontal="left" vertical="center" wrapText="1"/>
    </xf>
    <xf numFmtId="0" fontId="2" fillId="20" borderId="20" xfId="1" applyFont="1" applyFill="1" applyBorder="1" applyAlignment="1">
      <alignment horizontal="center" vertical="center" wrapText="1"/>
    </xf>
    <xf numFmtId="0" fontId="2" fillId="20" borderId="22" xfId="1" applyFont="1" applyFill="1" applyBorder="1" applyAlignment="1">
      <alignment horizontal="center" vertical="center" wrapText="1"/>
    </xf>
    <xf numFmtId="0" fontId="2" fillId="20" borderId="33" xfId="1" applyFont="1" applyFill="1" applyBorder="1" applyAlignment="1">
      <alignment horizontal="center" vertical="center" wrapText="1"/>
    </xf>
    <xf numFmtId="0" fontId="15" fillId="20" borderId="15" xfId="1" applyFont="1" applyFill="1" applyBorder="1" applyAlignment="1">
      <alignment horizontal="left" vertical="top" wrapText="1"/>
    </xf>
    <xf numFmtId="49" fontId="13" fillId="20" borderId="15" xfId="1" applyNumberFormat="1" applyFont="1" applyFill="1" applyBorder="1" applyAlignment="1">
      <alignment horizontal="center" vertical="top" wrapText="1"/>
    </xf>
    <xf numFmtId="49" fontId="4" fillId="20" borderId="18" xfId="4" applyNumberFormat="1" applyFont="1" applyFill="1" applyBorder="1" applyAlignment="1">
      <alignment horizontal="left" vertical="center" wrapText="1"/>
    </xf>
    <xf numFmtId="0" fontId="2" fillId="20" borderId="5" xfId="4" applyFont="1" applyFill="1" applyBorder="1" applyAlignment="1">
      <alignment horizontal="center" vertical="center" wrapText="1"/>
    </xf>
    <xf numFmtId="49" fontId="4" fillId="20" borderId="17" xfId="4" applyNumberFormat="1" applyFont="1" applyFill="1" applyBorder="1" applyAlignment="1">
      <alignment horizontal="left" vertical="center" wrapText="1"/>
    </xf>
    <xf numFmtId="49" fontId="4" fillId="20" borderId="17" xfId="2" applyNumberFormat="1" applyFont="1" applyFill="1" applyBorder="1" applyAlignment="1">
      <alignment horizontal="left" vertical="center" wrapText="1"/>
    </xf>
    <xf numFmtId="0" fontId="2" fillId="17" borderId="2" xfId="4" applyFont="1" applyFill="1" applyBorder="1" applyAlignment="1">
      <alignment horizontal="left" vertical="center" wrapText="1"/>
    </xf>
    <xf numFmtId="0" fontId="2" fillId="17" borderId="16" xfId="4" applyFont="1" applyFill="1" applyBorder="1" applyAlignment="1">
      <alignment horizontal="left" vertical="center" wrapText="1"/>
    </xf>
    <xf numFmtId="49" fontId="4" fillId="20" borderId="23" xfId="6" applyNumberFormat="1" applyFont="1" applyFill="1" applyBorder="1" applyAlignment="1">
      <alignment horizontal="left" vertical="center" wrapText="1"/>
    </xf>
    <xf numFmtId="49" fontId="4" fillId="20" borderId="17" xfId="5" applyNumberFormat="1" applyFont="1" applyFill="1" applyBorder="1" applyAlignment="1">
      <alignment horizontal="left" vertical="center" wrapText="1"/>
    </xf>
    <xf numFmtId="0" fontId="1" fillId="20" borderId="15" xfId="5" applyFont="1" applyFill="1" applyBorder="1" applyAlignment="1">
      <alignment horizontal="center" vertical="center" wrapText="1"/>
    </xf>
    <xf numFmtId="0" fontId="2" fillId="17" borderId="2" xfId="5" applyFont="1" applyFill="1" applyBorder="1" applyAlignment="1">
      <alignment horizontal="left" vertical="center" wrapText="1"/>
    </xf>
    <xf numFmtId="0" fontId="2" fillId="20" borderId="5" xfId="5" applyFont="1" applyFill="1" applyBorder="1" applyAlignment="1">
      <alignment horizontal="center" vertical="center" wrapText="1"/>
    </xf>
    <xf numFmtId="49" fontId="13" fillId="20" borderId="15" xfId="2" applyNumberFormat="1" applyFont="1" applyFill="1" applyBorder="1" applyAlignment="1">
      <alignment horizontal="center" vertical="top" wrapText="1"/>
    </xf>
    <xf numFmtId="0" fontId="4" fillId="20" borderId="15" xfId="2" applyFont="1" applyFill="1" applyBorder="1" applyAlignment="1">
      <alignment horizontal="right" vertical="top" wrapText="1"/>
    </xf>
    <xf numFmtId="49" fontId="4" fillId="20" borderId="18" xfId="2" applyNumberFormat="1" applyFont="1" applyFill="1" applyBorder="1" applyAlignment="1">
      <alignment horizontal="left" vertical="center" wrapText="1"/>
    </xf>
    <xf numFmtId="0" fontId="15" fillId="20" borderId="15" xfId="2" applyFont="1" applyFill="1" applyBorder="1" applyAlignment="1">
      <alignment horizontal="left" vertical="top" wrapText="1"/>
    </xf>
    <xf numFmtId="0" fontId="2" fillId="17" borderId="16" xfId="2" applyFont="1" applyFill="1" applyBorder="1" applyAlignment="1">
      <alignment horizontal="left" vertical="center" wrapText="1"/>
    </xf>
    <xf numFmtId="0" fontId="2" fillId="20" borderId="5" xfId="2" applyFont="1" applyFill="1" applyBorder="1" applyAlignment="1">
      <alignment horizontal="center" vertical="center" wrapText="1"/>
    </xf>
    <xf numFmtId="49" fontId="4" fillId="20" borderId="16" xfId="4" applyNumberFormat="1" applyFont="1" applyFill="1" applyBorder="1" applyAlignment="1">
      <alignment horizontal="left" vertical="center" wrapText="1"/>
    </xf>
    <xf numFmtId="0" fontId="1" fillId="20" borderId="15" xfId="4" applyFont="1" applyFill="1" applyBorder="1" applyAlignment="1">
      <alignment horizontal="center" vertical="center" wrapText="1"/>
    </xf>
    <xf numFmtId="0" fontId="11" fillId="20" borderId="15" xfId="2" applyFont="1" applyFill="1" applyBorder="1" applyAlignment="1">
      <alignment horizontal="center" vertical="top" wrapText="1"/>
    </xf>
    <xf numFmtId="0" fontId="2" fillId="20" borderId="25" xfId="6" applyFont="1" applyFill="1" applyBorder="1" applyAlignment="1">
      <alignment horizontal="center" vertical="center" wrapText="1"/>
    </xf>
    <xf numFmtId="0" fontId="1" fillId="20" borderId="15" xfId="6" applyFont="1" applyFill="1" applyBorder="1" applyAlignment="1">
      <alignment horizontal="center" vertical="center" wrapText="1"/>
    </xf>
    <xf numFmtId="0" fontId="2" fillId="17" borderId="2" xfId="6" applyFont="1" applyFill="1" applyBorder="1" applyAlignment="1">
      <alignment horizontal="left" vertical="center" wrapText="1"/>
    </xf>
    <xf numFmtId="0" fontId="4" fillId="20" borderId="15" xfId="6" applyFont="1" applyFill="1" applyBorder="1" applyAlignment="1">
      <alignment horizontal="right" vertical="top" wrapText="1"/>
    </xf>
    <xf numFmtId="49" fontId="4" fillId="20" borderId="18" xfId="6" applyNumberFormat="1" applyFont="1" applyFill="1" applyBorder="1" applyAlignment="1">
      <alignment horizontal="left" vertical="center" wrapText="1"/>
    </xf>
    <xf numFmtId="0" fontId="7" fillId="20" borderId="15" xfId="2" applyFont="1" applyFill="1" applyBorder="1" applyAlignment="1">
      <alignment horizontal="center" vertical="top" wrapText="1"/>
    </xf>
    <xf numFmtId="0" fontId="4" fillId="20" borderId="15" xfId="5" applyFont="1" applyFill="1" applyBorder="1" applyAlignment="1">
      <alignment horizontal="right" vertical="top" wrapText="1"/>
    </xf>
    <xf numFmtId="49" fontId="4" fillId="20" borderId="18" xfId="5" applyNumberFormat="1" applyFont="1" applyFill="1" applyBorder="1" applyAlignment="1">
      <alignment horizontal="left" vertical="center" wrapText="1"/>
    </xf>
    <xf numFmtId="0" fontId="2" fillId="17" borderId="16" xfId="5" applyFont="1" applyFill="1" applyBorder="1" applyAlignment="1">
      <alignment horizontal="left" vertical="center" wrapText="1"/>
    </xf>
    <xf numFmtId="0" fontId="1" fillId="20" borderId="15" xfId="2" applyFont="1" applyFill="1" applyBorder="1" applyAlignment="1">
      <alignment horizontal="center" vertical="center" wrapText="1"/>
    </xf>
    <xf numFmtId="0" fontId="2" fillId="17" borderId="2" xfId="2" applyFont="1" applyFill="1" applyBorder="1" applyAlignment="1">
      <alignment horizontal="left" vertical="center" wrapText="1"/>
    </xf>
    <xf numFmtId="49" fontId="4" fillId="20" borderId="16" xfId="5" applyNumberFormat="1" applyFont="1" applyFill="1" applyBorder="1" applyAlignment="1">
      <alignment horizontal="left" vertical="center" wrapText="1"/>
    </xf>
    <xf numFmtId="49" fontId="4" fillId="20" borderId="16" xfId="2" applyNumberFormat="1" applyFont="1" applyFill="1" applyBorder="1" applyAlignment="1">
      <alignment horizontal="left" vertical="center" wrapText="1"/>
    </xf>
    <xf numFmtId="49" fontId="4" fillId="20" borderId="16" xfId="6" applyNumberFormat="1" applyFont="1" applyFill="1" applyBorder="1" applyAlignment="1">
      <alignment horizontal="left" vertical="center" wrapText="1"/>
    </xf>
    <xf numFmtId="0" fontId="2" fillId="17" borderId="16" xfId="6" applyFont="1" applyFill="1" applyBorder="1" applyAlignment="1">
      <alignment horizontal="left" vertical="center" wrapText="1"/>
    </xf>
    <xf numFmtId="49" fontId="4" fillId="20" borderId="17" xfId="7" applyNumberFormat="1" applyFont="1" applyFill="1" applyBorder="1" applyAlignment="1">
      <alignment horizontal="left" vertical="center" wrapText="1"/>
    </xf>
    <xf numFmtId="0" fontId="4" fillId="20" borderId="15" xfId="7" applyFont="1" applyFill="1" applyBorder="1" applyAlignment="1">
      <alignment horizontal="right" vertical="top" wrapText="1"/>
    </xf>
    <xf numFmtId="49" fontId="4" fillId="20" borderId="18" xfId="7" applyNumberFormat="1" applyFont="1" applyFill="1" applyBorder="1" applyAlignment="1">
      <alignment horizontal="left" vertical="center" wrapText="1"/>
    </xf>
    <xf numFmtId="0" fontId="15" fillId="20" borderId="15" xfId="7" applyFont="1" applyFill="1" applyBorder="1" applyAlignment="1">
      <alignment horizontal="left" vertical="top" wrapText="1"/>
    </xf>
    <xf numFmtId="0" fontId="11" fillId="20" borderId="15" xfId="7" applyFont="1" applyFill="1" applyBorder="1" applyAlignment="1">
      <alignment horizontal="left" vertical="top" wrapText="1"/>
    </xf>
    <xf numFmtId="0" fontId="2" fillId="20" borderId="5" xfId="7" applyFont="1" applyFill="1" applyBorder="1" applyAlignment="1">
      <alignment horizontal="center" vertical="center" wrapText="1"/>
    </xf>
    <xf numFmtId="0" fontId="7" fillId="20" borderId="15" xfId="7" applyFont="1" applyFill="1" applyBorder="1" applyAlignment="1">
      <alignment horizontal="center" vertical="top" wrapText="1"/>
    </xf>
    <xf numFmtId="49" fontId="4" fillId="20" borderId="16" xfId="7" applyNumberFormat="1" applyFont="1" applyFill="1" applyBorder="1" applyAlignment="1">
      <alignment horizontal="left" vertical="center" wrapText="1"/>
    </xf>
    <xf numFmtId="0" fontId="1" fillId="20" borderId="15" xfId="7" applyFont="1" applyFill="1" applyBorder="1" applyAlignment="1">
      <alignment horizontal="center" vertical="center" wrapText="1"/>
    </xf>
    <xf numFmtId="0" fontId="2" fillId="17" borderId="2" xfId="7" applyFont="1" applyFill="1" applyBorder="1" applyAlignment="1">
      <alignment horizontal="left" vertical="center" wrapText="1"/>
    </xf>
    <xf numFmtId="49" fontId="4" fillId="20" borderId="20" xfId="8" applyNumberFormat="1" applyFont="1" applyFill="1" applyBorder="1" applyAlignment="1">
      <alignment horizontal="left" vertical="center" wrapText="1"/>
    </xf>
    <xf numFmtId="49" fontId="4" fillId="20" borderId="21" xfId="8" applyNumberFormat="1" applyFont="1" applyFill="1" applyBorder="1" applyAlignment="1">
      <alignment horizontal="left" vertical="center" wrapText="1"/>
    </xf>
    <xf numFmtId="49" fontId="4" fillId="20" borderId="17" xfId="8" applyNumberFormat="1" applyFont="1" applyFill="1" applyBorder="1" applyAlignment="1">
      <alignment horizontal="left" vertical="center" wrapText="1"/>
    </xf>
    <xf numFmtId="0" fontId="4" fillId="20" borderId="15" xfId="8" applyFont="1" applyFill="1" applyBorder="1" applyAlignment="1">
      <alignment horizontal="right" vertical="top" wrapText="1"/>
    </xf>
    <xf numFmtId="49" fontId="4" fillId="20" borderId="18" xfId="8" applyNumberFormat="1" applyFont="1" applyFill="1" applyBorder="1" applyAlignment="1">
      <alignment horizontal="left" vertical="center" wrapText="1"/>
    </xf>
    <xf numFmtId="0" fontId="15" fillId="20" borderId="15" xfId="8" applyFont="1" applyFill="1" applyBorder="1" applyAlignment="1">
      <alignment horizontal="left" vertical="top" wrapText="1"/>
    </xf>
    <xf numFmtId="0" fontId="2" fillId="20" borderId="5" xfId="8" applyFont="1" applyFill="1" applyBorder="1" applyAlignment="1">
      <alignment horizontal="center" vertical="center" wrapText="1"/>
    </xf>
    <xf numFmtId="0" fontId="1" fillId="20" borderId="15" xfId="8" applyFont="1" applyFill="1" applyBorder="1" applyAlignment="1">
      <alignment horizontal="center" vertical="center" wrapText="1"/>
    </xf>
    <xf numFmtId="0" fontId="2" fillId="17" borderId="2" xfId="8" applyFont="1" applyFill="1" applyBorder="1" applyAlignment="1">
      <alignment horizontal="left" vertical="center" wrapText="1"/>
    </xf>
    <xf numFmtId="0" fontId="7" fillId="20" borderId="15" xfId="8" applyFont="1" applyFill="1" applyBorder="1" applyAlignment="1">
      <alignment horizontal="center" vertical="top" wrapText="1"/>
    </xf>
    <xf numFmtId="49" fontId="4" fillId="20" borderId="16" xfId="8" applyNumberFormat="1" applyFont="1" applyFill="1" applyBorder="1" applyAlignment="1">
      <alignment horizontal="left" vertical="center" wrapText="1"/>
    </xf>
    <xf numFmtId="0" fontId="11" fillId="20" borderId="15" xfId="8" applyFont="1" applyFill="1" applyBorder="1" applyAlignment="1">
      <alignment horizontal="left" vertical="top" wrapText="1"/>
    </xf>
    <xf numFmtId="0" fontId="4" fillId="20" borderId="15" xfId="9" applyFont="1" applyFill="1" applyBorder="1" applyAlignment="1">
      <alignment horizontal="right" vertical="top" wrapText="1"/>
    </xf>
    <xf numFmtId="49" fontId="4" fillId="20" borderId="18" xfId="9" applyNumberFormat="1" applyFont="1" applyFill="1" applyBorder="1" applyAlignment="1">
      <alignment horizontal="left" vertical="center" wrapText="1"/>
    </xf>
    <xf numFmtId="0" fontId="15" fillId="20" borderId="15" xfId="9" applyFont="1" applyFill="1" applyBorder="1" applyAlignment="1">
      <alignment horizontal="left" vertical="top" wrapText="1"/>
    </xf>
    <xf numFmtId="49" fontId="4" fillId="20" borderId="17" xfId="9" applyNumberFormat="1" applyFont="1" applyFill="1" applyBorder="1" applyAlignment="1">
      <alignment horizontal="left" vertical="center" wrapText="1"/>
    </xf>
    <xf numFmtId="0" fontId="2" fillId="20" borderId="5" xfId="9" applyFont="1" applyFill="1" applyBorder="1" applyAlignment="1">
      <alignment horizontal="center" vertical="center" wrapText="1"/>
    </xf>
    <xf numFmtId="0" fontId="1" fillId="20" borderId="15" xfId="9" applyFont="1" applyFill="1" applyBorder="1" applyAlignment="1">
      <alignment horizontal="center" vertical="center" wrapText="1"/>
    </xf>
    <xf numFmtId="0" fontId="2" fillId="17" borderId="2" xfId="9" applyFont="1" applyFill="1" applyBorder="1" applyAlignment="1">
      <alignment horizontal="left" vertical="center" wrapText="1"/>
    </xf>
    <xf numFmtId="0" fontId="7" fillId="20" borderId="15" xfId="9" applyFont="1" applyFill="1" applyBorder="1" applyAlignment="1">
      <alignment horizontal="center" vertical="top" wrapText="1"/>
    </xf>
    <xf numFmtId="49" fontId="4" fillId="20" borderId="16" xfId="9" applyNumberFormat="1" applyFont="1" applyFill="1" applyBorder="1" applyAlignment="1">
      <alignment horizontal="left" vertical="center" wrapText="1"/>
    </xf>
    <xf numFmtId="0" fontId="11" fillId="20" borderId="15" xfId="9" applyFont="1" applyFill="1" applyBorder="1" applyAlignment="1">
      <alignment horizontal="left" vertical="top" wrapText="1"/>
    </xf>
  </cellXfs>
  <cellStyles count="11">
    <cellStyle name="Hyperlink" xfId="10" builtinId="8"/>
    <cellStyle name="Normal" xfId="0" builtinId="0"/>
    <cellStyle name="Normal 10" xfId="9"/>
    <cellStyle name="Normal 2" xfId="1"/>
    <cellStyle name="Normal 3" xfId="2"/>
    <cellStyle name="Normal 4" xfId="3"/>
    <cellStyle name="Normal 5" xfId="4"/>
    <cellStyle name="Normal 6" xfId="5"/>
    <cellStyle name="Normal 7" xfId="6"/>
    <cellStyle name="Normal 8" xfId="7"/>
    <cellStyle name="Normal 9" xfId="8"/>
  </cellStyles>
  <dxfs count="0"/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0</xdr:rowOff>
    </xdr:from>
    <xdr:ext cx="6400800" cy="95250"/>
    <xdr:pic>
      <xdr:nvPicPr>
        <xdr:cNvPr id="2" name="Picture 1"/>
        <xdr:cNvPicPr/>
      </xdr:nvPicPr>
      <xdr:blipFill>
        <a:blip xmlns:r="http://schemas.openxmlformats.org/officeDocument/2006/relationships" r:embed="rId1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2</xdr:row>
      <xdr:rowOff>0</xdr:rowOff>
    </xdr:from>
    <xdr:ext cx="866775" cy="904875"/>
    <xdr:pic>
      <xdr:nvPicPr>
        <xdr:cNvPr id="3" name="Picture 2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:a="http://schemas.openxmlformats.org/drawingml/2006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brayanDLS98@gmail.com" TargetMode="External"/><Relationship Id="rId2" Type="http://schemas.openxmlformats.org/officeDocument/2006/relationships/hyperlink" Target="mailto:andreitagp1998@hotmail.com" TargetMode="External"/><Relationship Id="rId3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E120"/>
  <sheetViews>
    <sheetView showGridLines="0" topLeftCell="E92" zoomScale="125" workbookViewId="0">
      <selection activeCell="AZ98" sqref="AZ98"/>
    </sheetView>
  </sheetViews>
  <sheetFormatPr baseColWidth="10" defaultRowHeight="15"/>
  <cols>
    <col min="1" max="1" width="1.375" customWidth="1"/>
    <col min="2" max="2" width="1.125" customWidth="1"/>
    <col min="3" max="3" width="4.75" customWidth="1"/>
    <col min="4" max="4" width="0.125" customWidth="1"/>
    <col min="5" max="5" width="1.125" customWidth="1"/>
    <col min="6" max="6" width="0.75" customWidth="1"/>
    <col min="7" max="7" width="0.25" customWidth="1"/>
    <col min="8" max="8" width="12.5" style="195" customWidth="1"/>
    <col min="9" max="9" width="0.875" customWidth="1"/>
    <col min="10" max="10" width="2.875" customWidth="1"/>
    <col min="11" max="11" width="2.375" customWidth="1"/>
    <col min="12" max="12" width="2.875" customWidth="1"/>
    <col min="13" max="13" width="0.75" customWidth="1"/>
    <col min="14" max="14" width="1.25" customWidth="1"/>
    <col min="15" max="15" width="2" customWidth="1"/>
    <col min="16" max="16" width="1.375" customWidth="1"/>
    <col min="17" max="17" width="0.75" customWidth="1"/>
    <col min="18" max="25" width="2.125" customWidth="1"/>
    <col min="26" max="26" width="2.125" style="108" customWidth="1"/>
    <col min="27" max="27" width="4.125" style="104" customWidth="1"/>
    <col min="28" max="28" width="4.625" style="117" customWidth="1"/>
    <col min="29" max="40" width="2" customWidth="1"/>
    <col min="41" max="41" width="3.875" style="138" customWidth="1"/>
    <col min="42" max="42" width="4.75" style="140" bestFit="1" customWidth="1"/>
    <col min="43" max="47" width="2.125" customWidth="1"/>
    <col min="48" max="48" width="4.125" customWidth="1"/>
    <col min="49" max="49" width="4.125" style="174" customWidth="1"/>
    <col min="50" max="50" width="4.875" style="175" customWidth="1"/>
    <col min="51" max="52" width="3.875" customWidth="1"/>
  </cols>
  <sheetData>
    <row r="1" spans="1:52" ht="17.25" customHeight="1">
      <c r="J1" s="219" t="s">
        <v>393</v>
      </c>
      <c r="K1" s="219"/>
      <c r="L1" s="219"/>
      <c r="M1" s="219"/>
      <c r="N1" s="219"/>
      <c r="O1" s="219"/>
      <c r="P1" s="219"/>
      <c r="Q1" s="219"/>
    </row>
    <row r="2" spans="1:52" ht="10.5" customHeight="1"/>
    <row r="3" spans="1:52" ht="18.75" customHeight="1">
      <c r="B3" s="224"/>
      <c r="C3" s="224"/>
      <c r="F3" s="194" t="s">
        <v>367</v>
      </c>
      <c r="G3" s="194"/>
      <c r="H3" s="194"/>
      <c r="I3" s="194"/>
      <c r="J3" s="194"/>
      <c r="K3" s="194"/>
      <c r="L3" s="194"/>
      <c r="M3" s="194"/>
      <c r="N3" s="194"/>
      <c r="O3" s="194"/>
      <c r="P3" s="194"/>
    </row>
    <row r="4" spans="1:52" ht="14.25" customHeight="1">
      <c r="B4" s="224"/>
      <c r="C4" s="224"/>
      <c r="K4" s="220" t="s">
        <v>304</v>
      </c>
      <c r="L4" s="220"/>
      <c r="M4" s="220"/>
      <c r="N4" s="220"/>
      <c r="O4" s="220"/>
      <c r="P4" s="220"/>
    </row>
    <row r="5" spans="1:52" ht="11.25" customHeight="1">
      <c r="B5" s="224"/>
      <c r="C5" s="224"/>
    </row>
    <row r="6" spans="1:52" ht="16.5" customHeight="1">
      <c r="B6" s="224"/>
      <c r="C6" s="224"/>
      <c r="E6" s="190" t="s">
        <v>36</v>
      </c>
      <c r="F6" s="190"/>
      <c r="G6" s="190"/>
      <c r="H6" s="190"/>
      <c r="I6" s="190"/>
      <c r="J6" s="190"/>
      <c r="K6" s="190"/>
      <c r="L6" s="190"/>
      <c r="M6" s="190"/>
      <c r="N6" s="190"/>
      <c r="O6" s="190"/>
      <c r="P6" s="190"/>
    </row>
    <row r="7" spans="1:52" ht="10.5" customHeight="1">
      <c r="B7" s="224"/>
      <c r="C7" s="224"/>
      <c r="I7" s="230" t="s">
        <v>392</v>
      </c>
      <c r="J7" s="230"/>
      <c r="K7" s="230"/>
      <c r="L7" s="230"/>
    </row>
    <row r="8" spans="1:52" ht="6" customHeight="1">
      <c r="I8" s="230"/>
      <c r="J8" s="230"/>
      <c r="K8" s="230"/>
      <c r="L8" s="230"/>
    </row>
    <row r="9" spans="1:52" ht="7.5" customHeight="1" thickBot="1">
      <c r="A9" s="191"/>
      <c r="B9" s="191"/>
      <c r="C9" s="191"/>
      <c r="D9" s="191"/>
      <c r="E9" s="191"/>
      <c r="F9" s="191"/>
      <c r="G9" s="191"/>
      <c r="H9" s="191"/>
      <c r="I9" s="191"/>
      <c r="J9" s="191"/>
      <c r="K9" s="191"/>
      <c r="L9" s="191"/>
      <c r="M9" s="191"/>
      <c r="N9" s="191"/>
      <c r="O9" s="191"/>
      <c r="P9" s="191"/>
      <c r="Q9" s="191"/>
    </row>
    <row r="10" spans="1:52" ht="21.75" customHeight="1" thickTop="1" thickBot="1">
      <c r="A10" s="233" t="s">
        <v>322</v>
      </c>
      <c r="B10" s="233"/>
      <c r="C10" s="233"/>
      <c r="D10" s="233"/>
      <c r="E10" s="239" t="s">
        <v>37</v>
      </c>
      <c r="F10" s="239"/>
      <c r="G10" s="193" t="s">
        <v>147</v>
      </c>
      <c r="H10" s="193"/>
      <c r="I10" s="193"/>
      <c r="J10" s="231" t="s">
        <v>5</v>
      </c>
      <c r="K10" s="231"/>
      <c r="L10" s="231"/>
      <c r="M10" s="231"/>
      <c r="N10" s="231"/>
      <c r="O10" s="232"/>
      <c r="P10" s="240" t="s">
        <v>445</v>
      </c>
      <c r="Q10" s="241"/>
    </row>
    <row r="11" spans="1:52" ht="15" customHeight="1" thickTop="1" thickBot="1">
      <c r="A11" s="233" t="s">
        <v>323</v>
      </c>
      <c r="B11" s="233"/>
      <c r="C11" s="233"/>
      <c r="D11" s="233"/>
      <c r="E11" s="189" t="s">
        <v>286</v>
      </c>
      <c r="F11" s="189"/>
      <c r="G11" s="189"/>
      <c r="H11" s="189"/>
      <c r="I11" s="189"/>
      <c r="J11" s="189"/>
      <c r="K11" s="189"/>
      <c r="L11" s="235" t="s">
        <v>60</v>
      </c>
      <c r="M11" s="235"/>
      <c r="N11" s="1" t="s">
        <v>394</v>
      </c>
      <c r="O11" s="3" t="s">
        <v>55</v>
      </c>
      <c r="P11" s="242" t="s">
        <v>446</v>
      </c>
      <c r="Q11" s="243"/>
    </row>
    <row r="12" spans="1:52" ht="15.75" customHeight="1" thickTop="1" thickBot="1">
      <c r="A12" s="233" t="s">
        <v>324</v>
      </c>
      <c r="B12" s="233"/>
      <c r="C12" s="233"/>
      <c r="D12" s="233"/>
      <c r="E12" s="188" t="s">
        <v>287</v>
      </c>
      <c r="F12" s="188"/>
      <c r="G12" s="188"/>
      <c r="H12" s="188"/>
      <c r="I12" s="188"/>
      <c r="J12" s="188"/>
      <c r="K12" s="188"/>
      <c r="L12" s="188"/>
      <c r="M12" s="188"/>
      <c r="N12" s="188"/>
      <c r="O12" s="2" t="s">
        <v>56</v>
      </c>
      <c r="P12" s="231" t="s">
        <v>447</v>
      </c>
      <c r="Q12" s="232"/>
      <c r="Z12" s="151" t="s">
        <v>362</v>
      </c>
      <c r="AA12" s="152" t="s">
        <v>363</v>
      </c>
      <c r="AM12" s="153" t="s">
        <v>365</v>
      </c>
      <c r="AN12" s="153" t="s">
        <v>362</v>
      </c>
      <c r="AO12" s="152" t="s">
        <v>364</v>
      </c>
      <c r="AV12" s="114">
        <v>0.4</v>
      </c>
      <c r="AW12" s="197" t="s">
        <v>280</v>
      </c>
    </row>
    <row r="13" spans="1:52" ht="16.5" customHeight="1" thickTop="1" thickBot="1">
      <c r="A13" s="234" t="s">
        <v>325</v>
      </c>
      <c r="B13" s="234"/>
      <c r="C13" s="225" t="s">
        <v>326</v>
      </c>
      <c r="D13" s="225"/>
      <c r="E13" s="225"/>
      <c r="F13" s="225"/>
      <c r="G13" s="225"/>
      <c r="H13" s="192" t="s">
        <v>148</v>
      </c>
      <c r="I13" s="192"/>
      <c r="J13" s="192"/>
      <c r="K13" s="192"/>
      <c r="L13" s="192"/>
      <c r="M13" s="192"/>
      <c r="N13" s="192"/>
      <c r="O13" s="236" t="s">
        <v>57</v>
      </c>
      <c r="P13" s="237"/>
      <c r="Q13" s="238"/>
      <c r="R13" s="71" t="s">
        <v>303</v>
      </c>
      <c r="S13" s="71" t="s">
        <v>146</v>
      </c>
      <c r="T13" s="71" t="s">
        <v>40</v>
      </c>
      <c r="U13" s="71" t="s">
        <v>46</v>
      </c>
      <c r="V13" s="71" t="s">
        <v>49</v>
      </c>
      <c r="W13" s="71" t="s">
        <v>187</v>
      </c>
      <c r="X13" s="102" t="s">
        <v>189</v>
      </c>
      <c r="Y13" s="71" t="s">
        <v>66</v>
      </c>
      <c r="Z13" s="109" t="s">
        <v>238</v>
      </c>
      <c r="AA13" s="105" t="s">
        <v>408</v>
      </c>
      <c r="AB13" s="119" t="s">
        <v>12</v>
      </c>
      <c r="AC13" s="71"/>
      <c r="AD13" s="71" t="s">
        <v>182</v>
      </c>
      <c r="AE13" s="71"/>
      <c r="AF13" s="71" t="s">
        <v>366</v>
      </c>
      <c r="AG13" s="71" t="s">
        <v>335</v>
      </c>
      <c r="AH13" s="71" t="s">
        <v>331</v>
      </c>
      <c r="AI13" s="71" t="s">
        <v>336</v>
      </c>
      <c r="AJ13" s="71" t="s">
        <v>327</v>
      </c>
      <c r="AK13" s="71" t="s">
        <v>328</v>
      </c>
      <c r="AL13" s="71" t="s">
        <v>284</v>
      </c>
      <c r="AM13" s="71" t="s">
        <v>534</v>
      </c>
      <c r="AN13" s="72" t="s">
        <v>184</v>
      </c>
      <c r="AO13" s="139" t="s">
        <v>185</v>
      </c>
      <c r="AP13" s="141" t="s">
        <v>186</v>
      </c>
      <c r="AQ13" s="72"/>
      <c r="AR13" s="72"/>
      <c r="AS13" s="72" t="s">
        <v>251</v>
      </c>
      <c r="AT13" s="72" t="s">
        <v>252</v>
      </c>
      <c r="AU13" s="72" t="s">
        <v>250</v>
      </c>
      <c r="AV13" s="72" t="s">
        <v>279</v>
      </c>
      <c r="AW13" s="198" t="s">
        <v>213</v>
      </c>
      <c r="AX13" s="199" t="s">
        <v>214</v>
      </c>
    </row>
    <row r="14" spans="1:52" ht="14.25" customHeight="1" thickTop="1" thickBot="1">
      <c r="A14" s="216">
        <v>1</v>
      </c>
      <c r="B14" s="216"/>
      <c r="C14" s="217" t="s">
        <v>454</v>
      </c>
      <c r="D14" s="217"/>
      <c r="E14" s="217"/>
      <c r="F14" s="217"/>
      <c r="G14" s="217"/>
      <c r="H14" s="179" t="s">
        <v>316</v>
      </c>
      <c r="I14" s="179"/>
      <c r="J14" s="179"/>
      <c r="K14" s="179"/>
      <c r="L14" s="179"/>
      <c r="M14" s="179"/>
      <c r="N14" s="179"/>
      <c r="O14" s="221" t="s">
        <v>239</v>
      </c>
      <c r="P14" s="222"/>
      <c r="Q14" s="223"/>
      <c r="R14" s="72"/>
      <c r="S14" s="72">
        <v>1</v>
      </c>
      <c r="T14" s="72">
        <v>1</v>
      </c>
      <c r="U14" s="72">
        <v>1</v>
      </c>
      <c r="V14" s="72">
        <v>1</v>
      </c>
      <c r="W14" s="72">
        <v>1</v>
      </c>
      <c r="X14" s="72">
        <v>2</v>
      </c>
      <c r="Y14" s="72">
        <v>1</v>
      </c>
      <c r="Z14" s="109">
        <v>20</v>
      </c>
      <c r="AA14" s="106">
        <v>15</v>
      </c>
      <c r="AB14" s="118">
        <f t="shared" ref="AB14:AB34" si="0">+AA14*0.6+Z14*0.1+SUM(R14:Y14)/9*20*0.3</f>
        <v>16.333333333333332</v>
      </c>
      <c r="AC14" s="72">
        <v>1</v>
      </c>
      <c r="AD14" s="72">
        <v>1</v>
      </c>
      <c r="AE14" s="72"/>
      <c r="AF14" s="72">
        <v>1</v>
      </c>
      <c r="AG14" s="72">
        <v>0.5</v>
      </c>
      <c r="AH14" s="72"/>
      <c r="AI14" s="72">
        <v>1</v>
      </c>
      <c r="AJ14" s="72">
        <v>1</v>
      </c>
      <c r="AK14" s="72">
        <v>1</v>
      </c>
      <c r="AL14" s="72">
        <v>1</v>
      </c>
      <c r="AM14" s="72">
        <f t="shared" ref="AM14:AM45" si="1">SUM(AC14:AL14)/10*20</f>
        <v>15</v>
      </c>
      <c r="AN14" s="72">
        <v>20</v>
      </c>
      <c r="AO14" s="139">
        <v>18</v>
      </c>
      <c r="AP14" s="141">
        <f>+AO14*0.5+AN14*0.1+AM14*0.4</f>
        <v>17</v>
      </c>
      <c r="AQ14" s="72">
        <v>1</v>
      </c>
      <c r="AR14" s="72">
        <v>1</v>
      </c>
      <c r="AS14" s="72">
        <v>1</v>
      </c>
      <c r="AT14" s="72"/>
      <c r="AU14" s="72"/>
      <c r="AV14" s="72">
        <f>SUM(AQ14:AU14)/5*20</f>
        <v>12</v>
      </c>
      <c r="AW14" s="198">
        <v>10.5</v>
      </c>
      <c r="AX14" s="199">
        <f>+AW14*0.6+AV14*0.4</f>
        <v>11.100000000000001</v>
      </c>
      <c r="AY14" s="211">
        <f>AVERAGE(AX14,AP14,AB14)</f>
        <v>14.811111111111112</v>
      </c>
    </row>
    <row r="15" spans="1:52" ht="15" customHeight="1" thickTop="1" thickBot="1">
      <c r="A15" s="216">
        <v>2</v>
      </c>
      <c r="B15" s="216"/>
      <c r="C15" s="217" t="s">
        <v>156</v>
      </c>
      <c r="D15" s="217"/>
      <c r="E15" s="217"/>
      <c r="F15" s="217"/>
      <c r="G15" s="217"/>
      <c r="H15" s="179" t="s">
        <v>317</v>
      </c>
      <c r="I15" s="179"/>
      <c r="J15" s="179"/>
      <c r="K15" s="179"/>
      <c r="L15" s="179"/>
      <c r="M15" s="179"/>
      <c r="N15" s="179"/>
      <c r="O15" s="221" t="s">
        <v>239</v>
      </c>
      <c r="P15" s="222"/>
      <c r="Q15" s="223"/>
      <c r="R15" s="72"/>
      <c r="S15" s="72">
        <v>1</v>
      </c>
      <c r="T15" s="72">
        <v>1</v>
      </c>
      <c r="U15" s="72">
        <v>1</v>
      </c>
      <c r="V15" s="72">
        <v>1</v>
      </c>
      <c r="W15" s="72">
        <v>1</v>
      </c>
      <c r="X15" s="72">
        <v>2</v>
      </c>
      <c r="Y15" s="72"/>
      <c r="Z15" s="109">
        <v>20</v>
      </c>
      <c r="AA15" s="106">
        <v>9</v>
      </c>
      <c r="AB15" s="118">
        <f t="shared" si="0"/>
        <v>12.066666666666666</v>
      </c>
      <c r="AC15" s="72"/>
      <c r="AD15" s="72"/>
      <c r="AE15" s="72"/>
      <c r="AF15" s="72">
        <v>1</v>
      </c>
      <c r="AG15" s="72">
        <v>0.5</v>
      </c>
      <c r="AH15" s="72"/>
      <c r="AI15" s="72">
        <v>1</v>
      </c>
      <c r="AJ15" s="72">
        <v>1</v>
      </c>
      <c r="AK15" s="72">
        <v>0.5</v>
      </c>
      <c r="AL15" s="72">
        <v>1</v>
      </c>
      <c r="AM15" s="72">
        <f t="shared" si="1"/>
        <v>10</v>
      </c>
      <c r="AN15" s="72">
        <v>18</v>
      </c>
      <c r="AO15" s="139">
        <v>8.5</v>
      </c>
      <c r="AP15" s="143">
        <f t="shared" ref="AP15:AP61" si="2">+AO15*0.5+AN15*0.1+AM15*0.4</f>
        <v>10.050000000000001</v>
      </c>
      <c r="AQ15" s="72">
        <v>1</v>
      </c>
      <c r="AR15" s="72">
        <v>1</v>
      </c>
      <c r="AS15" s="72">
        <v>1</v>
      </c>
      <c r="AT15" s="72"/>
      <c r="AU15" s="72"/>
      <c r="AV15" s="72">
        <f t="shared" ref="AV15:AV61" si="3">SUM(AQ15:AU15)/5*20</f>
        <v>12</v>
      </c>
      <c r="AW15" s="198">
        <v>0.5</v>
      </c>
      <c r="AX15" s="199">
        <f t="shared" ref="AX15:AX61" si="4">+AW15*0.6+AV15*0.4</f>
        <v>5.1000000000000005</v>
      </c>
      <c r="AY15" s="211">
        <f t="shared" ref="AY15:AY60" si="5">AVERAGE(AX15,AP15,AB15)</f>
        <v>9.0722222222222229</v>
      </c>
      <c r="AZ15">
        <v>1.5</v>
      </c>
    </row>
    <row r="16" spans="1:52" ht="14.25" customHeight="1" thickTop="1" thickBot="1">
      <c r="A16" s="216">
        <v>3</v>
      </c>
      <c r="B16" s="216"/>
      <c r="C16" s="217"/>
      <c r="D16" s="217"/>
      <c r="E16" s="217"/>
      <c r="F16" s="217"/>
      <c r="G16" s="217"/>
      <c r="H16" s="179" t="s">
        <v>461</v>
      </c>
      <c r="I16" s="179"/>
      <c r="J16" s="179"/>
      <c r="K16" s="179"/>
      <c r="L16" s="179"/>
      <c r="M16" s="179"/>
      <c r="N16" s="179"/>
      <c r="O16" s="221"/>
      <c r="P16" s="222"/>
      <c r="Q16" s="223"/>
      <c r="R16" s="72"/>
      <c r="S16" s="72"/>
      <c r="T16" s="72"/>
      <c r="U16" s="72"/>
      <c r="V16" s="72"/>
      <c r="W16" s="72"/>
      <c r="X16" s="72"/>
      <c r="Y16" s="72"/>
      <c r="Z16" s="109">
        <v>6.6666666666666661</v>
      </c>
      <c r="AA16" s="106">
        <v>1.5</v>
      </c>
      <c r="AB16" s="118">
        <f t="shared" si="0"/>
        <v>1.5666666666666664</v>
      </c>
      <c r="AC16" s="72"/>
      <c r="AD16" s="72"/>
      <c r="AE16" s="72"/>
      <c r="AF16" s="72"/>
      <c r="AG16" s="72"/>
      <c r="AH16" s="72"/>
      <c r="AI16" s="72"/>
      <c r="AJ16" s="72"/>
      <c r="AK16" s="72"/>
      <c r="AL16" s="72"/>
      <c r="AM16" s="72">
        <f t="shared" si="1"/>
        <v>0</v>
      </c>
      <c r="AN16" s="72">
        <v>5</v>
      </c>
      <c r="AO16" s="139"/>
      <c r="AP16" s="143">
        <f t="shared" si="2"/>
        <v>0.5</v>
      </c>
      <c r="AQ16" s="72"/>
      <c r="AR16" s="72"/>
      <c r="AS16" s="72"/>
      <c r="AT16" s="72"/>
      <c r="AU16" s="72"/>
      <c r="AV16" s="72">
        <f t="shared" si="3"/>
        <v>0</v>
      </c>
      <c r="AW16" s="198"/>
      <c r="AX16" s="199">
        <f t="shared" si="4"/>
        <v>0</v>
      </c>
      <c r="AY16" s="211">
        <f t="shared" si="5"/>
        <v>0.68888888888888877</v>
      </c>
    </row>
    <row r="17" spans="1:52" ht="14.25" customHeight="1" thickTop="1" thickBot="1">
      <c r="A17" s="216">
        <v>3</v>
      </c>
      <c r="B17" s="216"/>
      <c r="C17" s="217" t="s">
        <v>157</v>
      </c>
      <c r="D17" s="217"/>
      <c r="E17" s="217"/>
      <c r="F17" s="217"/>
      <c r="G17" s="217"/>
      <c r="H17" s="179" t="s">
        <v>61</v>
      </c>
      <c r="I17" s="179"/>
      <c r="J17" s="179"/>
      <c r="K17" s="179"/>
      <c r="L17" s="179"/>
      <c r="M17" s="179"/>
      <c r="N17" s="179"/>
      <c r="O17" s="221" t="s">
        <v>459</v>
      </c>
      <c r="P17" s="222"/>
      <c r="Q17" s="223"/>
      <c r="R17" s="72"/>
      <c r="S17" s="72">
        <v>1</v>
      </c>
      <c r="T17" s="72">
        <v>1</v>
      </c>
      <c r="U17" s="72">
        <v>1</v>
      </c>
      <c r="V17" s="72">
        <v>1</v>
      </c>
      <c r="W17" s="72">
        <v>1</v>
      </c>
      <c r="X17" s="72">
        <v>2</v>
      </c>
      <c r="Y17" s="72">
        <v>1</v>
      </c>
      <c r="Z17" s="109">
        <v>20</v>
      </c>
      <c r="AA17" s="106">
        <v>9.5</v>
      </c>
      <c r="AB17" s="118">
        <f t="shared" si="0"/>
        <v>13.033333333333333</v>
      </c>
      <c r="AC17" s="72">
        <v>1</v>
      </c>
      <c r="AD17" s="72">
        <v>1</v>
      </c>
      <c r="AE17" s="72"/>
      <c r="AF17" s="72">
        <v>1</v>
      </c>
      <c r="AG17" s="72">
        <v>0.5</v>
      </c>
      <c r="AH17" s="72">
        <v>1</v>
      </c>
      <c r="AI17" s="72">
        <v>1</v>
      </c>
      <c r="AJ17" s="72">
        <v>1</v>
      </c>
      <c r="AK17" s="72">
        <v>1</v>
      </c>
      <c r="AL17" s="72">
        <v>1</v>
      </c>
      <c r="AM17" s="72">
        <f t="shared" si="1"/>
        <v>17</v>
      </c>
      <c r="AN17" s="72">
        <v>20</v>
      </c>
      <c r="AO17" s="139">
        <v>9.5</v>
      </c>
      <c r="AP17" s="143">
        <f t="shared" si="2"/>
        <v>13.55</v>
      </c>
      <c r="AQ17" s="72">
        <v>1</v>
      </c>
      <c r="AR17" s="72">
        <v>1</v>
      </c>
      <c r="AS17" s="72">
        <v>1</v>
      </c>
      <c r="AT17" s="72">
        <v>1</v>
      </c>
      <c r="AU17" s="72">
        <v>1</v>
      </c>
      <c r="AV17" s="72">
        <f t="shared" si="3"/>
        <v>20</v>
      </c>
      <c r="AW17" s="198">
        <v>5</v>
      </c>
      <c r="AX17" s="214">
        <f>+AW17*0.6+AV17*0.4+1</f>
        <v>12</v>
      </c>
      <c r="AY17" s="211">
        <f t="shared" si="5"/>
        <v>12.861111111111112</v>
      </c>
    </row>
    <row r="18" spans="1:52" ht="17" thickTop="1" thickBot="1">
      <c r="A18" s="218">
        <v>2</v>
      </c>
      <c r="B18" s="218"/>
      <c r="C18" s="244"/>
      <c r="D18" s="244"/>
      <c r="E18" s="244"/>
      <c r="F18" s="244"/>
      <c r="G18" s="244"/>
      <c r="H18" s="180" t="s">
        <v>47</v>
      </c>
      <c r="I18" s="180"/>
      <c r="J18" s="180"/>
      <c r="K18" s="180"/>
      <c r="L18" s="180"/>
      <c r="M18" s="180"/>
      <c r="N18" s="180"/>
      <c r="O18" s="226"/>
      <c r="P18" s="227"/>
      <c r="Q18" s="228"/>
      <c r="R18" s="72"/>
      <c r="S18" s="72">
        <v>1</v>
      </c>
      <c r="T18" s="72"/>
      <c r="U18" s="72">
        <v>1</v>
      </c>
      <c r="V18" s="72"/>
      <c r="W18" s="72"/>
      <c r="X18" s="72"/>
      <c r="Y18" s="72">
        <v>1</v>
      </c>
      <c r="Z18" s="109">
        <v>0</v>
      </c>
      <c r="AA18" s="106">
        <v>1</v>
      </c>
      <c r="AB18" s="118">
        <f t="shared" si="0"/>
        <v>2.5999999999999996</v>
      </c>
      <c r="AC18" s="72"/>
      <c r="AD18" s="72"/>
      <c r="AE18" s="72"/>
      <c r="AF18" s="72"/>
      <c r="AG18" s="72"/>
      <c r="AH18" s="72"/>
      <c r="AI18" s="72"/>
      <c r="AJ18" s="72"/>
      <c r="AK18" s="72"/>
      <c r="AL18" s="72"/>
      <c r="AM18" s="72">
        <f t="shared" si="1"/>
        <v>0</v>
      </c>
      <c r="AN18" s="72">
        <v>0</v>
      </c>
      <c r="AO18" s="139"/>
      <c r="AP18" s="143">
        <f t="shared" si="2"/>
        <v>0</v>
      </c>
      <c r="AQ18" s="72"/>
      <c r="AR18" s="72"/>
      <c r="AS18" s="72"/>
      <c r="AT18" s="72"/>
      <c r="AU18" s="72"/>
      <c r="AV18" s="72">
        <f t="shared" si="3"/>
        <v>0</v>
      </c>
      <c r="AW18" s="198"/>
      <c r="AX18" s="199">
        <f t="shared" si="4"/>
        <v>0</v>
      </c>
      <c r="AY18" s="211">
        <f t="shared" si="5"/>
        <v>0.86666666666666659</v>
      </c>
    </row>
    <row r="19" spans="1:52" ht="14.25" customHeight="1" thickTop="1" thickBot="1">
      <c r="A19" s="216">
        <v>4</v>
      </c>
      <c r="B19" s="216"/>
      <c r="C19" s="217" t="s">
        <v>158</v>
      </c>
      <c r="D19" s="217"/>
      <c r="E19" s="217"/>
      <c r="F19" s="217"/>
      <c r="G19" s="217"/>
      <c r="H19" s="179" t="s">
        <v>232</v>
      </c>
      <c r="I19" s="179"/>
      <c r="J19" s="179"/>
      <c r="K19" s="179"/>
      <c r="L19" s="179"/>
      <c r="M19" s="179"/>
      <c r="N19" s="179"/>
      <c r="O19" s="221" t="s">
        <v>239</v>
      </c>
      <c r="P19" s="222"/>
      <c r="Q19" s="223"/>
      <c r="R19" s="72"/>
      <c r="S19" s="72">
        <v>1</v>
      </c>
      <c r="T19" s="72">
        <v>1</v>
      </c>
      <c r="U19" s="72">
        <v>1</v>
      </c>
      <c r="V19" s="72">
        <v>1</v>
      </c>
      <c r="W19" s="72">
        <v>1</v>
      </c>
      <c r="X19" s="72">
        <v>2</v>
      </c>
      <c r="Y19" s="72">
        <v>1</v>
      </c>
      <c r="Z19" s="109">
        <v>20</v>
      </c>
      <c r="AA19" s="106">
        <v>10.5</v>
      </c>
      <c r="AB19" s="118">
        <f t="shared" si="0"/>
        <v>13.633333333333333</v>
      </c>
      <c r="AC19" s="72">
        <v>1</v>
      </c>
      <c r="AD19" s="72">
        <v>1</v>
      </c>
      <c r="AE19" s="72">
        <v>1</v>
      </c>
      <c r="AF19" s="72">
        <v>1</v>
      </c>
      <c r="AG19" s="72">
        <v>0.5</v>
      </c>
      <c r="AH19" s="72">
        <v>1</v>
      </c>
      <c r="AI19" s="72">
        <v>1</v>
      </c>
      <c r="AJ19" s="72">
        <v>1</v>
      </c>
      <c r="AK19" s="72">
        <v>1</v>
      </c>
      <c r="AL19" s="72">
        <v>1</v>
      </c>
      <c r="AM19" s="72">
        <f t="shared" si="1"/>
        <v>19</v>
      </c>
      <c r="AN19" s="72">
        <v>20</v>
      </c>
      <c r="AO19" s="139">
        <v>8</v>
      </c>
      <c r="AP19" s="143">
        <f t="shared" si="2"/>
        <v>13.600000000000001</v>
      </c>
      <c r="AQ19" s="72">
        <v>1</v>
      </c>
      <c r="AR19" s="72">
        <v>1</v>
      </c>
      <c r="AS19" s="72">
        <v>1</v>
      </c>
      <c r="AT19" s="72">
        <v>1</v>
      </c>
      <c r="AU19" s="72">
        <v>1</v>
      </c>
      <c r="AV19" s="72">
        <f t="shared" si="3"/>
        <v>20</v>
      </c>
      <c r="AW19" s="198">
        <v>7.5</v>
      </c>
      <c r="AX19" s="199">
        <f t="shared" si="4"/>
        <v>12.5</v>
      </c>
      <c r="AY19" s="211">
        <f t="shared" si="5"/>
        <v>13.244444444444445</v>
      </c>
    </row>
    <row r="20" spans="1:52" ht="15" customHeight="1" thickTop="1" thickBot="1">
      <c r="A20" s="216">
        <v>5</v>
      </c>
      <c r="B20" s="216"/>
      <c r="C20" s="217" t="s">
        <v>159</v>
      </c>
      <c r="D20" s="217"/>
      <c r="E20" s="217"/>
      <c r="F20" s="217"/>
      <c r="G20" s="217"/>
      <c r="H20" s="179" t="s">
        <v>233</v>
      </c>
      <c r="I20" s="179"/>
      <c r="J20" s="179"/>
      <c r="K20" s="179"/>
      <c r="L20" s="179"/>
      <c r="M20" s="179"/>
      <c r="N20" s="179"/>
      <c r="O20" s="221" t="s">
        <v>239</v>
      </c>
      <c r="P20" s="222"/>
      <c r="Q20" s="223"/>
      <c r="R20" s="72"/>
      <c r="S20" s="72">
        <v>1</v>
      </c>
      <c r="T20" s="72">
        <v>1</v>
      </c>
      <c r="U20" s="72">
        <v>1</v>
      </c>
      <c r="V20" s="72">
        <v>1</v>
      </c>
      <c r="W20" s="72">
        <v>1</v>
      </c>
      <c r="X20" s="72">
        <v>2</v>
      </c>
      <c r="Y20" s="72">
        <v>1</v>
      </c>
      <c r="Z20" s="109">
        <v>20</v>
      </c>
      <c r="AA20" s="106">
        <v>10</v>
      </c>
      <c r="AB20" s="118">
        <f t="shared" si="0"/>
        <v>13.333333333333332</v>
      </c>
      <c r="AC20" s="72">
        <v>1</v>
      </c>
      <c r="AD20" s="72">
        <v>1</v>
      </c>
      <c r="AE20" s="72">
        <v>1</v>
      </c>
      <c r="AF20" s="72">
        <v>1</v>
      </c>
      <c r="AG20" s="72">
        <v>0.5</v>
      </c>
      <c r="AH20" s="72">
        <v>1</v>
      </c>
      <c r="AI20" s="72">
        <v>1</v>
      </c>
      <c r="AJ20" s="72">
        <v>1</v>
      </c>
      <c r="AK20" s="72">
        <v>1</v>
      </c>
      <c r="AL20" s="72">
        <v>1</v>
      </c>
      <c r="AM20" s="72">
        <f t="shared" si="1"/>
        <v>19</v>
      </c>
      <c r="AN20" s="72">
        <v>20</v>
      </c>
      <c r="AO20" s="139">
        <v>14.5</v>
      </c>
      <c r="AP20" s="143">
        <f t="shared" si="2"/>
        <v>16.850000000000001</v>
      </c>
      <c r="AQ20" s="72">
        <v>1</v>
      </c>
      <c r="AR20" s="72">
        <v>1</v>
      </c>
      <c r="AS20" s="72">
        <v>1</v>
      </c>
      <c r="AT20" s="72">
        <v>1</v>
      </c>
      <c r="AU20" s="72">
        <v>0.5</v>
      </c>
      <c r="AV20" s="72">
        <f t="shared" si="3"/>
        <v>18</v>
      </c>
      <c r="AW20" s="198">
        <v>12</v>
      </c>
      <c r="AX20" s="199">
        <f t="shared" si="4"/>
        <v>14.399999999999999</v>
      </c>
      <c r="AY20" s="211">
        <f t="shared" si="5"/>
        <v>14.861111111111109</v>
      </c>
    </row>
    <row r="21" spans="1:52" ht="14.25" customHeight="1" thickTop="1" thickBot="1">
      <c r="A21" s="216">
        <v>6</v>
      </c>
      <c r="B21" s="216"/>
      <c r="C21" s="217" t="s">
        <v>455</v>
      </c>
      <c r="D21" s="217"/>
      <c r="E21" s="217"/>
      <c r="F21" s="217"/>
      <c r="G21" s="217"/>
      <c r="H21" s="179" t="s">
        <v>234</v>
      </c>
      <c r="I21" s="179"/>
      <c r="J21" s="179"/>
      <c r="K21" s="179"/>
      <c r="L21" s="179"/>
      <c r="M21" s="179"/>
      <c r="N21" s="179"/>
      <c r="O21" s="221" t="s">
        <v>505</v>
      </c>
      <c r="P21" s="222"/>
      <c r="Q21" s="223"/>
      <c r="R21" s="72"/>
      <c r="S21" s="72"/>
      <c r="T21" s="72">
        <v>1</v>
      </c>
      <c r="U21" s="72"/>
      <c r="V21" s="72"/>
      <c r="W21" s="72">
        <v>1</v>
      </c>
      <c r="X21" s="72">
        <v>1</v>
      </c>
      <c r="Y21" s="72">
        <v>1</v>
      </c>
      <c r="Z21" s="109">
        <v>13.333333333333332</v>
      </c>
      <c r="AA21" s="106">
        <v>2.5</v>
      </c>
      <c r="AB21" s="118">
        <f t="shared" si="0"/>
        <v>5.5</v>
      </c>
      <c r="AC21" s="72"/>
      <c r="AD21" s="72">
        <v>1</v>
      </c>
      <c r="AE21" s="72">
        <v>1</v>
      </c>
      <c r="AF21" s="72">
        <v>1</v>
      </c>
      <c r="AG21" s="72">
        <v>0.5</v>
      </c>
      <c r="AH21" s="72"/>
      <c r="AI21" s="72">
        <v>1</v>
      </c>
      <c r="AJ21" s="72">
        <v>1</v>
      </c>
      <c r="AK21" s="72">
        <v>1</v>
      </c>
      <c r="AL21" s="72"/>
      <c r="AM21" s="72">
        <f t="shared" si="1"/>
        <v>13</v>
      </c>
      <c r="AN21" s="72">
        <v>11</v>
      </c>
      <c r="AO21" s="139">
        <v>2</v>
      </c>
      <c r="AP21" s="143">
        <f t="shared" si="2"/>
        <v>7.3000000000000007</v>
      </c>
      <c r="AQ21" s="72">
        <v>1</v>
      </c>
      <c r="AR21" s="72"/>
      <c r="AS21" s="72">
        <v>1</v>
      </c>
      <c r="AT21" s="72">
        <v>1</v>
      </c>
      <c r="AU21" s="72">
        <v>1</v>
      </c>
      <c r="AV21" s="72">
        <f t="shared" si="3"/>
        <v>16</v>
      </c>
      <c r="AW21" s="198">
        <v>5</v>
      </c>
      <c r="AX21" s="199">
        <f t="shared" si="4"/>
        <v>9.4</v>
      </c>
      <c r="AY21" s="211">
        <f t="shared" si="5"/>
        <v>7.4000000000000012</v>
      </c>
      <c r="AZ21">
        <v>7.5</v>
      </c>
    </row>
    <row r="22" spans="1:52" ht="15" customHeight="1" thickTop="1" thickBot="1">
      <c r="A22" s="216">
        <v>7</v>
      </c>
      <c r="B22" s="216"/>
      <c r="C22" s="217" t="s">
        <v>456</v>
      </c>
      <c r="D22" s="217"/>
      <c r="E22" s="217"/>
      <c r="F22" s="217"/>
      <c r="G22" s="217"/>
      <c r="H22" s="179" t="s">
        <v>354</v>
      </c>
      <c r="I22" s="179"/>
      <c r="J22" s="179"/>
      <c r="K22" s="179"/>
      <c r="L22" s="179"/>
      <c r="M22" s="179"/>
      <c r="N22" s="179"/>
      <c r="O22" s="221" t="s">
        <v>239</v>
      </c>
      <c r="P22" s="222"/>
      <c r="Q22" s="223"/>
      <c r="R22" s="72"/>
      <c r="S22" s="72">
        <v>1</v>
      </c>
      <c r="T22" s="72">
        <v>1</v>
      </c>
      <c r="U22" s="72">
        <v>1</v>
      </c>
      <c r="V22" s="72">
        <v>1</v>
      </c>
      <c r="W22" s="72">
        <v>1</v>
      </c>
      <c r="X22" s="72">
        <v>2</v>
      </c>
      <c r="Y22" s="72">
        <v>1</v>
      </c>
      <c r="Z22" s="109">
        <v>20</v>
      </c>
      <c r="AA22" s="106">
        <v>13</v>
      </c>
      <c r="AB22" s="118">
        <f t="shared" si="0"/>
        <v>15.133333333333333</v>
      </c>
      <c r="AC22" s="72">
        <v>1</v>
      </c>
      <c r="AD22" s="72">
        <v>1</v>
      </c>
      <c r="AE22" s="72">
        <v>1</v>
      </c>
      <c r="AF22" s="72">
        <v>1</v>
      </c>
      <c r="AG22" s="72">
        <v>0.5</v>
      </c>
      <c r="AH22" s="72">
        <v>1</v>
      </c>
      <c r="AI22" s="72">
        <v>1</v>
      </c>
      <c r="AJ22" s="72">
        <v>1</v>
      </c>
      <c r="AK22" s="72">
        <v>1</v>
      </c>
      <c r="AL22" s="72">
        <v>1</v>
      </c>
      <c r="AM22" s="72">
        <f t="shared" si="1"/>
        <v>19</v>
      </c>
      <c r="AN22" s="72">
        <v>20</v>
      </c>
      <c r="AO22" s="139">
        <v>12</v>
      </c>
      <c r="AP22" s="143">
        <f t="shared" si="2"/>
        <v>15.600000000000001</v>
      </c>
      <c r="AQ22" s="72">
        <v>1</v>
      </c>
      <c r="AR22" s="72">
        <v>1</v>
      </c>
      <c r="AS22" s="72">
        <v>1</v>
      </c>
      <c r="AT22" s="72">
        <v>1</v>
      </c>
      <c r="AU22" s="72">
        <v>1</v>
      </c>
      <c r="AV22" s="72">
        <f t="shared" si="3"/>
        <v>20</v>
      </c>
      <c r="AW22" s="198">
        <v>14</v>
      </c>
      <c r="AX22" s="199">
        <f t="shared" si="4"/>
        <v>16.399999999999999</v>
      </c>
      <c r="AY22" s="211">
        <f t="shared" si="5"/>
        <v>15.71111111111111</v>
      </c>
    </row>
    <row r="23" spans="1:52" ht="14.25" customHeight="1" thickTop="1" thickBot="1">
      <c r="A23" s="216">
        <v>8</v>
      </c>
      <c r="B23" s="216"/>
      <c r="C23" s="217" t="s">
        <v>457</v>
      </c>
      <c r="D23" s="217"/>
      <c r="E23" s="217"/>
      <c r="F23" s="217"/>
      <c r="G23" s="217"/>
      <c r="H23" s="179" t="s">
        <v>355</v>
      </c>
      <c r="I23" s="179"/>
      <c r="J23" s="179"/>
      <c r="K23" s="179"/>
      <c r="L23" s="179"/>
      <c r="M23" s="179"/>
      <c r="N23" s="179"/>
      <c r="O23" s="221" t="s">
        <v>506</v>
      </c>
      <c r="P23" s="222"/>
      <c r="Q23" s="223"/>
      <c r="R23" s="72"/>
      <c r="S23" s="72"/>
      <c r="T23" s="72">
        <v>1</v>
      </c>
      <c r="U23" s="72"/>
      <c r="V23" s="72"/>
      <c r="W23" s="72"/>
      <c r="X23" s="72"/>
      <c r="Y23" s="72"/>
      <c r="Z23" s="109">
        <v>6.6666666666666661</v>
      </c>
      <c r="AA23" s="106"/>
      <c r="AB23" s="118">
        <f t="shared" si="0"/>
        <v>1.3333333333333333</v>
      </c>
      <c r="AC23" s="72"/>
      <c r="AD23" s="72"/>
      <c r="AE23" s="72"/>
      <c r="AF23" s="72"/>
      <c r="AG23" s="72"/>
      <c r="AH23" s="72"/>
      <c r="AI23" s="72"/>
      <c r="AJ23" s="72"/>
      <c r="AK23" s="72"/>
      <c r="AL23" s="72"/>
      <c r="AM23" s="72">
        <f t="shared" si="1"/>
        <v>0</v>
      </c>
      <c r="AN23" s="72">
        <v>3</v>
      </c>
      <c r="AO23" s="139"/>
      <c r="AP23" s="143">
        <f t="shared" si="2"/>
        <v>0.30000000000000004</v>
      </c>
      <c r="AQ23" s="72"/>
      <c r="AR23" s="72"/>
      <c r="AS23" s="72"/>
      <c r="AT23" s="72"/>
      <c r="AU23" s="72"/>
      <c r="AV23" s="72">
        <f t="shared" si="3"/>
        <v>0</v>
      </c>
      <c r="AW23" s="198"/>
      <c r="AX23" s="199">
        <f t="shared" si="4"/>
        <v>0</v>
      </c>
      <c r="AY23" s="211">
        <f t="shared" si="5"/>
        <v>0.5444444444444444</v>
      </c>
    </row>
    <row r="24" spans="1:52" ht="14.25" customHeight="1" thickTop="1" thickBot="1">
      <c r="A24" s="216">
        <v>9</v>
      </c>
      <c r="B24" s="216"/>
      <c r="C24" s="217" t="s">
        <v>404</v>
      </c>
      <c r="D24" s="217"/>
      <c r="E24" s="217"/>
      <c r="F24" s="217"/>
      <c r="G24" s="217"/>
      <c r="H24" s="179" t="s">
        <v>450</v>
      </c>
      <c r="I24" s="179"/>
      <c r="J24" s="179"/>
      <c r="K24" s="179"/>
      <c r="L24" s="179"/>
      <c r="M24" s="179"/>
      <c r="N24" s="179"/>
      <c r="O24" s="221" t="s">
        <v>435</v>
      </c>
      <c r="P24" s="222"/>
      <c r="Q24" s="223"/>
      <c r="R24" s="72"/>
      <c r="S24" s="72">
        <v>1</v>
      </c>
      <c r="T24" s="72">
        <v>1</v>
      </c>
      <c r="U24" s="72">
        <v>1</v>
      </c>
      <c r="V24" s="72">
        <v>1</v>
      </c>
      <c r="W24" s="72">
        <v>1</v>
      </c>
      <c r="X24" s="72">
        <v>2</v>
      </c>
      <c r="Y24" s="72">
        <v>1</v>
      </c>
      <c r="Z24" s="109">
        <v>20</v>
      </c>
      <c r="AA24" s="106">
        <v>7</v>
      </c>
      <c r="AB24" s="118">
        <f t="shared" si="0"/>
        <v>11.533333333333333</v>
      </c>
      <c r="AC24" s="72">
        <v>1</v>
      </c>
      <c r="AD24" s="72">
        <v>1</v>
      </c>
      <c r="AE24" s="72">
        <v>1</v>
      </c>
      <c r="AF24" s="72">
        <v>1</v>
      </c>
      <c r="AG24" s="72">
        <v>0.5</v>
      </c>
      <c r="AH24" s="72">
        <v>1</v>
      </c>
      <c r="AI24" s="72">
        <v>1</v>
      </c>
      <c r="AJ24" s="72">
        <v>1</v>
      </c>
      <c r="AK24" s="72">
        <v>1</v>
      </c>
      <c r="AL24" s="72">
        <v>1</v>
      </c>
      <c r="AM24" s="72">
        <f t="shared" si="1"/>
        <v>19</v>
      </c>
      <c r="AN24" s="72">
        <v>20</v>
      </c>
      <c r="AO24" s="139">
        <v>3.5</v>
      </c>
      <c r="AP24" s="143">
        <f t="shared" si="2"/>
        <v>11.350000000000001</v>
      </c>
      <c r="AQ24" s="72"/>
      <c r="AR24" s="72">
        <v>1</v>
      </c>
      <c r="AS24" s="72">
        <v>1</v>
      </c>
      <c r="AT24" s="72">
        <v>1</v>
      </c>
      <c r="AU24" s="72">
        <v>1</v>
      </c>
      <c r="AV24" s="72">
        <f t="shared" si="3"/>
        <v>16</v>
      </c>
      <c r="AW24" s="198">
        <v>2.5</v>
      </c>
      <c r="AX24" s="199">
        <f t="shared" si="4"/>
        <v>7.9</v>
      </c>
      <c r="AY24" s="211">
        <f t="shared" si="5"/>
        <v>10.261111111111111</v>
      </c>
    </row>
    <row r="25" spans="1:52" ht="15" customHeight="1" thickTop="1" thickBot="1">
      <c r="A25" s="216">
        <v>10</v>
      </c>
      <c r="B25" s="216"/>
      <c r="C25" s="217" t="s">
        <v>405</v>
      </c>
      <c r="D25" s="217"/>
      <c r="E25" s="217"/>
      <c r="F25" s="217"/>
      <c r="G25" s="217"/>
      <c r="H25" s="179" t="s">
        <v>451</v>
      </c>
      <c r="I25" s="179"/>
      <c r="J25" s="179"/>
      <c r="K25" s="179"/>
      <c r="L25" s="179"/>
      <c r="M25" s="179"/>
      <c r="N25" s="179"/>
      <c r="O25" s="221" t="s">
        <v>436</v>
      </c>
      <c r="P25" s="222"/>
      <c r="Q25" s="223"/>
      <c r="R25" s="72"/>
      <c r="S25" s="72"/>
      <c r="T25" s="72"/>
      <c r="U25" s="72">
        <v>1</v>
      </c>
      <c r="V25" s="72">
        <v>1</v>
      </c>
      <c r="W25" s="72"/>
      <c r="X25" s="72">
        <v>2</v>
      </c>
      <c r="Y25" s="72">
        <v>1</v>
      </c>
      <c r="Z25" s="109">
        <v>13.333333333333332</v>
      </c>
      <c r="AA25" s="106">
        <v>5.5</v>
      </c>
      <c r="AB25" s="118">
        <f t="shared" si="0"/>
        <v>7.9666666666666659</v>
      </c>
      <c r="AC25" s="72"/>
      <c r="AD25" s="72">
        <v>1</v>
      </c>
      <c r="AE25" s="72">
        <v>1</v>
      </c>
      <c r="AF25" s="72">
        <v>1</v>
      </c>
      <c r="AG25" s="72">
        <v>0.5</v>
      </c>
      <c r="AH25" s="72">
        <v>1</v>
      </c>
      <c r="AI25" s="72">
        <v>1</v>
      </c>
      <c r="AJ25" s="72">
        <v>1</v>
      </c>
      <c r="AK25" s="72">
        <v>1</v>
      </c>
      <c r="AL25" s="72">
        <v>1</v>
      </c>
      <c r="AM25" s="72">
        <f t="shared" si="1"/>
        <v>17</v>
      </c>
      <c r="AN25" s="72">
        <v>13</v>
      </c>
      <c r="AO25" s="139">
        <v>5</v>
      </c>
      <c r="AP25" s="143">
        <f t="shared" si="2"/>
        <v>10.600000000000001</v>
      </c>
      <c r="AQ25" s="72"/>
      <c r="AR25" s="72">
        <v>1</v>
      </c>
      <c r="AS25" s="72">
        <v>1</v>
      </c>
      <c r="AT25" s="72"/>
      <c r="AU25" s="72">
        <v>1</v>
      </c>
      <c r="AV25" s="72">
        <f t="shared" si="3"/>
        <v>12</v>
      </c>
      <c r="AW25" s="198">
        <v>4</v>
      </c>
      <c r="AX25" s="199">
        <f t="shared" si="4"/>
        <v>7.2000000000000011</v>
      </c>
      <c r="AY25" s="211">
        <f t="shared" si="5"/>
        <v>8.5888888888888903</v>
      </c>
      <c r="AZ25">
        <v>3.5</v>
      </c>
    </row>
    <row r="26" spans="1:52" ht="14.25" customHeight="1" thickTop="1" thickBot="1">
      <c r="A26" s="216">
        <v>11</v>
      </c>
      <c r="B26" s="216"/>
      <c r="C26" s="217" t="s">
        <v>406</v>
      </c>
      <c r="D26" s="217"/>
      <c r="E26" s="217"/>
      <c r="F26" s="217"/>
      <c r="G26" s="217"/>
      <c r="H26" s="179" t="s">
        <v>240</v>
      </c>
      <c r="I26" s="179"/>
      <c r="J26" s="179"/>
      <c r="K26" s="179"/>
      <c r="L26" s="179"/>
      <c r="M26" s="179"/>
      <c r="N26" s="179"/>
      <c r="O26" s="221" t="s">
        <v>239</v>
      </c>
      <c r="P26" s="222"/>
      <c r="Q26" s="223"/>
      <c r="R26" s="72"/>
      <c r="S26" s="72">
        <v>1</v>
      </c>
      <c r="T26" s="72">
        <v>1</v>
      </c>
      <c r="U26" s="72">
        <v>1</v>
      </c>
      <c r="V26" s="72">
        <v>1</v>
      </c>
      <c r="W26" s="72">
        <v>1</v>
      </c>
      <c r="X26" s="72">
        <v>2</v>
      </c>
      <c r="Y26" s="72">
        <v>1</v>
      </c>
      <c r="Z26" s="109">
        <v>20</v>
      </c>
      <c r="AA26" s="106">
        <v>8</v>
      </c>
      <c r="AB26" s="118">
        <f t="shared" si="0"/>
        <v>12.133333333333333</v>
      </c>
      <c r="AC26" s="72">
        <v>1</v>
      </c>
      <c r="AD26" s="72">
        <v>1</v>
      </c>
      <c r="AE26" s="72">
        <v>1</v>
      </c>
      <c r="AF26" s="72">
        <v>1</v>
      </c>
      <c r="AG26" s="72">
        <v>0.5</v>
      </c>
      <c r="AH26" s="72">
        <v>1</v>
      </c>
      <c r="AI26" s="72">
        <v>1</v>
      </c>
      <c r="AJ26" s="72">
        <v>1</v>
      </c>
      <c r="AK26" s="72"/>
      <c r="AL26" s="72">
        <v>1</v>
      </c>
      <c r="AM26" s="72">
        <f t="shared" si="1"/>
        <v>17</v>
      </c>
      <c r="AN26" s="72">
        <v>20</v>
      </c>
      <c r="AO26" s="139">
        <v>6</v>
      </c>
      <c r="AP26" s="143">
        <f t="shared" si="2"/>
        <v>11.8</v>
      </c>
      <c r="AQ26" s="72">
        <v>1</v>
      </c>
      <c r="AR26" s="72">
        <v>1</v>
      </c>
      <c r="AS26" s="72">
        <v>1</v>
      </c>
      <c r="AT26" s="72">
        <v>1</v>
      </c>
      <c r="AU26" s="72">
        <v>1</v>
      </c>
      <c r="AV26" s="72">
        <f t="shared" si="3"/>
        <v>20</v>
      </c>
      <c r="AW26" s="198">
        <v>12</v>
      </c>
      <c r="AX26" s="199">
        <f t="shared" si="4"/>
        <v>15.2</v>
      </c>
      <c r="AY26" s="211">
        <f t="shared" si="5"/>
        <v>13.044444444444444</v>
      </c>
    </row>
    <row r="27" spans="1:52" ht="14.25" customHeight="1" thickTop="1" thickBot="1">
      <c r="A27" s="216">
        <v>13</v>
      </c>
      <c r="B27" s="216"/>
      <c r="C27" s="217" t="s">
        <v>518</v>
      </c>
      <c r="D27" s="217"/>
      <c r="E27" s="217"/>
      <c r="F27" s="217"/>
      <c r="G27" s="217"/>
      <c r="H27" s="179" t="s">
        <v>315</v>
      </c>
      <c r="I27" s="179"/>
      <c r="J27" s="179"/>
      <c r="K27" s="179"/>
      <c r="L27" s="179"/>
      <c r="M27" s="179"/>
      <c r="N27" s="179"/>
      <c r="O27" s="221" t="s">
        <v>239</v>
      </c>
      <c r="P27" s="222"/>
      <c r="Q27" s="223"/>
      <c r="R27" s="72"/>
      <c r="S27" s="72">
        <v>1</v>
      </c>
      <c r="T27" s="72">
        <v>1</v>
      </c>
      <c r="U27" s="72"/>
      <c r="V27" s="72"/>
      <c r="W27" s="72"/>
      <c r="X27" s="72"/>
      <c r="Y27" s="72"/>
      <c r="Z27" s="109">
        <v>16.666666666666668</v>
      </c>
      <c r="AA27" s="106">
        <v>6.5</v>
      </c>
      <c r="AB27" s="118">
        <f t="shared" si="0"/>
        <v>6.8999999999999995</v>
      </c>
      <c r="AC27" s="72"/>
      <c r="AD27" s="72"/>
      <c r="AE27" s="72"/>
      <c r="AF27" s="72"/>
      <c r="AG27" s="72"/>
      <c r="AH27" s="72"/>
      <c r="AI27" s="72"/>
      <c r="AJ27" s="72">
        <v>1</v>
      </c>
      <c r="AK27" s="72"/>
      <c r="AL27" s="72"/>
      <c r="AM27" s="72">
        <f t="shared" si="1"/>
        <v>2</v>
      </c>
      <c r="AN27" s="72">
        <v>13</v>
      </c>
      <c r="AO27" s="139">
        <v>4</v>
      </c>
      <c r="AP27" s="143">
        <f t="shared" si="2"/>
        <v>4.0999999999999996</v>
      </c>
      <c r="AQ27" s="72"/>
      <c r="AR27" s="72"/>
      <c r="AS27" s="72"/>
      <c r="AT27" s="72"/>
      <c r="AU27" s="72"/>
      <c r="AV27" s="72">
        <f t="shared" si="3"/>
        <v>0</v>
      </c>
      <c r="AW27" s="198"/>
      <c r="AX27" s="199">
        <f t="shared" si="4"/>
        <v>0</v>
      </c>
      <c r="AY27" s="211">
        <f t="shared" si="5"/>
        <v>3.6666666666666665</v>
      </c>
    </row>
    <row r="28" spans="1:52" ht="14.25" customHeight="1" thickTop="1" thickBot="1">
      <c r="A28" s="216">
        <v>14</v>
      </c>
      <c r="B28" s="216"/>
      <c r="C28" s="217" t="s">
        <v>519</v>
      </c>
      <c r="D28" s="217"/>
      <c r="E28" s="217"/>
      <c r="F28" s="217"/>
      <c r="G28" s="217"/>
      <c r="H28" s="179" t="s">
        <v>413</v>
      </c>
      <c r="I28" s="179"/>
      <c r="J28" s="179"/>
      <c r="K28" s="179"/>
      <c r="L28" s="179"/>
      <c r="M28" s="179"/>
      <c r="N28" s="179"/>
      <c r="O28" s="221" t="s">
        <v>239</v>
      </c>
      <c r="P28" s="222"/>
      <c r="Q28" s="223"/>
      <c r="R28" s="72"/>
      <c r="S28" s="72">
        <v>1</v>
      </c>
      <c r="T28" s="72">
        <v>1</v>
      </c>
      <c r="U28" s="72">
        <v>1</v>
      </c>
      <c r="V28" s="72">
        <v>1</v>
      </c>
      <c r="W28" s="72">
        <v>1</v>
      </c>
      <c r="X28" s="72">
        <v>1</v>
      </c>
      <c r="Y28" s="72"/>
      <c r="Z28" s="109">
        <v>20</v>
      </c>
      <c r="AA28" s="106">
        <v>8.5</v>
      </c>
      <c r="AB28" s="118">
        <f t="shared" si="0"/>
        <v>11.1</v>
      </c>
      <c r="AC28" s="72"/>
      <c r="AD28" s="72">
        <v>1</v>
      </c>
      <c r="AE28" s="72">
        <v>1</v>
      </c>
      <c r="AF28" s="72"/>
      <c r="AG28" s="72">
        <v>0.5</v>
      </c>
      <c r="AH28" s="72"/>
      <c r="AI28" s="72">
        <v>1</v>
      </c>
      <c r="AJ28" s="72">
        <v>1</v>
      </c>
      <c r="AK28" s="72"/>
      <c r="AL28" s="72">
        <v>1</v>
      </c>
      <c r="AM28" s="72">
        <f t="shared" si="1"/>
        <v>11</v>
      </c>
      <c r="AN28" s="72">
        <v>20</v>
      </c>
      <c r="AO28" s="139">
        <v>3</v>
      </c>
      <c r="AP28" s="143">
        <f t="shared" si="2"/>
        <v>7.9</v>
      </c>
      <c r="AQ28" s="72">
        <v>1</v>
      </c>
      <c r="AR28" s="72">
        <v>1</v>
      </c>
      <c r="AS28" s="72">
        <v>1</v>
      </c>
      <c r="AT28" s="72">
        <v>1</v>
      </c>
      <c r="AU28" s="72"/>
      <c r="AV28" s="72">
        <f t="shared" si="3"/>
        <v>16</v>
      </c>
      <c r="AW28" s="198">
        <v>8.5</v>
      </c>
      <c r="AX28" s="199">
        <f t="shared" si="4"/>
        <v>11.5</v>
      </c>
      <c r="AY28" s="211">
        <f t="shared" si="5"/>
        <v>10.166666666666666</v>
      </c>
    </row>
    <row r="29" spans="1:52" ht="15" customHeight="1" thickTop="1" thickBot="1">
      <c r="A29" s="216">
        <v>15</v>
      </c>
      <c r="B29" s="216"/>
      <c r="C29" s="217" t="s">
        <v>520</v>
      </c>
      <c r="D29" s="217"/>
      <c r="E29" s="217"/>
      <c r="F29" s="217"/>
      <c r="G29" s="217"/>
      <c r="H29" s="179" t="s">
        <v>414</v>
      </c>
      <c r="I29" s="179"/>
      <c r="J29" s="179"/>
      <c r="K29" s="179"/>
      <c r="L29" s="179"/>
      <c r="M29" s="179"/>
      <c r="N29" s="179"/>
      <c r="O29" s="221" t="s">
        <v>239</v>
      </c>
      <c r="P29" s="222"/>
      <c r="Q29" s="223"/>
      <c r="R29" s="72"/>
      <c r="S29" s="72">
        <v>1</v>
      </c>
      <c r="T29" s="72">
        <v>1</v>
      </c>
      <c r="U29" s="72">
        <v>1</v>
      </c>
      <c r="V29" s="72">
        <v>1</v>
      </c>
      <c r="W29" s="72">
        <v>1</v>
      </c>
      <c r="X29" s="72">
        <v>2</v>
      </c>
      <c r="Y29" s="72"/>
      <c r="Z29" s="109">
        <v>20</v>
      </c>
      <c r="AA29" s="106">
        <v>10.5</v>
      </c>
      <c r="AB29" s="118">
        <f t="shared" si="0"/>
        <v>12.966666666666667</v>
      </c>
      <c r="AC29" s="72">
        <v>1</v>
      </c>
      <c r="AD29" s="72">
        <v>1</v>
      </c>
      <c r="AE29" s="72">
        <v>1</v>
      </c>
      <c r="AF29" s="72">
        <v>1</v>
      </c>
      <c r="AG29" s="72"/>
      <c r="AH29" s="72">
        <v>1</v>
      </c>
      <c r="AI29" s="72">
        <v>1</v>
      </c>
      <c r="AJ29" s="72"/>
      <c r="AK29" s="72">
        <v>0.5</v>
      </c>
      <c r="AL29" s="72">
        <v>1</v>
      </c>
      <c r="AM29" s="72">
        <f t="shared" si="1"/>
        <v>15</v>
      </c>
      <c r="AN29" s="72">
        <v>20</v>
      </c>
      <c r="AO29" s="139">
        <v>3</v>
      </c>
      <c r="AP29" s="143">
        <f t="shared" si="2"/>
        <v>9.5</v>
      </c>
      <c r="AQ29" s="72">
        <v>1</v>
      </c>
      <c r="AR29" s="72">
        <v>1</v>
      </c>
      <c r="AS29" s="72">
        <v>1</v>
      </c>
      <c r="AT29" s="72">
        <v>1</v>
      </c>
      <c r="AU29" s="72"/>
      <c r="AV29" s="72">
        <f t="shared" si="3"/>
        <v>16</v>
      </c>
      <c r="AW29" s="198">
        <v>11</v>
      </c>
      <c r="AX29" s="199">
        <f t="shared" si="4"/>
        <v>13</v>
      </c>
      <c r="AY29" s="211">
        <f t="shared" si="5"/>
        <v>11.822222222222223</v>
      </c>
    </row>
    <row r="30" spans="1:52" ht="14.25" customHeight="1" thickTop="1" thickBot="1">
      <c r="A30" s="216">
        <v>16</v>
      </c>
      <c r="B30" s="216"/>
      <c r="C30" s="217" t="s">
        <v>521</v>
      </c>
      <c r="D30" s="217"/>
      <c r="E30" s="217"/>
      <c r="F30" s="217"/>
      <c r="G30" s="217"/>
      <c r="H30" s="179" t="s">
        <v>517</v>
      </c>
      <c r="I30" s="179"/>
      <c r="J30" s="179"/>
      <c r="K30" s="179"/>
      <c r="L30" s="179"/>
      <c r="M30" s="179"/>
      <c r="N30" s="179"/>
      <c r="O30" s="221" t="s">
        <v>239</v>
      </c>
      <c r="P30" s="222"/>
      <c r="Q30" s="223"/>
      <c r="R30" s="72"/>
      <c r="S30" s="72">
        <v>1</v>
      </c>
      <c r="T30" s="72">
        <v>1</v>
      </c>
      <c r="U30" s="72">
        <v>1</v>
      </c>
      <c r="V30" s="72">
        <v>1</v>
      </c>
      <c r="W30" s="72">
        <v>1</v>
      </c>
      <c r="X30" s="72">
        <v>2</v>
      </c>
      <c r="Y30" s="72">
        <v>1</v>
      </c>
      <c r="Z30" s="109">
        <v>20</v>
      </c>
      <c r="AA30" s="106">
        <v>11</v>
      </c>
      <c r="AB30" s="118">
        <f t="shared" si="0"/>
        <v>13.933333333333334</v>
      </c>
      <c r="AC30" s="72">
        <v>1</v>
      </c>
      <c r="AD30" s="72">
        <v>1</v>
      </c>
      <c r="AE30" s="72">
        <v>1</v>
      </c>
      <c r="AF30" s="72">
        <v>1</v>
      </c>
      <c r="AG30" s="72">
        <v>0.5</v>
      </c>
      <c r="AH30" s="72">
        <v>1</v>
      </c>
      <c r="AI30" s="72">
        <v>1</v>
      </c>
      <c r="AJ30" s="72">
        <v>1</v>
      </c>
      <c r="AK30" s="72">
        <v>1</v>
      </c>
      <c r="AL30" s="72">
        <v>1</v>
      </c>
      <c r="AM30" s="72">
        <f t="shared" si="1"/>
        <v>19</v>
      </c>
      <c r="AN30" s="72">
        <v>20</v>
      </c>
      <c r="AO30" s="139">
        <v>10.5</v>
      </c>
      <c r="AP30" s="143">
        <f t="shared" si="2"/>
        <v>14.850000000000001</v>
      </c>
      <c r="AQ30" s="72">
        <v>1</v>
      </c>
      <c r="AR30" s="72">
        <v>1</v>
      </c>
      <c r="AS30" s="72">
        <v>1</v>
      </c>
      <c r="AT30" s="72">
        <v>1</v>
      </c>
      <c r="AU30" s="72">
        <v>0.5</v>
      </c>
      <c r="AV30" s="72">
        <f t="shared" si="3"/>
        <v>18</v>
      </c>
      <c r="AW30" s="198">
        <v>12.5</v>
      </c>
      <c r="AX30" s="199">
        <f t="shared" si="4"/>
        <v>14.7</v>
      </c>
      <c r="AY30" s="211">
        <f t="shared" si="5"/>
        <v>14.494444444444445</v>
      </c>
    </row>
    <row r="31" spans="1:52" ht="15" customHeight="1" thickTop="1" thickBot="1">
      <c r="A31" s="216">
        <v>17</v>
      </c>
      <c r="B31" s="216"/>
      <c r="C31" s="217" t="s">
        <v>522</v>
      </c>
      <c r="D31" s="217"/>
      <c r="E31" s="217"/>
      <c r="F31" s="217"/>
      <c r="G31" s="217"/>
      <c r="H31" s="179" t="s">
        <v>191</v>
      </c>
      <c r="I31" s="179"/>
      <c r="J31" s="179"/>
      <c r="K31" s="179"/>
      <c r="L31" s="179"/>
      <c r="M31" s="179"/>
      <c r="N31" s="179"/>
      <c r="O31" s="221" t="s">
        <v>239</v>
      </c>
      <c r="P31" s="222"/>
      <c r="Q31" s="223"/>
      <c r="R31" s="72">
        <v>1</v>
      </c>
      <c r="S31" s="72">
        <v>1</v>
      </c>
      <c r="T31" s="72">
        <v>1</v>
      </c>
      <c r="U31" s="72">
        <v>1</v>
      </c>
      <c r="V31" s="72">
        <v>1</v>
      </c>
      <c r="W31" s="72">
        <v>1</v>
      </c>
      <c r="X31" s="72">
        <v>2</v>
      </c>
      <c r="Y31" s="72"/>
      <c r="Z31" s="109">
        <v>20</v>
      </c>
      <c r="AA31" s="106">
        <v>3</v>
      </c>
      <c r="AB31" s="118">
        <f t="shared" si="0"/>
        <v>9.1333333333333329</v>
      </c>
      <c r="AC31" s="72"/>
      <c r="AD31" s="72">
        <v>1</v>
      </c>
      <c r="AE31" s="72">
        <v>1</v>
      </c>
      <c r="AF31" s="72"/>
      <c r="AG31" s="72"/>
      <c r="AH31" s="72">
        <v>1</v>
      </c>
      <c r="AI31" s="72">
        <v>1</v>
      </c>
      <c r="AJ31" s="72">
        <v>1</v>
      </c>
      <c r="AK31" s="72">
        <v>1</v>
      </c>
      <c r="AL31" s="72">
        <v>1</v>
      </c>
      <c r="AM31" s="72">
        <f t="shared" si="1"/>
        <v>14</v>
      </c>
      <c r="AN31" s="72">
        <v>18</v>
      </c>
      <c r="AO31" s="139">
        <v>4.5</v>
      </c>
      <c r="AP31" s="143">
        <f t="shared" si="2"/>
        <v>9.65</v>
      </c>
      <c r="AQ31" s="72">
        <v>1</v>
      </c>
      <c r="AR31" s="72">
        <v>1</v>
      </c>
      <c r="AS31" s="72">
        <v>1</v>
      </c>
      <c r="AT31" s="72">
        <v>1</v>
      </c>
      <c r="AU31" s="72">
        <v>0.5</v>
      </c>
      <c r="AV31" s="72">
        <f t="shared" si="3"/>
        <v>18</v>
      </c>
      <c r="AW31" s="198">
        <v>3.5</v>
      </c>
      <c r="AX31" s="199">
        <f t="shared" si="4"/>
        <v>9.3000000000000007</v>
      </c>
      <c r="AY31" s="211">
        <f t="shared" si="5"/>
        <v>9.3611111111111125</v>
      </c>
      <c r="AZ31">
        <v>5.5</v>
      </c>
    </row>
    <row r="32" spans="1:52" ht="14.25" customHeight="1" thickTop="1" thickBot="1">
      <c r="A32" s="216">
        <v>18</v>
      </c>
      <c r="B32" s="216"/>
      <c r="C32" s="217" t="s">
        <v>523</v>
      </c>
      <c r="D32" s="217"/>
      <c r="E32" s="217"/>
      <c r="F32" s="217"/>
      <c r="G32" s="217"/>
      <c r="H32" s="179" t="s">
        <v>192</v>
      </c>
      <c r="I32" s="179"/>
      <c r="J32" s="179"/>
      <c r="K32" s="179"/>
      <c r="L32" s="179"/>
      <c r="M32" s="179"/>
      <c r="N32" s="179"/>
      <c r="O32" s="221" t="s">
        <v>239</v>
      </c>
      <c r="P32" s="222"/>
      <c r="Q32" s="223"/>
      <c r="R32" s="72"/>
      <c r="S32" s="72">
        <v>1</v>
      </c>
      <c r="T32" s="72">
        <v>1</v>
      </c>
      <c r="U32" s="72">
        <v>1</v>
      </c>
      <c r="V32" s="72">
        <v>1</v>
      </c>
      <c r="W32" s="72">
        <v>1</v>
      </c>
      <c r="X32" s="72">
        <v>2</v>
      </c>
      <c r="Y32" s="72">
        <v>1</v>
      </c>
      <c r="Z32" s="109">
        <v>20</v>
      </c>
      <c r="AA32" s="106">
        <v>9.5</v>
      </c>
      <c r="AB32" s="118">
        <f t="shared" si="0"/>
        <v>13.033333333333333</v>
      </c>
      <c r="AC32" s="72">
        <v>1</v>
      </c>
      <c r="AD32" s="72">
        <v>1</v>
      </c>
      <c r="AE32" s="72">
        <v>1</v>
      </c>
      <c r="AF32" s="72">
        <v>1</v>
      </c>
      <c r="AG32" s="72">
        <v>0.5</v>
      </c>
      <c r="AH32" s="72">
        <v>1</v>
      </c>
      <c r="AI32" s="72">
        <v>1</v>
      </c>
      <c r="AJ32" s="72">
        <v>1</v>
      </c>
      <c r="AK32" s="72">
        <v>1</v>
      </c>
      <c r="AL32" s="72">
        <v>1</v>
      </c>
      <c r="AM32" s="72">
        <f t="shared" si="1"/>
        <v>19</v>
      </c>
      <c r="AN32" s="72">
        <v>20</v>
      </c>
      <c r="AO32" s="139">
        <v>14</v>
      </c>
      <c r="AP32" s="143">
        <f t="shared" si="2"/>
        <v>16.600000000000001</v>
      </c>
      <c r="AQ32" s="72">
        <v>1</v>
      </c>
      <c r="AR32" s="72">
        <v>1</v>
      </c>
      <c r="AS32" s="72">
        <v>1</v>
      </c>
      <c r="AT32" s="72">
        <v>1</v>
      </c>
      <c r="AU32" s="72">
        <v>1</v>
      </c>
      <c r="AV32" s="72">
        <f t="shared" si="3"/>
        <v>20</v>
      </c>
      <c r="AW32" s="198">
        <v>4</v>
      </c>
      <c r="AX32" s="199">
        <f t="shared" si="4"/>
        <v>10.4</v>
      </c>
      <c r="AY32" s="211">
        <f t="shared" si="5"/>
        <v>13.344444444444443</v>
      </c>
    </row>
    <row r="33" spans="1:52" ht="14.25" customHeight="1" thickTop="1" thickBot="1">
      <c r="A33" s="216">
        <v>19</v>
      </c>
      <c r="B33" s="216"/>
      <c r="C33" s="217" t="s">
        <v>524</v>
      </c>
      <c r="D33" s="217"/>
      <c r="E33" s="217"/>
      <c r="F33" s="217"/>
      <c r="G33" s="217"/>
      <c r="H33" s="179" t="s">
        <v>193</v>
      </c>
      <c r="I33" s="179"/>
      <c r="J33" s="179"/>
      <c r="K33" s="179"/>
      <c r="L33" s="179"/>
      <c r="M33" s="179"/>
      <c r="N33" s="179"/>
      <c r="O33" s="221" t="s">
        <v>437</v>
      </c>
      <c r="P33" s="222"/>
      <c r="Q33" s="223"/>
      <c r="R33" s="72"/>
      <c r="S33" s="72">
        <v>1</v>
      </c>
      <c r="T33" s="72">
        <v>1</v>
      </c>
      <c r="U33" s="72">
        <v>1</v>
      </c>
      <c r="V33" s="72">
        <v>1</v>
      </c>
      <c r="W33" s="72">
        <v>1</v>
      </c>
      <c r="X33" s="72">
        <v>2</v>
      </c>
      <c r="Y33" s="72">
        <v>0.5</v>
      </c>
      <c r="Z33" s="109">
        <v>20</v>
      </c>
      <c r="AA33" s="106">
        <v>13.5</v>
      </c>
      <c r="AB33" s="118">
        <f t="shared" si="0"/>
        <v>15.1</v>
      </c>
      <c r="AC33" s="72">
        <v>1</v>
      </c>
      <c r="AD33" s="72">
        <v>1</v>
      </c>
      <c r="AE33" s="72">
        <v>1</v>
      </c>
      <c r="AF33" s="72">
        <v>1</v>
      </c>
      <c r="AG33" s="72">
        <v>0.5</v>
      </c>
      <c r="AH33" s="72"/>
      <c r="AI33" s="72">
        <v>1</v>
      </c>
      <c r="AJ33" s="72">
        <v>1</v>
      </c>
      <c r="AK33" s="72"/>
      <c r="AL33" s="72"/>
      <c r="AM33" s="72">
        <f t="shared" si="1"/>
        <v>13</v>
      </c>
      <c r="AN33" s="72">
        <v>20</v>
      </c>
      <c r="AO33" s="139">
        <v>17.5</v>
      </c>
      <c r="AP33" s="143">
        <f t="shared" si="2"/>
        <v>15.95</v>
      </c>
      <c r="AQ33" s="72">
        <v>1</v>
      </c>
      <c r="AR33" s="72"/>
      <c r="AS33" s="72">
        <v>1</v>
      </c>
      <c r="AT33" s="72"/>
      <c r="AU33" s="72">
        <v>1</v>
      </c>
      <c r="AV33" s="72">
        <f t="shared" si="3"/>
        <v>12</v>
      </c>
      <c r="AW33" s="198">
        <v>9</v>
      </c>
      <c r="AX33" s="199">
        <f t="shared" si="4"/>
        <v>10.199999999999999</v>
      </c>
      <c r="AY33" s="211">
        <f t="shared" si="5"/>
        <v>13.75</v>
      </c>
    </row>
    <row r="34" spans="1:52" ht="15" customHeight="1" thickTop="1" thickBot="1">
      <c r="A34" s="216">
        <v>20</v>
      </c>
      <c r="B34" s="216"/>
      <c r="C34" s="217" t="s">
        <v>525</v>
      </c>
      <c r="D34" s="217"/>
      <c r="E34" s="217"/>
      <c r="F34" s="217"/>
      <c r="G34" s="217"/>
      <c r="H34" s="179" t="s">
        <v>194</v>
      </c>
      <c r="I34" s="179"/>
      <c r="J34" s="179"/>
      <c r="K34" s="179"/>
      <c r="L34" s="179"/>
      <c r="M34" s="179"/>
      <c r="N34" s="179"/>
      <c r="O34" s="221" t="s">
        <v>239</v>
      </c>
      <c r="P34" s="222"/>
      <c r="Q34" s="223"/>
      <c r="R34" s="72"/>
      <c r="S34" s="72">
        <v>1</v>
      </c>
      <c r="T34" s="72">
        <v>1</v>
      </c>
      <c r="U34" s="72">
        <v>1</v>
      </c>
      <c r="V34" s="72">
        <v>1</v>
      </c>
      <c r="W34" s="72">
        <v>1</v>
      </c>
      <c r="X34" s="72">
        <v>2</v>
      </c>
      <c r="Y34" s="72">
        <v>1</v>
      </c>
      <c r="Z34" s="109">
        <v>20</v>
      </c>
      <c r="AA34" s="106">
        <v>7.5</v>
      </c>
      <c r="AB34" s="118">
        <f t="shared" si="0"/>
        <v>11.833333333333332</v>
      </c>
      <c r="AC34" s="72"/>
      <c r="AD34" s="72">
        <v>1</v>
      </c>
      <c r="AE34" s="72">
        <v>1</v>
      </c>
      <c r="AF34" s="72">
        <v>1</v>
      </c>
      <c r="AG34" s="72">
        <v>0.5</v>
      </c>
      <c r="AH34" s="72"/>
      <c r="AI34" s="72">
        <v>1</v>
      </c>
      <c r="AJ34" s="72">
        <v>1</v>
      </c>
      <c r="AK34" s="72">
        <v>1</v>
      </c>
      <c r="AL34" s="72">
        <v>1</v>
      </c>
      <c r="AM34" s="72">
        <f t="shared" si="1"/>
        <v>15</v>
      </c>
      <c r="AN34" s="72">
        <v>20</v>
      </c>
      <c r="AO34" s="139">
        <v>8.5</v>
      </c>
      <c r="AP34" s="143">
        <f t="shared" si="2"/>
        <v>12.25</v>
      </c>
      <c r="AQ34" s="72">
        <v>1</v>
      </c>
      <c r="AR34" s="72"/>
      <c r="AS34" s="72">
        <v>1</v>
      </c>
      <c r="AT34" s="72">
        <v>1</v>
      </c>
      <c r="AU34" s="72">
        <v>1</v>
      </c>
      <c r="AV34" s="72">
        <f t="shared" si="3"/>
        <v>16</v>
      </c>
      <c r="AW34" s="198">
        <v>15</v>
      </c>
      <c r="AX34" s="199">
        <f t="shared" si="4"/>
        <v>15.4</v>
      </c>
      <c r="AY34" s="211">
        <f t="shared" si="5"/>
        <v>13.161111111111111</v>
      </c>
    </row>
    <row r="35" spans="1:52" ht="14.25" customHeight="1" thickTop="1" thickBot="1">
      <c r="A35" s="216">
        <v>21</v>
      </c>
      <c r="B35" s="216"/>
      <c r="C35" s="217" t="s">
        <v>526</v>
      </c>
      <c r="D35" s="217"/>
      <c r="E35" s="217"/>
      <c r="F35" s="217"/>
      <c r="G35" s="217"/>
      <c r="H35" s="179" t="s">
        <v>195</v>
      </c>
      <c r="I35" s="179"/>
      <c r="J35" s="179"/>
      <c r="K35" s="179"/>
      <c r="L35" s="179"/>
      <c r="M35" s="179"/>
      <c r="N35" s="179"/>
      <c r="O35" s="221" t="s">
        <v>459</v>
      </c>
      <c r="P35" s="222"/>
      <c r="Q35" s="223"/>
      <c r="R35" s="72"/>
      <c r="S35" s="72">
        <v>1</v>
      </c>
      <c r="T35" s="72">
        <v>1</v>
      </c>
      <c r="U35" s="72">
        <v>1</v>
      </c>
      <c r="V35" s="72">
        <v>1</v>
      </c>
      <c r="W35" s="72">
        <v>1</v>
      </c>
      <c r="X35" s="72">
        <v>2</v>
      </c>
      <c r="Y35" s="72">
        <v>1</v>
      </c>
      <c r="Z35" s="109">
        <v>20</v>
      </c>
      <c r="AA35" s="106">
        <v>8.5</v>
      </c>
      <c r="AB35" s="123">
        <f>+AA35*0.6+Z35*0.1+SUM(R35:Y35)/9*20*0.3 + 1</f>
        <v>13.433333333333334</v>
      </c>
      <c r="AC35" s="72">
        <v>1</v>
      </c>
      <c r="AD35" s="72">
        <v>1</v>
      </c>
      <c r="AE35" s="72">
        <v>1</v>
      </c>
      <c r="AF35" s="72">
        <v>1</v>
      </c>
      <c r="AG35" s="72">
        <v>0.5</v>
      </c>
      <c r="AH35" s="72">
        <v>1</v>
      </c>
      <c r="AI35" s="72">
        <v>1</v>
      </c>
      <c r="AJ35" s="72">
        <v>1</v>
      </c>
      <c r="AK35" s="72">
        <v>1</v>
      </c>
      <c r="AL35" s="72">
        <v>1</v>
      </c>
      <c r="AM35" s="72">
        <f t="shared" si="1"/>
        <v>19</v>
      </c>
      <c r="AN35" s="72">
        <v>20</v>
      </c>
      <c r="AO35" s="139">
        <v>9</v>
      </c>
      <c r="AP35" s="123">
        <f>+AO35*0.5+AN35*0.1+AM35*0.4+1</f>
        <v>15.100000000000001</v>
      </c>
      <c r="AQ35" s="72">
        <v>1</v>
      </c>
      <c r="AR35" s="72">
        <v>1</v>
      </c>
      <c r="AS35" s="72">
        <v>1</v>
      </c>
      <c r="AT35" s="72">
        <v>1</v>
      </c>
      <c r="AU35" s="72">
        <v>1</v>
      </c>
      <c r="AV35" s="72">
        <f t="shared" si="3"/>
        <v>20</v>
      </c>
      <c r="AW35" s="198">
        <v>7</v>
      </c>
      <c r="AX35" s="199">
        <f t="shared" si="4"/>
        <v>12.2</v>
      </c>
      <c r="AY35" s="211">
        <f t="shared" si="5"/>
        <v>13.577777777777778</v>
      </c>
    </row>
    <row r="36" spans="1:52" ht="14.25" customHeight="1" thickTop="1" thickBot="1">
      <c r="A36" s="216">
        <v>23</v>
      </c>
      <c r="B36" s="216"/>
      <c r="C36" s="217" t="s">
        <v>528</v>
      </c>
      <c r="D36" s="217"/>
      <c r="E36" s="217"/>
      <c r="F36" s="217"/>
      <c r="G36" s="217"/>
      <c r="H36" s="179" t="s">
        <v>197</v>
      </c>
      <c r="I36" s="179"/>
      <c r="J36" s="179"/>
      <c r="K36" s="179"/>
      <c r="L36" s="179"/>
      <c r="M36" s="179"/>
      <c r="N36" s="179"/>
      <c r="O36" s="221" t="s">
        <v>439</v>
      </c>
      <c r="P36" s="222"/>
      <c r="Q36" s="223"/>
      <c r="R36" s="72"/>
      <c r="S36" s="72">
        <v>1</v>
      </c>
      <c r="T36" s="72">
        <v>1</v>
      </c>
      <c r="U36" s="72">
        <v>1</v>
      </c>
      <c r="V36" s="72">
        <v>1</v>
      </c>
      <c r="W36" s="72"/>
      <c r="X36" s="72"/>
      <c r="Y36" s="72"/>
      <c r="Z36" s="109">
        <v>13.333333333333332</v>
      </c>
      <c r="AA36" s="106">
        <v>4.5</v>
      </c>
      <c r="AB36" s="118">
        <f>+AA36*0.6+Z36*0.1+SUM(R36:Y36)/9*20*0.3</f>
        <v>6.6999999999999993</v>
      </c>
      <c r="AC36" s="72"/>
      <c r="AD36" s="72">
        <v>1</v>
      </c>
      <c r="AE36" s="72">
        <v>1</v>
      </c>
      <c r="AF36" s="72">
        <v>1</v>
      </c>
      <c r="AG36" s="72">
        <v>0.5</v>
      </c>
      <c r="AH36" s="72"/>
      <c r="AI36" s="72"/>
      <c r="AJ36" s="72">
        <v>1</v>
      </c>
      <c r="AK36" s="72"/>
      <c r="AL36" s="72">
        <v>1</v>
      </c>
      <c r="AM36" s="72">
        <f t="shared" si="1"/>
        <v>11</v>
      </c>
      <c r="AN36" s="72">
        <v>10</v>
      </c>
      <c r="AO36" s="139">
        <v>10</v>
      </c>
      <c r="AP36" s="123">
        <f>+AO36*0.5+AN36*0.1+AM36*0.4+1</f>
        <v>11.4</v>
      </c>
      <c r="AQ36" s="72"/>
      <c r="AR36" s="72">
        <v>1</v>
      </c>
      <c r="AS36" s="72">
        <v>1</v>
      </c>
      <c r="AT36" s="72"/>
      <c r="AU36" s="72"/>
      <c r="AV36" s="72">
        <f t="shared" si="3"/>
        <v>8</v>
      </c>
      <c r="AW36" s="198">
        <v>2</v>
      </c>
      <c r="AX36" s="199">
        <f t="shared" si="4"/>
        <v>4.4000000000000004</v>
      </c>
      <c r="AY36" s="211">
        <f t="shared" si="5"/>
        <v>7.5</v>
      </c>
    </row>
    <row r="37" spans="1:52" ht="14.25" customHeight="1" thickTop="1" thickBot="1">
      <c r="A37" s="216">
        <v>24</v>
      </c>
      <c r="B37" s="216"/>
      <c r="C37" s="217" t="s">
        <v>529</v>
      </c>
      <c r="D37" s="217"/>
      <c r="E37" s="217"/>
      <c r="F37" s="217"/>
      <c r="G37" s="217"/>
      <c r="H37" s="179" t="s">
        <v>144</v>
      </c>
      <c r="I37" s="179"/>
      <c r="J37" s="179"/>
      <c r="K37" s="179"/>
      <c r="L37" s="179"/>
      <c r="M37" s="179"/>
      <c r="N37" s="179"/>
      <c r="O37" s="221" t="s">
        <v>505</v>
      </c>
      <c r="P37" s="222"/>
      <c r="Q37" s="223"/>
      <c r="R37" s="72"/>
      <c r="S37" s="72">
        <v>1</v>
      </c>
      <c r="T37" s="72">
        <v>1</v>
      </c>
      <c r="U37" s="72">
        <v>1</v>
      </c>
      <c r="V37" s="72">
        <v>1</v>
      </c>
      <c r="W37" s="72">
        <v>1</v>
      </c>
      <c r="X37" s="72">
        <v>2</v>
      </c>
      <c r="Y37" s="72">
        <v>1</v>
      </c>
      <c r="Z37" s="109">
        <v>20</v>
      </c>
      <c r="AA37" s="106">
        <v>4.5</v>
      </c>
      <c r="AB37" s="118">
        <f>+AA37*0.6+Z37*0.1+SUM(R37:Y37)/9*20*0.3</f>
        <v>10.033333333333331</v>
      </c>
      <c r="AC37" s="72"/>
      <c r="AD37" s="72">
        <v>1</v>
      </c>
      <c r="AE37" s="72">
        <v>1</v>
      </c>
      <c r="AF37" s="72"/>
      <c r="AG37" s="72">
        <v>1</v>
      </c>
      <c r="AH37" s="72">
        <v>1</v>
      </c>
      <c r="AI37" s="72">
        <v>1</v>
      </c>
      <c r="AJ37" s="72">
        <v>1</v>
      </c>
      <c r="AK37" s="72"/>
      <c r="AL37" s="72">
        <v>1</v>
      </c>
      <c r="AM37" s="72">
        <f t="shared" si="1"/>
        <v>14</v>
      </c>
      <c r="AN37" s="72">
        <v>18</v>
      </c>
      <c r="AO37" s="139">
        <v>3</v>
      </c>
      <c r="AP37" s="143">
        <f t="shared" si="2"/>
        <v>8.9</v>
      </c>
      <c r="AQ37" s="72">
        <v>1</v>
      </c>
      <c r="AR37" s="72">
        <v>1</v>
      </c>
      <c r="AS37" s="72">
        <v>1</v>
      </c>
      <c r="AT37" s="72">
        <v>1</v>
      </c>
      <c r="AU37" s="72"/>
      <c r="AV37" s="72">
        <f t="shared" si="3"/>
        <v>16</v>
      </c>
      <c r="AW37" s="198">
        <v>5</v>
      </c>
      <c r="AX37" s="199">
        <f t="shared" si="4"/>
        <v>9.4</v>
      </c>
      <c r="AY37" s="211">
        <f t="shared" si="5"/>
        <v>9.4444444444444446</v>
      </c>
    </row>
    <row r="38" spans="1:52" ht="15" customHeight="1" thickTop="1" thickBot="1">
      <c r="A38" s="216">
        <v>25</v>
      </c>
      <c r="B38" s="216"/>
      <c r="C38" s="217" t="s">
        <v>530</v>
      </c>
      <c r="D38" s="217"/>
      <c r="E38" s="217"/>
      <c r="F38" s="217"/>
      <c r="G38" s="217"/>
      <c r="H38" s="179" t="s">
        <v>145</v>
      </c>
      <c r="I38" s="179"/>
      <c r="J38" s="179"/>
      <c r="K38" s="179"/>
      <c r="L38" s="179"/>
      <c r="M38" s="179"/>
      <c r="N38" s="179"/>
      <c r="O38" s="221" t="s">
        <v>239</v>
      </c>
      <c r="P38" s="222"/>
      <c r="Q38" s="223"/>
      <c r="R38" s="72"/>
      <c r="S38" s="72">
        <v>1</v>
      </c>
      <c r="T38" s="72">
        <v>1</v>
      </c>
      <c r="U38" s="72">
        <v>1</v>
      </c>
      <c r="V38" s="72">
        <v>1</v>
      </c>
      <c r="W38" s="72">
        <v>1</v>
      </c>
      <c r="X38" s="72">
        <v>2</v>
      </c>
      <c r="Y38" s="72"/>
      <c r="Z38" s="109">
        <v>16.666666666666668</v>
      </c>
      <c r="AA38" s="106">
        <v>12.5</v>
      </c>
      <c r="AB38" s="118">
        <f>+AA38*0.6+Z38*0.1+SUM(R38:Y38)/9*20*0.3</f>
        <v>13.833333333333334</v>
      </c>
      <c r="AC38" s="72"/>
      <c r="AD38" s="72">
        <v>1</v>
      </c>
      <c r="AE38" s="72"/>
      <c r="AF38" s="72">
        <v>1</v>
      </c>
      <c r="AG38" s="72">
        <v>0.5</v>
      </c>
      <c r="AH38" s="72"/>
      <c r="AI38" s="72">
        <v>1</v>
      </c>
      <c r="AJ38" s="72">
        <v>1</v>
      </c>
      <c r="AK38" s="72">
        <v>0.5</v>
      </c>
      <c r="AL38" s="72">
        <v>1</v>
      </c>
      <c r="AM38" s="72">
        <f t="shared" si="1"/>
        <v>12</v>
      </c>
      <c r="AN38" s="72">
        <v>18</v>
      </c>
      <c r="AO38" s="139">
        <v>11</v>
      </c>
      <c r="AP38" s="143">
        <f t="shared" si="2"/>
        <v>12.100000000000001</v>
      </c>
      <c r="AQ38" s="72">
        <v>1</v>
      </c>
      <c r="AR38" s="72">
        <v>1</v>
      </c>
      <c r="AS38" s="72">
        <v>1</v>
      </c>
      <c r="AT38" s="72">
        <v>1</v>
      </c>
      <c r="AU38" s="72"/>
      <c r="AV38" s="72">
        <f t="shared" si="3"/>
        <v>16</v>
      </c>
      <c r="AW38" s="198">
        <v>7</v>
      </c>
      <c r="AX38" s="199">
        <f t="shared" si="4"/>
        <v>10.600000000000001</v>
      </c>
      <c r="AY38" s="211">
        <f t="shared" si="5"/>
        <v>12.177777777777779</v>
      </c>
    </row>
    <row r="39" spans="1:52" ht="14.25" customHeight="1" thickTop="1" thickBot="1">
      <c r="A39" s="216">
        <v>26</v>
      </c>
      <c r="B39" s="216"/>
      <c r="C39" s="217" t="s">
        <v>531</v>
      </c>
      <c r="D39" s="217"/>
      <c r="E39" s="217"/>
      <c r="F39" s="217"/>
      <c r="G39" s="217"/>
      <c r="H39" s="179" t="s">
        <v>453</v>
      </c>
      <c r="I39" s="179"/>
      <c r="J39" s="179"/>
      <c r="K39" s="179"/>
      <c r="L39" s="179"/>
      <c r="M39" s="179"/>
      <c r="N39" s="179"/>
      <c r="O39" s="221" t="s">
        <v>437</v>
      </c>
      <c r="P39" s="222"/>
      <c r="Q39" s="223"/>
      <c r="R39" s="72"/>
      <c r="S39" s="72">
        <v>1</v>
      </c>
      <c r="T39" s="72">
        <v>1</v>
      </c>
      <c r="U39" s="72">
        <v>1</v>
      </c>
      <c r="V39" s="72">
        <v>1</v>
      </c>
      <c r="W39" s="72">
        <v>1</v>
      </c>
      <c r="X39" s="72">
        <v>1</v>
      </c>
      <c r="Y39" s="72"/>
      <c r="Z39" s="109">
        <v>13.333333333333332</v>
      </c>
      <c r="AA39" s="106">
        <v>11.5</v>
      </c>
      <c r="AB39" s="118">
        <f>+AA39*0.6+Z39*0.1+SUM(R39:Y39)/9*20*0.3</f>
        <v>12.233333333333333</v>
      </c>
      <c r="AC39" s="72"/>
      <c r="AD39" s="72">
        <v>1</v>
      </c>
      <c r="AE39" s="72">
        <v>1</v>
      </c>
      <c r="AF39" s="72">
        <v>1</v>
      </c>
      <c r="AG39" s="72"/>
      <c r="AH39" s="72"/>
      <c r="AI39" s="72"/>
      <c r="AJ39" s="72"/>
      <c r="AK39" s="72"/>
      <c r="AL39" s="72">
        <v>1</v>
      </c>
      <c r="AM39" s="72">
        <f t="shared" si="1"/>
        <v>8</v>
      </c>
      <c r="AN39" s="72">
        <v>11</v>
      </c>
      <c r="AO39" s="139">
        <v>9.5</v>
      </c>
      <c r="AP39" s="143">
        <f t="shared" si="2"/>
        <v>9.0500000000000007</v>
      </c>
      <c r="AQ39" s="72"/>
      <c r="AR39" s="72">
        <v>1</v>
      </c>
      <c r="AS39" s="72">
        <v>1</v>
      </c>
      <c r="AT39" s="72"/>
      <c r="AU39" s="72">
        <v>0.5</v>
      </c>
      <c r="AV39" s="72">
        <f t="shared" si="3"/>
        <v>10</v>
      </c>
      <c r="AW39" s="198">
        <v>11</v>
      </c>
      <c r="AX39" s="199">
        <f t="shared" si="4"/>
        <v>10.6</v>
      </c>
      <c r="AY39" s="211">
        <f t="shared" si="5"/>
        <v>10.627777777777778</v>
      </c>
    </row>
    <row r="40" spans="1:52" ht="15" customHeight="1" thickTop="1" thickBot="1">
      <c r="A40" s="216">
        <v>27</v>
      </c>
      <c r="B40" s="216"/>
      <c r="C40" s="217" t="s">
        <v>357</v>
      </c>
      <c r="D40" s="217"/>
      <c r="E40" s="217"/>
      <c r="F40" s="217"/>
      <c r="G40" s="217"/>
      <c r="H40" s="179" t="s">
        <v>395</v>
      </c>
      <c r="I40" s="179"/>
      <c r="J40" s="179"/>
      <c r="K40" s="179"/>
      <c r="L40" s="179"/>
      <c r="M40" s="179"/>
      <c r="N40" s="179"/>
      <c r="O40" s="221" t="s">
        <v>239</v>
      </c>
      <c r="P40" s="222"/>
      <c r="Q40" s="223"/>
      <c r="R40" s="72"/>
      <c r="S40" s="72">
        <v>1</v>
      </c>
      <c r="T40" s="72">
        <v>1</v>
      </c>
      <c r="U40" s="72">
        <v>1</v>
      </c>
      <c r="V40" s="72">
        <v>1</v>
      </c>
      <c r="W40" s="72">
        <v>1</v>
      </c>
      <c r="X40" s="72">
        <v>2</v>
      </c>
      <c r="Y40" s="72">
        <v>1</v>
      </c>
      <c r="Z40" s="109">
        <v>20</v>
      </c>
      <c r="AA40" s="106">
        <v>5.5</v>
      </c>
      <c r="AB40" s="118">
        <f>+AA40*0.6+Z40*0.1+SUM(R40:Y40)/9*20*0.3</f>
        <v>10.633333333333333</v>
      </c>
      <c r="AC40" s="72"/>
      <c r="AD40" s="72">
        <v>1</v>
      </c>
      <c r="AE40" s="72">
        <v>1</v>
      </c>
      <c r="AF40" s="72">
        <v>1</v>
      </c>
      <c r="AG40" s="72">
        <v>0.5</v>
      </c>
      <c r="AH40" s="72">
        <v>1</v>
      </c>
      <c r="AI40" s="72">
        <v>1</v>
      </c>
      <c r="AJ40" s="72">
        <v>1</v>
      </c>
      <c r="AK40" s="72">
        <v>1</v>
      </c>
      <c r="AL40" s="72">
        <v>1</v>
      </c>
      <c r="AM40" s="72">
        <f t="shared" si="1"/>
        <v>17</v>
      </c>
      <c r="AN40" s="72">
        <v>20</v>
      </c>
      <c r="AO40" s="139">
        <v>3.5</v>
      </c>
      <c r="AP40" s="143">
        <f t="shared" si="2"/>
        <v>10.55</v>
      </c>
      <c r="AQ40" s="72">
        <v>1</v>
      </c>
      <c r="AR40" s="72">
        <v>1</v>
      </c>
      <c r="AS40" s="72">
        <v>1</v>
      </c>
      <c r="AT40" s="72">
        <v>1</v>
      </c>
      <c r="AU40" s="72">
        <v>1</v>
      </c>
      <c r="AV40" s="72">
        <f t="shared" si="3"/>
        <v>20</v>
      </c>
      <c r="AW40" s="198">
        <v>9.5</v>
      </c>
      <c r="AX40" s="199">
        <f t="shared" si="4"/>
        <v>13.7</v>
      </c>
      <c r="AY40" s="211">
        <f t="shared" si="5"/>
        <v>11.627777777777778</v>
      </c>
    </row>
    <row r="41" spans="1:52" ht="14.25" customHeight="1" thickTop="1" thickBot="1">
      <c r="A41" s="216">
        <v>28</v>
      </c>
      <c r="B41" s="216"/>
      <c r="C41" s="217" t="s">
        <v>465</v>
      </c>
      <c r="D41" s="217"/>
      <c r="E41" s="217"/>
      <c r="F41" s="217"/>
      <c r="G41" s="217"/>
      <c r="H41" s="179" t="s">
        <v>226</v>
      </c>
      <c r="I41" s="179"/>
      <c r="J41" s="179"/>
      <c r="K41" s="179"/>
      <c r="L41" s="179"/>
      <c r="M41" s="179"/>
      <c r="N41" s="179"/>
      <c r="O41" s="221" t="s">
        <v>459</v>
      </c>
      <c r="P41" s="222"/>
      <c r="Q41" s="223"/>
      <c r="R41" s="72"/>
      <c r="S41" s="72">
        <v>1</v>
      </c>
      <c r="T41" s="72">
        <v>1</v>
      </c>
      <c r="U41" s="72">
        <v>1</v>
      </c>
      <c r="V41" s="72">
        <v>1</v>
      </c>
      <c r="W41" s="72">
        <v>1</v>
      </c>
      <c r="X41" s="72">
        <v>2</v>
      </c>
      <c r="Y41" s="72">
        <v>1</v>
      </c>
      <c r="Z41" s="109">
        <v>20</v>
      </c>
      <c r="AA41" s="106">
        <v>6.5</v>
      </c>
      <c r="AB41" s="123">
        <f>+AA41*0.6+Z41*0.1+SUM(R41:Y41)/9*20*0.3 + 1</f>
        <v>12.233333333333334</v>
      </c>
      <c r="AC41" s="72">
        <v>1</v>
      </c>
      <c r="AD41" s="72">
        <v>1</v>
      </c>
      <c r="AE41" s="72">
        <v>1</v>
      </c>
      <c r="AF41" s="72">
        <v>1</v>
      </c>
      <c r="AG41" s="72">
        <v>0.5</v>
      </c>
      <c r="AH41" s="72">
        <v>1</v>
      </c>
      <c r="AI41" s="72">
        <v>1</v>
      </c>
      <c r="AJ41" s="72">
        <v>1</v>
      </c>
      <c r="AK41" s="72">
        <v>1</v>
      </c>
      <c r="AL41" s="72">
        <v>1</v>
      </c>
      <c r="AM41" s="72">
        <f t="shared" si="1"/>
        <v>19</v>
      </c>
      <c r="AN41" s="72">
        <v>20</v>
      </c>
      <c r="AO41" s="139">
        <v>12.5</v>
      </c>
      <c r="AP41" s="123">
        <f>+AO41*0.5+AN41*0.1+AM41*0.4+1</f>
        <v>16.850000000000001</v>
      </c>
      <c r="AQ41" s="72">
        <v>1</v>
      </c>
      <c r="AR41" s="72">
        <v>1</v>
      </c>
      <c r="AS41" s="72">
        <v>1</v>
      </c>
      <c r="AT41" s="72">
        <v>1</v>
      </c>
      <c r="AU41" s="72">
        <v>1</v>
      </c>
      <c r="AV41" s="72">
        <f t="shared" si="3"/>
        <v>20</v>
      </c>
      <c r="AW41" s="198">
        <v>12.5</v>
      </c>
      <c r="AX41" s="199">
        <f t="shared" si="4"/>
        <v>15.5</v>
      </c>
      <c r="AY41" s="211">
        <f t="shared" si="5"/>
        <v>14.861111111111112</v>
      </c>
    </row>
    <row r="42" spans="1:52" ht="14.25" customHeight="1" thickTop="1" thickBot="1">
      <c r="A42" s="216">
        <v>29</v>
      </c>
      <c r="B42" s="216"/>
      <c r="C42" s="217" t="s">
        <v>466</v>
      </c>
      <c r="D42" s="217"/>
      <c r="E42" s="217"/>
      <c r="F42" s="217"/>
      <c r="G42" s="217"/>
      <c r="H42" s="179" t="s">
        <v>200</v>
      </c>
      <c r="I42" s="179"/>
      <c r="J42" s="179"/>
      <c r="K42" s="179"/>
      <c r="L42" s="179"/>
      <c r="M42" s="179"/>
      <c r="N42" s="179"/>
      <c r="O42" s="221" t="s">
        <v>437</v>
      </c>
      <c r="P42" s="222"/>
      <c r="Q42" s="223"/>
      <c r="R42" s="72"/>
      <c r="S42" s="72"/>
      <c r="T42" s="72"/>
      <c r="U42" s="72"/>
      <c r="V42" s="72"/>
      <c r="W42" s="72"/>
      <c r="X42" s="72"/>
      <c r="Y42" s="72"/>
      <c r="Z42" s="109">
        <v>10</v>
      </c>
      <c r="AA42" s="106">
        <v>10.5</v>
      </c>
      <c r="AB42" s="118">
        <f t="shared" ref="AB42:AB60" si="6">+AA42*0.6+Z42*0.1+SUM(R42:Y42)/9*20*0.3</f>
        <v>7.3</v>
      </c>
      <c r="AC42" s="72"/>
      <c r="AD42" s="72"/>
      <c r="AE42" s="72"/>
      <c r="AF42" s="72"/>
      <c r="AG42" s="72"/>
      <c r="AH42" s="72"/>
      <c r="AI42" s="72"/>
      <c r="AJ42" s="72"/>
      <c r="AK42" s="72"/>
      <c r="AL42" s="72"/>
      <c r="AM42" s="72">
        <f t="shared" si="1"/>
        <v>0</v>
      </c>
      <c r="AN42" s="72">
        <v>5</v>
      </c>
      <c r="AO42" s="139"/>
      <c r="AP42" s="143">
        <f t="shared" si="2"/>
        <v>0.5</v>
      </c>
      <c r="AQ42" s="72"/>
      <c r="AR42" s="72"/>
      <c r="AS42" s="72"/>
      <c r="AT42" s="72"/>
      <c r="AU42" s="72"/>
      <c r="AV42" s="72">
        <f t="shared" si="3"/>
        <v>0</v>
      </c>
      <c r="AW42" s="198"/>
      <c r="AX42" s="199">
        <f t="shared" si="4"/>
        <v>0</v>
      </c>
      <c r="AY42" s="211">
        <f t="shared" si="5"/>
        <v>2.6</v>
      </c>
    </row>
    <row r="43" spans="1:52" ht="15" customHeight="1" thickTop="1" thickBot="1">
      <c r="A43" s="216">
        <v>30</v>
      </c>
      <c r="B43" s="216"/>
      <c r="C43" s="217" t="s">
        <v>467</v>
      </c>
      <c r="D43" s="217"/>
      <c r="E43" s="217"/>
      <c r="F43" s="217"/>
      <c r="G43" s="217"/>
      <c r="H43" s="179" t="s">
        <v>487</v>
      </c>
      <c r="I43" s="179"/>
      <c r="J43" s="179"/>
      <c r="K43" s="179"/>
      <c r="L43" s="179"/>
      <c r="M43" s="179"/>
      <c r="N43" s="179"/>
      <c r="O43" s="221" t="s">
        <v>239</v>
      </c>
      <c r="P43" s="222"/>
      <c r="Q43" s="223"/>
      <c r="R43" s="72"/>
      <c r="S43" s="72">
        <v>1</v>
      </c>
      <c r="T43" s="72">
        <v>1</v>
      </c>
      <c r="U43" s="72">
        <v>1</v>
      </c>
      <c r="V43" s="72">
        <v>1</v>
      </c>
      <c r="W43" s="72">
        <v>1</v>
      </c>
      <c r="X43" s="72">
        <v>2</v>
      </c>
      <c r="Y43" s="72">
        <v>1</v>
      </c>
      <c r="Z43" s="109">
        <v>13.333333333333332</v>
      </c>
      <c r="AA43" s="106">
        <v>13.5</v>
      </c>
      <c r="AB43" s="118">
        <f t="shared" si="6"/>
        <v>14.766666666666666</v>
      </c>
      <c r="AC43" s="72">
        <v>1</v>
      </c>
      <c r="AD43" s="72">
        <v>1</v>
      </c>
      <c r="AE43" s="72"/>
      <c r="AF43" s="72">
        <v>1</v>
      </c>
      <c r="AG43" s="72">
        <v>0.5</v>
      </c>
      <c r="AH43" s="72">
        <v>2</v>
      </c>
      <c r="AI43" s="72">
        <v>1</v>
      </c>
      <c r="AJ43" s="72">
        <v>1</v>
      </c>
      <c r="AK43" s="72">
        <v>1</v>
      </c>
      <c r="AL43" s="72">
        <v>1</v>
      </c>
      <c r="AM43" s="72">
        <f t="shared" si="1"/>
        <v>19</v>
      </c>
      <c r="AN43" s="72">
        <v>16</v>
      </c>
      <c r="AO43" s="139">
        <v>17.5</v>
      </c>
      <c r="AP43" s="143">
        <f t="shared" si="2"/>
        <v>17.95</v>
      </c>
      <c r="AQ43" s="72">
        <v>1</v>
      </c>
      <c r="AR43" s="72">
        <v>1</v>
      </c>
      <c r="AS43" s="72">
        <v>1</v>
      </c>
      <c r="AT43" s="72"/>
      <c r="AU43" s="72"/>
      <c r="AV43" s="72">
        <f t="shared" si="3"/>
        <v>12</v>
      </c>
      <c r="AW43" s="198">
        <v>14.5</v>
      </c>
      <c r="AX43" s="199">
        <f t="shared" si="4"/>
        <v>13.5</v>
      </c>
      <c r="AY43" s="211">
        <f t="shared" si="5"/>
        <v>15.405555555555557</v>
      </c>
    </row>
    <row r="44" spans="1:52" ht="14.25" customHeight="1" thickTop="1" thickBot="1">
      <c r="A44" s="216">
        <v>31</v>
      </c>
      <c r="B44" s="216"/>
      <c r="C44" s="217" t="s">
        <v>468</v>
      </c>
      <c r="D44" s="217"/>
      <c r="E44" s="217"/>
      <c r="F44" s="217"/>
      <c r="G44" s="217"/>
      <c r="H44" s="179" t="s">
        <v>26</v>
      </c>
      <c r="I44" s="179"/>
      <c r="J44" s="179"/>
      <c r="K44" s="179"/>
      <c r="L44" s="179"/>
      <c r="M44" s="179"/>
      <c r="N44" s="179"/>
      <c r="O44" s="221" t="s">
        <v>239</v>
      </c>
      <c r="P44" s="222"/>
      <c r="Q44" s="223"/>
      <c r="R44" s="72"/>
      <c r="S44" s="72">
        <v>1</v>
      </c>
      <c r="T44" s="72">
        <v>1</v>
      </c>
      <c r="U44" s="72">
        <v>1</v>
      </c>
      <c r="V44" s="72">
        <v>1</v>
      </c>
      <c r="W44" s="72">
        <v>1</v>
      </c>
      <c r="X44" s="72">
        <v>2</v>
      </c>
      <c r="Y44" s="72">
        <v>1</v>
      </c>
      <c r="Z44" s="109">
        <v>20</v>
      </c>
      <c r="AA44" s="106">
        <v>4.5</v>
      </c>
      <c r="AB44" s="118">
        <f t="shared" si="6"/>
        <v>10.033333333333331</v>
      </c>
      <c r="AC44" s="72">
        <v>1</v>
      </c>
      <c r="AD44" s="72">
        <v>1</v>
      </c>
      <c r="AE44" s="72">
        <v>1</v>
      </c>
      <c r="AF44" s="72">
        <v>1</v>
      </c>
      <c r="AG44" s="72">
        <v>0.5</v>
      </c>
      <c r="AH44" s="72">
        <v>1</v>
      </c>
      <c r="AI44" s="72">
        <v>1</v>
      </c>
      <c r="AJ44" s="72">
        <v>1</v>
      </c>
      <c r="AK44" s="72">
        <v>0.5</v>
      </c>
      <c r="AL44" s="72">
        <v>1</v>
      </c>
      <c r="AM44" s="72">
        <f t="shared" si="1"/>
        <v>18</v>
      </c>
      <c r="AN44" s="72">
        <v>20</v>
      </c>
      <c r="AO44" s="139">
        <v>9</v>
      </c>
      <c r="AP44" s="143">
        <f t="shared" si="2"/>
        <v>13.7</v>
      </c>
      <c r="AQ44" s="72">
        <v>1</v>
      </c>
      <c r="AR44" s="72">
        <v>1</v>
      </c>
      <c r="AS44" s="72">
        <v>1</v>
      </c>
      <c r="AT44" s="72">
        <v>1</v>
      </c>
      <c r="AU44" s="72">
        <v>1</v>
      </c>
      <c r="AV44" s="72">
        <f t="shared" si="3"/>
        <v>20</v>
      </c>
      <c r="AW44" s="198">
        <v>2</v>
      </c>
      <c r="AX44" s="199">
        <f t="shared" si="4"/>
        <v>9.1999999999999993</v>
      </c>
      <c r="AY44" s="211">
        <f t="shared" si="5"/>
        <v>10.977777777777776</v>
      </c>
    </row>
    <row r="45" spans="1:52" ht="15" customHeight="1" thickTop="1" thickBot="1">
      <c r="A45" s="216">
        <v>32</v>
      </c>
      <c r="B45" s="216"/>
      <c r="C45" s="217" t="s">
        <v>469</v>
      </c>
      <c r="D45" s="217"/>
      <c r="E45" s="217"/>
      <c r="F45" s="217"/>
      <c r="G45" s="217"/>
      <c r="H45" s="179" t="s">
        <v>27</v>
      </c>
      <c r="I45" s="179"/>
      <c r="J45" s="179"/>
      <c r="K45" s="179"/>
      <c r="L45" s="179"/>
      <c r="M45" s="179"/>
      <c r="N45" s="179"/>
      <c r="O45" s="221" t="s">
        <v>459</v>
      </c>
      <c r="P45" s="222"/>
      <c r="Q45" s="223"/>
      <c r="R45" s="72"/>
      <c r="S45" s="72">
        <v>1</v>
      </c>
      <c r="T45" s="72"/>
      <c r="U45" s="72">
        <v>1</v>
      </c>
      <c r="V45" s="72">
        <v>1</v>
      </c>
      <c r="W45" s="72">
        <v>1</v>
      </c>
      <c r="X45" s="72">
        <v>2</v>
      </c>
      <c r="Y45" s="72">
        <v>1</v>
      </c>
      <c r="Z45" s="109">
        <v>13.333333333333332</v>
      </c>
      <c r="AA45" s="106">
        <v>5</v>
      </c>
      <c r="AB45" s="118">
        <f t="shared" si="6"/>
        <v>9</v>
      </c>
      <c r="AC45" s="72"/>
      <c r="AD45" s="72">
        <v>1</v>
      </c>
      <c r="AE45" s="72">
        <v>1</v>
      </c>
      <c r="AF45" s="72">
        <v>1</v>
      </c>
      <c r="AG45" s="72">
        <v>0.5</v>
      </c>
      <c r="AH45" s="72">
        <v>1</v>
      </c>
      <c r="AI45" s="72"/>
      <c r="AJ45" s="72"/>
      <c r="AK45" s="72"/>
      <c r="AL45" s="72"/>
      <c r="AM45" s="72">
        <f t="shared" si="1"/>
        <v>9</v>
      </c>
      <c r="AN45" s="72">
        <v>11</v>
      </c>
      <c r="AO45" s="139">
        <v>7</v>
      </c>
      <c r="AP45" s="143">
        <f t="shared" si="2"/>
        <v>8.1999999999999993</v>
      </c>
      <c r="AQ45" s="72">
        <v>1</v>
      </c>
      <c r="AR45" s="72"/>
      <c r="AS45" s="72">
        <v>1</v>
      </c>
      <c r="AT45" s="72"/>
      <c r="AU45" s="72">
        <v>1</v>
      </c>
      <c r="AV45" s="72">
        <f t="shared" si="3"/>
        <v>12</v>
      </c>
      <c r="AW45" s="198">
        <v>5</v>
      </c>
      <c r="AX45" s="214">
        <f>+AW45*0.6+AV45*0.4+1</f>
        <v>8.8000000000000007</v>
      </c>
      <c r="AY45" s="211">
        <f t="shared" si="5"/>
        <v>8.6666666666666661</v>
      </c>
    </row>
    <row r="46" spans="1:52" ht="14.25" customHeight="1" thickTop="1" thickBot="1">
      <c r="A46" s="216">
        <v>33</v>
      </c>
      <c r="B46" s="216"/>
      <c r="C46" s="217" t="s">
        <v>470</v>
      </c>
      <c r="D46" s="217"/>
      <c r="E46" s="217"/>
      <c r="F46" s="217"/>
      <c r="G46" s="217"/>
      <c r="H46" s="179" t="s">
        <v>28</v>
      </c>
      <c r="I46" s="179"/>
      <c r="J46" s="179"/>
      <c r="K46" s="179"/>
      <c r="L46" s="179"/>
      <c r="M46" s="179"/>
      <c r="N46" s="179"/>
      <c r="O46" s="221" t="s">
        <v>239</v>
      </c>
      <c r="P46" s="222"/>
      <c r="Q46" s="223"/>
      <c r="R46" s="72"/>
      <c r="S46" s="72">
        <v>1</v>
      </c>
      <c r="T46" s="72">
        <v>1</v>
      </c>
      <c r="U46" s="72">
        <v>1</v>
      </c>
      <c r="V46" s="72">
        <v>1</v>
      </c>
      <c r="W46" s="72">
        <v>1</v>
      </c>
      <c r="X46" s="72">
        <v>2</v>
      </c>
      <c r="Y46" s="72">
        <v>1</v>
      </c>
      <c r="Z46" s="109">
        <v>20</v>
      </c>
      <c r="AA46" s="106">
        <v>12.5</v>
      </c>
      <c r="AB46" s="118">
        <f t="shared" si="6"/>
        <v>14.833333333333332</v>
      </c>
      <c r="AC46" s="72"/>
      <c r="AD46" s="72">
        <v>1</v>
      </c>
      <c r="AE46" s="72">
        <v>1</v>
      </c>
      <c r="AF46" s="72">
        <v>1</v>
      </c>
      <c r="AG46" s="72">
        <v>0.5</v>
      </c>
      <c r="AH46" s="72">
        <v>1</v>
      </c>
      <c r="AI46" s="72">
        <v>1</v>
      </c>
      <c r="AJ46" s="72">
        <v>1</v>
      </c>
      <c r="AK46" s="72">
        <v>1</v>
      </c>
      <c r="AL46" s="72">
        <v>1</v>
      </c>
      <c r="AM46" s="72">
        <f>SUM(AC46:AL46)/10*20</f>
        <v>17</v>
      </c>
      <c r="AN46" s="72">
        <v>20</v>
      </c>
      <c r="AO46" s="139">
        <v>15</v>
      </c>
      <c r="AP46" s="143">
        <f t="shared" si="2"/>
        <v>16.3</v>
      </c>
      <c r="AQ46" s="72">
        <v>1</v>
      </c>
      <c r="AR46" s="72">
        <v>1</v>
      </c>
      <c r="AS46" s="72">
        <v>1</v>
      </c>
      <c r="AT46" s="72">
        <v>1</v>
      </c>
      <c r="AU46" s="72">
        <v>1</v>
      </c>
      <c r="AV46" s="72">
        <f t="shared" si="3"/>
        <v>20</v>
      </c>
      <c r="AW46" s="198">
        <v>14</v>
      </c>
      <c r="AX46" s="199">
        <f t="shared" si="4"/>
        <v>16.399999999999999</v>
      </c>
      <c r="AY46" s="211">
        <f t="shared" si="5"/>
        <v>15.844444444444443</v>
      </c>
    </row>
    <row r="47" spans="1:52" ht="14.25" customHeight="1" thickTop="1" thickBot="1">
      <c r="A47" s="216">
        <v>34</v>
      </c>
      <c r="B47" s="216"/>
      <c r="C47" s="217" t="s">
        <v>472</v>
      </c>
      <c r="D47" s="217"/>
      <c r="E47" s="217"/>
      <c r="F47" s="217"/>
      <c r="G47" s="217"/>
      <c r="H47" s="179" t="s">
        <v>198</v>
      </c>
      <c r="I47" s="179"/>
      <c r="J47" s="179"/>
      <c r="K47" s="179"/>
      <c r="L47" s="179"/>
      <c r="M47" s="179"/>
      <c r="N47" s="179"/>
      <c r="O47" s="221" t="s">
        <v>440</v>
      </c>
      <c r="P47" s="222"/>
      <c r="Q47" s="223"/>
      <c r="R47" s="72"/>
      <c r="S47" s="72">
        <v>0.5</v>
      </c>
      <c r="T47" s="72"/>
      <c r="U47" s="72">
        <v>1</v>
      </c>
      <c r="V47" s="72">
        <v>1</v>
      </c>
      <c r="W47" s="72">
        <v>1</v>
      </c>
      <c r="X47" s="72"/>
      <c r="Y47" s="72">
        <v>1</v>
      </c>
      <c r="Z47" s="109">
        <v>6.6666666666666661</v>
      </c>
      <c r="AA47" s="106">
        <v>4</v>
      </c>
      <c r="AB47" s="118">
        <f t="shared" si="6"/>
        <v>6.0666666666666664</v>
      </c>
      <c r="AC47" s="72"/>
      <c r="AD47" s="72">
        <v>1</v>
      </c>
      <c r="AE47" s="72">
        <v>1</v>
      </c>
      <c r="AF47" s="72"/>
      <c r="AG47" s="72"/>
      <c r="AH47" s="72"/>
      <c r="AI47" s="72"/>
      <c r="AJ47" s="72"/>
      <c r="AK47" s="72"/>
      <c r="AL47" s="72"/>
      <c r="AM47" s="72">
        <f t="shared" ref="AM47:AM61" si="7">SUM(AC47:AL47)/10*20</f>
        <v>4</v>
      </c>
      <c r="AN47" s="72">
        <v>6</v>
      </c>
      <c r="AO47" s="139">
        <v>5.5</v>
      </c>
      <c r="AP47" s="143">
        <f t="shared" si="2"/>
        <v>4.95</v>
      </c>
      <c r="AQ47" s="72"/>
      <c r="AR47" s="72"/>
      <c r="AS47" s="72">
        <v>1</v>
      </c>
      <c r="AT47" s="72"/>
      <c r="AU47" s="72"/>
      <c r="AV47" s="72">
        <f t="shared" si="3"/>
        <v>4</v>
      </c>
      <c r="AW47" s="198"/>
      <c r="AX47" s="199">
        <f t="shared" si="4"/>
        <v>1.6</v>
      </c>
      <c r="AY47" s="211">
        <f t="shared" si="5"/>
        <v>4.2055555555555557</v>
      </c>
    </row>
    <row r="48" spans="1:52" ht="15" customHeight="1" thickTop="1" thickBot="1">
      <c r="A48" s="216">
        <v>35</v>
      </c>
      <c r="B48" s="216"/>
      <c r="C48" s="217" t="s">
        <v>473</v>
      </c>
      <c r="D48" s="217"/>
      <c r="E48" s="217"/>
      <c r="F48" s="217"/>
      <c r="G48" s="217"/>
      <c r="H48" s="179" t="s">
        <v>378</v>
      </c>
      <c r="I48" s="179"/>
      <c r="J48" s="179"/>
      <c r="K48" s="179"/>
      <c r="L48" s="179"/>
      <c r="M48" s="179"/>
      <c r="N48" s="179"/>
      <c r="O48" s="221" t="s">
        <v>274</v>
      </c>
      <c r="P48" s="222"/>
      <c r="Q48" s="223"/>
      <c r="R48" s="72"/>
      <c r="S48" s="72"/>
      <c r="T48" s="72"/>
      <c r="U48" s="72"/>
      <c r="V48" s="72">
        <v>1</v>
      </c>
      <c r="W48" s="72"/>
      <c r="X48" s="72">
        <v>2</v>
      </c>
      <c r="Y48" s="72"/>
      <c r="Z48" s="109">
        <v>0</v>
      </c>
      <c r="AA48" s="106">
        <v>8</v>
      </c>
      <c r="AB48" s="118">
        <f t="shared" si="6"/>
        <v>6.8</v>
      </c>
      <c r="AC48" s="72"/>
      <c r="AD48" s="72"/>
      <c r="AE48" s="72"/>
      <c r="AF48" s="72">
        <v>1</v>
      </c>
      <c r="AG48" s="72">
        <v>0.5</v>
      </c>
      <c r="AH48" s="72">
        <v>1</v>
      </c>
      <c r="AI48" s="72"/>
      <c r="AJ48" s="72">
        <v>1</v>
      </c>
      <c r="AK48" s="72"/>
      <c r="AL48" s="72">
        <v>1</v>
      </c>
      <c r="AM48" s="72">
        <f t="shared" si="7"/>
        <v>9</v>
      </c>
      <c r="AN48" s="72">
        <v>5</v>
      </c>
      <c r="AO48" s="139">
        <v>4.5</v>
      </c>
      <c r="AP48" s="143">
        <f t="shared" si="2"/>
        <v>6.35</v>
      </c>
      <c r="AQ48" s="72"/>
      <c r="AR48" s="72">
        <v>1</v>
      </c>
      <c r="AS48" s="72">
        <v>1</v>
      </c>
      <c r="AT48" s="72"/>
      <c r="AU48" s="72"/>
      <c r="AV48" s="72">
        <f t="shared" si="3"/>
        <v>8</v>
      </c>
      <c r="AW48" s="198">
        <v>6.5</v>
      </c>
      <c r="AX48" s="199">
        <f t="shared" si="4"/>
        <v>7.1</v>
      </c>
      <c r="AY48" s="211">
        <f t="shared" si="5"/>
        <v>6.75</v>
      </c>
      <c r="AZ48">
        <v>9</v>
      </c>
    </row>
    <row r="49" spans="1:57" ht="14.25" customHeight="1" thickTop="1" thickBot="1">
      <c r="A49" s="216">
        <v>36</v>
      </c>
      <c r="B49" s="216"/>
      <c r="C49" s="217" t="s">
        <v>474</v>
      </c>
      <c r="D49" s="217"/>
      <c r="E49" s="217"/>
      <c r="F49" s="217"/>
      <c r="G49" s="217"/>
      <c r="H49" s="179" t="s">
        <v>379</v>
      </c>
      <c r="I49" s="179"/>
      <c r="J49" s="179"/>
      <c r="K49" s="179"/>
      <c r="L49" s="179"/>
      <c r="M49" s="179"/>
      <c r="N49" s="179"/>
      <c r="O49" s="221" t="s">
        <v>239</v>
      </c>
      <c r="P49" s="222"/>
      <c r="Q49" s="223"/>
      <c r="R49" s="72"/>
      <c r="S49" s="72">
        <v>1</v>
      </c>
      <c r="T49" s="72">
        <v>1</v>
      </c>
      <c r="U49" s="72">
        <v>1</v>
      </c>
      <c r="V49" s="72">
        <v>1</v>
      </c>
      <c r="W49" s="72">
        <v>1</v>
      </c>
      <c r="X49" s="72">
        <v>2</v>
      </c>
      <c r="Y49" s="72">
        <v>1</v>
      </c>
      <c r="Z49" s="109">
        <v>20</v>
      </c>
      <c r="AA49" s="106">
        <v>13.5</v>
      </c>
      <c r="AB49" s="118">
        <f t="shared" si="6"/>
        <v>15.433333333333334</v>
      </c>
      <c r="AC49" s="72">
        <v>1</v>
      </c>
      <c r="AD49" s="72">
        <v>1</v>
      </c>
      <c r="AE49" s="72">
        <v>1</v>
      </c>
      <c r="AF49" s="72">
        <v>1</v>
      </c>
      <c r="AG49" s="72">
        <v>0.5</v>
      </c>
      <c r="AH49" s="72">
        <v>1</v>
      </c>
      <c r="AI49" s="72">
        <v>1</v>
      </c>
      <c r="AJ49" s="72"/>
      <c r="AK49" s="72"/>
      <c r="AL49" s="72">
        <v>1</v>
      </c>
      <c r="AM49" s="72">
        <f t="shared" si="7"/>
        <v>15</v>
      </c>
      <c r="AN49" s="72">
        <v>20</v>
      </c>
      <c r="AO49" s="139">
        <v>14.5</v>
      </c>
      <c r="AP49" s="143">
        <f t="shared" si="2"/>
        <v>15.25</v>
      </c>
      <c r="AQ49" s="72">
        <v>1</v>
      </c>
      <c r="AR49" s="72">
        <v>1</v>
      </c>
      <c r="AS49" s="72">
        <v>1</v>
      </c>
      <c r="AT49" s="72">
        <v>1</v>
      </c>
      <c r="AU49" s="72">
        <v>1</v>
      </c>
      <c r="AV49" s="72">
        <f t="shared" si="3"/>
        <v>20</v>
      </c>
      <c r="AW49" s="198">
        <v>13.5</v>
      </c>
      <c r="AX49" s="199">
        <f t="shared" si="4"/>
        <v>16.100000000000001</v>
      </c>
      <c r="AY49" s="211">
        <f t="shared" si="5"/>
        <v>15.594444444444443</v>
      </c>
    </row>
    <row r="50" spans="1:57" ht="15" customHeight="1" thickTop="1" thickBot="1">
      <c r="A50" s="216">
        <v>37</v>
      </c>
      <c r="B50" s="216"/>
      <c r="C50" s="217" t="s">
        <v>475</v>
      </c>
      <c r="D50" s="217"/>
      <c r="E50" s="217"/>
      <c r="F50" s="217"/>
      <c r="G50" s="217"/>
      <c r="H50" s="179" t="s">
        <v>441</v>
      </c>
      <c r="I50" s="179"/>
      <c r="J50" s="179"/>
      <c r="K50" s="179"/>
      <c r="L50" s="179"/>
      <c r="M50" s="179"/>
      <c r="N50" s="179"/>
      <c r="O50" s="221" t="s">
        <v>239</v>
      </c>
      <c r="P50" s="222"/>
      <c r="Q50" s="223"/>
      <c r="R50" s="72">
        <v>1</v>
      </c>
      <c r="S50" s="72">
        <v>1</v>
      </c>
      <c r="T50" s="72">
        <v>1</v>
      </c>
      <c r="U50" s="72">
        <v>1</v>
      </c>
      <c r="V50" s="72">
        <v>1</v>
      </c>
      <c r="W50" s="72">
        <v>1</v>
      </c>
      <c r="X50" s="72">
        <v>1</v>
      </c>
      <c r="Y50" s="72">
        <v>1</v>
      </c>
      <c r="Z50" s="109">
        <v>15</v>
      </c>
      <c r="AA50" s="106">
        <v>3</v>
      </c>
      <c r="AB50" s="118">
        <f t="shared" si="6"/>
        <v>8.6333333333333329</v>
      </c>
      <c r="AC50" s="72">
        <v>1</v>
      </c>
      <c r="AD50" s="72">
        <v>1</v>
      </c>
      <c r="AE50" s="72">
        <v>1</v>
      </c>
      <c r="AF50" s="72">
        <v>1</v>
      </c>
      <c r="AG50" s="72">
        <v>0.5</v>
      </c>
      <c r="AH50" s="72"/>
      <c r="AI50" s="72">
        <v>1</v>
      </c>
      <c r="AJ50" s="72">
        <v>1</v>
      </c>
      <c r="AK50" s="72"/>
      <c r="AL50" s="72">
        <v>1</v>
      </c>
      <c r="AM50" s="72">
        <f t="shared" si="7"/>
        <v>15</v>
      </c>
      <c r="AN50" s="72">
        <v>15</v>
      </c>
      <c r="AO50" s="139">
        <v>2.5</v>
      </c>
      <c r="AP50" s="143">
        <f t="shared" si="2"/>
        <v>8.75</v>
      </c>
      <c r="AQ50" s="72"/>
      <c r="AR50" s="72">
        <v>1</v>
      </c>
      <c r="AS50" s="72">
        <v>1</v>
      </c>
      <c r="AT50" s="72">
        <v>1</v>
      </c>
      <c r="AU50" s="72">
        <v>1</v>
      </c>
      <c r="AV50" s="72">
        <f t="shared" si="3"/>
        <v>16</v>
      </c>
      <c r="AW50" s="198">
        <v>2.5</v>
      </c>
      <c r="AX50" s="199">
        <f t="shared" si="4"/>
        <v>7.9</v>
      </c>
      <c r="AY50" s="211">
        <f t="shared" si="5"/>
        <v>8.4277777777777771</v>
      </c>
      <c r="AZ50">
        <v>7.5</v>
      </c>
    </row>
    <row r="51" spans="1:57" ht="14.25" customHeight="1" thickTop="1" thickBot="1">
      <c r="A51" s="216">
        <v>38</v>
      </c>
      <c r="B51" s="216"/>
      <c r="C51" s="217" t="s">
        <v>476</v>
      </c>
      <c r="D51" s="217"/>
      <c r="E51" s="217"/>
      <c r="F51" s="217"/>
      <c r="G51" s="217"/>
      <c r="H51" s="179" t="s">
        <v>442</v>
      </c>
      <c r="I51" s="179"/>
      <c r="J51" s="179"/>
      <c r="K51" s="179"/>
      <c r="L51" s="179"/>
      <c r="M51" s="179"/>
      <c r="N51" s="179"/>
      <c r="O51" s="221" t="s">
        <v>275</v>
      </c>
      <c r="P51" s="222"/>
      <c r="Q51" s="223"/>
      <c r="R51" s="72"/>
      <c r="S51" s="72"/>
      <c r="T51" s="72">
        <v>1</v>
      </c>
      <c r="U51" s="72">
        <v>1</v>
      </c>
      <c r="V51" s="72">
        <v>1</v>
      </c>
      <c r="W51" s="72"/>
      <c r="X51" s="72"/>
      <c r="Y51" s="72"/>
      <c r="Z51" s="109">
        <v>13.333333333333332</v>
      </c>
      <c r="AA51" s="106">
        <v>2.5</v>
      </c>
      <c r="AB51" s="118">
        <f t="shared" si="6"/>
        <v>4.833333333333333</v>
      </c>
      <c r="AC51" s="72"/>
      <c r="AD51" s="72"/>
      <c r="AE51" s="72"/>
      <c r="AF51" s="72"/>
      <c r="AG51" s="72"/>
      <c r="AH51" s="72"/>
      <c r="AI51" s="72"/>
      <c r="AJ51" s="72"/>
      <c r="AK51" s="72"/>
      <c r="AL51" s="72"/>
      <c r="AM51" s="72">
        <f t="shared" si="7"/>
        <v>0</v>
      </c>
      <c r="AN51" s="72">
        <v>6</v>
      </c>
      <c r="AO51" s="139"/>
      <c r="AP51" s="143">
        <f t="shared" si="2"/>
        <v>0.60000000000000009</v>
      </c>
      <c r="AQ51" s="72"/>
      <c r="AR51" s="72"/>
      <c r="AS51" s="72"/>
      <c r="AT51" s="72"/>
      <c r="AU51" s="72"/>
      <c r="AV51" s="72">
        <f t="shared" si="3"/>
        <v>0</v>
      </c>
      <c r="AW51" s="198"/>
      <c r="AX51" s="199">
        <f t="shared" si="4"/>
        <v>0</v>
      </c>
      <c r="AY51" s="211">
        <f t="shared" si="5"/>
        <v>1.8111111111111111</v>
      </c>
    </row>
    <row r="52" spans="1:57" ht="14.25" customHeight="1" thickTop="1" thickBot="1">
      <c r="A52" s="216">
        <v>39</v>
      </c>
      <c r="B52" s="216"/>
      <c r="C52" s="217" t="s">
        <v>477</v>
      </c>
      <c r="D52" s="217"/>
      <c r="E52" s="217"/>
      <c r="F52" s="217"/>
      <c r="G52" s="217"/>
      <c r="H52" s="179" t="s">
        <v>443</v>
      </c>
      <c r="I52" s="179"/>
      <c r="J52" s="179"/>
      <c r="K52" s="179"/>
      <c r="L52" s="179"/>
      <c r="M52" s="179"/>
      <c r="N52" s="179"/>
      <c r="O52" s="221" t="s">
        <v>276</v>
      </c>
      <c r="P52" s="222"/>
      <c r="Q52" s="223"/>
      <c r="R52" s="72"/>
      <c r="S52" s="72"/>
      <c r="T52" s="72"/>
      <c r="U52" s="72">
        <v>1</v>
      </c>
      <c r="V52" s="72">
        <v>1</v>
      </c>
      <c r="W52" s="72">
        <v>1</v>
      </c>
      <c r="X52" s="72">
        <v>2</v>
      </c>
      <c r="Y52" s="72">
        <v>1</v>
      </c>
      <c r="Z52" s="109">
        <v>16.666666666666668</v>
      </c>
      <c r="AA52" s="106">
        <v>7</v>
      </c>
      <c r="AB52" s="118">
        <f t="shared" si="6"/>
        <v>9.8666666666666671</v>
      </c>
      <c r="AC52" s="72">
        <v>1</v>
      </c>
      <c r="AD52" s="72">
        <v>1</v>
      </c>
      <c r="AE52" s="72">
        <v>1</v>
      </c>
      <c r="AF52" s="72">
        <v>1</v>
      </c>
      <c r="AG52" s="72">
        <v>0.5</v>
      </c>
      <c r="AH52" s="72">
        <v>1</v>
      </c>
      <c r="AI52" s="72">
        <v>1</v>
      </c>
      <c r="AJ52" s="72">
        <v>1</v>
      </c>
      <c r="AK52" s="72"/>
      <c r="AL52" s="72">
        <v>1</v>
      </c>
      <c r="AM52" s="72">
        <f t="shared" si="7"/>
        <v>17</v>
      </c>
      <c r="AN52" s="72">
        <v>16</v>
      </c>
      <c r="AO52" s="139">
        <v>3</v>
      </c>
      <c r="AP52" s="143">
        <f t="shared" si="2"/>
        <v>9.9</v>
      </c>
      <c r="AQ52" s="72"/>
      <c r="AR52" s="72">
        <v>1</v>
      </c>
      <c r="AS52" s="72">
        <v>1</v>
      </c>
      <c r="AT52" s="72">
        <v>1</v>
      </c>
      <c r="AU52" s="72">
        <v>1</v>
      </c>
      <c r="AV52" s="72">
        <f t="shared" si="3"/>
        <v>16</v>
      </c>
      <c r="AW52" s="198">
        <v>1.5</v>
      </c>
      <c r="AX52" s="199">
        <f t="shared" si="4"/>
        <v>7.3000000000000007</v>
      </c>
      <c r="AY52" s="211">
        <f t="shared" si="5"/>
        <v>9.0222222222222239</v>
      </c>
      <c r="AZ52">
        <v>1.5</v>
      </c>
    </row>
    <row r="53" spans="1:57" ht="15" customHeight="1" thickTop="1" thickBot="1">
      <c r="A53" s="216">
        <v>40</v>
      </c>
      <c r="B53" s="216"/>
      <c r="C53" s="217" t="s">
        <v>478</v>
      </c>
      <c r="D53" s="217"/>
      <c r="E53" s="217"/>
      <c r="F53" s="217"/>
      <c r="G53" s="217"/>
      <c r="H53" s="179" t="s">
        <v>444</v>
      </c>
      <c r="I53" s="179"/>
      <c r="J53" s="179"/>
      <c r="K53" s="179"/>
      <c r="L53" s="179"/>
      <c r="M53" s="179"/>
      <c r="N53" s="179"/>
      <c r="O53" s="221" t="s">
        <v>239</v>
      </c>
      <c r="P53" s="222"/>
      <c r="Q53" s="223"/>
      <c r="R53" s="72"/>
      <c r="S53" s="72">
        <v>1</v>
      </c>
      <c r="T53" s="72">
        <v>1</v>
      </c>
      <c r="U53" s="72">
        <v>1</v>
      </c>
      <c r="V53" s="72">
        <v>1</v>
      </c>
      <c r="W53" s="72">
        <v>1</v>
      </c>
      <c r="X53" s="72">
        <v>2</v>
      </c>
      <c r="Y53" s="72">
        <v>1</v>
      </c>
      <c r="Z53" s="109">
        <v>20</v>
      </c>
      <c r="AA53" s="106">
        <v>2.5</v>
      </c>
      <c r="AB53" s="118">
        <f t="shared" si="6"/>
        <v>8.8333333333333321</v>
      </c>
      <c r="AC53" s="72">
        <v>1</v>
      </c>
      <c r="AD53" s="72">
        <v>1</v>
      </c>
      <c r="AE53" s="72">
        <v>1</v>
      </c>
      <c r="AF53" s="72">
        <v>1</v>
      </c>
      <c r="AG53" s="72">
        <v>0.5</v>
      </c>
      <c r="AH53" s="72">
        <v>1</v>
      </c>
      <c r="AI53" s="72">
        <v>1</v>
      </c>
      <c r="AJ53" s="72"/>
      <c r="AK53" s="72"/>
      <c r="AL53" s="72">
        <v>1</v>
      </c>
      <c r="AM53" s="72">
        <f t="shared" si="7"/>
        <v>15</v>
      </c>
      <c r="AN53" s="72">
        <v>20</v>
      </c>
      <c r="AO53" s="139">
        <v>6.5</v>
      </c>
      <c r="AP53" s="143">
        <f t="shared" si="2"/>
        <v>11.25</v>
      </c>
      <c r="AQ53" s="72">
        <v>1</v>
      </c>
      <c r="AR53" s="72">
        <v>1</v>
      </c>
      <c r="AS53" s="72">
        <v>1</v>
      </c>
      <c r="AT53" s="72">
        <v>1</v>
      </c>
      <c r="AU53" s="72">
        <v>1</v>
      </c>
      <c r="AV53" s="72">
        <f t="shared" si="3"/>
        <v>20</v>
      </c>
      <c r="AW53" s="198">
        <v>8.5</v>
      </c>
      <c r="AX53" s="199">
        <f t="shared" si="4"/>
        <v>13.1</v>
      </c>
      <c r="AY53" s="211">
        <f t="shared" si="5"/>
        <v>11.061111111111112</v>
      </c>
    </row>
    <row r="54" spans="1:57" ht="14.25" customHeight="1" thickTop="1" thickBot="1">
      <c r="A54" s="216">
        <v>41</v>
      </c>
      <c r="B54" s="216"/>
      <c r="C54" s="217" t="s">
        <v>479</v>
      </c>
      <c r="D54" s="217"/>
      <c r="E54" s="217"/>
      <c r="F54" s="217"/>
      <c r="G54" s="217"/>
      <c r="H54" s="179" t="s">
        <v>382</v>
      </c>
      <c r="I54" s="179"/>
      <c r="J54" s="179"/>
      <c r="K54" s="179"/>
      <c r="L54" s="179"/>
      <c r="M54" s="179"/>
      <c r="N54" s="179"/>
      <c r="O54" s="221" t="s">
        <v>505</v>
      </c>
      <c r="P54" s="222"/>
      <c r="Q54" s="223"/>
      <c r="R54" s="72"/>
      <c r="S54" s="72"/>
      <c r="T54" s="72"/>
      <c r="U54" s="72"/>
      <c r="V54" s="72"/>
      <c r="W54" s="72"/>
      <c r="X54" s="72"/>
      <c r="Y54" s="72"/>
      <c r="Z54" s="109">
        <v>0</v>
      </c>
      <c r="AA54" s="106"/>
      <c r="AB54" s="118">
        <f t="shared" si="6"/>
        <v>0</v>
      </c>
      <c r="AC54" s="72"/>
      <c r="AD54" s="72">
        <v>1</v>
      </c>
      <c r="AE54" s="72"/>
      <c r="AF54" s="72"/>
      <c r="AG54" s="72"/>
      <c r="AH54" s="72"/>
      <c r="AI54" s="72">
        <v>1</v>
      </c>
      <c r="AJ54" s="72"/>
      <c r="AK54" s="72"/>
      <c r="AL54" s="72"/>
      <c r="AM54" s="72">
        <f t="shared" si="7"/>
        <v>4</v>
      </c>
      <c r="AN54" s="72">
        <v>2</v>
      </c>
      <c r="AO54" s="139">
        <v>2.5</v>
      </c>
      <c r="AP54" s="143">
        <f t="shared" si="2"/>
        <v>3.05</v>
      </c>
      <c r="AQ54" s="72"/>
      <c r="AR54" s="72"/>
      <c r="AS54" s="72"/>
      <c r="AT54" s="72"/>
      <c r="AU54" s="72"/>
      <c r="AV54" s="72">
        <f t="shared" si="3"/>
        <v>0</v>
      </c>
      <c r="AW54" s="198"/>
      <c r="AX54" s="199">
        <f t="shared" si="4"/>
        <v>0</v>
      </c>
      <c r="AY54" s="211">
        <f t="shared" si="5"/>
        <v>1.0166666666666666</v>
      </c>
    </row>
    <row r="55" spans="1:57" ht="15" customHeight="1" thickTop="1" thickBot="1">
      <c r="A55" s="216">
        <v>42</v>
      </c>
      <c r="B55" s="216"/>
      <c r="C55" s="217" t="s">
        <v>480</v>
      </c>
      <c r="D55" s="217"/>
      <c r="E55" s="217"/>
      <c r="F55" s="217"/>
      <c r="G55" s="217"/>
      <c r="H55" s="176" t="s">
        <v>385</v>
      </c>
      <c r="I55" s="177"/>
      <c r="J55" s="177"/>
      <c r="K55" s="177"/>
      <c r="L55" s="177"/>
      <c r="M55" s="177"/>
      <c r="N55" s="178"/>
      <c r="O55" s="221" t="s">
        <v>275</v>
      </c>
      <c r="P55" s="222"/>
      <c r="Q55" s="223"/>
      <c r="R55" s="72"/>
      <c r="S55" s="72"/>
      <c r="T55" s="72"/>
      <c r="U55" s="72">
        <v>1</v>
      </c>
      <c r="V55" s="72">
        <v>1</v>
      </c>
      <c r="W55" s="72"/>
      <c r="X55" s="72"/>
      <c r="Y55" s="72"/>
      <c r="Z55" s="109">
        <v>10</v>
      </c>
      <c r="AA55" s="106">
        <v>3</v>
      </c>
      <c r="AB55" s="118">
        <f t="shared" si="6"/>
        <v>4.1333333333333329</v>
      </c>
      <c r="AC55" s="72"/>
      <c r="AD55" s="72">
        <v>1</v>
      </c>
      <c r="AE55" s="72"/>
      <c r="AF55" s="72"/>
      <c r="AG55" s="72"/>
      <c r="AH55" s="72"/>
      <c r="AI55" s="72"/>
      <c r="AJ55" s="72"/>
      <c r="AK55" s="72"/>
      <c r="AL55" s="72"/>
      <c r="AM55" s="72">
        <f t="shared" si="7"/>
        <v>2</v>
      </c>
      <c r="AN55" s="72">
        <v>8</v>
      </c>
      <c r="AO55" s="139"/>
      <c r="AP55" s="143">
        <f t="shared" si="2"/>
        <v>1.6</v>
      </c>
      <c r="AQ55" s="72"/>
      <c r="AR55" s="72"/>
      <c r="AS55" s="72"/>
      <c r="AT55" s="72"/>
      <c r="AU55" s="72"/>
      <c r="AV55" s="72">
        <f t="shared" si="3"/>
        <v>0</v>
      </c>
      <c r="AW55" s="198"/>
      <c r="AX55" s="199">
        <f t="shared" si="4"/>
        <v>0</v>
      </c>
      <c r="AY55" s="211">
        <f t="shared" si="5"/>
        <v>1.9111111111111108</v>
      </c>
    </row>
    <row r="56" spans="1:57" ht="14.25" customHeight="1" thickTop="1" thickBot="1">
      <c r="A56" s="216">
        <v>43</v>
      </c>
      <c r="B56" s="216"/>
      <c r="C56" s="217" t="s">
        <v>481</v>
      </c>
      <c r="D56" s="217"/>
      <c r="E56" s="217"/>
      <c r="F56" s="217"/>
      <c r="G56" s="217"/>
      <c r="H56" s="179" t="s">
        <v>388</v>
      </c>
      <c r="I56" s="179"/>
      <c r="J56" s="179"/>
      <c r="K56" s="179"/>
      <c r="L56" s="179"/>
      <c r="M56" s="179"/>
      <c r="N56" s="179"/>
      <c r="O56" s="221" t="s">
        <v>277</v>
      </c>
      <c r="P56" s="222"/>
      <c r="Q56" s="223"/>
      <c r="R56" s="72"/>
      <c r="S56" s="72">
        <v>1</v>
      </c>
      <c r="T56" s="72"/>
      <c r="U56" s="72">
        <v>1</v>
      </c>
      <c r="V56" s="72">
        <v>1</v>
      </c>
      <c r="W56" s="72">
        <v>1</v>
      </c>
      <c r="X56" s="72">
        <v>1</v>
      </c>
      <c r="Y56" s="72"/>
      <c r="Z56" s="109">
        <v>10</v>
      </c>
      <c r="AA56" s="106">
        <v>6.5</v>
      </c>
      <c r="AB56" s="118">
        <f t="shared" si="6"/>
        <v>8.2333333333333343</v>
      </c>
      <c r="AC56" s="72"/>
      <c r="AD56" s="72">
        <v>1</v>
      </c>
      <c r="AE56" s="72">
        <v>1</v>
      </c>
      <c r="AF56" s="72">
        <v>1</v>
      </c>
      <c r="AG56" s="72">
        <v>0.5</v>
      </c>
      <c r="AH56" s="72"/>
      <c r="AI56" s="72">
        <v>1</v>
      </c>
      <c r="AJ56" s="72">
        <v>1</v>
      </c>
      <c r="AK56" s="72"/>
      <c r="AL56" s="72">
        <v>1</v>
      </c>
      <c r="AM56" s="72">
        <f t="shared" si="7"/>
        <v>13</v>
      </c>
      <c r="AN56" s="72">
        <v>13</v>
      </c>
      <c r="AO56" s="139">
        <v>1.5</v>
      </c>
      <c r="AP56" s="143">
        <f t="shared" si="2"/>
        <v>7.25</v>
      </c>
      <c r="AQ56" s="72">
        <v>1</v>
      </c>
      <c r="AR56" s="72">
        <v>1</v>
      </c>
      <c r="AS56" s="72">
        <v>1</v>
      </c>
      <c r="AT56" s="72"/>
      <c r="AU56" s="72">
        <v>1</v>
      </c>
      <c r="AV56" s="72">
        <f t="shared" si="3"/>
        <v>16</v>
      </c>
      <c r="AW56" s="198">
        <v>2.5</v>
      </c>
      <c r="AX56" s="199">
        <f t="shared" si="4"/>
        <v>7.9</v>
      </c>
      <c r="AY56" s="211">
        <f t="shared" si="5"/>
        <v>7.7944444444444443</v>
      </c>
      <c r="AZ56">
        <v>2.5</v>
      </c>
    </row>
    <row r="57" spans="1:57" ht="14.25" customHeight="1" thickTop="1" thickBot="1">
      <c r="A57" s="216">
        <v>44</v>
      </c>
      <c r="B57" s="216"/>
      <c r="C57" s="217" t="s">
        <v>482</v>
      </c>
      <c r="D57" s="217"/>
      <c r="E57" s="217"/>
      <c r="F57" s="217"/>
      <c r="G57" s="217"/>
      <c r="H57" s="179" t="s">
        <v>389</v>
      </c>
      <c r="I57" s="179"/>
      <c r="J57" s="179"/>
      <c r="K57" s="179"/>
      <c r="L57" s="179"/>
      <c r="M57" s="179"/>
      <c r="N57" s="179"/>
      <c r="O57" s="221" t="s">
        <v>239</v>
      </c>
      <c r="P57" s="222"/>
      <c r="Q57" s="223"/>
      <c r="R57" s="72" t="s">
        <v>82</v>
      </c>
      <c r="S57" s="72">
        <v>1</v>
      </c>
      <c r="T57" s="72">
        <v>1</v>
      </c>
      <c r="U57" s="72">
        <v>1</v>
      </c>
      <c r="V57" s="72">
        <v>1</v>
      </c>
      <c r="W57" s="72">
        <v>1</v>
      </c>
      <c r="X57" s="72">
        <v>2</v>
      </c>
      <c r="Y57" s="72">
        <v>1</v>
      </c>
      <c r="Z57" s="109">
        <v>20</v>
      </c>
      <c r="AA57" s="106">
        <v>12</v>
      </c>
      <c r="AB57" s="118">
        <f t="shared" si="6"/>
        <v>14.533333333333331</v>
      </c>
      <c r="AC57" s="72"/>
      <c r="AD57" s="72">
        <v>1</v>
      </c>
      <c r="AE57" s="72">
        <v>1</v>
      </c>
      <c r="AF57" s="72">
        <v>1</v>
      </c>
      <c r="AG57" s="72">
        <v>0.5</v>
      </c>
      <c r="AH57" s="72">
        <v>1</v>
      </c>
      <c r="AI57" s="72"/>
      <c r="AJ57" s="72">
        <v>1</v>
      </c>
      <c r="AK57" s="72"/>
      <c r="AL57" s="72">
        <v>1</v>
      </c>
      <c r="AM57" s="72">
        <f t="shared" si="7"/>
        <v>13</v>
      </c>
      <c r="AN57" s="72">
        <v>20</v>
      </c>
      <c r="AO57" s="139">
        <v>11.5</v>
      </c>
      <c r="AP57" s="143">
        <f t="shared" si="2"/>
        <v>12.95</v>
      </c>
      <c r="AQ57" s="72">
        <v>1</v>
      </c>
      <c r="AR57" s="72">
        <v>1</v>
      </c>
      <c r="AS57" s="72">
        <v>1</v>
      </c>
      <c r="AT57" s="72">
        <v>1</v>
      </c>
      <c r="AU57" s="72"/>
      <c r="AV57" s="72">
        <f t="shared" si="3"/>
        <v>16</v>
      </c>
      <c r="AW57" s="198">
        <v>5.5</v>
      </c>
      <c r="AX57" s="199">
        <f t="shared" si="4"/>
        <v>9.6999999999999993</v>
      </c>
      <c r="AY57" s="211">
        <f t="shared" si="5"/>
        <v>12.394444444444444</v>
      </c>
      <c r="BC57" s="107" t="s">
        <v>83</v>
      </c>
      <c r="BE57">
        <v>995522577</v>
      </c>
    </row>
    <row r="58" spans="1:57" ht="15" customHeight="1" thickTop="1" thickBot="1">
      <c r="A58" s="216">
        <v>45</v>
      </c>
      <c r="B58" s="216"/>
      <c r="C58" s="217" t="s">
        <v>483</v>
      </c>
      <c r="D58" s="217"/>
      <c r="E58" s="217"/>
      <c r="F58" s="217"/>
      <c r="G58" s="217"/>
      <c r="H58" s="179" t="s">
        <v>390</v>
      </c>
      <c r="I58" s="179"/>
      <c r="J58" s="179"/>
      <c r="K58" s="179"/>
      <c r="L58" s="179"/>
      <c r="M58" s="179"/>
      <c r="N58" s="179"/>
      <c r="O58" s="221" t="s">
        <v>278</v>
      </c>
      <c r="P58" s="222"/>
      <c r="Q58" s="223"/>
      <c r="R58" s="72"/>
      <c r="S58" s="72">
        <v>1</v>
      </c>
      <c r="T58" s="72">
        <v>1</v>
      </c>
      <c r="U58" s="72">
        <v>1</v>
      </c>
      <c r="V58" s="72">
        <v>1</v>
      </c>
      <c r="W58" s="72">
        <v>1</v>
      </c>
      <c r="X58" s="72">
        <v>2</v>
      </c>
      <c r="Y58" s="72">
        <v>1</v>
      </c>
      <c r="Z58" s="109">
        <v>20</v>
      </c>
      <c r="AA58" s="106">
        <v>15</v>
      </c>
      <c r="AB58" s="118">
        <f t="shared" si="6"/>
        <v>16.333333333333332</v>
      </c>
      <c r="AC58" s="72"/>
      <c r="AD58" s="72">
        <v>1</v>
      </c>
      <c r="AE58" s="72">
        <v>1</v>
      </c>
      <c r="AF58" s="72">
        <v>1</v>
      </c>
      <c r="AG58" s="72">
        <v>0.5</v>
      </c>
      <c r="AH58" s="72">
        <v>1</v>
      </c>
      <c r="AI58" s="72">
        <v>1</v>
      </c>
      <c r="AJ58" s="72">
        <v>1</v>
      </c>
      <c r="AK58" s="72">
        <v>1</v>
      </c>
      <c r="AL58" s="72">
        <v>1</v>
      </c>
      <c r="AM58" s="72">
        <f t="shared" si="7"/>
        <v>17</v>
      </c>
      <c r="AN58" s="72">
        <v>8</v>
      </c>
      <c r="AO58" s="139">
        <v>12.5</v>
      </c>
      <c r="AP58" s="143">
        <f t="shared" si="2"/>
        <v>13.850000000000001</v>
      </c>
      <c r="AQ58" s="72">
        <v>1</v>
      </c>
      <c r="AR58" s="72">
        <v>1</v>
      </c>
      <c r="AS58" s="72">
        <v>1</v>
      </c>
      <c r="AT58" s="72">
        <v>1</v>
      </c>
      <c r="AU58" s="72">
        <v>1</v>
      </c>
      <c r="AV58" s="72">
        <f t="shared" si="3"/>
        <v>20</v>
      </c>
      <c r="AW58" s="198">
        <v>18.5</v>
      </c>
      <c r="AX58" s="199">
        <f t="shared" si="4"/>
        <v>19.100000000000001</v>
      </c>
      <c r="AY58" s="211">
        <f t="shared" si="5"/>
        <v>16.427777777777777</v>
      </c>
    </row>
    <row r="59" spans="1:57" ht="14.25" customHeight="1" thickTop="1" thickBot="1">
      <c r="A59" s="216">
        <v>46</v>
      </c>
      <c r="B59" s="216"/>
      <c r="C59" s="217" t="s">
        <v>484</v>
      </c>
      <c r="D59" s="217"/>
      <c r="E59" s="217"/>
      <c r="F59" s="217"/>
      <c r="G59" s="217"/>
      <c r="H59" s="179" t="s">
        <v>391</v>
      </c>
      <c r="I59" s="179"/>
      <c r="J59" s="179"/>
      <c r="K59" s="179"/>
      <c r="L59" s="179"/>
      <c r="M59" s="179"/>
      <c r="N59" s="179"/>
      <c r="O59" s="221" t="s">
        <v>239</v>
      </c>
      <c r="P59" s="222"/>
      <c r="Q59" s="223"/>
      <c r="R59" s="72"/>
      <c r="S59" s="72">
        <v>1</v>
      </c>
      <c r="T59" s="72">
        <v>1</v>
      </c>
      <c r="U59" s="72">
        <v>1</v>
      </c>
      <c r="V59" s="72">
        <v>1</v>
      </c>
      <c r="W59" s="72">
        <v>1</v>
      </c>
      <c r="X59" s="72">
        <v>2</v>
      </c>
      <c r="Y59" s="72">
        <v>1</v>
      </c>
      <c r="Z59" s="109">
        <v>20</v>
      </c>
      <c r="AA59" s="106">
        <v>5.5</v>
      </c>
      <c r="AB59" s="118">
        <f t="shared" si="6"/>
        <v>10.633333333333333</v>
      </c>
      <c r="AC59" s="72">
        <v>0.5</v>
      </c>
      <c r="AD59" s="72">
        <v>1</v>
      </c>
      <c r="AE59" s="72"/>
      <c r="AF59" s="72">
        <v>1</v>
      </c>
      <c r="AG59" s="72">
        <v>0.5</v>
      </c>
      <c r="AH59" s="72"/>
      <c r="AI59" s="72">
        <v>1</v>
      </c>
      <c r="AJ59" s="72">
        <v>1</v>
      </c>
      <c r="AK59" s="72">
        <v>1</v>
      </c>
      <c r="AL59" s="72"/>
      <c r="AM59" s="72">
        <f t="shared" si="7"/>
        <v>12</v>
      </c>
      <c r="AN59" s="72">
        <v>18</v>
      </c>
      <c r="AO59" s="139">
        <v>9.5</v>
      </c>
      <c r="AP59" s="143">
        <f t="shared" si="2"/>
        <v>11.350000000000001</v>
      </c>
      <c r="AQ59" s="72"/>
      <c r="AR59" s="72"/>
      <c r="AS59" s="72"/>
      <c r="AT59" s="72"/>
      <c r="AU59" s="72"/>
      <c r="AV59" s="72">
        <f t="shared" si="3"/>
        <v>0</v>
      </c>
      <c r="AW59" s="198">
        <v>2</v>
      </c>
      <c r="AX59" s="199">
        <f t="shared" si="4"/>
        <v>1.2</v>
      </c>
      <c r="AY59" s="211">
        <f t="shared" si="5"/>
        <v>7.7277777777777779</v>
      </c>
    </row>
    <row r="60" spans="1:57" ht="17" customHeight="1" thickTop="1" thickBot="1">
      <c r="A60" s="216"/>
      <c r="B60" s="216"/>
      <c r="C60" s="217" t="s">
        <v>407</v>
      </c>
      <c r="D60" s="217"/>
      <c r="E60" s="217"/>
      <c r="F60" s="217"/>
      <c r="G60" s="217"/>
      <c r="H60" s="176" t="s">
        <v>314</v>
      </c>
      <c r="I60" s="177"/>
      <c r="J60" s="177"/>
      <c r="K60" s="177"/>
      <c r="L60" s="177"/>
      <c r="M60" s="177"/>
      <c r="N60" s="178"/>
      <c r="O60" s="221" t="s">
        <v>239</v>
      </c>
      <c r="P60" s="222"/>
      <c r="Q60" s="223"/>
      <c r="R60" s="72"/>
      <c r="S60" s="72">
        <v>1</v>
      </c>
      <c r="T60" s="72">
        <v>1</v>
      </c>
      <c r="U60" s="72">
        <v>1</v>
      </c>
      <c r="V60" s="72">
        <v>1</v>
      </c>
      <c r="W60" s="72">
        <v>1</v>
      </c>
      <c r="X60" s="72">
        <v>2</v>
      </c>
      <c r="Y60" s="72"/>
      <c r="Z60" s="109"/>
      <c r="AA60" s="106"/>
      <c r="AB60" s="118">
        <f t="shared" si="6"/>
        <v>4.6666666666666661</v>
      </c>
      <c r="AC60" s="72"/>
      <c r="AD60" s="72"/>
      <c r="AE60" s="72"/>
      <c r="AF60" s="72"/>
      <c r="AG60" s="72"/>
      <c r="AH60" s="72"/>
      <c r="AI60" s="72"/>
      <c r="AJ60" s="72"/>
      <c r="AK60" s="72"/>
      <c r="AL60" s="72"/>
      <c r="AM60" s="72">
        <f t="shared" si="7"/>
        <v>0</v>
      </c>
      <c r="AN60" s="72"/>
      <c r="AO60" s="139"/>
      <c r="AP60" s="143">
        <f t="shared" si="2"/>
        <v>0</v>
      </c>
      <c r="AQ60" s="72"/>
      <c r="AR60" s="72"/>
      <c r="AS60" s="72"/>
      <c r="AT60" s="72"/>
      <c r="AU60" s="72"/>
      <c r="AV60" s="72">
        <f t="shared" si="3"/>
        <v>0</v>
      </c>
      <c r="AW60" s="198"/>
      <c r="AX60" s="199">
        <f t="shared" si="4"/>
        <v>0</v>
      </c>
      <c r="AY60" s="211">
        <f t="shared" si="5"/>
        <v>1.5555555555555554</v>
      </c>
    </row>
    <row r="61" spans="1:57" ht="16" thickTop="1">
      <c r="R61">
        <v>1</v>
      </c>
      <c r="S61" s="100">
        <v>1</v>
      </c>
      <c r="T61" s="100">
        <v>1</v>
      </c>
      <c r="U61" s="100">
        <v>1</v>
      </c>
      <c r="V61" s="100">
        <v>1</v>
      </c>
      <c r="W61" s="100">
        <v>1</v>
      </c>
      <c r="X61" s="100">
        <v>2</v>
      </c>
      <c r="Y61" s="100">
        <v>1</v>
      </c>
      <c r="Z61" s="108">
        <v>20</v>
      </c>
      <c r="AA61" s="104">
        <v>20</v>
      </c>
      <c r="AB61" s="117">
        <f>+AA61*0.6+Z61*0.1+SUM(R61:Y61)/9*20*0.3</f>
        <v>20</v>
      </c>
      <c r="AC61">
        <v>1</v>
      </c>
      <c r="AD61" s="100">
        <v>1</v>
      </c>
      <c r="AE61" s="100">
        <v>1</v>
      </c>
      <c r="AF61" s="100">
        <v>1</v>
      </c>
      <c r="AG61" s="100">
        <v>1</v>
      </c>
      <c r="AH61" s="154">
        <v>1</v>
      </c>
      <c r="AI61" s="100">
        <v>1</v>
      </c>
      <c r="AJ61" s="100">
        <v>1</v>
      </c>
      <c r="AK61" s="100">
        <v>1</v>
      </c>
      <c r="AL61" s="100">
        <v>1</v>
      </c>
      <c r="AM61" s="72">
        <f t="shared" si="7"/>
        <v>20</v>
      </c>
      <c r="AN61" s="100">
        <v>20</v>
      </c>
      <c r="AO61" s="138">
        <v>20</v>
      </c>
      <c r="AP61" s="143">
        <f t="shared" si="2"/>
        <v>20</v>
      </c>
      <c r="AV61" s="72">
        <f t="shared" si="3"/>
        <v>0</v>
      </c>
      <c r="AX61" s="199">
        <f t="shared" si="4"/>
        <v>0</v>
      </c>
    </row>
    <row r="62" spans="1:57" ht="15" customHeight="1">
      <c r="A62" s="4"/>
      <c r="B62" s="4"/>
      <c r="C62" s="4"/>
      <c r="D62" s="4"/>
      <c r="E62" s="4"/>
      <c r="F62" s="4"/>
      <c r="G62" s="4"/>
      <c r="H62" s="196"/>
      <c r="I62" s="4"/>
      <c r="J62" s="229" t="s">
        <v>448</v>
      </c>
      <c r="K62" s="229"/>
      <c r="L62" s="229"/>
      <c r="M62" s="229"/>
      <c r="N62" s="229"/>
      <c r="O62" s="229"/>
      <c r="P62" s="229"/>
      <c r="Q62" s="229"/>
    </row>
    <row r="63" spans="1:57">
      <c r="A63" s="4"/>
      <c r="B63" s="4"/>
      <c r="C63" s="4"/>
      <c r="D63" s="4"/>
      <c r="E63" s="4"/>
      <c r="F63" s="4"/>
      <c r="G63" s="4"/>
      <c r="H63" s="196"/>
      <c r="I63" s="4"/>
      <c r="J63" s="4"/>
      <c r="K63" s="4"/>
      <c r="L63" s="4"/>
      <c r="M63" s="4"/>
      <c r="N63" s="4"/>
      <c r="O63" s="4"/>
      <c r="P63" s="4"/>
      <c r="Q63" s="4"/>
    </row>
    <row r="64" spans="1:57" ht="18">
      <c r="A64" s="4"/>
      <c r="B64" s="253"/>
      <c r="C64" s="253"/>
      <c r="D64" s="4"/>
      <c r="E64" s="4"/>
      <c r="F64" s="183" t="s">
        <v>367</v>
      </c>
      <c r="G64" s="183"/>
      <c r="H64" s="183"/>
      <c r="I64" s="183"/>
      <c r="J64" s="183"/>
      <c r="K64" s="183"/>
      <c r="L64" s="183"/>
      <c r="M64" s="183"/>
      <c r="N64" s="183"/>
      <c r="O64" s="183"/>
      <c r="P64" s="183"/>
      <c r="Q64" s="4"/>
    </row>
    <row r="65" spans="1:52" ht="15" customHeight="1">
      <c r="A65" s="4"/>
      <c r="B65" s="253"/>
      <c r="C65" s="253"/>
      <c r="D65" s="4"/>
      <c r="E65" s="4"/>
      <c r="F65" s="4"/>
      <c r="G65" s="4"/>
      <c r="H65" s="196"/>
      <c r="I65" s="4"/>
      <c r="J65" s="4"/>
      <c r="K65" s="259" t="s">
        <v>304</v>
      </c>
      <c r="L65" s="259"/>
      <c r="M65" s="259"/>
      <c r="N65" s="259"/>
      <c r="O65" s="259"/>
      <c r="P65" s="259"/>
      <c r="Q65" s="4"/>
    </row>
    <row r="66" spans="1:52">
      <c r="A66" s="4"/>
      <c r="B66" s="253"/>
      <c r="C66" s="253"/>
      <c r="D66" s="4"/>
      <c r="E66" s="4"/>
      <c r="F66" s="4"/>
      <c r="G66" s="4"/>
      <c r="H66" s="196"/>
      <c r="I66" s="4"/>
      <c r="J66" s="4"/>
      <c r="K66" s="4"/>
      <c r="L66" s="4"/>
      <c r="M66" s="4"/>
      <c r="N66" s="4"/>
      <c r="O66" s="4"/>
      <c r="P66" s="4"/>
      <c r="Q66" s="4"/>
    </row>
    <row r="67" spans="1:52">
      <c r="A67" s="4"/>
      <c r="B67" s="253"/>
      <c r="C67" s="253"/>
      <c r="D67" s="4"/>
      <c r="E67" s="186" t="s">
        <v>36</v>
      </c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4"/>
    </row>
    <row r="68" spans="1:52">
      <c r="A68" s="4"/>
      <c r="B68" s="253"/>
      <c r="C68" s="253"/>
      <c r="D68" s="4"/>
      <c r="E68" s="4"/>
      <c r="F68" s="4"/>
      <c r="G68" s="4"/>
      <c r="H68" s="196"/>
      <c r="I68" s="260" t="s">
        <v>392</v>
      </c>
      <c r="J68" s="260"/>
      <c r="K68" s="260"/>
      <c r="L68" s="260"/>
      <c r="M68" s="4"/>
      <c r="N68" s="4"/>
      <c r="O68" s="4"/>
      <c r="P68" s="4"/>
      <c r="Q68" s="4"/>
    </row>
    <row r="69" spans="1:52">
      <c r="A69" s="4"/>
      <c r="B69" s="4"/>
      <c r="C69" s="4"/>
      <c r="D69" s="4"/>
      <c r="E69" s="4"/>
      <c r="F69" s="4"/>
      <c r="G69" s="4"/>
      <c r="H69" s="196"/>
      <c r="I69" s="260"/>
      <c r="J69" s="260"/>
      <c r="K69" s="260"/>
      <c r="L69" s="260"/>
      <c r="M69" s="4"/>
      <c r="N69" s="4"/>
      <c r="O69" s="4"/>
      <c r="P69" s="4"/>
      <c r="Q69" s="4"/>
    </row>
    <row r="70" spans="1:52" ht="16" thickBot="1">
      <c r="A70" s="187"/>
      <c r="B70" s="187"/>
      <c r="C70" s="187"/>
      <c r="D70" s="187"/>
      <c r="E70" s="187"/>
      <c r="F70" s="187"/>
      <c r="G70" s="187"/>
      <c r="H70" s="187"/>
      <c r="I70" s="187"/>
      <c r="J70" s="187"/>
      <c r="K70" s="187"/>
      <c r="L70" s="187"/>
      <c r="M70" s="187"/>
      <c r="N70" s="187"/>
      <c r="O70" s="187"/>
      <c r="P70" s="187"/>
      <c r="Q70" s="187"/>
    </row>
    <row r="71" spans="1:52" ht="18" customHeight="1" thickTop="1" thickBot="1">
      <c r="A71" s="251" t="s">
        <v>322</v>
      </c>
      <c r="B71" s="251"/>
      <c r="C71" s="251"/>
      <c r="D71" s="251"/>
      <c r="E71" s="250" t="s">
        <v>37</v>
      </c>
      <c r="F71" s="250"/>
      <c r="G71" s="182" t="s">
        <v>147</v>
      </c>
      <c r="H71" s="182"/>
      <c r="I71" s="182"/>
      <c r="J71" s="248" t="s">
        <v>5</v>
      </c>
      <c r="K71" s="248"/>
      <c r="L71" s="248"/>
      <c r="M71" s="248"/>
      <c r="N71" s="248"/>
      <c r="O71" s="249"/>
      <c r="P71" s="245" t="s">
        <v>445</v>
      </c>
      <c r="Q71" s="246"/>
    </row>
    <row r="72" spans="1:52" ht="79" thickTop="1" thickBot="1">
      <c r="A72" s="251" t="s">
        <v>323</v>
      </c>
      <c r="B72" s="251"/>
      <c r="C72" s="251"/>
      <c r="D72" s="251"/>
      <c r="E72" s="185" t="s">
        <v>286</v>
      </c>
      <c r="F72" s="185"/>
      <c r="G72" s="185"/>
      <c r="H72" s="185"/>
      <c r="I72" s="185"/>
      <c r="J72" s="185"/>
      <c r="K72" s="185"/>
      <c r="L72" s="255" t="s">
        <v>60</v>
      </c>
      <c r="M72" s="255"/>
      <c r="N72" s="5" t="s">
        <v>394</v>
      </c>
      <c r="O72" s="7" t="s">
        <v>55</v>
      </c>
      <c r="P72" s="227" t="s">
        <v>449</v>
      </c>
      <c r="Q72" s="247"/>
    </row>
    <row r="73" spans="1:52" ht="79" thickTop="1" thickBot="1">
      <c r="A73" s="251" t="s">
        <v>324</v>
      </c>
      <c r="B73" s="251"/>
      <c r="C73" s="251"/>
      <c r="D73" s="251"/>
      <c r="E73" s="184" t="s">
        <v>287</v>
      </c>
      <c r="F73" s="184"/>
      <c r="G73" s="184"/>
      <c r="H73" s="184"/>
      <c r="I73" s="184"/>
      <c r="J73" s="184"/>
      <c r="K73" s="184"/>
      <c r="L73" s="184"/>
      <c r="M73" s="184"/>
      <c r="N73" s="184"/>
      <c r="O73" s="6" t="s">
        <v>56</v>
      </c>
      <c r="P73" s="248" t="s">
        <v>447</v>
      </c>
      <c r="Q73" s="249"/>
      <c r="AM73" s="153" t="s">
        <v>365</v>
      </c>
      <c r="AN73" s="153" t="s">
        <v>362</v>
      </c>
      <c r="AO73" s="152" t="s">
        <v>364</v>
      </c>
      <c r="AV73" s="114">
        <v>0.4</v>
      </c>
      <c r="AW73" s="197" t="s">
        <v>280</v>
      </c>
    </row>
    <row r="74" spans="1:52" ht="18" customHeight="1" thickTop="1" thickBot="1">
      <c r="A74" s="252" t="s">
        <v>325</v>
      </c>
      <c r="B74" s="252"/>
      <c r="C74" s="254" t="s">
        <v>326</v>
      </c>
      <c r="D74" s="254"/>
      <c r="E74" s="254"/>
      <c r="F74" s="254"/>
      <c r="G74" s="254"/>
      <c r="H74" s="181" t="s">
        <v>148</v>
      </c>
      <c r="I74" s="181"/>
      <c r="J74" s="181"/>
      <c r="K74" s="181"/>
      <c r="L74" s="181"/>
      <c r="M74" s="181"/>
      <c r="N74" s="181"/>
      <c r="O74" s="256" t="s">
        <v>57</v>
      </c>
      <c r="P74" s="257"/>
      <c r="Q74" s="258"/>
      <c r="R74" s="71" t="s">
        <v>303</v>
      </c>
      <c r="S74" s="71" t="s">
        <v>146</v>
      </c>
      <c r="T74" s="71" t="s">
        <v>40</v>
      </c>
      <c r="U74" s="71" t="s">
        <v>46</v>
      </c>
      <c r="V74" s="71" t="s">
        <v>49</v>
      </c>
      <c r="W74" s="71" t="s">
        <v>187</v>
      </c>
      <c r="X74" s="102" t="s">
        <v>189</v>
      </c>
      <c r="Y74" s="72"/>
      <c r="Z74" s="137" t="s">
        <v>329</v>
      </c>
      <c r="AA74" s="105" t="s">
        <v>408</v>
      </c>
      <c r="AB74" s="119" t="s">
        <v>71</v>
      </c>
      <c r="AC74" s="71" t="s">
        <v>183</v>
      </c>
      <c r="AD74" s="71"/>
      <c r="AE74" s="71" t="s">
        <v>512</v>
      </c>
      <c r="AF74" s="71" t="s">
        <v>338</v>
      </c>
      <c r="AG74" s="71" t="s">
        <v>339</v>
      </c>
      <c r="AH74" s="71" t="s">
        <v>340</v>
      </c>
      <c r="AI74" s="71" t="s">
        <v>337</v>
      </c>
      <c r="AJ74" s="71" t="s">
        <v>330</v>
      </c>
      <c r="AK74" s="71" t="s">
        <v>178</v>
      </c>
      <c r="AL74" s="71" t="s">
        <v>284</v>
      </c>
      <c r="AM74" s="71" t="s">
        <v>534</v>
      </c>
      <c r="AN74" s="72" t="s">
        <v>169</v>
      </c>
      <c r="AO74" s="139" t="s">
        <v>175</v>
      </c>
      <c r="AP74" s="141" t="s">
        <v>186</v>
      </c>
      <c r="AQ74" s="72"/>
      <c r="AR74" s="72"/>
      <c r="AS74" s="72" t="s">
        <v>251</v>
      </c>
      <c r="AT74" s="72" t="s">
        <v>252</v>
      </c>
      <c r="AU74" s="72" t="s">
        <v>249</v>
      </c>
      <c r="AV74" s="72" t="s">
        <v>279</v>
      </c>
      <c r="AW74" s="198" t="s">
        <v>213</v>
      </c>
      <c r="AX74" s="199" t="s">
        <v>214</v>
      </c>
      <c r="AZ74" t="s">
        <v>98</v>
      </c>
    </row>
    <row r="75" spans="1:52" ht="17" customHeight="1" thickTop="1" thickBot="1">
      <c r="A75" s="218">
        <v>1</v>
      </c>
      <c r="B75" s="218"/>
      <c r="C75" s="244" t="s">
        <v>492</v>
      </c>
      <c r="D75" s="244"/>
      <c r="E75" s="244"/>
      <c r="F75" s="244"/>
      <c r="G75" s="244"/>
      <c r="H75" s="180" t="s">
        <v>493</v>
      </c>
      <c r="I75" s="180"/>
      <c r="J75" s="180"/>
      <c r="K75" s="180"/>
      <c r="L75" s="180"/>
      <c r="M75" s="180"/>
      <c r="N75" s="180"/>
      <c r="O75" s="226" t="s">
        <v>274</v>
      </c>
      <c r="P75" s="227"/>
      <c r="Q75" s="228"/>
      <c r="R75" s="72"/>
      <c r="S75" s="72"/>
      <c r="T75" s="72"/>
      <c r="U75" s="72"/>
      <c r="V75" s="72"/>
      <c r="W75" s="72"/>
      <c r="X75" s="72"/>
      <c r="Y75" s="72"/>
      <c r="Z75" s="109">
        <v>6.6666666666666661</v>
      </c>
      <c r="AA75" s="106">
        <v>9</v>
      </c>
      <c r="AB75" s="118">
        <f>+AA75*0.6+Z75*0.1+SUM(R75:Y75)/7*20*0.3</f>
        <v>6.0666666666666664</v>
      </c>
      <c r="AC75" s="72"/>
      <c r="AD75" s="72"/>
      <c r="AE75" s="72"/>
      <c r="AF75" s="72"/>
      <c r="AG75" s="72"/>
      <c r="AH75" s="72"/>
      <c r="AI75" s="72"/>
      <c r="AJ75" s="72"/>
      <c r="AK75" s="72"/>
      <c r="AL75" s="72"/>
      <c r="AM75" s="72">
        <f t="shared" ref="AM75:AM120" si="8">SUM(AC75:AL75)/10*20</f>
        <v>0</v>
      </c>
      <c r="AN75" s="72">
        <v>3</v>
      </c>
      <c r="AO75" s="139"/>
      <c r="AP75" s="143">
        <f t="shared" ref="AP75:AP120" si="9">+AO75*0.5+AN75*0.1+AM75*0.4</f>
        <v>0.30000000000000004</v>
      </c>
      <c r="AQ75" s="72"/>
      <c r="AR75" s="72"/>
      <c r="AS75" s="72"/>
      <c r="AT75" s="72"/>
      <c r="AU75" s="72"/>
      <c r="AV75" s="72">
        <f t="shared" ref="AV75:AV120" si="10">SUM(AQ75:AU75)/5*20</f>
        <v>0</v>
      </c>
      <c r="AW75" s="198">
        <v>5.5</v>
      </c>
      <c r="AX75" s="199">
        <f t="shared" ref="AX75:AX120" si="11">+AW75*0.6+AV75*0.4</f>
        <v>3.3</v>
      </c>
      <c r="AY75" s="211">
        <f t="shared" ref="AY75:AY119" si="12">AVERAGE(AX75,AP75,AB75)</f>
        <v>3.2222222222222219</v>
      </c>
    </row>
    <row r="76" spans="1:52" ht="17" customHeight="1" thickTop="1" thickBot="1">
      <c r="A76" s="218">
        <v>2</v>
      </c>
      <c r="B76" s="218"/>
      <c r="C76" s="244" t="s">
        <v>494</v>
      </c>
      <c r="D76" s="244"/>
      <c r="E76" s="244"/>
      <c r="F76" s="244"/>
      <c r="G76" s="244"/>
      <c r="H76" s="180" t="s">
        <v>427</v>
      </c>
      <c r="I76" s="180"/>
      <c r="J76" s="180"/>
      <c r="K76" s="180"/>
      <c r="L76" s="180"/>
      <c r="M76" s="180"/>
      <c r="N76" s="180"/>
      <c r="O76" s="226" t="s">
        <v>428</v>
      </c>
      <c r="P76" s="227"/>
      <c r="Q76" s="228"/>
      <c r="R76" s="72"/>
      <c r="S76" s="72">
        <v>1</v>
      </c>
      <c r="T76" s="72"/>
      <c r="U76" s="72">
        <v>1</v>
      </c>
      <c r="V76" s="72"/>
      <c r="W76" s="72">
        <v>1</v>
      </c>
      <c r="X76" s="72">
        <v>2</v>
      </c>
      <c r="Y76" s="72">
        <v>1</v>
      </c>
      <c r="Z76" s="109">
        <v>20</v>
      </c>
      <c r="AA76" s="106">
        <v>3.5</v>
      </c>
      <c r="AB76" s="118">
        <f>+AA76*0.6+Z76*0.1+SUM(R76:Y76)/7*20*0.3</f>
        <v>9.242857142857142</v>
      </c>
      <c r="AC76" s="72">
        <v>1</v>
      </c>
      <c r="AD76" s="72">
        <v>1</v>
      </c>
      <c r="AE76" s="72">
        <v>1</v>
      </c>
      <c r="AF76" s="72">
        <v>1</v>
      </c>
      <c r="AG76" s="72">
        <v>0.5</v>
      </c>
      <c r="AH76" s="72">
        <v>1</v>
      </c>
      <c r="AI76" s="72"/>
      <c r="AJ76" s="72">
        <v>1</v>
      </c>
      <c r="AK76" s="72">
        <v>1</v>
      </c>
      <c r="AL76" s="72">
        <v>1</v>
      </c>
      <c r="AM76" s="72">
        <f t="shared" si="8"/>
        <v>17</v>
      </c>
      <c r="AN76" s="72">
        <v>20</v>
      </c>
      <c r="AO76" s="139">
        <v>4.5</v>
      </c>
      <c r="AP76" s="143">
        <f t="shared" si="9"/>
        <v>11.05</v>
      </c>
      <c r="AQ76" s="72">
        <v>1</v>
      </c>
      <c r="AR76" s="72">
        <v>1</v>
      </c>
      <c r="AS76" s="72">
        <v>1</v>
      </c>
      <c r="AT76" s="72">
        <v>1</v>
      </c>
      <c r="AU76" s="72">
        <v>1</v>
      </c>
      <c r="AV76" s="72">
        <f t="shared" si="10"/>
        <v>20</v>
      </c>
      <c r="AW76" s="198">
        <v>12</v>
      </c>
      <c r="AX76" s="199">
        <f t="shared" si="11"/>
        <v>15.2</v>
      </c>
      <c r="AY76" s="211">
        <f t="shared" si="12"/>
        <v>11.830952380952381</v>
      </c>
    </row>
    <row r="77" spans="1:52" ht="17" customHeight="1" thickTop="1" thickBot="1">
      <c r="A77" s="218">
        <v>3</v>
      </c>
      <c r="B77" s="218"/>
      <c r="C77" s="244" t="s">
        <v>429</v>
      </c>
      <c r="D77" s="244"/>
      <c r="E77" s="244"/>
      <c r="F77" s="244"/>
      <c r="G77" s="244"/>
      <c r="H77" s="180" t="s">
        <v>430</v>
      </c>
      <c r="I77" s="180"/>
      <c r="J77" s="180"/>
      <c r="K77" s="180"/>
      <c r="L77" s="180"/>
      <c r="M77" s="180"/>
      <c r="N77" s="180"/>
      <c r="O77" s="226" t="s">
        <v>275</v>
      </c>
      <c r="P77" s="227"/>
      <c r="Q77" s="228"/>
      <c r="R77" s="72"/>
      <c r="S77" s="72">
        <v>1</v>
      </c>
      <c r="T77" s="72"/>
      <c r="U77" s="72">
        <v>1</v>
      </c>
      <c r="V77" s="72"/>
      <c r="W77" s="72">
        <v>1</v>
      </c>
      <c r="X77" s="72">
        <v>2</v>
      </c>
      <c r="Y77" s="72">
        <v>1</v>
      </c>
      <c r="Z77" s="109">
        <v>20</v>
      </c>
      <c r="AA77" s="106">
        <v>5.5</v>
      </c>
      <c r="AB77" s="118">
        <f>+AA77*0.6+Z77*0.1+SUM(R77:Y77)/7*20*0.3</f>
        <v>10.442857142857143</v>
      </c>
      <c r="AC77" s="72"/>
      <c r="AD77" s="72">
        <v>1</v>
      </c>
      <c r="AE77" s="72">
        <v>1</v>
      </c>
      <c r="AF77" s="72">
        <v>1</v>
      </c>
      <c r="AG77" s="72">
        <v>0.5</v>
      </c>
      <c r="AH77" s="72">
        <v>1</v>
      </c>
      <c r="AI77" s="72"/>
      <c r="AJ77" s="72">
        <v>1</v>
      </c>
      <c r="AK77" s="72">
        <v>1</v>
      </c>
      <c r="AL77" s="72">
        <v>1</v>
      </c>
      <c r="AM77" s="72">
        <f t="shared" si="8"/>
        <v>15</v>
      </c>
      <c r="AN77" s="72">
        <v>20</v>
      </c>
      <c r="AO77" s="139">
        <v>6</v>
      </c>
      <c r="AP77" s="143">
        <f t="shared" si="9"/>
        <v>11</v>
      </c>
      <c r="AQ77" s="72">
        <v>1</v>
      </c>
      <c r="AR77" s="72">
        <v>1</v>
      </c>
      <c r="AS77" s="72">
        <v>1</v>
      </c>
      <c r="AT77" s="72">
        <v>1</v>
      </c>
      <c r="AU77" s="72">
        <v>1</v>
      </c>
      <c r="AV77" s="72">
        <f t="shared" si="10"/>
        <v>20</v>
      </c>
      <c r="AW77" s="198">
        <v>4.5</v>
      </c>
      <c r="AX77" s="199">
        <f t="shared" si="11"/>
        <v>10.7</v>
      </c>
      <c r="AY77" s="211">
        <f t="shared" si="12"/>
        <v>10.714285714285714</v>
      </c>
    </row>
    <row r="78" spans="1:52" ht="17" customHeight="1" thickTop="1" thickBot="1">
      <c r="A78" s="218">
        <v>4</v>
      </c>
      <c r="B78" s="218"/>
      <c r="C78" s="244" t="s">
        <v>431</v>
      </c>
      <c r="D78" s="244"/>
      <c r="E78" s="244"/>
      <c r="F78" s="244"/>
      <c r="G78" s="244"/>
      <c r="H78" s="180" t="s">
        <v>432</v>
      </c>
      <c r="I78" s="180"/>
      <c r="J78" s="180"/>
      <c r="K78" s="180"/>
      <c r="L78" s="180"/>
      <c r="M78" s="180"/>
      <c r="N78" s="180"/>
      <c r="O78" s="226" t="s">
        <v>276</v>
      </c>
      <c r="P78" s="227"/>
      <c r="Q78" s="228"/>
      <c r="R78" s="72"/>
      <c r="S78" s="72">
        <v>1</v>
      </c>
      <c r="T78" s="72"/>
      <c r="U78" s="72">
        <v>1</v>
      </c>
      <c r="V78" s="72"/>
      <c r="W78" s="72">
        <v>1</v>
      </c>
      <c r="X78" s="72">
        <v>2</v>
      </c>
      <c r="Y78" s="72"/>
      <c r="Z78" s="109">
        <v>20</v>
      </c>
      <c r="AA78" s="106">
        <v>9.5</v>
      </c>
      <c r="AB78" s="118">
        <f>+AA78*0.6+Z78*0.1+SUM(R78:Y78)/7*20*0.3</f>
        <v>11.985714285714286</v>
      </c>
      <c r="AC78" s="72">
        <v>1</v>
      </c>
      <c r="AD78" s="72">
        <v>1</v>
      </c>
      <c r="AE78" s="72">
        <v>1</v>
      </c>
      <c r="AF78" s="72"/>
      <c r="AG78" s="72">
        <v>0.5</v>
      </c>
      <c r="AH78" s="72">
        <v>1</v>
      </c>
      <c r="AI78" s="72"/>
      <c r="AJ78" s="72">
        <v>1</v>
      </c>
      <c r="AK78" s="72"/>
      <c r="AL78" s="72">
        <v>1</v>
      </c>
      <c r="AM78" s="72">
        <f t="shared" si="8"/>
        <v>13</v>
      </c>
      <c r="AN78" s="72">
        <v>18</v>
      </c>
      <c r="AO78" s="139">
        <v>14</v>
      </c>
      <c r="AP78" s="143">
        <f t="shared" si="9"/>
        <v>14</v>
      </c>
      <c r="AQ78" s="72">
        <v>1</v>
      </c>
      <c r="AR78" s="72">
        <v>1</v>
      </c>
      <c r="AS78" s="72">
        <v>1</v>
      </c>
      <c r="AT78" s="72">
        <v>1</v>
      </c>
      <c r="AU78" s="72">
        <v>1</v>
      </c>
      <c r="AV78" s="72">
        <f t="shared" si="10"/>
        <v>20</v>
      </c>
      <c r="AW78" s="198">
        <v>6.5</v>
      </c>
      <c r="AX78" s="199">
        <f t="shared" si="11"/>
        <v>11.9</v>
      </c>
      <c r="AY78" s="211">
        <f t="shared" si="12"/>
        <v>12.628571428571428</v>
      </c>
    </row>
    <row r="79" spans="1:52" ht="17" customHeight="1" thickTop="1" thickBot="1">
      <c r="A79" s="218">
        <v>5</v>
      </c>
      <c r="B79" s="218"/>
      <c r="C79" s="244" t="s">
        <v>422</v>
      </c>
      <c r="D79" s="244"/>
      <c r="E79" s="244"/>
      <c r="F79" s="244"/>
      <c r="G79" s="244"/>
      <c r="H79" s="180" t="s">
        <v>423</v>
      </c>
      <c r="I79" s="180"/>
      <c r="J79" s="180"/>
      <c r="K79" s="180"/>
      <c r="L79" s="180"/>
      <c r="M79" s="180"/>
      <c r="N79" s="180"/>
      <c r="O79" s="226" t="s">
        <v>276</v>
      </c>
      <c r="P79" s="227"/>
      <c r="Q79" s="228"/>
      <c r="R79" s="72"/>
      <c r="S79" s="72">
        <v>1</v>
      </c>
      <c r="T79" s="72"/>
      <c r="U79" s="72">
        <v>1</v>
      </c>
      <c r="V79" s="72"/>
      <c r="W79" s="72">
        <v>1</v>
      </c>
      <c r="X79" s="72">
        <v>2</v>
      </c>
      <c r="Y79" s="72">
        <v>1</v>
      </c>
      <c r="Z79" s="109">
        <v>16.666666666666668</v>
      </c>
      <c r="AA79" s="106"/>
      <c r="AB79" s="123">
        <f>+AA79*0.6+Z79*0.1+SUM(R79:Y79)/7*20*0.3 + 1</f>
        <v>7.8095238095238093</v>
      </c>
      <c r="AC79" s="72">
        <v>1</v>
      </c>
      <c r="AD79" s="72">
        <v>1</v>
      </c>
      <c r="AE79" s="72">
        <v>1</v>
      </c>
      <c r="AF79" s="72">
        <v>1</v>
      </c>
      <c r="AG79" s="72"/>
      <c r="AH79" s="72">
        <v>1</v>
      </c>
      <c r="AI79" s="72"/>
      <c r="AJ79" s="72">
        <v>1</v>
      </c>
      <c r="AK79" s="72">
        <v>1</v>
      </c>
      <c r="AL79" s="72">
        <v>1</v>
      </c>
      <c r="AM79" s="72">
        <f t="shared" si="8"/>
        <v>16</v>
      </c>
      <c r="AN79" s="72">
        <v>15</v>
      </c>
      <c r="AO79" s="139">
        <v>9.5</v>
      </c>
      <c r="AP79" s="123">
        <f>+AO79*0.5+AN79*0.1+AM79*0.4+1</f>
        <v>13.65</v>
      </c>
      <c r="AQ79" s="72"/>
      <c r="AR79" s="72">
        <v>1</v>
      </c>
      <c r="AS79" s="72"/>
      <c r="AT79" s="72"/>
      <c r="AU79" s="72">
        <v>1</v>
      </c>
      <c r="AV79" s="72">
        <f t="shared" si="10"/>
        <v>8</v>
      </c>
      <c r="AW79" s="198">
        <v>4</v>
      </c>
      <c r="AX79" s="199">
        <f t="shared" si="11"/>
        <v>5.6</v>
      </c>
      <c r="AY79" s="211">
        <f t="shared" si="12"/>
        <v>9.0198412698412707</v>
      </c>
      <c r="AZ79">
        <v>3.5</v>
      </c>
    </row>
    <row r="80" spans="1:52" ht="17" customHeight="1" thickTop="1" thickBot="1">
      <c r="A80" s="218">
        <v>6</v>
      </c>
      <c r="B80" s="218"/>
      <c r="C80" s="244" t="s">
        <v>424</v>
      </c>
      <c r="D80" s="244"/>
      <c r="E80" s="244"/>
      <c r="F80" s="244"/>
      <c r="G80" s="244"/>
      <c r="H80" s="180" t="s">
        <v>425</v>
      </c>
      <c r="I80" s="180"/>
      <c r="J80" s="180"/>
      <c r="K80" s="180"/>
      <c r="L80" s="180"/>
      <c r="M80" s="180"/>
      <c r="N80" s="180"/>
      <c r="O80" s="226" t="s">
        <v>495</v>
      </c>
      <c r="P80" s="227"/>
      <c r="Q80" s="228"/>
      <c r="R80" s="72"/>
      <c r="S80" s="72">
        <v>1</v>
      </c>
      <c r="T80" s="72"/>
      <c r="U80" s="72">
        <v>1</v>
      </c>
      <c r="V80" s="72"/>
      <c r="W80" s="72">
        <v>1</v>
      </c>
      <c r="X80" s="72">
        <v>2</v>
      </c>
      <c r="Y80" s="72">
        <v>1</v>
      </c>
      <c r="Z80" s="109">
        <v>20</v>
      </c>
      <c r="AA80" s="106">
        <v>4</v>
      </c>
      <c r="AB80" s="118">
        <f t="shared" ref="AB80:AB86" si="13">+AA80*0.6+Z80*0.1+SUM(R80:Y80)/7*20*0.3</f>
        <v>9.5428571428571427</v>
      </c>
      <c r="AC80" s="72">
        <v>1</v>
      </c>
      <c r="AD80" s="72">
        <v>1</v>
      </c>
      <c r="AE80" s="72">
        <v>1</v>
      </c>
      <c r="AF80" s="72"/>
      <c r="AG80" s="72">
        <v>0.5</v>
      </c>
      <c r="AH80" s="72"/>
      <c r="AI80" s="72"/>
      <c r="AJ80" s="72"/>
      <c r="AK80" s="72"/>
      <c r="AL80" s="72"/>
      <c r="AM80" s="72">
        <f t="shared" si="8"/>
        <v>7</v>
      </c>
      <c r="AN80" s="72">
        <v>18</v>
      </c>
      <c r="AO80" s="139">
        <v>9.5</v>
      </c>
      <c r="AP80" s="143">
        <f t="shared" si="9"/>
        <v>9.35</v>
      </c>
      <c r="AQ80" s="72">
        <v>1</v>
      </c>
      <c r="AR80" s="72">
        <v>1</v>
      </c>
      <c r="AS80" s="72">
        <v>1</v>
      </c>
      <c r="AT80" s="72">
        <v>1</v>
      </c>
      <c r="AU80" s="72">
        <v>1</v>
      </c>
      <c r="AV80" s="72">
        <f t="shared" si="10"/>
        <v>20</v>
      </c>
      <c r="AW80" s="198">
        <v>13.5</v>
      </c>
      <c r="AX80" s="199">
        <f t="shared" si="11"/>
        <v>16.100000000000001</v>
      </c>
      <c r="AY80" s="211">
        <f t="shared" si="12"/>
        <v>11.664285714285716</v>
      </c>
    </row>
    <row r="81" spans="1:55" ht="17" customHeight="1" thickTop="1" thickBot="1">
      <c r="A81" s="218">
        <v>7</v>
      </c>
      <c r="B81" s="218"/>
      <c r="C81" s="244" t="s">
        <v>496</v>
      </c>
      <c r="D81" s="244"/>
      <c r="E81" s="244"/>
      <c r="F81" s="244"/>
      <c r="G81" s="244"/>
      <c r="H81" s="180" t="s">
        <v>497</v>
      </c>
      <c r="I81" s="180"/>
      <c r="J81" s="180"/>
      <c r="K81" s="180"/>
      <c r="L81" s="180"/>
      <c r="M81" s="180"/>
      <c r="N81" s="180"/>
      <c r="O81" s="226" t="s">
        <v>239</v>
      </c>
      <c r="P81" s="227"/>
      <c r="Q81" s="228"/>
      <c r="R81" s="72"/>
      <c r="S81" s="72">
        <v>1</v>
      </c>
      <c r="T81" s="72"/>
      <c r="U81" s="72"/>
      <c r="V81" s="72"/>
      <c r="W81" s="72"/>
      <c r="X81" s="72"/>
      <c r="Y81" s="72"/>
      <c r="Z81" s="109">
        <v>20</v>
      </c>
      <c r="AA81" s="106">
        <v>9</v>
      </c>
      <c r="AB81" s="118">
        <f t="shared" si="13"/>
        <v>8.2571428571428562</v>
      </c>
      <c r="AC81" s="72">
        <v>1</v>
      </c>
      <c r="AD81" s="72">
        <v>1</v>
      </c>
      <c r="AE81" s="72"/>
      <c r="AF81" s="72"/>
      <c r="AG81" s="72">
        <v>0.5</v>
      </c>
      <c r="AH81" s="72">
        <v>1</v>
      </c>
      <c r="AI81" s="72"/>
      <c r="AJ81" s="72"/>
      <c r="AK81" s="72"/>
      <c r="AL81" s="72">
        <v>1</v>
      </c>
      <c r="AM81" s="72">
        <f t="shared" si="8"/>
        <v>9</v>
      </c>
      <c r="AN81" s="72">
        <v>18</v>
      </c>
      <c r="AO81" s="139">
        <v>6.5</v>
      </c>
      <c r="AP81" s="143">
        <f t="shared" si="9"/>
        <v>8.65</v>
      </c>
      <c r="AQ81" s="72">
        <v>1</v>
      </c>
      <c r="AR81" s="72">
        <v>1</v>
      </c>
      <c r="AS81" s="72">
        <v>1</v>
      </c>
      <c r="AT81" s="72">
        <v>1</v>
      </c>
      <c r="AU81" s="72"/>
      <c r="AV81" s="72">
        <f t="shared" si="10"/>
        <v>16</v>
      </c>
      <c r="AW81" s="198">
        <v>5.5</v>
      </c>
      <c r="AX81" s="199">
        <f t="shared" si="11"/>
        <v>9.6999999999999993</v>
      </c>
      <c r="AY81" s="211">
        <f t="shared" si="12"/>
        <v>8.8690476190476186</v>
      </c>
    </row>
    <row r="82" spans="1:55" ht="17" customHeight="1" thickTop="1" thickBot="1">
      <c r="A82" s="218">
        <v>8</v>
      </c>
      <c r="B82" s="218"/>
      <c r="C82" s="244" t="s">
        <v>498</v>
      </c>
      <c r="D82" s="244"/>
      <c r="E82" s="244"/>
      <c r="F82" s="244"/>
      <c r="G82" s="244"/>
      <c r="H82" s="180" t="s">
        <v>264</v>
      </c>
      <c r="I82" s="180"/>
      <c r="J82" s="180"/>
      <c r="K82" s="180"/>
      <c r="L82" s="180"/>
      <c r="M82" s="180"/>
      <c r="N82" s="180"/>
      <c r="O82" s="226" t="s">
        <v>276</v>
      </c>
      <c r="P82" s="227"/>
      <c r="Q82" s="228"/>
      <c r="R82" s="72"/>
      <c r="S82" s="72">
        <v>1</v>
      </c>
      <c r="T82" s="72"/>
      <c r="U82" s="72">
        <v>1</v>
      </c>
      <c r="V82" s="72"/>
      <c r="W82" s="72"/>
      <c r="X82" s="72"/>
      <c r="Y82" s="72"/>
      <c r="Z82" s="109">
        <v>10</v>
      </c>
      <c r="AA82" s="106">
        <v>12</v>
      </c>
      <c r="AB82" s="118">
        <f t="shared" si="13"/>
        <v>9.9142857142857128</v>
      </c>
      <c r="AC82" s="72"/>
      <c r="AD82" s="72"/>
      <c r="AE82" s="72"/>
      <c r="AF82" s="72"/>
      <c r="AG82" s="72"/>
      <c r="AH82" s="72"/>
      <c r="AI82" s="72"/>
      <c r="AJ82" s="72"/>
      <c r="AK82" s="72"/>
      <c r="AL82" s="72"/>
      <c r="AM82" s="72">
        <f t="shared" si="8"/>
        <v>0</v>
      </c>
      <c r="AN82" s="72">
        <v>6</v>
      </c>
      <c r="AO82" s="139"/>
      <c r="AP82" s="143">
        <f t="shared" si="9"/>
        <v>0.60000000000000009</v>
      </c>
      <c r="AQ82" s="72"/>
      <c r="AR82" s="72"/>
      <c r="AS82" s="72"/>
      <c r="AT82" s="72"/>
      <c r="AU82" s="72"/>
      <c r="AV82" s="72">
        <f t="shared" si="10"/>
        <v>0</v>
      </c>
      <c r="AW82" s="198"/>
      <c r="AX82" s="199">
        <f t="shared" si="11"/>
        <v>0</v>
      </c>
      <c r="AY82" s="211">
        <f t="shared" si="12"/>
        <v>3.5047619047619043</v>
      </c>
    </row>
    <row r="83" spans="1:55" ht="17" customHeight="1" thickTop="1" thickBot="1">
      <c r="A83" s="218">
        <v>9</v>
      </c>
      <c r="B83" s="218"/>
      <c r="C83" s="244" t="s">
        <v>265</v>
      </c>
      <c r="D83" s="244"/>
      <c r="E83" s="244"/>
      <c r="F83" s="244"/>
      <c r="G83" s="244"/>
      <c r="H83" s="180" t="s">
        <v>102</v>
      </c>
      <c r="I83" s="180"/>
      <c r="J83" s="180"/>
      <c r="K83" s="180"/>
      <c r="L83" s="180"/>
      <c r="M83" s="180"/>
      <c r="N83" s="180"/>
      <c r="O83" s="226" t="s">
        <v>275</v>
      </c>
      <c r="P83" s="227"/>
      <c r="Q83" s="228"/>
      <c r="R83" s="72"/>
      <c r="S83" s="72"/>
      <c r="T83" s="72"/>
      <c r="U83" s="72"/>
      <c r="V83" s="72"/>
      <c r="W83" s="72"/>
      <c r="X83" s="72"/>
      <c r="Y83" s="72"/>
      <c r="Z83" s="109">
        <v>3.333333333333333</v>
      </c>
      <c r="AA83" s="106"/>
      <c r="AB83" s="118">
        <f t="shared" si="13"/>
        <v>0.33333333333333331</v>
      </c>
      <c r="AC83" s="72"/>
      <c r="AD83" s="72"/>
      <c r="AE83" s="72"/>
      <c r="AF83" s="72"/>
      <c r="AG83" s="72"/>
      <c r="AH83" s="72"/>
      <c r="AI83" s="72"/>
      <c r="AJ83" s="72"/>
      <c r="AK83" s="72"/>
      <c r="AL83" s="72"/>
      <c r="AM83" s="72">
        <f t="shared" si="8"/>
        <v>0</v>
      </c>
      <c r="AN83" s="72">
        <v>2</v>
      </c>
      <c r="AO83" s="139"/>
      <c r="AP83" s="143">
        <f t="shared" si="9"/>
        <v>0.2</v>
      </c>
      <c r="AQ83" s="72"/>
      <c r="AR83" s="72"/>
      <c r="AS83" s="72"/>
      <c r="AT83" s="72"/>
      <c r="AU83" s="72"/>
      <c r="AV83" s="72">
        <f t="shared" si="10"/>
        <v>0</v>
      </c>
      <c r="AW83" s="198"/>
      <c r="AX83" s="199">
        <f t="shared" si="11"/>
        <v>0</v>
      </c>
      <c r="AY83" s="211">
        <f t="shared" si="12"/>
        <v>0.17777777777777778</v>
      </c>
    </row>
    <row r="84" spans="1:55" ht="17" customHeight="1" thickTop="1" thickBot="1">
      <c r="A84" s="218">
        <v>10</v>
      </c>
      <c r="B84" s="218"/>
      <c r="C84" s="244" t="s">
        <v>103</v>
      </c>
      <c r="D84" s="244"/>
      <c r="E84" s="244"/>
      <c r="F84" s="244"/>
      <c r="G84" s="244"/>
      <c r="H84" s="180" t="s">
        <v>104</v>
      </c>
      <c r="I84" s="180"/>
      <c r="J84" s="180"/>
      <c r="K84" s="180"/>
      <c r="L84" s="180"/>
      <c r="M84" s="180"/>
      <c r="N84" s="180"/>
      <c r="O84" s="226" t="s">
        <v>438</v>
      </c>
      <c r="P84" s="227"/>
      <c r="Q84" s="228"/>
      <c r="R84" s="72"/>
      <c r="S84" s="72">
        <v>1</v>
      </c>
      <c r="T84" s="72"/>
      <c r="U84" s="72">
        <v>1</v>
      </c>
      <c r="V84" s="72"/>
      <c r="W84" s="72"/>
      <c r="X84" s="72"/>
      <c r="Y84" s="72"/>
      <c r="Z84" s="109">
        <v>13.333333333333332</v>
      </c>
      <c r="AA84" s="106">
        <v>4</v>
      </c>
      <c r="AB84" s="118">
        <f t="shared" si="13"/>
        <v>5.4476190476190478</v>
      </c>
      <c r="AC84" s="72"/>
      <c r="AD84" s="72"/>
      <c r="AE84" s="72"/>
      <c r="AF84" s="72"/>
      <c r="AG84" s="72"/>
      <c r="AH84" s="72"/>
      <c r="AI84" s="72"/>
      <c r="AJ84" s="72"/>
      <c r="AK84" s="72"/>
      <c r="AL84" s="72"/>
      <c r="AM84" s="72">
        <f t="shared" si="8"/>
        <v>0</v>
      </c>
      <c r="AN84" s="72">
        <v>15</v>
      </c>
      <c r="AO84" s="139">
        <v>15</v>
      </c>
      <c r="AP84" s="143">
        <f t="shared" si="9"/>
        <v>9</v>
      </c>
      <c r="AQ84" s="72"/>
      <c r="AR84" s="72"/>
      <c r="AS84" s="72"/>
      <c r="AT84" s="72"/>
      <c r="AU84" s="72"/>
      <c r="AV84" s="72">
        <f t="shared" si="10"/>
        <v>0</v>
      </c>
      <c r="AW84" s="198">
        <v>5</v>
      </c>
      <c r="AX84" s="199">
        <f t="shared" si="11"/>
        <v>3</v>
      </c>
      <c r="AY84" s="211">
        <f t="shared" si="12"/>
        <v>5.8158730158730165</v>
      </c>
    </row>
    <row r="85" spans="1:55" ht="17" customHeight="1" thickTop="1" thickBot="1">
      <c r="A85" s="218">
        <v>11</v>
      </c>
      <c r="B85" s="218"/>
      <c r="C85" s="244" t="s">
        <v>105</v>
      </c>
      <c r="D85" s="244"/>
      <c r="E85" s="244"/>
      <c r="F85" s="244"/>
      <c r="G85" s="244"/>
      <c r="H85" s="180" t="s">
        <v>318</v>
      </c>
      <c r="I85" s="180"/>
      <c r="J85" s="180"/>
      <c r="K85" s="180"/>
      <c r="L85" s="180"/>
      <c r="M85" s="180"/>
      <c r="N85" s="180"/>
      <c r="O85" s="226" t="s">
        <v>435</v>
      </c>
      <c r="P85" s="227"/>
      <c r="Q85" s="228"/>
      <c r="R85" s="72"/>
      <c r="S85" s="72">
        <v>1</v>
      </c>
      <c r="T85" s="72"/>
      <c r="U85" s="72">
        <v>1</v>
      </c>
      <c r="V85" s="72"/>
      <c r="W85" s="72">
        <v>1</v>
      </c>
      <c r="X85" s="72">
        <v>2</v>
      </c>
      <c r="Y85" s="72">
        <v>1</v>
      </c>
      <c r="Z85" s="109">
        <v>20</v>
      </c>
      <c r="AA85" s="106">
        <v>8.5</v>
      </c>
      <c r="AB85" s="118">
        <f t="shared" si="13"/>
        <v>12.242857142857142</v>
      </c>
      <c r="AC85" s="72">
        <v>1</v>
      </c>
      <c r="AD85" s="72">
        <v>1</v>
      </c>
      <c r="AE85" s="72">
        <v>1</v>
      </c>
      <c r="AF85" s="72">
        <v>1</v>
      </c>
      <c r="AG85" s="72">
        <v>0.5</v>
      </c>
      <c r="AH85" s="72"/>
      <c r="AI85" s="72"/>
      <c r="AJ85" s="72"/>
      <c r="AK85" s="72"/>
      <c r="AL85" s="72"/>
      <c r="AM85" s="72">
        <f t="shared" si="8"/>
        <v>9</v>
      </c>
      <c r="AN85" s="72">
        <v>18</v>
      </c>
      <c r="AO85" s="139">
        <v>7</v>
      </c>
      <c r="AP85" s="143">
        <f t="shared" si="9"/>
        <v>8.9</v>
      </c>
      <c r="AQ85" s="72"/>
      <c r="AR85" s="72">
        <v>1</v>
      </c>
      <c r="AS85" s="72"/>
      <c r="AT85" s="72">
        <v>1</v>
      </c>
      <c r="AU85" s="72"/>
      <c r="AV85" s="72">
        <f t="shared" si="10"/>
        <v>8</v>
      </c>
      <c r="AW85" s="198">
        <v>9.5</v>
      </c>
      <c r="AX85" s="199">
        <f t="shared" si="11"/>
        <v>8.9</v>
      </c>
      <c r="AY85" s="211">
        <f t="shared" si="12"/>
        <v>10.014285714285714</v>
      </c>
    </row>
    <row r="86" spans="1:55" ht="17" customHeight="1" thickTop="1" thickBot="1">
      <c r="A86" s="218">
        <v>12</v>
      </c>
      <c r="B86" s="218"/>
      <c r="C86" s="244" t="s">
        <v>319</v>
      </c>
      <c r="D86" s="244"/>
      <c r="E86" s="244"/>
      <c r="F86" s="244"/>
      <c r="G86" s="244"/>
      <c r="H86" s="180" t="s">
        <v>320</v>
      </c>
      <c r="I86" s="180"/>
      <c r="J86" s="180"/>
      <c r="K86" s="180"/>
      <c r="L86" s="180"/>
      <c r="M86" s="180"/>
      <c r="N86" s="180"/>
      <c r="O86" s="226" t="s">
        <v>435</v>
      </c>
      <c r="P86" s="227"/>
      <c r="Q86" s="228"/>
      <c r="R86" s="72"/>
      <c r="S86" s="72"/>
      <c r="T86" s="72"/>
      <c r="U86" s="72"/>
      <c r="V86" s="72"/>
      <c r="W86" s="72">
        <v>1</v>
      </c>
      <c r="X86" s="72"/>
      <c r="Y86" s="72"/>
      <c r="Z86" s="109">
        <v>13.333333333333332</v>
      </c>
      <c r="AA86" s="106">
        <v>4</v>
      </c>
      <c r="AB86" s="118">
        <f t="shared" si="13"/>
        <v>4.5904761904761902</v>
      </c>
      <c r="AC86" s="72"/>
      <c r="AD86" s="72"/>
      <c r="AE86" s="72"/>
      <c r="AF86" s="72"/>
      <c r="AG86" s="72"/>
      <c r="AH86" s="72"/>
      <c r="AI86" s="72"/>
      <c r="AJ86" s="72"/>
      <c r="AK86" s="72"/>
      <c r="AL86" s="72"/>
      <c r="AM86" s="72">
        <f t="shared" si="8"/>
        <v>0</v>
      </c>
      <c r="AN86" s="72">
        <v>10</v>
      </c>
      <c r="AO86" s="139"/>
      <c r="AP86" s="143">
        <f t="shared" si="9"/>
        <v>1</v>
      </c>
      <c r="AQ86" s="72">
        <v>1</v>
      </c>
      <c r="AR86" s="72">
        <v>1</v>
      </c>
      <c r="AS86" s="72">
        <v>1</v>
      </c>
      <c r="AT86" s="72"/>
      <c r="AU86" s="72"/>
      <c r="AV86" s="72">
        <f t="shared" si="10"/>
        <v>12</v>
      </c>
      <c r="AW86" s="198"/>
      <c r="AX86" s="199">
        <f t="shared" si="11"/>
        <v>4.8000000000000007</v>
      </c>
      <c r="AY86" s="211">
        <f t="shared" si="12"/>
        <v>3.4634920634920636</v>
      </c>
    </row>
    <row r="87" spans="1:55" ht="17" customHeight="1" thickTop="1" thickBot="1">
      <c r="A87" s="218">
        <v>13</v>
      </c>
      <c r="B87" s="218"/>
      <c r="C87" s="244" t="s">
        <v>321</v>
      </c>
      <c r="D87" s="244"/>
      <c r="E87" s="244"/>
      <c r="F87" s="244"/>
      <c r="G87" s="244"/>
      <c r="H87" s="180" t="s">
        <v>33</v>
      </c>
      <c r="I87" s="180"/>
      <c r="J87" s="180"/>
      <c r="K87" s="180"/>
      <c r="L87" s="180"/>
      <c r="M87" s="180"/>
      <c r="N87" s="180"/>
      <c r="O87" s="226" t="s">
        <v>239</v>
      </c>
      <c r="P87" s="227"/>
      <c r="Q87" s="228"/>
      <c r="R87" s="72" t="s">
        <v>84</v>
      </c>
      <c r="S87" s="72">
        <v>1</v>
      </c>
      <c r="T87" s="72"/>
      <c r="U87" s="72">
        <v>1</v>
      </c>
      <c r="V87" s="72"/>
      <c r="W87" s="72">
        <v>1</v>
      </c>
      <c r="X87" s="72">
        <v>2</v>
      </c>
      <c r="Y87" s="72">
        <v>1</v>
      </c>
      <c r="Z87" s="109">
        <v>20</v>
      </c>
      <c r="AA87" s="124">
        <v>15.5</v>
      </c>
      <c r="AB87" s="123">
        <f>+AA87*0.6+Z87*0.1+SUM(R87:Y87)/7*20*0.3 + 1</f>
        <v>17.442857142857143</v>
      </c>
      <c r="AC87" s="72">
        <v>1</v>
      </c>
      <c r="AD87" s="72">
        <v>1</v>
      </c>
      <c r="AE87" s="72">
        <v>1</v>
      </c>
      <c r="AF87" s="72">
        <v>1</v>
      </c>
      <c r="AG87" s="72">
        <v>0.5</v>
      </c>
      <c r="AH87" s="72">
        <v>1</v>
      </c>
      <c r="AI87" s="72">
        <v>1</v>
      </c>
      <c r="AJ87" s="72">
        <v>1</v>
      </c>
      <c r="AK87" s="72">
        <v>1</v>
      </c>
      <c r="AL87" s="72">
        <v>1</v>
      </c>
      <c r="AM87" s="72">
        <f t="shared" si="8"/>
        <v>19</v>
      </c>
      <c r="AN87" s="72">
        <v>19</v>
      </c>
      <c r="AO87" s="139">
        <v>12</v>
      </c>
      <c r="AP87" s="123">
        <f>+AO87*0.5+AN87*0.1+AM87*0.4+1</f>
        <v>16.5</v>
      </c>
      <c r="AQ87" s="72"/>
      <c r="AR87" s="72">
        <v>1</v>
      </c>
      <c r="AS87" s="72">
        <v>1</v>
      </c>
      <c r="AT87" s="72">
        <v>1</v>
      </c>
      <c r="AU87" s="72">
        <v>1</v>
      </c>
      <c r="AV87" s="72">
        <f t="shared" si="10"/>
        <v>16</v>
      </c>
      <c r="AW87" s="198">
        <v>13</v>
      </c>
      <c r="AX87" s="199">
        <f t="shared" si="11"/>
        <v>14.2</v>
      </c>
      <c r="AY87" s="211">
        <f t="shared" si="12"/>
        <v>16.047619047619047</v>
      </c>
      <c r="BA87" s="73" t="s">
        <v>509</v>
      </c>
      <c r="BB87" s="101"/>
      <c r="BC87" s="72">
        <v>987279030</v>
      </c>
    </row>
    <row r="88" spans="1:55" ht="17" customHeight="1" thickTop="1" thickBot="1">
      <c r="A88" s="218">
        <v>14</v>
      </c>
      <c r="B88" s="218"/>
      <c r="C88" s="244" t="s">
        <v>34</v>
      </c>
      <c r="D88" s="244"/>
      <c r="E88" s="244"/>
      <c r="F88" s="244"/>
      <c r="G88" s="244"/>
      <c r="H88" s="180" t="s">
        <v>206</v>
      </c>
      <c r="I88" s="180"/>
      <c r="J88" s="180"/>
      <c r="K88" s="180"/>
      <c r="L88" s="180"/>
      <c r="M88" s="180"/>
      <c r="N88" s="180"/>
      <c r="O88" s="226" t="s">
        <v>207</v>
      </c>
      <c r="P88" s="227"/>
      <c r="Q88" s="228"/>
      <c r="R88" s="72"/>
      <c r="S88" s="72">
        <v>1</v>
      </c>
      <c r="T88" s="72"/>
      <c r="U88" s="72">
        <v>1</v>
      </c>
      <c r="V88" s="72"/>
      <c r="W88" s="72"/>
      <c r="X88" s="72"/>
      <c r="Y88" s="72"/>
      <c r="Z88" s="109">
        <v>13.333333333333332</v>
      </c>
      <c r="AA88" s="106">
        <v>1.5</v>
      </c>
      <c r="AB88" s="118">
        <f t="shared" ref="AB88:AB119" si="14">+AA88*0.6+Z88*0.1+SUM(R88:Y88)/7*20*0.3</f>
        <v>3.9476190476190474</v>
      </c>
      <c r="AC88" s="72"/>
      <c r="AD88" s="72"/>
      <c r="AE88" s="72"/>
      <c r="AF88" s="72"/>
      <c r="AG88" s="72"/>
      <c r="AH88" s="72"/>
      <c r="AI88" s="72"/>
      <c r="AJ88" s="72"/>
      <c r="AK88" s="72"/>
      <c r="AL88" s="72"/>
      <c r="AM88" s="72">
        <f t="shared" si="8"/>
        <v>0</v>
      </c>
      <c r="AN88" s="72">
        <v>7</v>
      </c>
      <c r="AO88" s="139"/>
      <c r="AP88" s="143">
        <f t="shared" si="9"/>
        <v>0.70000000000000007</v>
      </c>
      <c r="AQ88" s="72"/>
      <c r="AR88" s="72"/>
      <c r="AS88" s="72"/>
      <c r="AT88" s="72"/>
      <c r="AU88" s="72"/>
      <c r="AV88" s="72">
        <f t="shared" si="10"/>
        <v>0</v>
      </c>
      <c r="AW88" s="198"/>
      <c r="AX88" s="199">
        <f t="shared" si="11"/>
        <v>0</v>
      </c>
      <c r="AY88" s="211">
        <f t="shared" si="12"/>
        <v>1.549206349206349</v>
      </c>
    </row>
    <row r="89" spans="1:55" ht="17" customHeight="1" thickTop="1" thickBot="1">
      <c r="A89" s="218">
        <v>15</v>
      </c>
      <c r="B89" s="218"/>
      <c r="C89" s="244" t="s">
        <v>208</v>
      </c>
      <c r="D89" s="244"/>
      <c r="E89" s="244"/>
      <c r="F89" s="244"/>
      <c r="G89" s="244"/>
      <c r="H89" s="180" t="s">
        <v>380</v>
      </c>
      <c r="I89" s="180"/>
      <c r="J89" s="180"/>
      <c r="K89" s="180"/>
      <c r="L89" s="180"/>
      <c r="M89" s="180"/>
      <c r="N89" s="180"/>
      <c r="O89" s="226" t="s">
        <v>459</v>
      </c>
      <c r="P89" s="227"/>
      <c r="Q89" s="228"/>
      <c r="R89" s="72"/>
      <c r="S89" s="72">
        <v>1</v>
      </c>
      <c r="T89" s="72"/>
      <c r="U89" s="72"/>
      <c r="V89" s="72"/>
      <c r="W89" s="72">
        <v>1</v>
      </c>
      <c r="X89" s="72">
        <v>2</v>
      </c>
      <c r="Y89" s="72">
        <v>1</v>
      </c>
      <c r="Z89" s="109">
        <v>16.666666666666668</v>
      </c>
      <c r="AA89" s="106">
        <v>1</v>
      </c>
      <c r="AB89" s="118">
        <f t="shared" si="14"/>
        <v>6.5523809523809522</v>
      </c>
      <c r="AC89" s="72">
        <v>1</v>
      </c>
      <c r="AD89" s="72">
        <v>1</v>
      </c>
      <c r="AE89" s="72">
        <v>1</v>
      </c>
      <c r="AF89" s="72">
        <v>1</v>
      </c>
      <c r="AG89" s="72"/>
      <c r="AH89" s="72">
        <v>1</v>
      </c>
      <c r="AI89" s="72"/>
      <c r="AJ89" s="72">
        <v>1</v>
      </c>
      <c r="AK89" s="72">
        <v>1</v>
      </c>
      <c r="AL89" s="72">
        <v>1</v>
      </c>
      <c r="AM89" s="72">
        <f t="shared" si="8"/>
        <v>16</v>
      </c>
      <c r="AN89" s="72">
        <v>16</v>
      </c>
      <c r="AO89" s="139">
        <v>3</v>
      </c>
      <c r="AP89" s="143">
        <f t="shared" si="9"/>
        <v>9.5</v>
      </c>
      <c r="AQ89" s="72">
        <v>1</v>
      </c>
      <c r="AR89" s="72">
        <v>1</v>
      </c>
      <c r="AS89" s="72">
        <v>1</v>
      </c>
      <c r="AT89" s="72">
        <v>1</v>
      </c>
      <c r="AU89" s="72">
        <v>1</v>
      </c>
      <c r="AV89" s="72">
        <f t="shared" si="10"/>
        <v>20</v>
      </c>
      <c r="AW89" s="198">
        <v>2.5</v>
      </c>
      <c r="AX89" s="199">
        <f t="shared" si="11"/>
        <v>9.5</v>
      </c>
      <c r="AY89" s="211">
        <f t="shared" si="12"/>
        <v>8.5174603174603174</v>
      </c>
    </row>
    <row r="90" spans="1:55" ht="17" customHeight="1" thickTop="1" thickBot="1">
      <c r="A90" s="218">
        <v>16</v>
      </c>
      <c r="B90" s="218"/>
      <c r="C90" s="244" t="s">
        <v>381</v>
      </c>
      <c r="D90" s="244"/>
      <c r="E90" s="244"/>
      <c r="F90" s="244"/>
      <c r="G90" s="244"/>
      <c r="H90" s="180" t="s">
        <v>7</v>
      </c>
      <c r="I90" s="180"/>
      <c r="J90" s="180"/>
      <c r="K90" s="180"/>
      <c r="L90" s="180"/>
      <c r="M90" s="180"/>
      <c r="N90" s="180"/>
      <c r="O90" s="226" t="s">
        <v>276</v>
      </c>
      <c r="P90" s="227"/>
      <c r="Q90" s="228"/>
      <c r="R90" s="72"/>
      <c r="S90" s="72">
        <v>1</v>
      </c>
      <c r="T90" s="72"/>
      <c r="U90" s="72">
        <v>1</v>
      </c>
      <c r="V90" s="72"/>
      <c r="W90" s="72">
        <v>1</v>
      </c>
      <c r="X90" s="72">
        <v>2</v>
      </c>
      <c r="Y90" s="72">
        <v>1</v>
      </c>
      <c r="Z90" s="109">
        <v>20</v>
      </c>
      <c r="AA90" s="106">
        <v>11.5</v>
      </c>
      <c r="AB90" s="118">
        <f t="shared" si="14"/>
        <v>14.042857142857141</v>
      </c>
      <c r="AC90" s="72">
        <v>1</v>
      </c>
      <c r="AD90" s="72">
        <v>1</v>
      </c>
      <c r="AE90" s="72">
        <v>1</v>
      </c>
      <c r="AF90" s="72"/>
      <c r="AG90" s="72">
        <v>0.5</v>
      </c>
      <c r="AH90" s="72">
        <v>1</v>
      </c>
      <c r="AI90" s="72"/>
      <c r="AJ90" s="72">
        <v>1</v>
      </c>
      <c r="AK90" s="72"/>
      <c r="AL90" s="72">
        <v>1</v>
      </c>
      <c r="AM90" s="72">
        <f t="shared" si="8"/>
        <v>13</v>
      </c>
      <c r="AN90" s="72">
        <v>20</v>
      </c>
      <c r="AO90" s="139">
        <v>16</v>
      </c>
      <c r="AP90" s="143">
        <f t="shared" si="9"/>
        <v>15.2</v>
      </c>
      <c r="AQ90" s="72">
        <v>1</v>
      </c>
      <c r="AR90" s="72">
        <v>1</v>
      </c>
      <c r="AS90" s="72">
        <v>1</v>
      </c>
      <c r="AT90" s="72">
        <v>1</v>
      </c>
      <c r="AU90" s="72">
        <v>1</v>
      </c>
      <c r="AV90" s="72">
        <f t="shared" si="10"/>
        <v>20</v>
      </c>
      <c r="AW90" s="198">
        <v>11.5</v>
      </c>
      <c r="AX90" s="199">
        <f t="shared" si="11"/>
        <v>14.899999999999999</v>
      </c>
      <c r="AY90" s="211">
        <f t="shared" si="12"/>
        <v>14.714285714285714</v>
      </c>
    </row>
    <row r="91" spans="1:55" ht="17" customHeight="1" thickTop="1" thickBot="1">
      <c r="A91" s="218">
        <v>17</v>
      </c>
      <c r="B91" s="218"/>
      <c r="C91" s="244" t="s">
        <v>8</v>
      </c>
      <c r="D91" s="244"/>
      <c r="E91" s="244"/>
      <c r="F91" s="244"/>
      <c r="G91" s="244"/>
      <c r="H91" s="180" t="s">
        <v>9</v>
      </c>
      <c r="I91" s="180"/>
      <c r="J91" s="180"/>
      <c r="K91" s="180"/>
      <c r="L91" s="180"/>
      <c r="M91" s="180"/>
      <c r="N91" s="180"/>
      <c r="O91" s="226" t="s">
        <v>239</v>
      </c>
      <c r="P91" s="227"/>
      <c r="Q91" s="228"/>
      <c r="R91" s="72"/>
      <c r="S91" s="72">
        <v>1</v>
      </c>
      <c r="T91" s="72"/>
      <c r="U91" s="72">
        <v>1</v>
      </c>
      <c r="V91" s="72"/>
      <c r="W91" s="72">
        <v>1</v>
      </c>
      <c r="X91" s="72"/>
      <c r="Y91" s="72"/>
      <c r="Z91" s="109">
        <v>13.333333333333332</v>
      </c>
      <c r="AA91" s="106">
        <v>10</v>
      </c>
      <c r="AB91" s="118">
        <f t="shared" si="14"/>
        <v>9.9047619047619051</v>
      </c>
      <c r="AC91" s="72"/>
      <c r="AD91" s="72"/>
      <c r="AE91" s="72"/>
      <c r="AF91" s="72"/>
      <c r="AG91" s="72"/>
      <c r="AH91" s="72"/>
      <c r="AI91" s="72"/>
      <c r="AJ91" s="72"/>
      <c r="AK91" s="72"/>
      <c r="AL91" s="72"/>
      <c r="AM91" s="72">
        <f t="shared" si="8"/>
        <v>0</v>
      </c>
      <c r="AN91" s="72">
        <v>8</v>
      </c>
      <c r="AO91" s="139">
        <v>5</v>
      </c>
      <c r="AP91" s="143">
        <f t="shared" si="9"/>
        <v>3.3</v>
      </c>
      <c r="AQ91" s="72"/>
      <c r="AR91" s="72"/>
      <c r="AS91" s="72"/>
      <c r="AT91" s="72"/>
      <c r="AU91" s="72"/>
      <c r="AV91" s="72">
        <f t="shared" si="10"/>
        <v>0</v>
      </c>
      <c r="AW91" s="198">
        <v>3.5</v>
      </c>
      <c r="AX91" s="199">
        <f t="shared" si="11"/>
        <v>2.1</v>
      </c>
      <c r="AY91" s="211">
        <f t="shared" si="12"/>
        <v>5.1015873015873021</v>
      </c>
    </row>
    <row r="92" spans="1:55" ht="15" customHeight="1" thickTop="1" thickBot="1">
      <c r="A92" s="216">
        <v>22</v>
      </c>
      <c r="B92" s="216"/>
      <c r="C92" s="217" t="s">
        <v>527</v>
      </c>
      <c r="D92" s="217"/>
      <c r="E92" s="217"/>
      <c r="F92" s="217"/>
      <c r="G92" s="217"/>
      <c r="H92" s="179" t="s">
        <v>196</v>
      </c>
      <c r="I92" s="179"/>
      <c r="J92" s="179"/>
      <c r="K92" s="179"/>
      <c r="L92" s="179"/>
      <c r="M92" s="179"/>
      <c r="N92" s="179"/>
      <c r="O92" s="221" t="s">
        <v>438</v>
      </c>
      <c r="P92" s="222"/>
      <c r="Q92" s="223"/>
      <c r="R92" s="72"/>
      <c r="S92" s="72"/>
      <c r="T92" s="72"/>
      <c r="U92" s="72"/>
      <c r="V92" s="72"/>
      <c r="W92" s="72"/>
      <c r="X92" s="72"/>
      <c r="Y92" s="72"/>
      <c r="Z92" s="109">
        <v>3.333333333333333</v>
      </c>
      <c r="AA92" s="106">
        <v>2</v>
      </c>
      <c r="AB92" s="118">
        <f t="shared" si="14"/>
        <v>1.5333333333333332</v>
      </c>
      <c r="AC92" s="72"/>
      <c r="AD92" s="72"/>
      <c r="AE92" s="72"/>
      <c r="AF92" s="72"/>
      <c r="AG92" s="72"/>
      <c r="AH92" s="72"/>
      <c r="AI92" s="72"/>
      <c r="AJ92" s="72"/>
      <c r="AK92" s="72"/>
      <c r="AL92" s="72"/>
      <c r="AM92" s="72">
        <f t="shared" si="8"/>
        <v>0</v>
      </c>
      <c r="AN92" s="72">
        <v>2</v>
      </c>
      <c r="AO92" s="139">
        <v>4.5</v>
      </c>
      <c r="AP92" s="143">
        <f t="shared" si="9"/>
        <v>2.4500000000000002</v>
      </c>
      <c r="AQ92" s="72"/>
      <c r="AR92" s="72"/>
      <c r="AS92" s="72"/>
      <c r="AT92" s="72"/>
      <c r="AU92" s="72"/>
      <c r="AV92" s="72">
        <f t="shared" si="10"/>
        <v>0</v>
      </c>
      <c r="AW92" s="198"/>
      <c r="AX92" s="199">
        <f t="shared" si="11"/>
        <v>0</v>
      </c>
      <c r="AY92" s="211">
        <f t="shared" si="12"/>
        <v>1.3277777777777777</v>
      </c>
    </row>
    <row r="93" spans="1:55" ht="17" customHeight="1" thickTop="1" thickBot="1">
      <c r="A93" s="218">
        <v>18</v>
      </c>
      <c r="B93" s="218"/>
      <c r="C93" s="244" t="s">
        <v>10</v>
      </c>
      <c r="D93" s="244"/>
      <c r="E93" s="244"/>
      <c r="F93" s="244"/>
      <c r="G93" s="244"/>
      <c r="H93" s="180" t="s">
        <v>288</v>
      </c>
      <c r="I93" s="180"/>
      <c r="J93" s="180"/>
      <c r="K93" s="180"/>
      <c r="L93" s="180"/>
      <c r="M93" s="180"/>
      <c r="N93" s="180"/>
      <c r="O93" s="226" t="s">
        <v>119</v>
      </c>
      <c r="P93" s="227"/>
      <c r="Q93" s="228"/>
      <c r="R93" s="72"/>
      <c r="S93" s="72">
        <v>1</v>
      </c>
      <c r="T93" s="72"/>
      <c r="U93" s="72">
        <v>1</v>
      </c>
      <c r="V93" s="72"/>
      <c r="W93" s="72">
        <v>1</v>
      </c>
      <c r="X93" s="72">
        <v>2</v>
      </c>
      <c r="Y93" s="72">
        <v>1</v>
      </c>
      <c r="Z93" s="109">
        <v>20</v>
      </c>
      <c r="AA93" s="106">
        <v>4.5</v>
      </c>
      <c r="AB93" s="118">
        <f t="shared" si="14"/>
        <v>9.8428571428571416</v>
      </c>
      <c r="AC93" s="72">
        <v>1</v>
      </c>
      <c r="AD93" s="72">
        <v>1</v>
      </c>
      <c r="AE93" s="72">
        <v>1</v>
      </c>
      <c r="AF93" s="72"/>
      <c r="AG93" s="72">
        <v>0.5</v>
      </c>
      <c r="AH93" s="72">
        <v>1</v>
      </c>
      <c r="AI93" s="72"/>
      <c r="AJ93" s="72">
        <v>1</v>
      </c>
      <c r="AK93" s="72"/>
      <c r="AL93" s="72">
        <v>1</v>
      </c>
      <c r="AM93" s="72">
        <f t="shared" si="8"/>
        <v>13</v>
      </c>
      <c r="AN93" s="72">
        <v>15</v>
      </c>
      <c r="AO93" s="139">
        <v>9</v>
      </c>
      <c r="AP93" s="143">
        <f t="shared" si="9"/>
        <v>11.2</v>
      </c>
      <c r="AQ93" s="72"/>
      <c r="AR93" s="72"/>
      <c r="AS93" s="72">
        <v>1</v>
      </c>
      <c r="AT93" s="72">
        <v>1</v>
      </c>
      <c r="AU93" s="72">
        <v>1</v>
      </c>
      <c r="AV93" s="72">
        <f t="shared" si="10"/>
        <v>12</v>
      </c>
      <c r="AW93" s="198">
        <v>12.5</v>
      </c>
      <c r="AX93" s="199">
        <f t="shared" si="11"/>
        <v>12.3</v>
      </c>
      <c r="AY93" s="211">
        <f t="shared" si="12"/>
        <v>11.114285714285714</v>
      </c>
    </row>
    <row r="94" spans="1:55" ht="17" customHeight="1" thickTop="1" thickBot="1">
      <c r="A94" s="218">
        <v>19</v>
      </c>
      <c r="B94" s="218"/>
      <c r="C94" s="244" t="s">
        <v>120</v>
      </c>
      <c r="D94" s="244"/>
      <c r="E94" s="244"/>
      <c r="F94" s="244"/>
      <c r="G94" s="244"/>
      <c r="H94" s="180" t="s">
        <v>121</v>
      </c>
      <c r="I94" s="180"/>
      <c r="J94" s="180"/>
      <c r="K94" s="180"/>
      <c r="L94" s="180"/>
      <c r="M94" s="180"/>
      <c r="N94" s="180"/>
      <c r="O94" s="226" t="s">
        <v>122</v>
      </c>
      <c r="P94" s="227"/>
      <c r="Q94" s="228"/>
      <c r="R94" s="72"/>
      <c r="S94" s="72">
        <v>1</v>
      </c>
      <c r="T94" s="72"/>
      <c r="U94" s="72">
        <v>1</v>
      </c>
      <c r="V94" s="72"/>
      <c r="W94" s="72">
        <v>1</v>
      </c>
      <c r="X94" s="72">
        <v>2</v>
      </c>
      <c r="Y94" s="72">
        <v>1</v>
      </c>
      <c r="Z94" s="109">
        <v>20</v>
      </c>
      <c r="AA94" s="106">
        <v>4.5</v>
      </c>
      <c r="AB94" s="118">
        <f t="shared" si="14"/>
        <v>9.8428571428571416</v>
      </c>
      <c r="AC94" s="72">
        <v>1</v>
      </c>
      <c r="AD94" s="72">
        <v>1</v>
      </c>
      <c r="AE94" s="72">
        <v>1</v>
      </c>
      <c r="AF94" s="72">
        <v>1</v>
      </c>
      <c r="AG94" s="72">
        <v>0.5</v>
      </c>
      <c r="AH94" s="72">
        <v>1</v>
      </c>
      <c r="AI94" s="72"/>
      <c r="AJ94" s="72">
        <v>1</v>
      </c>
      <c r="AK94" s="72">
        <v>1</v>
      </c>
      <c r="AL94" s="72"/>
      <c r="AM94" s="72">
        <f t="shared" si="8"/>
        <v>15</v>
      </c>
      <c r="AN94" s="72">
        <v>20</v>
      </c>
      <c r="AO94" s="139">
        <v>9</v>
      </c>
      <c r="AP94" s="143">
        <f t="shared" si="9"/>
        <v>12.5</v>
      </c>
      <c r="AQ94" s="72">
        <v>1</v>
      </c>
      <c r="AR94" s="72">
        <v>1</v>
      </c>
      <c r="AS94" s="72">
        <v>1</v>
      </c>
      <c r="AT94" s="72">
        <v>1</v>
      </c>
      <c r="AU94" s="72">
        <v>1</v>
      </c>
      <c r="AV94" s="72">
        <f t="shared" si="10"/>
        <v>20</v>
      </c>
      <c r="AW94" s="198">
        <v>9</v>
      </c>
      <c r="AX94" s="199">
        <f t="shared" si="11"/>
        <v>13.399999999999999</v>
      </c>
      <c r="AY94" s="211">
        <f t="shared" si="12"/>
        <v>11.914285714285713</v>
      </c>
    </row>
    <row r="95" spans="1:55" ht="17" customHeight="1" thickTop="1" thickBot="1">
      <c r="A95" s="218">
        <v>20</v>
      </c>
      <c r="B95" s="218"/>
      <c r="C95" s="244" t="s">
        <v>296</v>
      </c>
      <c r="D95" s="244"/>
      <c r="E95" s="244"/>
      <c r="F95" s="244"/>
      <c r="G95" s="244"/>
      <c r="H95" s="180" t="s">
        <v>297</v>
      </c>
      <c r="I95" s="180"/>
      <c r="J95" s="180"/>
      <c r="K95" s="180"/>
      <c r="L95" s="180"/>
      <c r="M95" s="180"/>
      <c r="N95" s="180"/>
      <c r="O95" s="226" t="s">
        <v>239</v>
      </c>
      <c r="P95" s="227"/>
      <c r="Q95" s="228"/>
      <c r="R95" s="72">
        <v>0.5</v>
      </c>
      <c r="S95" s="72">
        <v>1</v>
      </c>
      <c r="T95" s="72"/>
      <c r="U95" s="72">
        <v>1</v>
      </c>
      <c r="V95" s="72"/>
      <c r="W95" s="72">
        <v>1</v>
      </c>
      <c r="X95" s="72">
        <v>2</v>
      </c>
      <c r="Y95" s="72">
        <v>1</v>
      </c>
      <c r="Z95" s="109">
        <v>20</v>
      </c>
      <c r="AA95" s="106">
        <v>14</v>
      </c>
      <c r="AB95" s="118">
        <f t="shared" si="14"/>
        <v>15.971428571428572</v>
      </c>
      <c r="AC95" s="72">
        <v>1</v>
      </c>
      <c r="AD95" s="72">
        <v>1</v>
      </c>
      <c r="AE95" s="72">
        <v>1</v>
      </c>
      <c r="AF95" s="72"/>
      <c r="AG95" s="72">
        <v>0.5</v>
      </c>
      <c r="AH95" s="72">
        <v>1</v>
      </c>
      <c r="AI95" s="72"/>
      <c r="AJ95" s="72">
        <v>1</v>
      </c>
      <c r="AK95" s="72">
        <v>1</v>
      </c>
      <c r="AL95" s="72">
        <v>1</v>
      </c>
      <c r="AM95" s="72">
        <f t="shared" si="8"/>
        <v>15</v>
      </c>
      <c r="AN95" s="72">
        <v>19</v>
      </c>
      <c r="AO95" s="139">
        <v>12.5</v>
      </c>
      <c r="AP95" s="143">
        <f t="shared" si="9"/>
        <v>14.15</v>
      </c>
      <c r="AQ95" s="72">
        <v>1</v>
      </c>
      <c r="AR95" s="72">
        <v>1</v>
      </c>
      <c r="AS95" s="72">
        <v>1</v>
      </c>
      <c r="AT95" s="72">
        <v>1</v>
      </c>
      <c r="AU95" s="72">
        <v>1</v>
      </c>
      <c r="AV95" s="72">
        <f t="shared" si="10"/>
        <v>20</v>
      </c>
      <c r="AW95" s="198">
        <v>13</v>
      </c>
      <c r="AX95" s="199">
        <f t="shared" si="11"/>
        <v>15.8</v>
      </c>
      <c r="AY95" s="211">
        <f t="shared" si="12"/>
        <v>15.307142857142859</v>
      </c>
    </row>
    <row r="96" spans="1:55" ht="17" customHeight="1" thickTop="1" thickBot="1">
      <c r="A96" s="218">
        <v>21</v>
      </c>
      <c r="B96" s="218"/>
      <c r="C96" s="244" t="s">
        <v>295</v>
      </c>
      <c r="D96" s="244"/>
      <c r="E96" s="244"/>
      <c r="F96" s="244"/>
      <c r="G96" s="244"/>
      <c r="H96" s="180" t="s">
        <v>462</v>
      </c>
      <c r="I96" s="180"/>
      <c r="J96" s="180"/>
      <c r="K96" s="180"/>
      <c r="L96" s="180"/>
      <c r="M96" s="180"/>
      <c r="N96" s="180"/>
      <c r="O96" s="226" t="s">
        <v>275</v>
      </c>
      <c r="P96" s="227"/>
      <c r="Q96" s="228"/>
      <c r="R96" s="72"/>
      <c r="S96" s="72">
        <v>1</v>
      </c>
      <c r="T96" s="72"/>
      <c r="U96" s="72">
        <v>1</v>
      </c>
      <c r="V96" s="72"/>
      <c r="W96" s="72">
        <v>1</v>
      </c>
      <c r="X96" s="72">
        <v>1</v>
      </c>
      <c r="Y96" s="72">
        <v>1</v>
      </c>
      <c r="Z96" s="109">
        <v>20</v>
      </c>
      <c r="AA96" s="106">
        <v>2</v>
      </c>
      <c r="AB96" s="118">
        <f t="shared" si="14"/>
        <v>7.4857142857142858</v>
      </c>
      <c r="AC96" s="72"/>
      <c r="AD96" s="72"/>
      <c r="AE96" s="72"/>
      <c r="AF96" s="72"/>
      <c r="AG96" s="72"/>
      <c r="AH96" s="72"/>
      <c r="AI96" s="72"/>
      <c r="AJ96" s="72"/>
      <c r="AK96" s="72"/>
      <c r="AL96" s="72"/>
      <c r="AM96" s="72">
        <f t="shared" si="8"/>
        <v>0</v>
      </c>
      <c r="AN96" s="72">
        <v>13</v>
      </c>
      <c r="AO96" s="139">
        <v>2.5</v>
      </c>
      <c r="AP96" s="143">
        <f t="shared" si="9"/>
        <v>2.5499999999999998</v>
      </c>
      <c r="AQ96" s="72"/>
      <c r="AR96" s="72"/>
      <c r="AS96" s="72"/>
      <c r="AT96" s="72"/>
      <c r="AU96" s="72"/>
      <c r="AV96" s="72">
        <f t="shared" si="10"/>
        <v>0</v>
      </c>
      <c r="AW96" s="198">
        <v>1</v>
      </c>
      <c r="AX96" s="199">
        <f t="shared" si="11"/>
        <v>0.6</v>
      </c>
      <c r="AY96" s="211">
        <f t="shared" si="12"/>
        <v>3.5452380952380955</v>
      </c>
    </row>
    <row r="97" spans="1:52" ht="17" customHeight="1" thickTop="1" thickBot="1">
      <c r="A97" s="218">
        <v>22</v>
      </c>
      <c r="B97" s="218"/>
      <c r="C97" s="244" t="s">
        <v>463</v>
      </c>
      <c r="D97" s="244"/>
      <c r="E97" s="244"/>
      <c r="F97" s="244"/>
      <c r="G97" s="244"/>
      <c r="H97" s="180" t="s">
        <v>464</v>
      </c>
      <c r="I97" s="180"/>
      <c r="J97" s="180"/>
      <c r="K97" s="180"/>
      <c r="L97" s="180"/>
      <c r="M97" s="180"/>
      <c r="N97" s="180"/>
      <c r="O97" s="226" t="s">
        <v>239</v>
      </c>
      <c r="P97" s="227"/>
      <c r="Q97" s="228"/>
      <c r="R97" s="72">
        <v>1</v>
      </c>
      <c r="S97" s="72">
        <v>1</v>
      </c>
      <c r="T97" s="72"/>
      <c r="U97" s="72">
        <v>1</v>
      </c>
      <c r="V97" s="72"/>
      <c r="W97" s="72">
        <v>1</v>
      </c>
      <c r="X97" s="72">
        <v>2</v>
      </c>
      <c r="Y97" s="72">
        <v>1</v>
      </c>
      <c r="Z97" s="109">
        <v>20</v>
      </c>
      <c r="AA97" s="106">
        <v>14.5</v>
      </c>
      <c r="AB97" s="118">
        <f t="shared" si="14"/>
        <v>16.7</v>
      </c>
      <c r="AC97" s="72">
        <v>1</v>
      </c>
      <c r="AD97" s="72">
        <v>1</v>
      </c>
      <c r="AE97" s="72">
        <v>1</v>
      </c>
      <c r="AF97" s="72">
        <v>1</v>
      </c>
      <c r="AG97" s="72"/>
      <c r="AH97" s="72">
        <v>1</v>
      </c>
      <c r="AI97" s="72">
        <v>1</v>
      </c>
      <c r="AJ97" s="72">
        <v>1</v>
      </c>
      <c r="AK97" s="72">
        <v>1</v>
      </c>
      <c r="AL97" s="72">
        <v>1</v>
      </c>
      <c r="AM97" s="72">
        <f t="shared" si="8"/>
        <v>18</v>
      </c>
      <c r="AN97" s="72">
        <v>20</v>
      </c>
      <c r="AO97" s="139">
        <v>19.5</v>
      </c>
      <c r="AP97" s="123">
        <f>+AO97*0.5+AN97*0.1+AM97*0.4+1</f>
        <v>19.95</v>
      </c>
      <c r="AQ97" s="72">
        <v>1</v>
      </c>
      <c r="AR97" s="72">
        <v>1</v>
      </c>
      <c r="AS97" s="72">
        <v>1</v>
      </c>
      <c r="AT97" s="72">
        <v>1</v>
      </c>
      <c r="AU97" s="72">
        <v>1</v>
      </c>
      <c r="AV97" s="72">
        <f t="shared" si="10"/>
        <v>20</v>
      </c>
      <c r="AW97" s="198">
        <v>14</v>
      </c>
      <c r="AX97" s="214">
        <f>+AW97*0.6+AV97*0.4+1</f>
        <v>17.399999999999999</v>
      </c>
      <c r="AY97" s="211">
        <f t="shared" si="12"/>
        <v>18.016666666666666</v>
      </c>
    </row>
    <row r="98" spans="1:52" ht="17" customHeight="1" thickTop="1" thickBot="1">
      <c r="A98" s="218">
        <v>23</v>
      </c>
      <c r="B98" s="218"/>
      <c r="C98" s="244" t="s">
        <v>126</v>
      </c>
      <c r="D98" s="244"/>
      <c r="E98" s="244"/>
      <c r="F98" s="244"/>
      <c r="G98" s="244"/>
      <c r="H98" s="180" t="s">
        <v>70</v>
      </c>
      <c r="I98" s="180"/>
      <c r="J98" s="180"/>
      <c r="K98" s="180"/>
      <c r="L98" s="180"/>
      <c r="M98" s="180"/>
      <c r="N98" s="180"/>
      <c r="O98" s="226" t="s">
        <v>241</v>
      </c>
      <c r="P98" s="227"/>
      <c r="Q98" s="228"/>
      <c r="R98" s="72"/>
      <c r="S98" s="72"/>
      <c r="T98" s="72"/>
      <c r="U98" s="72"/>
      <c r="V98" s="72"/>
      <c r="W98" s="72"/>
      <c r="X98" s="72"/>
      <c r="Y98" s="72"/>
      <c r="Z98" s="109">
        <v>16.666666666666668</v>
      </c>
      <c r="AA98" s="106">
        <v>11.5</v>
      </c>
      <c r="AB98" s="118">
        <f t="shared" si="14"/>
        <v>8.5666666666666664</v>
      </c>
      <c r="AC98" s="72">
        <v>1</v>
      </c>
      <c r="AD98" s="72">
        <v>1</v>
      </c>
      <c r="AE98" s="72">
        <v>1</v>
      </c>
      <c r="AF98" s="72"/>
      <c r="AG98" s="72">
        <v>0.5</v>
      </c>
      <c r="AH98" s="72">
        <v>1</v>
      </c>
      <c r="AI98" s="72"/>
      <c r="AJ98" s="72">
        <v>1</v>
      </c>
      <c r="AK98" s="72"/>
      <c r="AL98" s="72">
        <v>1</v>
      </c>
      <c r="AM98" s="72">
        <f t="shared" si="8"/>
        <v>13</v>
      </c>
      <c r="AN98" s="72">
        <v>18</v>
      </c>
      <c r="AO98" s="139">
        <v>15.5</v>
      </c>
      <c r="AP98" s="143">
        <f t="shared" si="9"/>
        <v>14.75</v>
      </c>
      <c r="AQ98" s="72">
        <v>1</v>
      </c>
      <c r="AR98" s="72">
        <v>1</v>
      </c>
      <c r="AS98" s="72">
        <v>1</v>
      </c>
      <c r="AT98" s="72">
        <v>1</v>
      </c>
      <c r="AU98" s="72"/>
      <c r="AV98" s="72">
        <f t="shared" si="10"/>
        <v>16</v>
      </c>
      <c r="AW98" s="198">
        <v>9.5</v>
      </c>
      <c r="AX98" s="199">
        <f t="shared" si="11"/>
        <v>12.100000000000001</v>
      </c>
      <c r="AY98" s="211">
        <f t="shared" si="12"/>
        <v>11.805555555555557</v>
      </c>
      <c r="AZ98">
        <v>13</v>
      </c>
    </row>
    <row r="99" spans="1:52" ht="17" customHeight="1" thickTop="1" thickBot="1">
      <c r="A99" s="218">
        <v>24</v>
      </c>
      <c r="B99" s="218"/>
      <c r="C99" s="244" t="s">
        <v>242</v>
      </c>
      <c r="D99" s="244"/>
      <c r="E99" s="244"/>
      <c r="F99" s="244"/>
      <c r="G99" s="244"/>
      <c r="H99" s="180" t="s">
        <v>243</v>
      </c>
      <c r="I99" s="180"/>
      <c r="J99" s="180"/>
      <c r="K99" s="180"/>
      <c r="L99" s="180"/>
      <c r="M99" s="180"/>
      <c r="N99" s="180"/>
      <c r="O99" s="226" t="s">
        <v>428</v>
      </c>
      <c r="P99" s="227"/>
      <c r="Q99" s="228"/>
      <c r="R99" s="72"/>
      <c r="S99" s="72">
        <v>1</v>
      </c>
      <c r="T99" s="72"/>
      <c r="U99" s="72">
        <v>1</v>
      </c>
      <c r="V99" s="72"/>
      <c r="W99" s="72">
        <v>1</v>
      </c>
      <c r="X99" s="72">
        <v>2</v>
      </c>
      <c r="Y99" s="72">
        <v>1</v>
      </c>
      <c r="Z99" s="109">
        <v>20</v>
      </c>
      <c r="AA99" s="106">
        <v>11.5</v>
      </c>
      <c r="AB99" s="118">
        <f t="shared" si="14"/>
        <v>14.042857142857141</v>
      </c>
      <c r="AC99" s="72">
        <v>1</v>
      </c>
      <c r="AD99" s="72">
        <v>1</v>
      </c>
      <c r="AE99" s="72">
        <v>1</v>
      </c>
      <c r="AF99" s="72">
        <v>1</v>
      </c>
      <c r="AG99" s="72"/>
      <c r="AH99" s="72">
        <v>1</v>
      </c>
      <c r="AI99" s="72">
        <v>1</v>
      </c>
      <c r="AJ99" s="72">
        <v>1</v>
      </c>
      <c r="AK99" s="72"/>
      <c r="AL99" s="72">
        <v>1</v>
      </c>
      <c r="AM99" s="72">
        <f t="shared" si="8"/>
        <v>16</v>
      </c>
      <c r="AN99" s="72">
        <v>20</v>
      </c>
      <c r="AO99" s="139">
        <v>18</v>
      </c>
      <c r="AP99" s="143">
        <f t="shared" si="9"/>
        <v>17.399999999999999</v>
      </c>
      <c r="AQ99" s="72">
        <v>1</v>
      </c>
      <c r="AR99" s="72">
        <v>1</v>
      </c>
      <c r="AS99" s="72">
        <v>1</v>
      </c>
      <c r="AT99" s="72">
        <v>1</v>
      </c>
      <c r="AU99" s="72">
        <v>1</v>
      </c>
      <c r="AV99" s="72">
        <f t="shared" si="10"/>
        <v>20</v>
      </c>
      <c r="AW99" s="198">
        <v>18.5</v>
      </c>
      <c r="AX99" s="199">
        <f t="shared" si="11"/>
        <v>19.100000000000001</v>
      </c>
      <c r="AY99" s="211">
        <f t="shared" si="12"/>
        <v>16.847619047619048</v>
      </c>
    </row>
    <row r="100" spans="1:52" ht="17" customHeight="1" thickTop="1" thickBot="1">
      <c r="A100" s="218">
        <v>25</v>
      </c>
      <c r="B100" s="218"/>
      <c r="C100" s="244" t="s">
        <v>415</v>
      </c>
      <c r="D100" s="244"/>
      <c r="E100" s="244"/>
      <c r="F100" s="244"/>
      <c r="G100" s="244"/>
      <c r="H100" s="180" t="s">
        <v>142</v>
      </c>
      <c r="I100" s="180"/>
      <c r="J100" s="180"/>
      <c r="K100" s="180"/>
      <c r="L100" s="180"/>
      <c r="M100" s="180"/>
      <c r="N100" s="180"/>
      <c r="O100" s="226" t="s">
        <v>239</v>
      </c>
      <c r="P100" s="227"/>
      <c r="Q100" s="228"/>
      <c r="R100" s="72"/>
      <c r="S100" s="72"/>
      <c r="T100" s="72"/>
      <c r="U100" s="72"/>
      <c r="V100" s="72"/>
      <c r="W100" s="72">
        <v>1</v>
      </c>
      <c r="X100" s="72">
        <v>2</v>
      </c>
      <c r="Y100" s="72">
        <v>1</v>
      </c>
      <c r="Z100" s="109">
        <v>20</v>
      </c>
      <c r="AA100" s="106">
        <v>8.5</v>
      </c>
      <c r="AB100" s="118">
        <f t="shared" si="14"/>
        <v>10.528571428571428</v>
      </c>
      <c r="AC100" s="72">
        <v>1</v>
      </c>
      <c r="AD100" s="72">
        <v>1</v>
      </c>
      <c r="AE100" s="72">
        <v>1</v>
      </c>
      <c r="AF100" s="72"/>
      <c r="AG100" s="72">
        <v>0.5</v>
      </c>
      <c r="AH100" s="72">
        <v>1</v>
      </c>
      <c r="AI100" s="72"/>
      <c r="AJ100" s="72">
        <v>1</v>
      </c>
      <c r="AK100" s="72">
        <v>1</v>
      </c>
      <c r="AL100" s="72">
        <v>1</v>
      </c>
      <c r="AM100" s="72">
        <f t="shared" si="8"/>
        <v>15</v>
      </c>
      <c r="AN100" s="72">
        <v>20</v>
      </c>
      <c r="AO100" s="139">
        <v>6.5</v>
      </c>
      <c r="AP100" s="143">
        <f t="shared" si="9"/>
        <v>11.25</v>
      </c>
      <c r="AQ100" s="72">
        <v>1</v>
      </c>
      <c r="AR100" s="72">
        <v>1</v>
      </c>
      <c r="AS100" s="72">
        <v>1</v>
      </c>
      <c r="AT100" s="72">
        <v>1</v>
      </c>
      <c r="AU100" s="72">
        <v>1</v>
      </c>
      <c r="AV100" s="72">
        <f t="shared" si="10"/>
        <v>20</v>
      </c>
      <c r="AW100" s="198">
        <v>12</v>
      </c>
      <c r="AX100" s="199">
        <f t="shared" si="11"/>
        <v>15.2</v>
      </c>
      <c r="AY100" s="211">
        <f t="shared" si="12"/>
        <v>12.326190476190476</v>
      </c>
    </row>
    <row r="101" spans="1:52" ht="17" customHeight="1" thickTop="1" thickBot="1">
      <c r="A101" s="218">
        <v>26</v>
      </c>
      <c r="B101" s="218"/>
      <c r="C101" s="244" t="s">
        <v>143</v>
      </c>
      <c r="D101" s="244"/>
      <c r="E101" s="244"/>
      <c r="F101" s="244"/>
      <c r="G101" s="244"/>
      <c r="H101" s="180" t="s">
        <v>72</v>
      </c>
      <c r="I101" s="180"/>
      <c r="J101" s="180"/>
      <c r="K101" s="180"/>
      <c r="L101" s="180"/>
      <c r="M101" s="180"/>
      <c r="N101" s="180"/>
      <c r="O101" s="226" t="s">
        <v>435</v>
      </c>
      <c r="P101" s="227"/>
      <c r="Q101" s="228"/>
      <c r="R101" s="72"/>
      <c r="S101" s="72"/>
      <c r="T101" s="72"/>
      <c r="U101" s="72"/>
      <c r="V101" s="72"/>
      <c r="W101" s="72">
        <v>1</v>
      </c>
      <c r="X101" s="72"/>
      <c r="Y101" s="72"/>
      <c r="Z101" s="109">
        <v>13.333333333333332</v>
      </c>
      <c r="AA101" s="106">
        <v>2</v>
      </c>
      <c r="AB101" s="118">
        <f t="shared" si="14"/>
        <v>3.39047619047619</v>
      </c>
      <c r="AC101" s="72"/>
      <c r="AD101" s="72"/>
      <c r="AE101" s="72"/>
      <c r="AF101" s="72"/>
      <c r="AG101" s="72"/>
      <c r="AH101" s="72"/>
      <c r="AI101" s="72"/>
      <c r="AJ101" s="72"/>
      <c r="AK101" s="72"/>
      <c r="AL101" s="72">
        <v>1</v>
      </c>
      <c r="AM101" s="72">
        <f t="shared" si="8"/>
        <v>2</v>
      </c>
      <c r="AN101" s="72">
        <v>11</v>
      </c>
      <c r="AO101" s="139">
        <v>4</v>
      </c>
      <c r="AP101" s="143">
        <f t="shared" si="9"/>
        <v>3.9000000000000004</v>
      </c>
      <c r="AQ101" s="72">
        <v>1</v>
      </c>
      <c r="AR101" s="72">
        <v>1</v>
      </c>
      <c r="AS101" s="72"/>
      <c r="AT101" s="72"/>
      <c r="AU101" s="72"/>
      <c r="AV101" s="72">
        <f t="shared" si="10"/>
        <v>8</v>
      </c>
      <c r="AW101" s="198">
        <v>3</v>
      </c>
      <c r="AX101" s="214">
        <f>+AW101*0.6+AV101*0.4+1</f>
        <v>6</v>
      </c>
      <c r="AY101" s="211">
        <f t="shared" si="12"/>
        <v>4.4301587301587304</v>
      </c>
      <c r="AZ101">
        <v>4.5</v>
      </c>
    </row>
    <row r="102" spans="1:52" ht="17" customHeight="1" thickTop="1" thickBot="1">
      <c r="A102" s="218">
        <v>27</v>
      </c>
      <c r="B102" s="218"/>
      <c r="C102" s="244" t="s">
        <v>73</v>
      </c>
      <c r="D102" s="244"/>
      <c r="E102" s="244"/>
      <c r="F102" s="244"/>
      <c r="G102" s="244"/>
      <c r="H102" s="180" t="s">
        <v>421</v>
      </c>
      <c r="I102" s="180"/>
      <c r="J102" s="180"/>
      <c r="K102" s="180"/>
      <c r="L102" s="180"/>
      <c r="M102" s="180"/>
      <c r="N102" s="180"/>
      <c r="O102" s="226" t="s">
        <v>438</v>
      </c>
      <c r="P102" s="227"/>
      <c r="Q102" s="228"/>
      <c r="R102" s="72"/>
      <c r="S102" s="72">
        <v>0.5</v>
      </c>
      <c r="T102" s="72"/>
      <c r="U102" s="72">
        <v>0.5</v>
      </c>
      <c r="V102" s="72"/>
      <c r="W102" s="72">
        <v>1</v>
      </c>
      <c r="X102" s="72">
        <v>2</v>
      </c>
      <c r="Y102" s="72"/>
      <c r="Z102" s="109">
        <v>16.666666666666668</v>
      </c>
      <c r="AA102" s="106">
        <v>3</v>
      </c>
      <c r="AB102" s="118">
        <f t="shared" si="14"/>
        <v>6.8952380952380947</v>
      </c>
      <c r="AC102" s="72">
        <v>1</v>
      </c>
      <c r="AD102" s="72">
        <v>1</v>
      </c>
      <c r="AE102" s="72"/>
      <c r="AF102" s="72"/>
      <c r="AG102" s="72"/>
      <c r="AH102" s="72">
        <v>1</v>
      </c>
      <c r="AI102" s="72"/>
      <c r="AJ102" s="72"/>
      <c r="AK102" s="72"/>
      <c r="AL102" s="72">
        <v>1</v>
      </c>
      <c r="AM102" s="72">
        <f t="shared" si="8"/>
        <v>8</v>
      </c>
      <c r="AN102" s="72">
        <v>15</v>
      </c>
      <c r="AO102" s="139">
        <v>4.5</v>
      </c>
      <c r="AP102" s="143">
        <f t="shared" si="9"/>
        <v>6.95</v>
      </c>
      <c r="AQ102" s="72">
        <v>1</v>
      </c>
      <c r="AR102" s="72">
        <v>1</v>
      </c>
      <c r="AS102" s="72">
        <v>1</v>
      </c>
      <c r="AT102" s="72">
        <v>1</v>
      </c>
      <c r="AU102" s="72">
        <v>1</v>
      </c>
      <c r="AV102" s="72">
        <f t="shared" si="10"/>
        <v>20</v>
      </c>
      <c r="AW102" s="198">
        <v>5</v>
      </c>
      <c r="AX102" s="199">
        <f t="shared" si="11"/>
        <v>11</v>
      </c>
      <c r="AY102" s="211">
        <f t="shared" si="12"/>
        <v>8.2817460317460316</v>
      </c>
    </row>
    <row r="103" spans="1:52" ht="17" customHeight="1" thickTop="1" thickBot="1">
      <c r="A103" s="218">
        <v>28</v>
      </c>
      <c r="B103" s="218"/>
      <c r="C103" s="244" t="s">
        <v>253</v>
      </c>
      <c r="D103" s="244"/>
      <c r="E103" s="244"/>
      <c r="F103" s="244"/>
      <c r="G103" s="244"/>
      <c r="H103" s="180" t="s">
        <v>23</v>
      </c>
      <c r="I103" s="180"/>
      <c r="J103" s="180"/>
      <c r="K103" s="180"/>
      <c r="L103" s="180"/>
      <c r="M103" s="180"/>
      <c r="N103" s="180"/>
      <c r="O103" s="226" t="s">
        <v>38</v>
      </c>
      <c r="P103" s="227"/>
      <c r="Q103" s="228"/>
      <c r="R103" s="72"/>
      <c r="S103" s="72">
        <v>0.5</v>
      </c>
      <c r="T103" s="72"/>
      <c r="U103" s="72">
        <v>0.5</v>
      </c>
      <c r="V103" s="72"/>
      <c r="W103" s="72">
        <v>1</v>
      </c>
      <c r="X103" s="72"/>
      <c r="Y103" s="72"/>
      <c r="Z103" s="109">
        <v>13.333333333333332</v>
      </c>
      <c r="AA103" s="106">
        <v>8.5</v>
      </c>
      <c r="AB103" s="118">
        <f t="shared" si="14"/>
        <v>8.1476190476190471</v>
      </c>
      <c r="AC103" s="72"/>
      <c r="AD103" s="72"/>
      <c r="AE103" s="72"/>
      <c r="AF103" s="72"/>
      <c r="AG103" s="72"/>
      <c r="AH103" s="72"/>
      <c r="AI103" s="72"/>
      <c r="AJ103" s="72"/>
      <c r="AK103" s="72"/>
      <c r="AL103" s="72"/>
      <c r="AM103" s="72">
        <f t="shared" si="8"/>
        <v>0</v>
      </c>
      <c r="AN103" s="72">
        <v>10</v>
      </c>
      <c r="AO103" s="139">
        <v>4</v>
      </c>
      <c r="AP103" s="143">
        <f t="shared" si="9"/>
        <v>3</v>
      </c>
      <c r="AQ103" s="72"/>
      <c r="AR103" s="72"/>
      <c r="AS103" s="72"/>
      <c r="AT103" s="72"/>
      <c r="AU103" s="72"/>
      <c r="AV103" s="72">
        <f t="shared" si="10"/>
        <v>0</v>
      </c>
      <c r="AW103" s="198">
        <v>1.5</v>
      </c>
      <c r="AX103" s="199">
        <f t="shared" si="11"/>
        <v>0.89999999999999991</v>
      </c>
      <c r="AY103" s="211">
        <f t="shared" si="12"/>
        <v>4.0158730158730158</v>
      </c>
    </row>
    <row r="104" spans="1:52" ht="17" customHeight="1" thickTop="1" thickBot="1">
      <c r="A104" s="218">
        <v>29</v>
      </c>
      <c r="B104" s="218"/>
      <c r="C104" s="244" t="s">
        <v>39</v>
      </c>
      <c r="D104" s="244"/>
      <c r="E104" s="244"/>
      <c r="F104" s="244"/>
      <c r="G104" s="244"/>
      <c r="H104" s="180" t="s">
        <v>396</v>
      </c>
      <c r="I104" s="180"/>
      <c r="J104" s="180"/>
      <c r="K104" s="180"/>
      <c r="L104" s="180"/>
      <c r="M104" s="180"/>
      <c r="N104" s="180"/>
      <c r="O104" s="226" t="s">
        <v>239</v>
      </c>
      <c r="P104" s="227"/>
      <c r="Q104" s="228"/>
      <c r="R104" s="72"/>
      <c r="S104" s="72">
        <v>1</v>
      </c>
      <c r="T104" s="72"/>
      <c r="U104" s="72">
        <v>1</v>
      </c>
      <c r="V104" s="72"/>
      <c r="W104" s="72">
        <v>1</v>
      </c>
      <c r="X104" s="72">
        <v>2</v>
      </c>
      <c r="Y104" s="72">
        <v>1</v>
      </c>
      <c r="Z104" s="109">
        <v>20</v>
      </c>
      <c r="AA104" s="106">
        <v>4</v>
      </c>
      <c r="AB104" s="118">
        <f t="shared" si="14"/>
        <v>9.5428571428571427</v>
      </c>
      <c r="AC104" s="72">
        <v>1</v>
      </c>
      <c r="AD104" s="72">
        <v>1</v>
      </c>
      <c r="AE104" s="72">
        <v>1</v>
      </c>
      <c r="AF104" s="72"/>
      <c r="AG104" s="72">
        <v>0.5</v>
      </c>
      <c r="AH104" s="72">
        <v>1</v>
      </c>
      <c r="AI104" s="72"/>
      <c r="AJ104" s="72">
        <v>1</v>
      </c>
      <c r="AK104" s="72"/>
      <c r="AL104" s="72">
        <v>1</v>
      </c>
      <c r="AM104" s="72">
        <f t="shared" si="8"/>
        <v>13</v>
      </c>
      <c r="AN104" s="72">
        <v>20</v>
      </c>
      <c r="AO104" s="139">
        <v>5</v>
      </c>
      <c r="AP104" s="143">
        <f t="shared" si="9"/>
        <v>9.6999999999999993</v>
      </c>
      <c r="AQ104" s="72">
        <v>1</v>
      </c>
      <c r="AR104" s="72">
        <v>1</v>
      </c>
      <c r="AS104" s="72">
        <v>1</v>
      </c>
      <c r="AT104" s="72">
        <v>1</v>
      </c>
      <c r="AU104" s="72">
        <v>1</v>
      </c>
      <c r="AV104" s="72">
        <f t="shared" si="10"/>
        <v>20</v>
      </c>
      <c r="AW104" s="198">
        <v>1</v>
      </c>
      <c r="AX104" s="199">
        <f t="shared" si="11"/>
        <v>8.6</v>
      </c>
      <c r="AY104" s="211">
        <f t="shared" si="12"/>
        <v>9.28095238095238</v>
      </c>
    </row>
    <row r="105" spans="1:52" ht="17" customHeight="1" thickTop="1" thickBot="1">
      <c r="A105" s="218">
        <v>30</v>
      </c>
      <c r="B105" s="218"/>
      <c r="C105" s="244" t="s">
        <v>491</v>
      </c>
      <c r="D105" s="244"/>
      <c r="E105" s="244"/>
      <c r="F105" s="244"/>
      <c r="G105" s="244"/>
      <c r="H105" s="180" t="s">
        <v>41</v>
      </c>
      <c r="I105" s="180"/>
      <c r="J105" s="180"/>
      <c r="K105" s="180"/>
      <c r="L105" s="180"/>
      <c r="M105" s="180"/>
      <c r="N105" s="180"/>
      <c r="O105" s="226" t="s">
        <v>428</v>
      </c>
      <c r="P105" s="227"/>
      <c r="Q105" s="228"/>
      <c r="R105" s="72"/>
      <c r="S105" s="72">
        <v>1</v>
      </c>
      <c r="T105" s="72"/>
      <c r="U105" s="72">
        <v>1</v>
      </c>
      <c r="V105" s="72"/>
      <c r="W105" s="72">
        <v>1</v>
      </c>
      <c r="X105" s="72">
        <v>1</v>
      </c>
      <c r="Y105" s="72">
        <v>1</v>
      </c>
      <c r="Z105" s="109">
        <v>20</v>
      </c>
      <c r="AA105" s="106">
        <v>10.5</v>
      </c>
      <c r="AB105" s="118">
        <f t="shared" si="14"/>
        <v>12.585714285714285</v>
      </c>
      <c r="AC105" s="72">
        <v>1</v>
      </c>
      <c r="AD105" s="72">
        <v>1</v>
      </c>
      <c r="AE105" s="72">
        <v>1</v>
      </c>
      <c r="AF105" s="72">
        <v>1</v>
      </c>
      <c r="AG105" s="72">
        <v>0.5</v>
      </c>
      <c r="AH105" s="72">
        <v>1</v>
      </c>
      <c r="AI105" s="72"/>
      <c r="AJ105" s="72">
        <v>1</v>
      </c>
      <c r="AK105" s="72">
        <v>1</v>
      </c>
      <c r="AL105" s="72">
        <v>1</v>
      </c>
      <c r="AM105" s="72">
        <f t="shared" si="8"/>
        <v>17</v>
      </c>
      <c r="AN105" s="72">
        <v>20</v>
      </c>
      <c r="AO105" s="139">
        <v>13</v>
      </c>
      <c r="AP105" s="143">
        <f t="shared" si="9"/>
        <v>15.3</v>
      </c>
      <c r="AQ105" s="72">
        <v>1</v>
      </c>
      <c r="AR105" s="72">
        <v>1</v>
      </c>
      <c r="AS105" s="72">
        <v>1</v>
      </c>
      <c r="AT105" s="72">
        <v>1</v>
      </c>
      <c r="AU105" s="72">
        <v>1</v>
      </c>
      <c r="AV105" s="72">
        <f t="shared" si="10"/>
        <v>20</v>
      </c>
      <c r="AW105" s="198">
        <v>14</v>
      </c>
      <c r="AX105" s="199">
        <f t="shared" si="11"/>
        <v>16.399999999999999</v>
      </c>
      <c r="AY105" s="211">
        <f t="shared" si="12"/>
        <v>14.761904761904761</v>
      </c>
    </row>
    <row r="106" spans="1:52" ht="17" customHeight="1" thickTop="1" thickBot="1">
      <c r="A106" s="218">
        <v>31</v>
      </c>
      <c r="B106" s="218"/>
      <c r="C106" s="244" t="s">
        <v>42</v>
      </c>
      <c r="D106" s="244"/>
      <c r="E106" s="244"/>
      <c r="F106" s="244"/>
      <c r="G106" s="244"/>
      <c r="H106" s="180" t="s">
        <v>149</v>
      </c>
      <c r="I106" s="180"/>
      <c r="J106" s="180"/>
      <c r="K106" s="180"/>
      <c r="L106" s="180"/>
      <c r="M106" s="180"/>
      <c r="N106" s="180"/>
      <c r="O106" s="226" t="s">
        <v>275</v>
      </c>
      <c r="P106" s="227"/>
      <c r="Q106" s="228"/>
      <c r="R106" s="72"/>
      <c r="S106" s="72">
        <v>1</v>
      </c>
      <c r="T106" s="72"/>
      <c r="U106" s="72">
        <v>1</v>
      </c>
      <c r="V106" s="72"/>
      <c r="W106" s="72">
        <v>1</v>
      </c>
      <c r="X106" s="72">
        <v>2</v>
      </c>
      <c r="Y106" s="72">
        <v>1</v>
      </c>
      <c r="Z106" s="109">
        <v>13.333333333333332</v>
      </c>
      <c r="AA106" s="106">
        <v>6</v>
      </c>
      <c r="AB106" s="118">
        <f t="shared" si="14"/>
        <v>10.076190476190476</v>
      </c>
      <c r="AC106" s="72">
        <v>1</v>
      </c>
      <c r="AD106" s="72">
        <v>1</v>
      </c>
      <c r="AE106" s="72">
        <v>1</v>
      </c>
      <c r="AF106" s="72">
        <v>1</v>
      </c>
      <c r="AG106" s="72">
        <v>0.5</v>
      </c>
      <c r="AH106" s="72">
        <v>1</v>
      </c>
      <c r="AI106" s="72"/>
      <c r="AJ106" s="72">
        <v>1</v>
      </c>
      <c r="AK106" s="72"/>
      <c r="AL106" s="72">
        <v>1</v>
      </c>
      <c r="AM106" s="72">
        <f t="shared" si="8"/>
        <v>15</v>
      </c>
      <c r="AN106" s="72">
        <v>16</v>
      </c>
      <c r="AO106" s="139">
        <v>5.5</v>
      </c>
      <c r="AP106" s="143">
        <f t="shared" si="9"/>
        <v>10.35</v>
      </c>
      <c r="AQ106" s="72">
        <v>1</v>
      </c>
      <c r="AR106" s="72">
        <v>1</v>
      </c>
      <c r="AS106" s="72">
        <v>1</v>
      </c>
      <c r="AT106" s="72">
        <v>1</v>
      </c>
      <c r="AU106" s="72">
        <v>1</v>
      </c>
      <c r="AV106" s="72">
        <f t="shared" si="10"/>
        <v>20</v>
      </c>
      <c r="AW106" s="198">
        <v>11</v>
      </c>
      <c r="AX106" s="199">
        <f t="shared" si="11"/>
        <v>14.6</v>
      </c>
      <c r="AY106" s="211">
        <f t="shared" si="12"/>
        <v>11.675396825396826</v>
      </c>
    </row>
    <row r="107" spans="1:52" ht="17" customHeight="1" thickTop="1" thickBot="1">
      <c r="A107" s="218">
        <v>32</v>
      </c>
      <c r="B107" s="218"/>
      <c r="C107" s="244" t="s">
        <v>150</v>
      </c>
      <c r="D107" s="244"/>
      <c r="E107" s="244"/>
      <c r="F107" s="244"/>
      <c r="G107" s="244"/>
      <c r="H107" s="180" t="s">
        <v>151</v>
      </c>
      <c r="I107" s="180"/>
      <c r="J107" s="180"/>
      <c r="K107" s="180"/>
      <c r="L107" s="180"/>
      <c r="M107" s="180"/>
      <c r="N107" s="180"/>
      <c r="O107" s="226" t="s">
        <v>438</v>
      </c>
      <c r="P107" s="227"/>
      <c r="Q107" s="228"/>
      <c r="R107" s="72"/>
      <c r="S107" s="72">
        <v>0.5</v>
      </c>
      <c r="T107" s="72"/>
      <c r="U107" s="72">
        <v>0.5</v>
      </c>
      <c r="V107" s="72"/>
      <c r="W107" s="72"/>
      <c r="X107" s="72"/>
      <c r="Y107" s="72"/>
      <c r="Z107" s="109">
        <v>13.333333333333332</v>
      </c>
      <c r="AA107" s="106">
        <v>1</v>
      </c>
      <c r="AB107" s="118">
        <f t="shared" si="14"/>
        <v>2.7904761904761903</v>
      </c>
      <c r="AC107" s="72"/>
      <c r="AD107" s="72"/>
      <c r="AE107" s="72"/>
      <c r="AF107" s="72"/>
      <c r="AG107" s="72"/>
      <c r="AH107" s="72"/>
      <c r="AI107" s="72"/>
      <c r="AJ107" s="72"/>
      <c r="AK107" s="72"/>
      <c r="AL107" s="72"/>
      <c r="AM107" s="72">
        <f t="shared" si="8"/>
        <v>0</v>
      </c>
      <c r="AN107" s="72">
        <v>6</v>
      </c>
      <c r="AO107" s="139"/>
      <c r="AP107" s="143">
        <f t="shared" si="9"/>
        <v>0.60000000000000009</v>
      </c>
      <c r="AQ107" s="72"/>
      <c r="AR107" s="72"/>
      <c r="AS107" s="72"/>
      <c r="AT107" s="72"/>
      <c r="AU107" s="72"/>
      <c r="AV107" s="72">
        <f t="shared" si="10"/>
        <v>0</v>
      </c>
      <c r="AW107" s="198"/>
      <c r="AX107" s="199">
        <f t="shared" si="11"/>
        <v>0</v>
      </c>
      <c r="AY107" s="211">
        <f t="shared" si="12"/>
        <v>1.1301587301587301</v>
      </c>
    </row>
    <row r="108" spans="1:52" ht="17" customHeight="1" thickTop="1" thickBot="1">
      <c r="A108" s="218">
        <v>33</v>
      </c>
      <c r="B108" s="218"/>
      <c r="C108" s="244" t="s">
        <v>51</v>
      </c>
      <c r="D108" s="244"/>
      <c r="E108" s="244"/>
      <c r="F108" s="244"/>
      <c r="G108" s="244"/>
      <c r="H108" s="180" t="s">
        <v>52</v>
      </c>
      <c r="I108" s="180"/>
      <c r="J108" s="180"/>
      <c r="K108" s="180"/>
      <c r="L108" s="180"/>
      <c r="M108" s="180"/>
      <c r="N108" s="180"/>
      <c r="O108" s="226" t="s">
        <v>506</v>
      </c>
      <c r="P108" s="227"/>
      <c r="Q108" s="228"/>
      <c r="R108" s="72"/>
      <c r="S108" s="72">
        <v>1</v>
      </c>
      <c r="T108" s="72"/>
      <c r="U108" s="72">
        <v>1</v>
      </c>
      <c r="V108" s="72"/>
      <c r="W108" s="72">
        <v>1</v>
      </c>
      <c r="X108" s="72">
        <v>2</v>
      </c>
      <c r="Y108" s="72">
        <v>1</v>
      </c>
      <c r="Z108" s="109">
        <v>20</v>
      </c>
      <c r="AA108" s="106">
        <v>3.5</v>
      </c>
      <c r="AB108" s="118">
        <f t="shared" si="14"/>
        <v>9.242857142857142</v>
      </c>
      <c r="AC108" s="72">
        <v>1</v>
      </c>
      <c r="AD108" s="72">
        <v>1</v>
      </c>
      <c r="AE108" s="72">
        <v>1</v>
      </c>
      <c r="AF108" s="72"/>
      <c r="AG108" s="72">
        <v>0.5</v>
      </c>
      <c r="AH108" s="72">
        <v>1</v>
      </c>
      <c r="AI108" s="72"/>
      <c r="AJ108" s="72">
        <v>1</v>
      </c>
      <c r="AK108" s="72"/>
      <c r="AL108" s="72">
        <v>1</v>
      </c>
      <c r="AM108" s="72">
        <f t="shared" si="8"/>
        <v>13</v>
      </c>
      <c r="AN108" s="72">
        <v>18</v>
      </c>
      <c r="AO108" s="139">
        <v>3</v>
      </c>
      <c r="AP108" s="143">
        <f t="shared" si="9"/>
        <v>8.5</v>
      </c>
      <c r="AQ108" s="72">
        <v>1</v>
      </c>
      <c r="AR108" s="72">
        <v>1</v>
      </c>
      <c r="AS108" s="72">
        <v>1</v>
      </c>
      <c r="AT108" s="72">
        <v>1</v>
      </c>
      <c r="AU108" s="72">
        <v>1</v>
      </c>
      <c r="AV108" s="72">
        <f t="shared" si="10"/>
        <v>20</v>
      </c>
      <c r="AW108" s="198">
        <v>2.5</v>
      </c>
      <c r="AX108" s="199">
        <f t="shared" si="11"/>
        <v>9.5</v>
      </c>
      <c r="AY108" s="211">
        <f t="shared" si="12"/>
        <v>9.0809523809523807</v>
      </c>
    </row>
    <row r="109" spans="1:52" ht="17" customHeight="1" thickTop="1" thickBot="1">
      <c r="A109" s="218">
        <v>34</v>
      </c>
      <c r="B109" s="218"/>
      <c r="C109" s="244" t="s">
        <v>161</v>
      </c>
      <c r="D109" s="244"/>
      <c r="E109" s="244"/>
      <c r="F109" s="244"/>
      <c r="G109" s="244"/>
      <c r="H109" s="180" t="s">
        <v>162</v>
      </c>
      <c r="I109" s="180"/>
      <c r="J109" s="180"/>
      <c r="K109" s="180"/>
      <c r="L109" s="180"/>
      <c r="M109" s="180"/>
      <c r="N109" s="180"/>
      <c r="O109" s="226" t="s">
        <v>239</v>
      </c>
      <c r="P109" s="227"/>
      <c r="Q109" s="228"/>
      <c r="R109" s="72"/>
      <c r="S109" s="72"/>
      <c r="T109" s="72"/>
      <c r="U109" s="72"/>
      <c r="V109" s="72"/>
      <c r="W109" s="72"/>
      <c r="X109" s="72"/>
      <c r="Y109" s="72"/>
      <c r="Z109" s="109">
        <v>6.6666666666666661</v>
      </c>
      <c r="AA109" s="106"/>
      <c r="AB109" s="118">
        <f t="shared" si="14"/>
        <v>0.66666666666666663</v>
      </c>
      <c r="AC109" s="72"/>
      <c r="AD109" s="72"/>
      <c r="AE109" s="72"/>
      <c r="AF109" s="72"/>
      <c r="AG109" s="72"/>
      <c r="AH109" s="72"/>
      <c r="AI109" s="72"/>
      <c r="AJ109" s="72"/>
      <c r="AK109" s="72"/>
      <c r="AL109" s="72"/>
      <c r="AM109" s="72">
        <f t="shared" si="8"/>
        <v>0</v>
      </c>
      <c r="AN109" s="72">
        <v>3</v>
      </c>
      <c r="AO109" s="139"/>
      <c r="AP109" s="143">
        <f t="shared" si="9"/>
        <v>0.30000000000000004</v>
      </c>
      <c r="AQ109" s="72"/>
      <c r="AR109" s="72"/>
      <c r="AS109" s="72"/>
      <c r="AT109" s="72"/>
      <c r="AU109" s="72"/>
      <c r="AV109" s="72">
        <f t="shared" si="10"/>
        <v>0</v>
      </c>
      <c r="AW109" s="198"/>
      <c r="AX109" s="199">
        <f t="shared" si="11"/>
        <v>0</v>
      </c>
      <c r="AY109" s="211">
        <f t="shared" si="12"/>
        <v>0.32222222222222224</v>
      </c>
    </row>
    <row r="110" spans="1:52" ht="17" customHeight="1" thickTop="1" thickBot="1">
      <c r="A110" s="218">
        <v>35</v>
      </c>
      <c r="B110" s="218"/>
      <c r="C110" s="244" t="s">
        <v>333</v>
      </c>
      <c r="D110" s="244"/>
      <c r="E110" s="244"/>
      <c r="F110" s="244"/>
      <c r="G110" s="244"/>
      <c r="H110" s="180" t="s">
        <v>160</v>
      </c>
      <c r="I110" s="180"/>
      <c r="J110" s="180"/>
      <c r="K110" s="180"/>
      <c r="L110" s="180"/>
      <c r="M110" s="180"/>
      <c r="N110" s="180"/>
      <c r="O110" s="226" t="s">
        <v>460</v>
      </c>
      <c r="P110" s="227"/>
      <c r="Q110" s="228"/>
      <c r="R110" s="72"/>
      <c r="S110" s="72">
        <v>1</v>
      </c>
      <c r="T110" s="72"/>
      <c r="U110" s="72"/>
      <c r="V110" s="72"/>
      <c r="W110" s="72">
        <v>1</v>
      </c>
      <c r="X110" s="72">
        <v>2</v>
      </c>
      <c r="Y110" s="72">
        <v>1</v>
      </c>
      <c r="Z110" s="109">
        <v>20</v>
      </c>
      <c r="AA110" s="106">
        <v>6.5</v>
      </c>
      <c r="AB110" s="118">
        <f t="shared" si="14"/>
        <v>10.185714285714287</v>
      </c>
      <c r="AC110" s="72">
        <v>1</v>
      </c>
      <c r="AD110" s="72">
        <v>1</v>
      </c>
      <c r="AE110" s="72">
        <v>1</v>
      </c>
      <c r="AF110" s="72">
        <v>1</v>
      </c>
      <c r="AG110" s="72"/>
      <c r="AH110" s="72">
        <v>1</v>
      </c>
      <c r="AI110" s="72">
        <v>1</v>
      </c>
      <c r="AJ110" s="72">
        <v>1</v>
      </c>
      <c r="AK110" s="72">
        <v>1</v>
      </c>
      <c r="AL110" s="72">
        <v>1</v>
      </c>
      <c r="AM110" s="72">
        <f t="shared" si="8"/>
        <v>18</v>
      </c>
      <c r="AN110" s="72">
        <v>20</v>
      </c>
      <c r="AO110" s="139">
        <v>9.5</v>
      </c>
      <c r="AP110" s="143">
        <f t="shared" si="9"/>
        <v>13.95</v>
      </c>
      <c r="AQ110" s="72">
        <v>1</v>
      </c>
      <c r="AR110" s="72">
        <v>1</v>
      </c>
      <c r="AS110" s="72">
        <v>1</v>
      </c>
      <c r="AT110" s="72">
        <v>1</v>
      </c>
      <c r="AU110" s="72">
        <v>1</v>
      </c>
      <c r="AV110" s="72">
        <f t="shared" si="10"/>
        <v>20</v>
      </c>
      <c r="AW110" s="198">
        <v>13.5</v>
      </c>
      <c r="AX110" s="199">
        <f t="shared" si="11"/>
        <v>16.100000000000001</v>
      </c>
      <c r="AY110" s="211">
        <f t="shared" si="12"/>
        <v>13.411904761904763</v>
      </c>
    </row>
    <row r="111" spans="1:52" ht="17" customHeight="1" thickTop="1" thickBot="1">
      <c r="A111" s="218">
        <v>36</v>
      </c>
      <c r="B111" s="218"/>
      <c r="C111" s="244" t="s">
        <v>332</v>
      </c>
      <c r="D111" s="244"/>
      <c r="E111" s="244"/>
      <c r="F111" s="244"/>
      <c r="G111" s="244"/>
      <c r="H111" s="180" t="s">
        <v>507</v>
      </c>
      <c r="I111" s="180"/>
      <c r="J111" s="180"/>
      <c r="K111" s="180"/>
      <c r="L111" s="180"/>
      <c r="M111" s="180"/>
      <c r="N111" s="180"/>
      <c r="O111" s="226" t="s">
        <v>428</v>
      </c>
      <c r="P111" s="227"/>
      <c r="Q111" s="228"/>
      <c r="R111" s="72"/>
      <c r="S111" s="72">
        <v>1</v>
      </c>
      <c r="T111" s="72"/>
      <c r="U111" s="72">
        <v>1</v>
      </c>
      <c r="V111" s="72"/>
      <c r="W111" s="72">
        <v>1</v>
      </c>
      <c r="X111" s="72">
        <v>1</v>
      </c>
      <c r="Y111" s="72">
        <v>1</v>
      </c>
      <c r="Z111" s="109">
        <v>13.333333333333332</v>
      </c>
      <c r="AA111" s="106">
        <v>4.5</v>
      </c>
      <c r="AB111" s="118">
        <f t="shared" si="14"/>
        <v>8.3190476190476197</v>
      </c>
      <c r="AC111" s="72">
        <v>1</v>
      </c>
      <c r="AD111" s="72">
        <v>1</v>
      </c>
      <c r="AE111" s="72">
        <v>1</v>
      </c>
      <c r="AF111" s="72">
        <v>1</v>
      </c>
      <c r="AG111" s="72">
        <v>0.5</v>
      </c>
      <c r="AH111" s="72">
        <v>1</v>
      </c>
      <c r="AI111" s="72"/>
      <c r="AJ111" s="72">
        <v>1</v>
      </c>
      <c r="AK111" s="72"/>
      <c r="AL111" s="72">
        <v>1</v>
      </c>
      <c r="AM111" s="72">
        <f t="shared" si="8"/>
        <v>15</v>
      </c>
      <c r="AN111" s="72">
        <v>16</v>
      </c>
      <c r="AO111" s="139">
        <v>4.5</v>
      </c>
      <c r="AP111" s="143">
        <f t="shared" si="9"/>
        <v>9.85</v>
      </c>
      <c r="AQ111" s="72">
        <v>1</v>
      </c>
      <c r="AR111" s="72">
        <v>1</v>
      </c>
      <c r="AS111" s="72">
        <v>1</v>
      </c>
      <c r="AT111" s="72">
        <v>1</v>
      </c>
      <c r="AU111" s="72">
        <v>1</v>
      </c>
      <c r="AV111" s="72">
        <f t="shared" si="10"/>
        <v>20</v>
      </c>
      <c r="AW111" s="198">
        <v>10</v>
      </c>
      <c r="AX111" s="199">
        <f t="shared" si="11"/>
        <v>14</v>
      </c>
      <c r="AY111" s="211">
        <f t="shared" si="12"/>
        <v>10.723015873015873</v>
      </c>
    </row>
    <row r="112" spans="1:52" ht="17" customHeight="1" thickTop="1" thickBot="1">
      <c r="A112" s="218">
        <v>37</v>
      </c>
      <c r="B112" s="218"/>
      <c r="C112" s="244" t="s">
        <v>401</v>
      </c>
      <c r="D112" s="244"/>
      <c r="E112" s="244"/>
      <c r="F112" s="244"/>
      <c r="G112" s="244"/>
      <c r="H112" s="180" t="s">
        <v>402</v>
      </c>
      <c r="I112" s="180"/>
      <c r="J112" s="180"/>
      <c r="K112" s="180"/>
      <c r="L112" s="180"/>
      <c r="M112" s="180"/>
      <c r="N112" s="180"/>
      <c r="O112" s="226" t="s">
        <v>239</v>
      </c>
      <c r="P112" s="227"/>
      <c r="Q112" s="228"/>
      <c r="R112" s="72"/>
      <c r="S112" s="72">
        <v>0.5</v>
      </c>
      <c r="T112" s="72"/>
      <c r="U112" s="72">
        <v>0.5</v>
      </c>
      <c r="V112" s="72"/>
      <c r="W112" s="72">
        <v>1</v>
      </c>
      <c r="X112" s="72">
        <v>2</v>
      </c>
      <c r="Y112" s="72"/>
      <c r="Z112" s="109">
        <v>16.666666666666668</v>
      </c>
      <c r="AA112" s="106">
        <v>6.5</v>
      </c>
      <c r="AB112" s="118">
        <f t="shared" si="14"/>
        <v>8.9952380952380935</v>
      </c>
      <c r="AC112" s="72"/>
      <c r="AD112" s="72">
        <v>1</v>
      </c>
      <c r="AE112" s="72">
        <v>1</v>
      </c>
      <c r="AF112" s="72">
        <v>1</v>
      </c>
      <c r="AG112" s="72">
        <v>0.5</v>
      </c>
      <c r="AH112" s="72">
        <v>1</v>
      </c>
      <c r="AI112" s="72"/>
      <c r="AJ112" s="72"/>
      <c r="AK112" s="72"/>
      <c r="AL112" s="72">
        <v>1</v>
      </c>
      <c r="AM112" s="72">
        <f t="shared" si="8"/>
        <v>11</v>
      </c>
      <c r="AN112" s="72">
        <v>16</v>
      </c>
      <c r="AO112" s="139">
        <v>5</v>
      </c>
      <c r="AP112" s="143">
        <f t="shared" si="9"/>
        <v>8.5</v>
      </c>
      <c r="AQ112" s="72">
        <v>1</v>
      </c>
      <c r="AR112" s="72">
        <v>1</v>
      </c>
      <c r="AS112" s="72">
        <v>1</v>
      </c>
      <c r="AT112" s="72">
        <v>1</v>
      </c>
      <c r="AU112" s="72">
        <v>1</v>
      </c>
      <c r="AV112" s="72">
        <f t="shared" si="10"/>
        <v>20</v>
      </c>
      <c r="AW112" s="198">
        <v>3.5</v>
      </c>
      <c r="AX112" s="199">
        <f t="shared" si="11"/>
        <v>10.1</v>
      </c>
      <c r="AY112" s="211">
        <f t="shared" si="12"/>
        <v>9.1984126984126977</v>
      </c>
    </row>
    <row r="113" spans="1:52" ht="17" customHeight="1" thickTop="1" thickBot="1">
      <c r="A113" s="218">
        <v>38</v>
      </c>
      <c r="B113" s="218"/>
      <c r="C113" s="244" t="s">
        <v>403</v>
      </c>
      <c r="D113" s="244"/>
      <c r="E113" s="244"/>
      <c r="F113" s="244"/>
      <c r="G113" s="244"/>
      <c r="H113" s="180" t="s">
        <v>514</v>
      </c>
      <c r="I113" s="180"/>
      <c r="J113" s="180"/>
      <c r="K113" s="180"/>
      <c r="L113" s="180"/>
      <c r="M113" s="180"/>
      <c r="N113" s="180"/>
      <c r="O113" s="226" t="s">
        <v>440</v>
      </c>
      <c r="P113" s="227"/>
      <c r="Q113" s="228"/>
      <c r="R113" s="72"/>
      <c r="S113" s="72">
        <v>1</v>
      </c>
      <c r="T113" s="72"/>
      <c r="U113" s="72">
        <v>1</v>
      </c>
      <c r="V113" s="72"/>
      <c r="W113" s="72">
        <v>1</v>
      </c>
      <c r="X113" s="72">
        <v>2</v>
      </c>
      <c r="Y113" s="72">
        <v>1</v>
      </c>
      <c r="Z113" s="109">
        <v>20</v>
      </c>
      <c r="AA113" s="106">
        <v>6</v>
      </c>
      <c r="AB113" s="118">
        <f t="shared" si="14"/>
        <v>10.742857142857142</v>
      </c>
      <c r="AC113" s="72">
        <v>1</v>
      </c>
      <c r="AD113" s="72">
        <v>1</v>
      </c>
      <c r="AE113" s="72"/>
      <c r="AF113" s="72">
        <v>1</v>
      </c>
      <c r="AG113" s="72">
        <v>0.5</v>
      </c>
      <c r="AH113" s="72">
        <v>1</v>
      </c>
      <c r="AI113" s="72"/>
      <c r="AJ113" s="72">
        <v>1</v>
      </c>
      <c r="AK113" s="72"/>
      <c r="AL113" s="72">
        <v>1</v>
      </c>
      <c r="AM113" s="72">
        <f t="shared" si="8"/>
        <v>13</v>
      </c>
      <c r="AN113" s="72">
        <v>20</v>
      </c>
      <c r="AO113" s="139">
        <v>6.5</v>
      </c>
      <c r="AP113" s="143">
        <f t="shared" si="9"/>
        <v>10.45</v>
      </c>
      <c r="AQ113" s="72">
        <v>1</v>
      </c>
      <c r="AR113" s="72">
        <v>1</v>
      </c>
      <c r="AS113" s="72">
        <v>1</v>
      </c>
      <c r="AT113" s="72">
        <v>1</v>
      </c>
      <c r="AU113" s="72">
        <v>1</v>
      </c>
      <c r="AV113" s="72">
        <f t="shared" si="10"/>
        <v>20</v>
      </c>
      <c r="AW113" s="198">
        <v>4</v>
      </c>
      <c r="AX113" s="199">
        <f t="shared" si="11"/>
        <v>10.4</v>
      </c>
      <c r="AY113" s="211">
        <f t="shared" si="12"/>
        <v>10.53095238095238</v>
      </c>
    </row>
    <row r="114" spans="1:52" ht="17" customHeight="1" thickTop="1" thickBot="1">
      <c r="A114" s="218">
        <v>39</v>
      </c>
      <c r="B114" s="218"/>
      <c r="C114" s="244" t="s">
        <v>515</v>
      </c>
      <c r="D114" s="244"/>
      <c r="E114" s="244"/>
      <c r="F114" s="244"/>
      <c r="G114" s="244"/>
      <c r="H114" s="180" t="s">
        <v>516</v>
      </c>
      <c r="I114" s="180"/>
      <c r="J114" s="180"/>
      <c r="K114" s="180"/>
      <c r="L114" s="180"/>
      <c r="M114" s="180"/>
      <c r="N114" s="180"/>
      <c r="O114" s="226" t="s">
        <v>438</v>
      </c>
      <c r="P114" s="227"/>
      <c r="Q114" s="228"/>
      <c r="R114" s="72"/>
      <c r="S114" s="72">
        <v>1</v>
      </c>
      <c r="T114" s="72"/>
      <c r="U114" s="72">
        <v>1</v>
      </c>
      <c r="V114" s="72"/>
      <c r="W114" s="72">
        <v>1</v>
      </c>
      <c r="X114" s="72">
        <v>2</v>
      </c>
      <c r="Y114" s="72">
        <v>1</v>
      </c>
      <c r="Z114" s="109">
        <v>13.333333333333332</v>
      </c>
      <c r="AA114" s="106">
        <v>5</v>
      </c>
      <c r="AB114" s="118">
        <f t="shared" si="14"/>
        <v>9.4761904761904745</v>
      </c>
      <c r="AC114" s="72"/>
      <c r="AD114" s="72"/>
      <c r="AE114" s="72"/>
      <c r="AF114" s="72"/>
      <c r="AG114" s="72">
        <v>0.5</v>
      </c>
      <c r="AH114" s="72">
        <v>1</v>
      </c>
      <c r="AI114" s="72"/>
      <c r="AJ114" s="72">
        <v>1</v>
      </c>
      <c r="AK114" s="72"/>
      <c r="AL114" s="72">
        <v>1</v>
      </c>
      <c r="AM114" s="72">
        <f t="shared" si="8"/>
        <v>7</v>
      </c>
      <c r="AN114" s="72">
        <v>10</v>
      </c>
      <c r="AO114" s="139">
        <v>10.5</v>
      </c>
      <c r="AP114" s="143">
        <f t="shared" si="9"/>
        <v>9.0500000000000007</v>
      </c>
      <c r="AQ114" s="72">
        <v>1</v>
      </c>
      <c r="AR114" s="72"/>
      <c r="AS114" s="72"/>
      <c r="AT114" s="72">
        <v>1</v>
      </c>
      <c r="AU114" s="72">
        <v>1</v>
      </c>
      <c r="AV114" s="72">
        <f t="shared" si="10"/>
        <v>12</v>
      </c>
      <c r="AW114" s="198">
        <v>10</v>
      </c>
      <c r="AX114" s="199">
        <f t="shared" si="11"/>
        <v>10.8</v>
      </c>
      <c r="AY114" s="211">
        <f t="shared" si="12"/>
        <v>9.7753968253968253</v>
      </c>
    </row>
    <row r="115" spans="1:52" ht="17" customHeight="1" thickTop="1" thickBot="1">
      <c r="A115" s="218">
        <v>40</v>
      </c>
      <c r="B115" s="218"/>
      <c r="C115" s="244" t="s">
        <v>513</v>
      </c>
      <c r="D115" s="244"/>
      <c r="E115" s="244"/>
      <c r="F115" s="244"/>
      <c r="G115" s="244"/>
      <c r="H115" s="180" t="s">
        <v>342</v>
      </c>
      <c r="I115" s="180"/>
      <c r="J115" s="180"/>
      <c r="K115" s="180"/>
      <c r="L115" s="180"/>
      <c r="M115" s="180"/>
      <c r="N115" s="180"/>
      <c r="O115" s="226" t="s">
        <v>506</v>
      </c>
      <c r="P115" s="227"/>
      <c r="Q115" s="228"/>
      <c r="R115" s="72"/>
      <c r="S115" s="72">
        <v>1</v>
      </c>
      <c r="T115" s="72"/>
      <c r="U115" s="72">
        <v>1</v>
      </c>
      <c r="V115" s="72"/>
      <c r="W115" s="72"/>
      <c r="X115" s="72">
        <v>2</v>
      </c>
      <c r="Y115" s="72">
        <v>1</v>
      </c>
      <c r="Z115" s="109">
        <v>6.6666666666666661</v>
      </c>
      <c r="AA115" s="106">
        <v>10</v>
      </c>
      <c r="AB115" s="118">
        <f t="shared" si="14"/>
        <v>10.952380952380953</v>
      </c>
      <c r="AC115" s="72"/>
      <c r="AD115" s="72"/>
      <c r="AE115" s="72"/>
      <c r="AF115" s="72"/>
      <c r="AG115" s="72"/>
      <c r="AH115" s="72">
        <v>1</v>
      </c>
      <c r="AI115" s="72"/>
      <c r="AJ115" s="72">
        <v>1</v>
      </c>
      <c r="AK115" s="72"/>
      <c r="AL115" s="72">
        <v>1</v>
      </c>
      <c r="AM115" s="72">
        <f t="shared" si="8"/>
        <v>6</v>
      </c>
      <c r="AN115" s="72">
        <v>5</v>
      </c>
      <c r="AO115" s="139">
        <v>15.5</v>
      </c>
      <c r="AP115" s="143">
        <f t="shared" si="9"/>
        <v>10.65</v>
      </c>
      <c r="AQ115" s="72"/>
      <c r="AR115" s="72"/>
      <c r="AS115" s="72"/>
      <c r="AT115" s="72">
        <v>0.5</v>
      </c>
      <c r="AU115" s="72">
        <v>1</v>
      </c>
      <c r="AV115" s="72">
        <f t="shared" si="10"/>
        <v>6</v>
      </c>
      <c r="AW115" s="198">
        <v>4</v>
      </c>
      <c r="AX115" s="199">
        <f t="shared" si="11"/>
        <v>4.8000000000000007</v>
      </c>
      <c r="AY115" s="211">
        <f t="shared" si="12"/>
        <v>8.8007936507936506</v>
      </c>
    </row>
    <row r="116" spans="1:52" ht="17" customHeight="1" thickTop="1" thickBot="1">
      <c r="A116" s="218">
        <v>41</v>
      </c>
      <c r="B116" s="218"/>
      <c r="C116" s="244" t="s">
        <v>343</v>
      </c>
      <c r="D116" s="244"/>
      <c r="E116" s="244"/>
      <c r="F116" s="244"/>
      <c r="G116" s="244"/>
      <c r="H116" s="180" t="s">
        <v>344</v>
      </c>
      <c r="I116" s="180"/>
      <c r="J116" s="180"/>
      <c r="K116" s="180"/>
      <c r="L116" s="180"/>
      <c r="M116" s="180"/>
      <c r="N116" s="180"/>
      <c r="O116" s="226" t="s">
        <v>239</v>
      </c>
      <c r="P116" s="227"/>
      <c r="Q116" s="228"/>
      <c r="R116" s="72"/>
      <c r="S116" s="72">
        <v>1</v>
      </c>
      <c r="T116" s="72"/>
      <c r="U116" s="72">
        <v>1</v>
      </c>
      <c r="V116" s="72"/>
      <c r="W116" s="72">
        <v>1</v>
      </c>
      <c r="X116" s="72">
        <v>1</v>
      </c>
      <c r="Y116" s="72"/>
      <c r="Z116" s="109">
        <v>20</v>
      </c>
      <c r="AA116" s="106">
        <v>2.5</v>
      </c>
      <c r="AB116" s="118">
        <f t="shared" si="14"/>
        <v>6.9285714285714279</v>
      </c>
      <c r="AC116" s="72">
        <v>1</v>
      </c>
      <c r="AD116" s="72">
        <v>1</v>
      </c>
      <c r="AE116" s="72">
        <v>1</v>
      </c>
      <c r="AF116" s="72"/>
      <c r="AG116" s="72">
        <v>0.5</v>
      </c>
      <c r="AH116" s="72">
        <v>1</v>
      </c>
      <c r="AI116" s="72"/>
      <c r="AJ116" s="72"/>
      <c r="AK116" s="72"/>
      <c r="AL116" s="72">
        <v>1</v>
      </c>
      <c r="AM116" s="72">
        <f t="shared" si="8"/>
        <v>11</v>
      </c>
      <c r="AN116" s="72">
        <v>16</v>
      </c>
      <c r="AO116" s="139"/>
      <c r="AP116" s="143">
        <f t="shared" si="9"/>
        <v>6</v>
      </c>
      <c r="AQ116" s="72">
        <v>1</v>
      </c>
      <c r="AR116" s="72">
        <v>1</v>
      </c>
      <c r="AS116" s="72">
        <v>1</v>
      </c>
      <c r="AT116" s="72">
        <v>1</v>
      </c>
      <c r="AU116" s="72">
        <v>1</v>
      </c>
      <c r="AV116" s="72">
        <f t="shared" si="10"/>
        <v>20</v>
      </c>
      <c r="AW116" s="198">
        <v>1</v>
      </c>
      <c r="AX116" s="199">
        <f t="shared" si="11"/>
        <v>8.6</v>
      </c>
      <c r="AY116" s="211">
        <f t="shared" si="12"/>
        <v>7.1761904761904765</v>
      </c>
      <c r="AZ116" t="s">
        <v>377</v>
      </c>
    </row>
    <row r="117" spans="1:52" ht="17" customHeight="1" thickTop="1" thickBot="1">
      <c r="A117" s="218">
        <v>42</v>
      </c>
      <c r="B117" s="218"/>
      <c r="C117" s="244" t="s">
        <v>345</v>
      </c>
      <c r="D117" s="244"/>
      <c r="E117" s="244"/>
      <c r="F117" s="244"/>
      <c r="G117" s="244"/>
      <c r="H117" s="180" t="s">
        <v>349</v>
      </c>
      <c r="I117" s="180"/>
      <c r="J117" s="180"/>
      <c r="K117" s="180"/>
      <c r="L117" s="180"/>
      <c r="M117" s="180"/>
      <c r="N117" s="180"/>
      <c r="O117" s="226" t="s">
        <v>239</v>
      </c>
      <c r="P117" s="227"/>
      <c r="Q117" s="228"/>
      <c r="R117" s="72"/>
      <c r="S117" s="72">
        <v>1</v>
      </c>
      <c r="T117" s="72"/>
      <c r="U117" s="72">
        <v>1</v>
      </c>
      <c r="V117" s="72"/>
      <c r="W117" s="72">
        <v>1</v>
      </c>
      <c r="X117" s="72">
        <v>2</v>
      </c>
      <c r="Y117" s="72">
        <v>1</v>
      </c>
      <c r="Z117" s="109">
        <v>13.333333333333332</v>
      </c>
      <c r="AA117" s="106">
        <v>4</v>
      </c>
      <c r="AB117" s="118">
        <f t="shared" si="14"/>
        <v>8.8761904761904766</v>
      </c>
      <c r="AC117" s="72"/>
      <c r="AD117" s="72">
        <v>0.5</v>
      </c>
      <c r="AE117" s="72">
        <v>1</v>
      </c>
      <c r="AF117" s="72"/>
      <c r="AG117" s="72">
        <v>0.5</v>
      </c>
      <c r="AH117" s="72"/>
      <c r="AI117" s="72"/>
      <c r="AJ117" s="72">
        <v>1</v>
      </c>
      <c r="AK117" s="72">
        <v>1</v>
      </c>
      <c r="AL117" s="72">
        <v>1</v>
      </c>
      <c r="AM117" s="72">
        <f t="shared" si="8"/>
        <v>10</v>
      </c>
      <c r="AN117" s="72">
        <v>11</v>
      </c>
      <c r="AO117" s="139">
        <v>2.5</v>
      </c>
      <c r="AP117" s="143">
        <f t="shared" si="9"/>
        <v>6.35</v>
      </c>
      <c r="AQ117" s="72">
        <v>1</v>
      </c>
      <c r="AR117" s="72"/>
      <c r="AS117" s="72">
        <v>1</v>
      </c>
      <c r="AT117" s="72">
        <v>1</v>
      </c>
      <c r="AU117" s="72">
        <v>1</v>
      </c>
      <c r="AV117" s="72">
        <f t="shared" si="10"/>
        <v>16</v>
      </c>
      <c r="AW117" s="198">
        <v>3</v>
      </c>
      <c r="AX117" s="199">
        <f t="shared" si="11"/>
        <v>8.1999999999999993</v>
      </c>
      <c r="AY117" s="211">
        <f t="shared" si="12"/>
        <v>7.8087301587301594</v>
      </c>
      <c r="AZ117" t="s">
        <v>376</v>
      </c>
    </row>
    <row r="118" spans="1:52" ht="17" customHeight="1" thickTop="1" thickBot="1">
      <c r="A118" s="218">
        <v>43</v>
      </c>
      <c r="B118" s="218"/>
      <c r="C118" s="244" t="s">
        <v>350</v>
      </c>
      <c r="D118" s="244"/>
      <c r="E118" s="244"/>
      <c r="F118" s="244"/>
      <c r="G118" s="244"/>
      <c r="H118" s="180" t="s">
        <v>351</v>
      </c>
      <c r="I118" s="180"/>
      <c r="J118" s="180"/>
      <c r="K118" s="180"/>
      <c r="L118" s="180"/>
      <c r="M118" s="180"/>
      <c r="N118" s="180"/>
      <c r="O118" s="226" t="s">
        <v>352</v>
      </c>
      <c r="P118" s="227"/>
      <c r="Q118" s="228"/>
      <c r="R118" s="72"/>
      <c r="S118" s="72">
        <v>1</v>
      </c>
      <c r="T118" s="72"/>
      <c r="U118" s="72">
        <v>1</v>
      </c>
      <c r="V118" s="72"/>
      <c r="W118" s="72">
        <v>1</v>
      </c>
      <c r="X118" s="72">
        <v>2</v>
      </c>
      <c r="Y118" s="72">
        <v>1</v>
      </c>
      <c r="Z118" s="109">
        <v>20</v>
      </c>
      <c r="AA118" s="106">
        <v>6</v>
      </c>
      <c r="AB118" s="118">
        <f t="shared" si="14"/>
        <v>10.742857142857142</v>
      </c>
      <c r="AC118" s="72">
        <v>1</v>
      </c>
      <c r="AD118" s="72">
        <v>1</v>
      </c>
      <c r="AE118" s="72">
        <v>1</v>
      </c>
      <c r="AF118" s="72"/>
      <c r="AG118" s="72">
        <v>0.5</v>
      </c>
      <c r="AH118" s="72">
        <v>1</v>
      </c>
      <c r="AI118" s="72"/>
      <c r="AJ118" s="72">
        <v>1</v>
      </c>
      <c r="AK118" s="72"/>
      <c r="AL118" s="72">
        <v>1</v>
      </c>
      <c r="AM118" s="72">
        <f t="shared" si="8"/>
        <v>13</v>
      </c>
      <c r="AN118" s="72">
        <v>20</v>
      </c>
      <c r="AO118" s="139">
        <v>5.5</v>
      </c>
      <c r="AP118" s="143">
        <f t="shared" si="9"/>
        <v>9.9499999999999993</v>
      </c>
      <c r="AQ118" s="72">
        <v>1</v>
      </c>
      <c r="AR118" s="72">
        <v>1</v>
      </c>
      <c r="AS118" s="72">
        <v>1</v>
      </c>
      <c r="AT118" s="72">
        <v>1</v>
      </c>
      <c r="AU118" s="72">
        <v>1</v>
      </c>
      <c r="AV118" s="72">
        <f t="shared" si="10"/>
        <v>20</v>
      </c>
      <c r="AW118" s="198">
        <v>3</v>
      </c>
      <c r="AX118" s="199">
        <f t="shared" si="11"/>
        <v>9.8000000000000007</v>
      </c>
      <c r="AY118" s="211">
        <f t="shared" si="12"/>
        <v>10.164285714285713</v>
      </c>
    </row>
    <row r="119" spans="1:52" ht="17" customHeight="1" thickTop="1" thickBot="1">
      <c r="A119" s="218">
        <v>44</v>
      </c>
      <c r="B119" s="218"/>
      <c r="C119" s="244" t="s">
        <v>353</v>
      </c>
      <c r="D119" s="244"/>
      <c r="E119" s="244"/>
      <c r="F119" s="244"/>
      <c r="G119" s="244"/>
      <c r="H119" s="180" t="s">
        <v>179</v>
      </c>
      <c r="I119" s="180"/>
      <c r="J119" s="180"/>
      <c r="K119" s="180"/>
      <c r="L119" s="180"/>
      <c r="M119" s="180"/>
      <c r="N119" s="180"/>
      <c r="O119" s="226" t="s">
        <v>460</v>
      </c>
      <c r="P119" s="227"/>
      <c r="Q119" s="228"/>
      <c r="R119" s="72"/>
      <c r="S119" s="72">
        <v>1</v>
      </c>
      <c r="T119" s="72"/>
      <c r="U119" s="72">
        <v>1</v>
      </c>
      <c r="V119" s="72"/>
      <c r="W119" s="72">
        <v>1</v>
      </c>
      <c r="X119" s="72">
        <v>2</v>
      </c>
      <c r="Y119" s="72">
        <v>1</v>
      </c>
      <c r="Z119" s="109">
        <v>20</v>
      </c>
      <c r="AA119" s="106">
        <v>11</v>
      </c>
      <c r="AB119" s="118">
        <f t="shared" si="14"/>
        <v>13.742857142857142</v>
      </c>
      <c r="AC119" s="72">
        <v>1</v>
      </c>
      <c r="AD119" s="72">
        <v>1</v>
      </c>
      <c r="AE119" s="72">
        <v>1</v>
      </c>
      <c r="AF119" s="72">
        <v>1</v>
      </c>
      <c r="AG119" s="72">
        <v>0.5</v>
      </c>
      <c r="AH119" s="72">
        <v>1</v>
      </c>
      <c r="AI119" s="72"/>
      <c r="AJ119" s="72">
        <v>1</v>
      </c>
      <c r="AK119" s="72">
        <v>1</v>
      </c>
      <c r="AL119" s="72">
        <v>1</v>
      </c>
      <c r="AM119" s="72">
        <f t="shared" si="8"/>
        <v>17</v>
      </c>
      <c r="AN119" s="72">
        <v>18</v>
      </c>
      <c r="AO119" s="139">
        <v>9</v>
      </c>
      <c r="AP119" s="143">
        <f t="shared" si="9"/>
        <v>13.100000000000001</v>
      </c>
      <c r="AQ119" s="72">
        <v>1</v>
      </c>
      <c r="AR119" s="72">
        <v>1</v>
      </c>
      <c r="AS119" s="72">
        <v>1</v>
      </c>
      <c r="AT119" s="72">
        <v>1</v>
      </c>
      <c r="AU119" s="72">
        <v>1</v>
      </c>
      <c r="AV119" s="72">
        <f t="shared" si="10"/>
        <v>20</v>
      </c>
      <c r="AW119" s="198">
        <v>11</v>
      </c>
      <c r="AX119" s="199">
        <f t="shared" si="11"/>
        <v>14.6</v>
      </c>
      <c r="AY119" s="211">
        <f t="shared" si="12"/>
        <v>13.814285714285715</v>
      </c>
    </row>
    <row r="120" spans="1:52" ht="16" thickTop="1">
      <c r="R120">
        <v>1</v>
      </c>
      <c r="S120" s="100">
        <v>1</v>
      </c>
      <c r="U120" s="100">
        <v>1</v>
      </c>
      <c r="W120" s="100">
        <v>1</v>
      </c>
      <c r="X120" s="100">
        <v>2</v>
      </c>
      <c r="Y120" s="100">
        <v>1</v>
      </c>
      <c r="Z120" s="108">
        <v>20</v>
      </c>
      <c r="AA120" s="104">
        <v>20</v>
      </c>
      <c r="AB120" s="117">
        <f>+AA120*0.6+Z120*0.1+SUM(R120:Y120)/7*20*0.3</f>
        <v>20</v>
      </c>
      <c r="AC120" s="100">
        <v>1</v>
      </c>
      <c r="AD120" s="100">
        <v>1</v>
      </c>
      <c r="AE120" s="100">
        <v>1</v>
      </c>
      <c r="AF120" s="112">
        <v>1</v>
      </c>
      <c r="AG120" s="100">
        <v>1</v>
      </c>
      <c r="AH120" s="100">
        <v>1</v>
      </c>
      <c r="AI120" s="100">
        <v>1</v>
      </c>
      <c r="AJ120" s="100">
        <v>1</v>
      </c>
      <c r="AK120" s="100">
        <v>1</v>
      </c>
      <c r="AL120" s="100">
        <v>1</v>
      </c>
      <c r="AM120" s="72">
        <f t="shared" si="8"/>
        <v>20</v>
      </c>
      <c r="AN120" s="100">
        <v>20</v>
      </c>
      <c r="AO120" s="138">
        <v>20</v>
      </c>
      <c r="AP120" s="143">
        <f t="shared" si="9"/>
        <v>20</v>
      </c>
      <c r="AQ120" s="100">
        <v>1</v>
      </c>
      <c r="AR120" s="100">
        <v>1</v>
      </c>
      <c r="AS120" s="100">
        <v>1</v>
      </c>
      <c r="AT120" s="100">
        <v>1</v>
      </c>
      <c r="AU120" s="100">
        <v>1</v>
      </c>
      <c r="AV120" s="72">
        <f t="shared" si="10"/>
        <v>20</v>
      </c>
      <c r="AW120" s="174">
        <v>20</v>
      </c>
      <c r="AX120" s="199">
        <f t="shared" si="11"/>
        <v>20</v>
      </c>
    </row>
  </sheetData>
  <mergeCells count="308">
    <mergeCell ref="O51:Q51"/>
    <mergeCell ref="O52:Q52"/>
    <mergeCell ref="L72:M72"/>
    <mergeCell ref="O74:Q74"/>
    <mergeCell ref="O75:Q75"/>
    <mergeCell ref="O76:Q76"/>
    <mergeCell ref="O54:Q54"/>
    <mergeCell ref="O55:Q55"/>
    <mergeCell ref="O56:Q56"/>
    <mergeCell ref="O57:Q57"/>
    <mergeCell ref="O58:Q58"/>
    <mergeCell ref="O59:Q59"/>
    <mergeCell ref="O60:Q60"/>
    <mergeCell ref="K65:P65"/>
    <mergeCell ref="I68:L69"/>
    <mergeCell ref="J71:O71"/>
    <mergeCell ref="A97:B97"/>
    <mergeCell ref="A92:B92"/>
    <mergeCell ref="A81:B81"/>
    <mergeCell ref="A82:B82"/>
    <mergeCell ref="A83:B83"/>
    <mergeCell ref="A84:B84"/>
    <mergeCell ref="A85:B85"/>
    <mergeCell ref="A86:B86"/>
    <mergeCell ref="A87:B87"/>
    <mergeCell ref="A98:B98"/>
    <mergeCell ref="A99:B99"/>
    <mergeCell ref="A100:B100"/>
    <mergeCell ref="A101:B101"/>
    <mergeCell ref="A102:B102"/>
    <mergeCell ref="A103:B103"/>
    <mergeCell ref="A104:B104"/>
    <mergeCell ref="A105:B105"/>
    <mergeCell ref="A106:B106"/>
    <mergeCell ref="A107:B107"/>
    <mergeCell ref="A108:B108"/>
    <mergeCell ref="A109:B109"/>
    <mergeCell ref="A110:B110"/>
    <mergeCell ref="A111:B111"/>
    <mergeCell ref="A112:B112"/>
    <mergeCell ref="A113:B113"/>
    <mergeCell ref="A114:B114"/>
    <mergeCell ref="A115:B115"/>
    <mergeCell ref="A116:B116"/>
    <mergeCell ref="A117:B117"/>
    <mergeCell ref="A118:B118"/>
    <mergeCell ref="A119:B119"/>
    <mergeCell ref="B64:C68"/>
    <mergeCell ref="C74:G74"/>
    <mergeCell ref="C75:G75"/>
    <mergeCell ref="C76:G76"/>
    <mergeCell ref="C77:G77"/>
    <mergeCell ref="C78:G78"/>
    <mergeCell ref="C79:G79"/>
    <mergeCell ref="C80:G80"/>
    <mergeCell ref="C81:G81"/>
    <mergeCell ref="C82:G82"/>
    <mergeCell ref="C83:G83"/>
    <mergeCell ref="C84:G84"/>
    <mergeCell ref="C85:G85"/>
    <mergeCell ref="C86:G86"/>
    <mergeCell ref="C87:G87"/>
    <mergeCell ref="C88:G88"/>
    <mergeCell ref="C89:G89"/>
    <mergeCell ref="C90:G90"/>
    <mergeCell ref="C91:G91"/>
    <mergeCell ref="C93:G93"/>
    <mergeCell ref="C115:G115"/>
    <mergeCell ref="C116:G116"/>
    <mergeCell ref="C117:G117"/>
    <mergeCell ref="C118:G118"/>
    <mergeCell ref="C119:G119"/>
    <mergeCell ref="E71:F71"/>
    <mergeCell ref="C103:G103"/>
    <mergeCell ref="C104:G104"/>
    <mergeCell ref="C105:G105"/>
    <mergeCell ref="C106:G106"/>
    <mergeCell ref="C107:G107"/>
    <mergeCell ref="C108:G108"/>
    <mergeCell ref="C109:G109"/>
    <mergeCell ref="C110:G110"/>
    <mergeCell ref="C111:G111"/>
    <mergeCell ref="A71:D71"/>
    <mergeCell ref="A72:D72"/>
    <mergeCell ref="A73:D73"/>
    <mergeCell ref="A74:B74"/>
    <mergeCell ref="A75:B75"/>
    <mergeCell ref="A76:B76"/>
    <mergeCell ref="A77:B77"/>
    <mergeCell ref="A78:B78"/>
    <mergeCell ref="C97:G97"/>
    <mergeCell ref="C98:G98"/>
    <mergeCell ref="C99:G99"/>
    <mergeCell ref="C100:G100"/>
    <mergeCell ref="C101:G101"/>
    <mergeCell ref="C102:G102"/>
    <mergeCell ref="C112:G112"/>
    <mergeCell ref="C113:G113"/>
    <mergeCell ref="C114:G114"/>
    <mergeCell ref="O79:Q79"/>
    <mergeCell ref="O80:Q80"/>
    <mergeCell ref="O97:Q97"/>
    <mergeCell ref="O98:Q98"/>
    <mergeCell ref="O99:Q99"/>
    <mergeCell ref="O86:Q86"/>
    <mergeCell ref="O87:Q87"/>
    <mergeCell ref="O88:Q88"/>
    <mergeCell ref="O89:Q89"/>
    <mergeCell ref="O91:Q91"/>
    <mergeCell ref="O93:Q93"/>
    <mergeCell ref="O94:Q94"/>
    <mergeCell ref="O95:Q95"/>
    <mergeCell ref="O96:Q96"/>
    <mergeCell ref="O81:Q81"/>
    <mergeCell ref="O82:Q82"/>
    <mergeCell ref="O83:Q83"/>
    <mergeCell ref="O84:Q84"/>
    <mergeCell ref="O85:Q85"/>
    <mergeCell ref="C94:G94"/>
    <mergeCell ref="C95:G95"/>
    <mergeCell ref="C96:G96"/>
    <mergeCell ref="A88:B88"/>
    <mergeCell ref="A89:B89"/>
    <mergeCell ref="A90:B90"/>
    <mergeCell ref="A91:B91"/>
    <mergeCell ref="A93:B93"/>
    <mergeCell ref="A94:B94"/>
    <mergeCell ref="A95:B95"/>
    <mergeCell ref="A96:B96"/>
    <mergeCell ref="O92:Q92"/>
    <mergeCell ref="O118:Q118"/>
    <mergeCell ref="O119:Q119"/>
    <mergeCell ref="P71:Q71"/>
    <mergeCell ref="P72:Q72"/>
    <mergeCell ref="P73:Q73"/>
    <mergeCell ref="O109:Q109"/>
    <mergeCell ref="O110:Q110"/>
    <mergeCell ref="O111:Q111"/>
    <mergeCell ref="O112:Q112"/>
    <mergeCell ref="O113:Q113"/>
    <mergeCell ref="O114:Q114"/>
    <mergeCell ref="O115:Q115"/>
    <mergeCell ref="O116:Q116"/>
    <mergeCell ref="O117:Q117"/>
    <mergeCell ref="O100:Q100"/>
    <mergeCell ref="O101:Q101"/>
    <mergeCell ref="O102:Q102"/>
    <mergeCell ref="O103:Q103"/>
    <mergeCell ref="O104:Q104"/>
    <mergeCell ref="O105:Q105"/>
    <mergeCell ref="O106:Q106"/>
    <mergeCell ref="O107:Q107"/>
    <mergeCell ref="O108:Q108"/>
    <mergeCell ref="O90:Q90"/>
    <mergeCell ref="O15:Q15"/>
    <mergeCell ref="O17:Q17"/>
    <mergeCell ref="O19:Q19"/>
    <mergeCell ref="E10:F10"/>
    <mergeCell ref="P10:Q10"/>
    <mergeCell ref="P11:Q11"/>
    <mergeCell ref="P12:Q12"/>
    <mergeCell ref="O16:Q16"/>
    <mergeCell ref="O37:Q37"/>
    <mergeCell ref="C18:G18"/>
    <mergeCell ref="O18:Q18"/>
    <mergeCell ref="O28:Q28"/>
    <mergeCell ref="O29:Q29"/>
    <mergeCell ref="O30:Q30"/>
    <mergeCell ref="O31:Q31"/>
    <mergeCell ref="O32:Q32"/>
    <mergeCell ref="O33:Q33"/>
    <mergeCell ref="O34:Q34"/>
    <mergeCell ref="O35:Q35"/>
    <mergeCell ref="O20:Q20"/>
    <mergeCell ref="O21:Q21"/>
    <mergeCell ref="O22:Q22"/>
    <mergeCell ref="O27:Q27"/>
    <mergeCell ref="O26:Q26"/>
    <mergeCell ref="O25:Q25"/>
    <mergeCell ref="O46:Q46"/>
    <mergeCell ref="O47:Q47"/>
    <mergeCell ref="O48:Q48"/>
    <mergeCell ref="O49:Q49"/>
    <mergeCell ref="O50:Q50"/>
    <mergeCell ref="O38:Q38"/>
    <mergeCell ref="O39:Q39"/>
    <mergeCell ref="O40:Q40"/>
    <mergeCell ref="O41:Q41"/>
    <mergeCell ref="O42:Q42"/>
    <mergeCell ref="O43:Q43"/>
    <mergeCell ref="O44:Q44"/>
    <mergeCell ref="O45:Q45"/>
    <mergeCell ref="O77:Q77"/>
    <mergeCell ref="O78:Q78"/>
    <mergeCell ref="O53:Q53"/>
    <mergeCell ref="O36:Q36"/>
    <mergeCell ref="J62:Q62"/>
    <mergeCell ref="I7:L8"/>
    <mergeCell ref="J10:O10"/>
    <mergeCell ref="A10:D10"/>
    <mergeCell ref="A11:D11"/>
    <mergeCell ref="A12:D12"/>
    <mergeCell ref="A13:B13"/>
    <mergeCell ref="A14:B14"/>
    <mergeCell ref="A15:B15"/>
    <mergeCell ref="A17:B17"/>
    <mergeCell ref="A19:B19"/>
    <mergeCell ref="L11:M11"/>
    <mergeCell ref="O13:Q13"/>
    <mergeCell ref="O14:Q14"/>
    <mergeCell ref="C50:G50"/>
    <mergeCell ref="C51:G51"/>
    <mergeCell ref="C52:G52"/>
    <mergeCell ref="A47:B47"/>
    <mergeCell ref="A48:B48"/>
    <mergeCell ref="A49:B49"/>
    <mergeCell ref="C37:G37"/>
    <mergeCell ref="C38:G38"/>
    <mergeCell ref="A39:B39"/>
    <mergeCell ref="A40:B40"/>
    <mergeCell ref="A53:B53"/>
    <mergeCell ref="A36:B36"/>
    <mergeCell ref="A37:B37"/>
    <mergeCell ref="A38:B38"/>
    <mergeCell ref="A44:B44"/>
    <mergeCell ref="C39:G39"/>
    <mergeCell ref="C40:G40"/>
    <mergeCell ref="C41:G41"/>
    <mergeCell ref="C46:G46"/>
    <mergeCell ref="C47:G47"/>
    <mergeCell ref="J1:Q1"/>
    <mergeCell ref="K4:P4"/>
    <mergeCell ref="O23:Q23"/>
    <mergeCell ref="O24:Q24"/>
    <mergeCell ref="C32:G32"/>
    <mergeCell ref="C33:G33"/>
    <mergeCell ref="C34:G34"/>
    <mergeCell ref="C35:G35"/>
    <mergeCell ref="C36:G36"/>
    <mergeCell ref="B3:C7"/>
    <mergeCell ref="C13:G13"/>
    <mergeCell ref="C14:G14"/>
    <mergeCell ref="C15:G15"/>
    <mergeCell ref="C17:G17"/>
    <mergeCell ref="C19:G19"/>
    <mergeCell ref="C20:G20"/>
    <mergeCell ref="C21:G21"/>
    <mergeCell ref="C22:G22"/>
    <mergeCell ref="A16:B16"/>
    <mergeCell ref="C16:G16"/>
    <mergeCell ref="A20:B20"/>
    <mergeCell ref="A21:B21"/>
    <mergeCell ref="A22:B22"/>
    <mergeCell ref="A18:B18"/>
    <mergeCell ref="A23:B23"/>
    <mergeCell ref="A24:B24"/>
    <mergeCell ref="A25:B25"/>
    <mergeCell ref="A26:B26"/>
    <mergeCell ref="C23:G23"/>
    <mergeCell ref="C24:G24"/>
    <mergeCell ref="C25:G25"/>
    <mergeCell ref="C28:G28"/>
    <mergeCell ref="C29:G29"/>
    <mergeCell ref="C26:G26"/>
    <mergeCell ref="C27:G27"/>
    <mergeCell ref="A29:B29"/>
    <mergeCell ref="C42:G42"/>
    <mergeCell ref="C43:G43"/>
    <mergeCell ref="C44:G44"/>
    <mergeCell ref="A52:B52"/>
    <mergeCell ref="C48:G48"/>
    <mergeCell ref="C45:G45"/>
    <mergeCell ref="A27:B27"/>
    <mergeCell ref="A28:B28"/>
    <mergeCell ref="A34:B34"/>
    <mergeCell ref="A35:B35"/>
    <mergeCell ref="C30:G30"/>
    <mergeCell ref="A45:B45"/>
    <mergeCell ref="A46:B46"/>
    <mergeCell ref="C49:G49"/>
    <mergeCell ref="C31:G31"/>
    <mergeCell ref="A50:B50"/>
    <mergeCell ref="A51:B51"/>
    <mergeCell ref="A41:B41"/>
    <mergeCell ref="A42:B42"/>
    <mergeCell ref="A43:B43"/>
    <mergeCell ref="A30:B30"/>
    <mergeCell ref="A31:B31"/>
    <mergeCell ref="A32:B32"/>
    <mergeCell ref="A33:B33"/>
    <mergeCell ref="A56:B56"/>
    <mergeCell ref="A57:B57"/>
    <mergeCell ref="A58:B58"/>
    <mergeCell ref="C92:G92"/>
    <mergeCell ref="A60:B60"/>
    <mergeCell ref="A59:B59"/>
    <mergeCell ref="C53:G53"/>
    <mergeCell ref="C54:G54"/>
    <mergeCell ref="C55:G55"/>
    <mergeCell ref="C56:G56"/>
    <mergeCell ref="A79:B79"/>
    <mergeCell ref="A80:B80"/>
    <mergeCell ref="C57:G57"/>
    <mergeCell ref="C58:G58"/>
    <mergeCell ref="C59:G59"/>
    <mergeCell ref="A54:B54"/>
    <mergeCell ref="A55:B55"/>
    <mergeCell ref="C60:G60"/>
  </mergeCells>
  <phoneticPr fontId="23" type="noConversion"/>
  <hyperlinks>
    <hyperlink ref="BC57" r:id="rId1"/>
    <hyperlink ref="BA87" r:id="rId2"/>
  </hyperlinks>
  <pageMargins left="0.7" right="0.7" top="0.75" bottom="0.75" header="0.3" footer="0.3"/>
  <drawing r:id="rId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J107"/>
  <sheetViews>
    <sheetView topLeftCell="C8" workbookViewId="0">
      <selection activeCell="AK101" sqref="AK101"/>
    </sheetView>
  </sheetViews>
  <sheetFormatPr baseColWidth="10" defaultRowHeight="15"/>
  <cols>
    <col min="1" max="1" width="4.5" customWidth="1"/>
    <col min="2" max="2" width="6.125" customWidth="1"/>
    <col min="3" max="3" width="2.375" customWidth="1"/>
    <col min="6" max="6" width="2" customWidth="1"/>
    <col min="7" max="7" width="2.125" customWidth="1"/>
    <col min="8" max="8" width="6.5" customWidth="1"/>
    <col min="9" max="12" width="3.25" customWidth="1"/>
    <col min="13" max="13" width="4.5" customWidth="1"/>
    <col min="14" max="14" width="4.5" style="161" customWidth="1"/>
    <col min="15" max="15" width="6.375" style="120" customWidth="1"/>
    <col min="16" max="23" width="3.25" customWidth="1"/>
    <col min="24" max="25" width="3.75" customWidth="1"/>
    <col min="26" max="26" width="3.75" style="161" customWidth="1"/>
    <col min="27" max="27" width="4.75" style="148" bestFit="1" customWidth="1"/>
    <col min="28" max="28" width="3.875" bestFit="1" customWidth="1"/>
    <col min="29" max="29" width="3.875" customWidth="1"/>
    <col min="30" max="30" width="3.625" bestFit="1" customWidth="1"/>
    <col min="31" max="32" width="3.625" customWidth="1"/>
    <col min="33" max="33" width="4.5" customWidth="1"/>
    <col min="34" max="34" width="5.375" customWidth="1"/>
    <col min="35" max="35" width="5.25" style="200" customWidth="1"/>
    <col min="36" max="36" width="5.75" style="201" customWidth="1"/>
    <col min="37" max="52" width="2.875" customWidth="1"/>
  </cols>
  <sheetData>
    <row r="1" spans="1:36">
      <c r="A1" s="8"/>
      <c r="B1" s="8"/>
      <c r="C1" s="8"/>
      <c r="D1" s="8"/>
      <c r="E1" s="273"/>
      <c r="F1" s="273"/>
      <c r="G1" s="273"/>
      <c r="H1" s="273"/>
      <c r="I1" s="16"/>
    </row>
    <row r="2" spans="1:36">
      <c r="A2" s="8"/>
      <c r="B2" s="8"/>
      <c r="C2" s="8"/>
      <c r="D2" s="8"/>
      <c r="E2" s="8"/>
      <c r="F2" s="8"/>
      <c r="G2" s="8"/>
      <c r="H2" s="8"/>
      <c r="I2" s="8"/>
    </row>
    <row r="3" spans="1:36" ht="19.5" customHeight="1">
      <c r="A3" s="280" t="s">
        <v>367</v>
      </c>
      <c r="B3" s="280"/>
      <c r="C3" s="280"/>
      <c r="D3" s="280"/>
      <c r="E3" s="280"/>
      <c r="F3" s="280"/>
    </row>
    <row r="4" spans="1:36" ht="15" customHeight="1">
      <c r="A4" s="8"/>
      <c r="B4" s="12"/>
      <c r="C4" s="8"/>
      <c r="D4" s="8"/>
      <c r="E4" s="275"/>
      <c r="F4" s="275"/>
      <c r="G4" s="275"/>
      <c r="H4" s="275"/>
      <c r="I4" s="17"/>
    </row>
    <row r="5" spans="1:36">
      <c r="A5" s="8"/>
      <c r="B5" s="12"/>
      <c r="C5" s="8"/>
      <c r="D5" s="8"/>
      <c r="E5" s="8"/>
      <c r="F5" s="8"/>
      <c r="G5" s="8"/>
      <c r="H5" s="8"/>
      <c r="I5" s="8"/>
    </row>
    <row r="6" spans="1:36" ht="15.75" customHeight="1">
      <c r="A6" s="8"/>
      <c r="B6" s="12"/>
      <c r="C6" s="286" t="s">
        <v>36</v>
      </c>
      <c r="D6" s="286"/>
      <c r="E6" s="286"/>
      <c r="F6" s="286"/>
      <c r="G6" s="286"/>
      <c r="H6" s="286"/>
      <c r="I6" s="18"/>
    </row>
    <row r="7" spans="1:36" ht="15" customHeight="1">
      <c r="A7" s="8"/>
      <c r="B7" s="12"/>
      <c r="C7" s="8"/>
      <c r="D7" s="8"/>
      <c r="E7" s="272"/>
      <c r="F7" s="8"/>
      <c r="G7" s="8"/>
      <c r="H7" s="8"/>
      <c r="I7" s="8"/>
    </row>
    <row r="8" spans="1:36">
      <c r="A8" s="8"/>
      <c r="B8" s="8"/>
      <c r="C8" s="8"/>
      <c r="D8" s="8"/>
      <c r="E8" s="272"/>
      <c r="F8" s="8"/>
      <c r="G8" s="8"/>
      <c r="H8" s="8"/>
      <c r="I8" s="8"/>
    </row>
    <row r="9" spans="1:36" ht="16" thickBot="1">
      <c r="A9" s="290" t="s">
        <v>266</v>
      </c>
      <c r="B9" s="290"/>
      <c r="C9" s="290"/>
      <c r="D9" s="290"/>
      <c r="E9" s="290"/>
      <c r="F9" s="290"/>
      <c r="G9" s="290"/>
      <c r="H9" s="290"/>
      <c r="I9" s="19"/>
    </row>
    <row r="10" spans="1:36" ht="16.5" customHeight="1" thickTop="1" thickBot="1">
      <c r="A10" s="291" t="s">
        <v>322</v>
      </c>
      <c r="B10" s="291"/>
      <c r="C10" s="15" t="s">
        <v>37</v>
      </c>
      <c r="D10" s="10"/>
      <c r="E10" s="274"/>
      <c r="F10" s="274"/>
      <c r="G10" s="274"/>
      <c r="H10" s="274"/>
      <c r="I10" s="65"/>
    </row>
    <row r="11" spans="1:36" ht="79" thickTop="1" thickBot="1">
      <c r="A11" s="291" t="s">
        <v>323</v>
      </c>
      <c r="B11" s="291"/>
      <c r="C11" s="293" t="s">
        <v>286</v>
      </c>
      <c r="D11" s="293"/>
      <c r="E11" s="276" t="s">
        <v>60</v>
      </c>
      <c r="F11" s="276"/>
      <c r="G11" s="9" t="s">
        <v>394</v>
      </c>
      <c r="H11" s="11" t="s">
        <v>55</v>
      </c>
      <c r="I11" s="66"/>
    </row>
    <row r="12" spans="1:36" ht="24" thickTop="1" thickBot="1">
      <c r="A12" s="291" t="s">
        <v>324</v>
      </c>
      <c r="B12" s="291"/>
      <c r="C12" s="274" t="s">
        <v>287</v>
      </c>
      <c r="D12" s="274"/>
      <c r="E12" s="274"/>
      <c r="F12" s="274"/>
      <c r="G12" s="274"/>
      <c r="H12" s="10" t="s">
        <v>56</v>
      </c>
      <c r="I12" s="92">
        <v>5</v>
      </c>
      <c r="J12" s="76">
        <v>10</v>
      </c>
      <c r="K12" s="76">
        <v>7</v>
      </c>
      <c r="L12" s="99">
        <v>7</v>
      </c>
      <c r="M12" s="113">
        <v>0.15</v>
      </c>
      <c r="N12" s="162"/>
      <c r="O12" s="121"/>
      <c r="P12" s="72"/>
      <c r="Q12" s="72"/>
      <c r="R12" s="72"/>
      <c r="S12" s="72"/>
      <c r="T12" s="99">
        <v>4</v>
      </c>
      <c r="U12" s="99">
        <v>7</v>
      </c>
      <c r="V12" s="99">
        <v>5</v>
      </c>
      <c r="W12" s="99"/>
      <c r="X12" s="147">
        <v>0.4</v>
      </c>
      <c r="Y12" s="147">
        <v>0.15</v>
      </c>
      <c r="Z12" s="165">
        <v>0.45</v>
      </c>
      <c r="AA12" s="149"/>
      <c r="AB12" s="72">
        <v>3</v>
      </c>
      <c r="AC12" s="72"/>
      <c r="AD12" s="72">
        <v>6</v>
      </c>
      <c r="AE12" s="72"/>
      <c r="AF12" s="72"/>
      <c r="AG12" s="147">
        <v>0.4</v>
      </c>
      <c r="AH12" s="147">
        <v>0.15</v>
      </c>
      <c r="AI12" s="202">
        <v>0.45</v>
      </c>
      <c r="AJ12" s="203"/>
    </row>
    <row r="13" spans="1:36" ht="24" thickTop="1" thickBot="1">
      <c r="A13" s="13" t="s">
        <v>325</v>
      </c>
      <c r="B13" s="277" t="s">
        <v>326</v>
      </c>
      <c r="C13" s="277"/>
      <c r="D13" s="277" t="s">
        <v>148</v>
      </c>
      <c r="E13" s="277"/>
      <c r="F13" s="277"/>
      <c r="G13" s="277"/>
      <c r="H13" s="74" t="s">
        <v>57</v>
      </c>
      <c r="I13" s="93" t="s">
        <v>510</v>
      </c>
      <c r="J13" s="76" t="s">
        <v>511</v>
      </c>
      <c r="K13" s="76" t="s">
        <v>433</v>
      </c>
      <c r="L13" s="76" t="s">
        <v>86</v>
      </c>
      <c r="M13" s="72" t="s">
        <v>237</v>
      </c>
      <c r="N13" s="163" t="s">
        <v>360</v>
      </c>
      <c r="O13" s="122" t="s">
        <v>499</v>
      </c>
      <c r="P13" s="71" t="s">
        <v>203</v>
      </c>
      <c r="Q13" s="71" t="s">
        <v>204</v>
      </c>
      <c r="R13" s="71" t="s">
        <v>205</v>
      </c>
      <c r="S13" s="71" t="s">
        <v>289</v>
      </c>
      <c r="T13" s="76" t="s">
        <v>290</v>
      </c>
      <c r="U13" s="76" t="s">
        <v>290</v>
      </c>
      <c r="V13" s="76" t="s">
        <v>291</v>
      </c>
      <c r="W13" s="146" t="s">
        <v>292</v>
      </c>
      <c r="X13" s="146" t="s">
        <v>534</v>
      </c>
      <c r="Y13" s="76" t="s">
        <v>293</v>
      </c>
      <c r="Z13" s="166" t="s">
        <v>294</v>
      </c>
      <c r="AA13" s="150" t="s">
        <v>532</v>
      </c>
      <c r="AB13" s="71" t="s">
        <v>533</v>
      </c>
      <c r="AC13" s="71" t="s">
        <v>397</v>
      </c>
      <c r="AD13" s="72" t="s">
        <v>227</v>
      </c>
      <c r="AE13" s="72" t="s">
        <v>486</v>
      </c>
      <c r="AF13" s="72" t="s">
        <v>398</v>
      </c>
      <c r="AG13" s="146" t="s">
        <v>534</v>
      </c>
      <c r="AH13" s="76" t="s">
        <v>293</v>
      </c>
      <c r="AI13" s="204" t="s">
        <v>294</v>
      </c>
      <c r="AJ13" s="205" t="s">
        <v>532</v>
      </c>
    </row>
    <row r="14" spans="1:36" ht="23" thickBot="1">
      <c r="A14" s="14">
        <v>1</v>
      </c>
      <c r="B14" s="264"/>
      <c r="C14" s="264"/>
      <c r="D14" s="264" t="s">
        <v>113</v>
      </c>
      <c r="E14" s="264"/>
      <c r="F14" s="264"/>
      <c r="G14" s="264"/>
      <c r="H14" s="75" t="s">
        <v>436</v>
      </c>
      <c r="I14" s="77"/>
      <c r="J14" s="72"/>
      <c r="K14" s="72">
        <v>0</v>
      </c>
      <c r="L14" s="72"/>
      <c r="M14" s="72">
        <v>4</v>
      </c>
      <c r="N14" s="162">
        <v>7</v>
      </c>
      <c r="O14" s="121">
        <f>+(N14*3+(I14+J14)/15*20+K14/7*20+L14/7*20)/6*0.85 + M14*0.15</f>
        <v>3.5750000000000002</v>
      </c>
      <c r="P14" s="72"/>
      <c r="Q14" s="72"/>
      <c r="R14" s="72"/>
      <c r="S14" s="72">
        <v>0</v>
      </c>
      <c r="T14" s="72"/>
      <c r="U14" s="72"/>
      <c r="V14" s="72"/>
      <c r="W14" s="72"/>
      <c r="X14" s="72">
        <f t="shared" ref="X14:X27" si="0">+(W14+V14*4+U14/7*20+T14*5+Q14+P14+AVERAGE(R14:S14))/7</f>
        <v>0</v>
      </c>
      <c r="Y14" s="72">
        <v>2</v>
      </c>
      <c r="Z14" s="162"/>
      <c r="AA14" s="149">
        <f t="shared" ref="AA14:AA27" si="1">+X14*0.4+Y14*0.15+Z14*0.45</f>
        <v>0.3</v>
      </c>
      <c r="AB14" s="72"/>
      <c r="AC14" s="72"/>
      <c r="AD14" s="72"/>
      <c r="AE14" s="72"/>
      <c r="AF14" s="72"/>
      <c r="AG14" s="72">
        <f t="shared" ref="AG14:AG27" si="2">+(AF14+AE14+AD14/6*20+AC14+AB14/3*20)/5</f>
        <v>0</v>
      </c>
      <c r="AH14" s="72">
        <v>2</v>
      </c>
      <c r="AI14" s="202">
        <f>+(Z14+N14)/2</f>
        <v>3.5</v>
      </c>
      <c r="AJ14" s="203">
        <f>+AI14*0.45+AH14*0.15+AG14*0.4</f>
        <v>1.875</v>
      </c>
    </row>
    <row r="15" spans="1:36" ht="22">
      <c r="A15" s="111"/>
      <c r="B15" s="267" t="s">
        <v>159</v>
      </c>
      <c r="C15" s="267"/>
      <c r="D15" s="267" t="s">
        <v>434</v>
      </c>
      <c r="E15" s="267"/>
      <c r="F15" s="267"/>
      <c r="G15" s="267"/>
      <c r="H15" s="84" t="s">
        <v>239</v>
      </c>
      <c r="I15" s="84"/>
      <c r="J15" s="72">
        <v>4</v>
      </c>
      <c r="K15" s="72">
        <v>4</v>
      </c>
      <c r="L15" s="72">
        <v>3.5</v>
      </c>
      <c r="M15" s="72"/>
      <c r="N15" s="162"/>
      <c r="O15" s="121">
        <f>+(N15*3+(I15+J15)/15*20+K15/7*20+L15/7*20)/6*0.85 + M15*0.15</f>
        <v>3.7912698412698407</v>
      </c>
      <c r="P15" s="72">
        <v>13</v>
      </c>
      <c r="Q15" s="72"/>
      <c r="R15" s="72"/>
      <c r="S15" s="72">
        <v>0</v>
      </c>
      <c r="T15" s="72"/>
      <c r="U15" s="72"/>
      <c r="V15" s="72"/>
      <c r="W15" s="72"/>
      <c r="X15" s="72">
        <f>+(V15*4+U15/7*20+T15*5+Q15+P15+AVERAGE(R15:S15))/6</f>
        <v>2.1666666666666665</v>
      </c>
      <c r="Y15" s="72"/>
      <c r="Z15" s="162"/>
      <c r="AA15" s="149">
        <f>+X15*0.4+Y15*0.15+Z15*0.45</f>
        <v>0.8666666666666667</v>
      </c>
      <c r="AB15" s="72"/>
      <c r="AC15" s="72"/>
      <c r="AD15" s="72"/>
      <c r="AE15" s="72"/>
      <c r="AF15" s="72"/>
      <c r="AG15" s="72">
        <f t="shared" si="2"/>
        <v>0</v>
      </c>
      <c r="AH15" s="72">
        <v>0</v>
      </c>
      <c r="AI15" s="202">
        <f>+(Z15+N15)/2</f>
        <v>0</v>
      </c>
      <c r="AJ15" s="203">
        <f t="shared" ref="AJ15:AJ28" si="3">+AI15*0.45+AH15*0.15+AG15*0.4</f>
        <v>0</v>
      </c>
    </row>
    <row r="16" spans="1:36" ht="23" thickBot="1">
      <c r="A16" s="14">
        <v>1</v>
      </c>
      <c r="B16" s="264" t="s">
        <v>405</v>
      </c>
      <c r="C16" s="264"/>
      <c r="D16" s="264" t="s">
        <v>451</v>
      </c>
      <c r="E16" s="264"/>
      <c r="F16" s="264"/>
      <c r="G16" s="264"/>
      <c r="H16" s="75" t="s">
        <v>436</v>
      </c>
      <c r="I16" s="77" t="s">
        <v>368</v>
      </c>
      <c r="J16" s="72"/>
      <c r="K16" s="72"/>
      <c r="L16" s="72">
        <v>2</v>
      </c>
      <c r="M16" s="72">
        <v>8</v>
      </c>
      <c r="N16" s="162">
        <v>13</v>
      </c>
      <c r="O16" s="121">
        <f t="shared" ref="O16:O27" si="4">+(N16*3+(I16+J16)/15*20+K16/7*20+L16/7*20)/6*0.85 + M16*0.15</f>
        <v>7.9123015873015872</v>
      </c>
      <c r="P16" s="72">
        <v>16</v>
      </c>
      <c r="Q16" s="72"/>
      <c r="R16" s="72"/>
      <c r="S16" s="72">
        <v>0</v>
      </c>
      <c r="T16" s="72">
        <v>4</v>
      </c>
      <c r="U16" s="72"/>
      <c r="V16" s="72">
        <v>3.5</v>
      </c>
      <c r="W16" s="72">
        <v>14</v>
      </c>
      <c r="X16" s="72">
        <f>+(W16+V16*4+U16/7*20+T16*5+Q16+P16+AVERAGE(R16:S16))/7</f>
        <v>9.1428571428571423</v>
      </c>
      <c r="Y16" s="72">
        <v>10</v>
      </c>
      <c r="Z16" s="162">
        <v>11</v>
      </c>
      <c r="AA16" s="149">
        <f t="shared" si="1"/>
        <v>10.107142857142858</v>
      </c>
      <c r="AB16" s="72"/>
      <c r="AC16" s="72">
        <v>14</v>
      </c>
      <c r="AD16" s="72">
        <v>6</v>
      </c>
      <c r="AE16" s="72"/>
      <c r="AF16" s="72">
        <v>12</v>
      </c>
      <c r="AG16" s="72">
        <f t="shared" si="2"/>
        <v>9.1999999999999993</v>
      </c>
      <c r="AH16" s="72">
        <f>16/28*20</f>
        <v>11.428571428571427</v>
      </c>
      <c r="AI16" s="202">
        <f>+(Z16+N16)/2</f>
        <v>12</v>
      </c>
      <c r="AJ16" s="203">
        <f t="shared" si="3"/>
        <v>10.794285714285714</v>
      </c>
    </row>
    <row r="17" spans="1:36" ht="24" thickTop="1" thickBot="1">
      <c r="A17" s="14">
        <v>2</v>
      </c>
      <c r="B17" s="264" t="s">
        <v>424</v>
      </c>
      <c r="C17" s="264"/>
      <c r="D17" s="264" t="s">
        <v>425</v>
      </c>
      <c r="E17" s="264"/>
      <c r="F17" s="264"/>
      <c r="G17" s="264"/>
      <c r="H17" s="75" t="s">
        <v>495</v>
      </c>
      <c r="I17" s="77" t="s">
        <v>115</v>
      </c>
      <c r="J17" s="72">
        <v>10</v>
      </c>
      <c r="K17" s="72">
        <v>1</v>
      </c>
      <c r="L17" s="72"/>
      <c r="M17" s="72">
        <v>12</v>
      </c>
      <c r="N17" s="162">
        <v>15</v>
      </c>
      <c r="O17" s="121">
        <f t="shared" si="4"/>
        <v>11.413095238095238</v>
      </c>
      <c r="P17" s="72">
        <v>14</v>
      </c>
      <c r="Q17" s="72">
        <v>14</v>
      </c>
      <c r="R17" s="72">
        <v>17</v>
      </c>
      <c r="S17" s="72"/>
      <c r="T17" s="72">
        <v>4</v>
      </c>
      <c r="U17" s="72"/>
      <c r="V17" s="72">
        <v>5</v>
      </c>
      <c r="W17" s="72">
        <v>20</v>
      </c>
      <c r="X17" s="72">
        <f t="shared" si="0"/>
        <v>15</v>
      </c>
      <c r="Y17" s="72">
        <v>14</v>
      </c>
      <c r="Z17" s="162">
        <v>10</v>
      </c>
      <c r="AA17" s="149">
        <f t="shared" si="1"/>
        <v>12.6</v>
      </c>
      <c r="AB17" s="72">
        <v>1.5</v>
      </c>
      <c r="AC17" s="72">
        <v>12</v>
      </c>
      <c r="AD17" s="72">
        <v>6</v>
      </c>
      <c r="AE17" s="72"/>
      <c r="AF17" s="72">
        <v>17</v>
      </c>
      <c r="AG17" s="72">
        <f t="shared" si="2"/>
        <v>11.8</v>
      </c>
      <c r="AH17" s="72">
        <f>20/28*20</f>
        <v>14.285714285714286</v>
      </c>
      <c r="AI17" s="202">
        <f>+(Z17+N17)/2</f>
        <v>12.5</v>
      </c>
      <c r="AJ17" s="203">
        <f t="shared" si="3"/>
        <v>12.487857142857143</v>
      </c>
    </row>
    <row r="18" spans="1:36" ht="24" thickTop="1" thickBot="1">
      <c r="A18" s="14">
        <v>3</v>
      </c>
      <c r="B18" s="264" t="s">
        <v>496</v>
      </c>
      <c r="C18" s="264"/>
      <c r="D18" s="264" t="s">
        <v>497</v>
      </c>
      <c r="E18" s="264"/>
      <c r="F18" s="264"/>
      <c r="G18" s="264"/>
      <c r="H18" s="75" t="s">
        <v>239</v>
      </c>
      <c r="I18" s="77" t="s">
        <v>267</v>
      </c>
      <c r="J18" s="72">
        <v>10</v>
      </c>
      <c r="K18" s="72">
        <v>5</v>
      </c>
      <c r="L18" s="72">
        <v>3</v>
      </c>
      <c r="M18" s="72">
        <v>20</v>
      </c>
      <c r="N18" s="162">
        <v>14</v>
      </c>
      <c r="O18" s="121">
        <f t="shared" si="4"/>
        <v>14.643650793650792</v>
      </c>
      <c r="P18" s="72">
        <v>16</v>
      </c>
      <c r="Q18" s="72">
        <v>15</v>
      </c>
      <c r="R18" s="72"/>
      <c r="S18" s="72">
        <v>0</v>
      </c>
      <c r="T18" s="72">
        <v>3</v>
      </c>
      <c r="U18" s="72">
        <v>2</v>
      </c>
      <c r="V18" s="72">
        <v>5</v>
      </c>
      <c r="W18" s="72">
        <v>20</v>
      </c>
      <c r="X18" s="72">
        <f t="shared" si="0"/>
        <v>13.102040816326532</v>
      </c>
      <c r="Y18" s="72">
        <v>20</v>
      </c>
      <c r="Z18" s="162">
        <v>13</v>
      </c>
      <c r="AA18" s="149">
        <f t="shared" si="1"/>
        <v>14.090816326530614</v>
      </c>
      <c r="AB18" s="72">
        <v>1.5</v>
      </c>
      <c r="AC18" s="72">
        <v>14</v>
      </c>
      <c r="AD18" s="72">
        <v>6</v>
      </c>
      <c r="AE18" s="72"/>
      <c r="AF18" s="72">
        <v>11</v>
      </c>
      <c r="AG18" s="72">
        <f t="shared" si="2"/>
        <v>11</v>
      </c>
      <c r="AH18" s="72">
        <v>20</v>
      </c>
      <c r="AI18" s="202">
        <f t="shared" ref="AI18:AI28" si="5">+(Z18+N18)/2</f>
        <v>13.5</v>
      </c>
      <c r="AJ18" s="203">
        <f t="shared" si="3"/>
        <v>13.475</v>
      </c>
    </row>
    <row r="19" spans="1:36" ht="24" thickTop="1" thickBot="1">
      <c r="A19" s="14">
        <v>4</v>
      </c>
      <c r="B19" s="264" t="s">
        <v>103</v>
      </c>
      <c r="C19" s="264"/>
      <c r="D19" s="264" t="s">
        <v>104</v>
      </c>
      <c r="E19" s="264"/>
      <c r="F19" s="264"/>
      <c r="G19" s="264"/>
      <c r="H19" s="75" t="s">
        <v>438</v>
      </c>
      <c r="I19" s="77" t="s">
        <v>231</v>
      </c>
      <c r="J19" s="72"/>
      <c r="K19" s="72">
        <v>1</v>
      </c>
      <c r="L19" s="72">
        <v>3</v>
      </c>
      <c r="M19" s="72">
        <v>12</v>
      </c>
      <c r="N19" s="162">
        <v>13</v>
      </c>
      <c r="O19" s="121">
        <f t="shared" si="4"/>
        <v>9.5107142857142861</v>
      </c>
      <c r="P19" s="72"/>
      <c r="Q19" s="72">
        <v>16</v>
      </c>
      <c r="R19" s="72"/>
      <c r="S19" s="72">
        <v>0</v>
      </c>
      <c r="T19" s="72">
        <v>1</v>
      </c>
      <c r="U19" s="72"/>
      <c r="V19" s="72">
        <v>5</v>
      </c>
      <c r="W19" s="72">
        <v>20</v>
      </c>
      <c r="X19" s="72">
        <f t="shared" si="0"/>
        <v>8.7142857142857135</v>
      </c>
      <c r="Y19" s="72">
        <v>14</v>
      </c>
      <c r="Z19" s="162">
        <v>10</v>
      </c>
      <c r="AA19" s="149">
        <f>+X19*0.4+Y19*0.15+Z19*0.45</f>
        <v>10.085714285714285</v>
      </c>
      <c r="AB19" s="72"/>
      <c r="AC19" s="72"/>
      <c r="AD19" s="72">
        <v>4</v>
      </c>
      <c r="AE19" s="72"/>
      <c r="AF19" s="72"/>
      <c r="AG19" s="72">
        <f t="shared" si="2"/>
        <v>2.6666666666666665</v>
      </c>
      <c r="AH19" s="72">
        <f>16/28*20</f>
        <v>11.428571428571427</v>
      </c>
      <c r="AI19" s="202">
        <f t="shared" si="5"/>
        <v>11.5</v>
      </c>
      <c r="AJ19" s="203">
        <f t="shared" si="3"/>
        <v>7.9559523809523807</v>
      </c>
    </row>
    <row r="20" spans="1:36" ht="23" thickBot="1">
      <c r="A20" s="14">
        <v>5</v>
      </c>
      <c r="B20" s="264" t="s">
        <v>524</v>
      </c>
      <c r="C20" s="264"/>
      <c r="D20" s="264" t="s">
        <v>193</v>
      </c>
      <c r="E20" s="264"/>
      <c r="F20" s="264"/>
      <c r="G20" s="264"/>
      <c r="H20" s="75" t="s">
        <v>437</v>
      </c>
      <c r="I20" s="77" t="s">
        <v>268</v>
      </c>
      <c r="J20" s="72">
        <v>8.5</v>
      </c>
      <c r="K20" s="72">
        <v>2</v>
      </c>
      <c r="L20" s="72">
        <v>3</v>
      </c>
      <c r="M20" s="72">
        <v>20</v>
      </c>
      <c r="N20" s="162">
        <v>9</v>
      </c>
      <c r="O20" s="121">
        <f t="shared" si="4"/>
        <v>10.643253968253969</v>
      </c>
      <c r="P20" s="72">
        <v>16</v>
      </c>
      <c r="Q20" s="72">
        <v>15</v>
      </c>
      <c r="R20" s="72"/>
      <c r="S20" s="72">
        <v>0</v>
      </c>
      <c r="T20" s="72">
        <v>4</v>
      </c>
      <c r="U20" s="72"/>
      <c r="V20" s="72">
        <v>4</v>
      </c>
      <c r="W20" s="72">
        <v>20</v>
      </c>
      <c r="X20" s="72">
        <f t="shared" si="0"/>
        <v>12.428571428571429</v>
      </c>
      <c r="Y20" s="72">
        <v>20</v>
      </c>
      <c r="Z20" s="162">
        <v>12</v>
      </c>
      <c r="AA20" s="149">
        <f t="shared" si="1"/>
        <v>13.371428571428572</v>
      </c>
      <c r="AB20" s="72">
        <v>3</v>
      </c>
      <c r="AC20" s="72">
        <v>15</v>
      </c>
      <c r="AD20" s="72">
        <v>6</v>
      </c>
      <c r="AE20" s="72"/>
      <c r="AF20" s="72">
        <v>20</v>
      </c>
      <c r="AG20" s="72">
        <f t="shared" si="2"/>
        <v>15</v>
      </c>
      <c r="AH20" s="72">
        <v>20</v>
      </c>
      <c r="AI20" s="202">
        <f t="shared" si="5"/>
        <v>10.5</v>
      </c>
      <c r="AJ20" s="203">
        <f t="shared" si="3"/>
        <v>13.725000000000001</v>
      </c>
    </row>
    <row r="21" spans="1:36" ht="23" thickBot="1">
      <c r="A21" s="14">
        <v>6</v>
      </c>
      <c r="B21" s="264" t="s">
        <v>319</v>
      </c>
      <c r="C21" s="264"/>
      <c r="D21" s="264" t="s">
        <v>320</v>
      </c>
      <c r="E21" s="264"/>
      <c r="F21" s="264"/>
      <c r="G21" s="264"/>
      <c r="H21" s="75" t="s">
        <v>435</v>
      </c>
      <c r="I21" s="77" t="s">
        <v>230</v>
      </c>
      <c r="J21" s="72">
        <v>6</v>
      </c>
      <c r="K21" s="72">
        <v>1</v>
      </c>
      <c r="L21" s="72"/>
      <c r="M21" s="72">
        <v>8</v>
      </c>
      <c r="N21" s="162">
        <v>12</v>
      </c>
      <c r="O21" s="121">
        <f t="shared" si="4"/>
        <v>8.0269841269841269</v>
      </c>
      <c r="P21" s="72"/>
      <c r="Q21" s="72"/>
      <c r="R21" s="72"/>
      <c r="S21" s="72">
        <v>0</v>
      </c>
      <c r="T21" s="72"/>
      <c r="U21" s="72"/>
      <c r="V21" s="72"/>
      <c r="W21" s="72"/>
      <c r="X21" s="72">
        <f t="shared" si="0"/>
        <v>0</v>
      </c>
      <c r="Y21" s="72">
        <v>6</v>
      </c>
      <c r="Z21" s="162"/>
      <c r="AA21" s="149">
        <f t="shared" si="1"/>
        <v>0.89999999999999991</v>
      </c>
      <c r="AB21" s="72"/>
      <c r="AC21" s="72"/>
      <c r="AD21" s="72"/>
      <c r="AE21" s="72"/>
      <c r="AF21" s="72"/>
      <c r="AG21" s="72">
        <f t="shared" si="2"/>
        <v>0</v>
      </c>
      <c r="AH21" s="72">
        <f>6/28*20</f>
        <v>4.2857142857142856</v>
      </c>
      <c r="AI21" s="202">
        <f t="shared" si="5"/>
        <v>6</v>
      </c>
      <c r="AJ21" s="203">
        <f t="shared" si="3"/>
        <v>3.342857142857143</v>
      </c>
    </row>
    <row r="22" spans="1:36" ht="23" thickBot="1">
      <c r="A22" s="14">
        <v>7</v>
      </c>
      <c r="B22" s="264" t="s">
        <v>472</v>
      </c>
      <c r="C22" s="264"/>
      <c r="D22" s="264" t="s">
        <v>198</v>
      </c>
      <c r="E22" s="264"/>
      <c r="F22" s="264"/>
      <c r="G22" s="264"/>
      <c r="H22" s="75" t="s">
        <v>440</v>
      </c>
      <c r="I22" s="77" t="s">
        <v>268</v>
      </c>
      <c r="J22" s="72">
        <v>7</v>
      </c>
      <c r="K22" s="72">
        <v>1</v>
      </c>
      <c r="L22" s="72"/>
      <c r="M22" s="72">
        <v>12</v>
      </c>
      <c r="N22" s="162">
        <v>12</v>
      </c>
      <c r="O22" s="121">
        <f t="shared" si="4"/>
        <v>8.8158730158730148</v>
      </c>
      <c r="P22" s="72"/>
      <c r="Q22" s="72"/>
      <c r="R22" s="72"/>
      <c r="S22" s="72">
        <v>0</v>
      </c>
      <c r="T22" s="72">
        <v>1.5</v>
      </c>
      <c r="U22" s="72">
        <v>2</v>
      </c>
      <c r="V22" s="72">
        <v>3.5</v>
      </c>
      <c r="W22" s="72">
        <v>14</v>
      </c>
      <c r="X22" s="72">
        <f t="shared" si="0"/>
        <v>5.8877551020408161</v>
      </c>
      <c r="Y22" s="72">
        <v>12</v>
      </c>
      <c r="Z22" s="162">
        <v>12</v>
      </c>
      <c r="AA22" s="149">
        <f t="shared" si="1"/>
        <v>9.5551020408163261</v>
      </c>
      <c r="AB22" s="72"/>
      <c r="AC22" s="72"/>
      <c r="AD22" s="72">
        <v>6</v>
      </c>
      <c r="AE22" s="72"/>
      <c r="AF22" s="72"/>
      <c r="AG22" s="72">
        <f t="shared" si="2"/>
        <v>4</v>
      </c>
      <c r="AH22" s="72">
        <f>14/28*20</f>
        <v>10</v>
      </c>
      <c r="AI22" s="202">
        <f t="shared" si="5"/>
        <v>12</v>
      </c>
      <c r="AJ22" s="203">
        <f t="shared" si="3"/>
        <v>8.5</v>
      </c>
    </row>
    <row r="23" spans="1:36" ht="24" thickTop="1" thickBot="1">
      <c r="A23" s="14">
        <v>8</v>
      </c>
      <c r="B23" s="264" t="s">
        <v>143</v>
      </c>
      <c r="C23" s="264"/>
      <c r="D23" s="264" t="s">
        <v>72</v>
      </c>
      <c r="E23" s="264"/>
      <c r="F23" s="264"/>
      <c r="G23" s="264"/>
      <c r="H23" s="75" t="s">
        <v>435</v>
      </c>
      <c r="I23" s="77" t="s">
        <v>231</v>
      </c>
      <c r="J23" s="72">
        <v>7</v>
      </c>
      <c r="K23" s="72">
        <v>5</v>
      </c>
      <c r="L23" s="72">
        <v>3</v>
      </c>
      <c r="M23" s="72">
        <v>0</v>
      </c>
      <c r="N23" s="162">
        <v>8</v>
      </c>
      <c r="O23" s="121">
        <f t="shared" si="4"/>
        <v>8.5269841269841251</v>
      </c>
      <c r="P23" s="72"/>
      <c r="Q23" s="72"/>
      <c r="R23" s="72"/>
      <c r="S23" s="72">
        <v>0</v>
      </c>
      <c r="T23" s="72"/>
      <c r="U23" s="72"/>
      <c r="V23" s="72"/>
      <c r="W23" s="72"/>
      <c r="X23" s="72">
        <f t="shared" si="0"/>
        <v>0</v>
      </c>
      <c r="Y23" s="72">
        <v>0</v>
      </c>
      <c r="Z23" s="162">
        <v>8</v>
      </c>
      <c r="AA23" s="149">
        <f t="shared" si="1"/>
        <v>3.6</v>
      </c>
      <c r="AB23" s="72">
        <v>1.5</v>
      </c>
      <c r="AC23" s="72">
        <v>14</v>
      </c>
      <c r="AD23" s="72">
        <v>6</v>
      </c>
      <c r="AE23" s="72"/>
      <c r="AF23" s="72"/>
      <c r="AG23" s="72">
        <f t="shared" si="2"/>
        <v>8.8000000000000007</v>
      </c>
      <c r="AH23" s="72">
        <f>6/28*20</f>
        <v>4.2857142857142856</v>
      </c>
      <c r="AI23" s="202">
        <f t="shared" si="5"/>
        <v>8</v>
      </c>
      <c r="AJ23" s="203">
        <f t="shared" si="3"/>
        <v>7.7628571428571433</v>
      </c>
    </row>
    <row r="24" spans="1:36" ht="23" customHeight="1" thickTop="1">
      <c r="D24" s="144" t="s">
        <v>369</v>
      </c>
      <c r="I24" s="72"/>
      <c r="J24" s="72">
        <v>7</v>
      </c>
      <c r="K24" s="72"/>
      <c r="L24" s="72"/>
      <c r="M24" s="72">
        <v>0</v>
      </c>
      <c r="N24" s="162">
        <v>13</v>
      </c>
      <c r="O24" s="121">
        <f t="shared" si="4"/>
        <v>6.8472222222222214</v>
      </c>
      <c r="P24" s="72">
        <v>7</v>
      </c>
      <c r="Q24" s="72">
        <v>12</v>
      </c>
      <c r="R24" s="72">
        <v>13</v>
      </c>
      <c r="S24" s="72">
        <v>16</v>
      </c>
      <c r="T24" s="72"/>
      <c r="U24" s="72"/>
      <c r="V24" s="72"/>
      <c r="W24" s="72">
        <v>13</v>
      </c>
      <c r="X24" s="72">
        <f>+(Q24+P24+R24+S24+W24)/5</f>
        <v>12.2</v>
      </c>
      <c r="Y24" s="72">
        <v>4</v>
      </c>
      <c r="Z24" s="162">
        <v>9</v>
      </c>
      <c r="AA24" s="156">
        <f>+X24*0.4+Y24*0.15+Z24*0.45</f>
        <v>9.5299999999999994</v>
      </c>
      <c r="AB24" s="72">
        <v>2.5</v>
      </c>
      <c r="AC24" s="72">
        <v>14</v>
      </c>
      <c r="AD24" s="72">
        <v>6</v>
      </c>
      <c r="AE24" s="72">
        <v>17</v>
      </c>
      <c r="AF24" s="72">
        <v>20</v>
      </c>
      <c r="AG24" s="72">
        <f t="shared" si="2"/>
        <v>17.533333333333335</v>
      </c>
      <c r="AH24" s="72">
        <f>8/28*20</f>
        <v>5.7142857142857135</v>
      </c>
      <c r="AI24" s="202">
        <f t="shared" si="5"/>
        <v>11</v>
      </c>
      <c r="AJ24" s="203">
        <f t="shared" si="3"/>
        <v>12.820476190476192</v>
      </c>
    </row>
    <row r="25" spans="1:36" ht="23" customHeight="1" thickBot="1">
      <c r="A25" s="14">
        <v>9</v>
      </c>
      <c r="B25" s="264"/>
      <c r="C25" s="264"/>
      <c r="D25" s="264" t="s">
        <v>236</v>
      </c>
      <c r="E25" s="264"/>
      <c r="F25" s="264"/>
      <c r="G25" s="264"/>
      <c r="H25" s="75"/>
      <c r="I25" s="77"/>
      <c r="J25" s="72"/>
      <c r="K25" s="72"/>
      <c r="L25" s="72"/>
      <c r="M25" s="72">
        <v>4</v>
      </c>
      <c r="N25" s="162">
        <v>7</v>
      </c>
      <c r="O25" s="121">
        <f t="shared" si="4"/>
        <v>3.5750000000000002</v>
      </c>
      <c r="P25" s="72">
        <v>11</v>
      </c>
      <c r="Q25" s="72">
        <v>15</v>
      </c>
      <c r="R25" s="72">
        <v>15</v>
      </c>
      <c r="S25" s="72"/>
      <c r="T25" s="72"/>
      <c r="U25" s="72"/>
      <c r="V25" s="72">
        <v>0</v>
      </c>
      <c r="W25" s="72">
        <v>11</v>
      </c>
      <c r="X25" s="72">
        <f t="shared" si="0"/>
        <v>7.4285714285714288</v>
      </c>
      <c r="Y25" s="72">
        <v>0</v>
      </c>
      <c r="Z25" s="162">
        <v>11</v>
      </c>
      <c r="AA25" s="149">
        <f t="shared" si="1"/>
        <v>7.9214285714285717</v>
      </c>
      <c r="AB25" s="72"/>
      <c r="AC25" s="72">
        <v>14</v>
      </c>
      <c r="AD25" s="72"/>
      <c r="AE25" s="72">
        <v>11</v>
      </c>
      <c r="AF25" s="72"/>
      <c r="AG25" s="72">
        <f t="shared" si="2"/>
        <v>5</v>
      </c>
      <c r="AH25" s="72">
        <v>0</v>
      </c>
      <c r="AI25" s="202">
        <f t="shared" si="5"/>
        <v>9</v>
      </c>
      <c r="AJ25" s="203">
        <f t="shared" si="3"/>
        <v>6.05</v>
      </c>
    </row>
    <row r="26" spans="1:36" ht="24" thickTop="1" thickBot="1">
      <c r="A26" s="14">
        <v>10</v>
      </c>
      <c r="B26" s="264" t="s">
        <v>480</v>
      </c>
      <c r="C26" s="264"/>
      <c r="D26" s="110" t="s">
        <v>385</v>
      </c>
      <c r="E26" s="110"/>
      <c r="F26" s="110"/>
      <c r="G26" s="110"/>
      <c r="H26" s="75" t="s">
        <v>275</v>
      </c>
      <c r="I26" s="77" t="s">
        <v>231</v>
      </c>
      <c r="J26" s="72"/>
      <c r="K26" s="72"/>
      <c r="L26" s="72"/>
      <c r="M26" s="72">
        <v>4</v>
      </c>
      <c r="N26" s="162">
        <v>9</v>
      </c>
      <c r="O26" s="121">
        <f t="shared" si="4"/>
        <v>4.9916666666666663</v>
      </c>
      <c r="P26" s="72"/>
      <c r="Q26" s="72">
        <v>13</v>
      </c>
      <c r="R26" s="72"/>
      <c r="S26" s="72">
        <v>0</v>
      </c>
      <c r="T26" s="72">
        <v>1.5</v>
      </c>
      <c r="U26" s="72">
        <v>3</v>
      </c>
      <c r="V26" s="72"/>
      <c r="W26" s="72"/>
      <c r="X26" s="72">
        <f t="shared" si="0"/>
        <v>4.1530612244897958</v>
      </c>
      <c r="Y26" s="72">
        <v>8</v>
      </c>
      <c r="Z26" s="162"/>
      <c r="AA26" s="149">
        <f t="shared" si="1"/>
        <v>2.8612244897959185</v>
      </c>
      <c r="AB26" s="72"/>
      <c r="AC26" s="72"/>
      <c r="AD26" s="72"/>
      <c r="AE26" s="72"/>
      <c r="AF26" s="72"/>
      <c r="AG26" s="72">
        <f t="shared" si="2"/>
        <v>0</v>
      </c>
      <c r="AH26" s="72">
        <f>8/28*20</f>
        <v>5.7142857142857135</v>
      </c>
      <c r="AI26" s="202">
        <f t="shared" si="5"/>
        <v>4.5</v>
      </c>
      <c r="AJ26" s="203">
        <f t="shared" si="3"/>
        <v>2.8821428571428571</v>
      </c>
    </row>
    <row r="27" spans="1:36" ht="24" thickTop="1" thickBot="1">
      <c r="A27" s="14">
        <v>10</v>
      </c>
      <c r="B27" s="264"/>
      <c r="C27" s="264"/>
      <c r="D27" s="264" t="s">
        <v>488</v>
      </c>
      <c r="E27" s="264"/>
      <c r="F27" s="264"/>
      <c r="G27" s="264"/>
      <c r="H27" s="75" t="s">
        <v>275</v>
      </c>
      <c r="I27" s="77" t="s">
        <v>125</v>
      </c>
      <c r="J27" s="72">
        <v>3</v>
      </c>
      <c r="K27" s="72">
        <v>5</v>
      </c>
      <c r="L27" s="72">
        <v>3</v>
      </c>
      <c r="M27" s="72">
        <v>4</v>
      </c>
      <c r="N27" s="162">
        <v>7</v>
      </c>
      <c r="O27" s="121">
        <f t="shared" si="4"/>
        <v>7.9464285714285703</v>
      </c>
      <c r="P27" s="72">
        <v>18</v>
      </c>
      <c r="Q27" s="72">
        <v>14</v>
      </c>
      <c r="R27" s="72"/>
      <c r="S27" s="72">
        <v>12</v>
      </c>
      <c r="T27" s="72">
        <v>4</v>
      </c>
      <c r="U27" s="72"/>
      <c r="V27" s="72">
        <v>3</v>
      </c>
      <c r="W27" s="72"/>
      <c r="X27" s="72">
        <f t="shared" si="0"/>
        <v>10.857142857142858</v>
      </c>
      <c r="Y27" s="72">
        <v>10</v>
      </c>
      <c r="Z27" s="162">
        <v>13</v>
      </c>
      <c r="AA27" s="149">
        <f t="shared" si="1"/>
        <v>11.692857142857143</v>
      </c>
      <c r="AB27" s="72"/>
      <c r="AC27" s="72">
        <v>7</v>
      </c>
      <c r="AD27" s="72">
        <v>4</v>
      </c>
      <c r="AE27" s="72"/>
      <c r="AF27" s="72">
        <v>7</v>
      </c>
      <c r="AG27" s="72">
        <f t="shared" si="2"/>
        <v>5.4666666666666668</v>
      </c>
      <c r="AH27" s="72">
        <f>16/28*20</f>
        <v>11.428571428571427</v>
      </c>
      <c r="AI27" s="202">
        <f t="shared" si="5"/>
        <v>10</v>
      </c>
      <c r="AJ27" s="203">
        <f t="shared" si="3"/>
        <v>8.4009523809523809</v>
      </c>
    </row>
    <row r="28" spans="1:36" ht="16" thickTop="1">
      <c r="I28">
        <v>5</v>
      </c>
      <c r="J28">
        <v>10</v>
      </c>
      <c r="K28">
        <v>7</v>
      </c>
      <c r="L28">
        <v>7</v>
      </c>
      <c r="M28" s="112">
        <v>20</v>
      </c>
      <c r="N28" s="164">
        <v>20</v>
      </c>
      <c r="O28" s="120">
        <f>+(N28*3+(I28+J28)/15*20+K28/7*20+L28/7*20)/6*0.85 + M28*0.15</f>
        <v>20</v>
      </c>
      <c r="P28" s="100">
        <v>20</v>
      </c>
      <c r="Q28" s="100">
        <v>20</v>
      </c>
      <c r="S28">
        <v>20</v>
      </c>
      <c r="T28">
        <v>4</v>
      </c>
      <c r="U28">
        <v>7</v>
      </c>
      <c r="V28">
        <v>5</v>
      </c>
      <c r="W28">
        <v>20</v>
      </c>
      <c r="X28">
        <f>+(W28+V28*4+U28/7*20+T28*5+Q28+P28+AVERAGE(R28:S28))/7</f>
        <v>20</v>
      </c>
      <c r="Y28" s="100">
        <v>20</v>
      </c>
      <c r="Z28" s="167">
        <v>20</v>
      </c>
      <c r="AA28" s="148">
        <f>+X28*0.4+Y28*0.15+Z28*0.45</f>
        <v>20</v>
      </c>
      <c r="AB28" s="112">
        <v>3</v>
      </c>
      <c r="AC28" s="112">
        <v>20</v>
      </c>
      <c r="AD28" s="100">
        <v>6</v>
      </c>
      <c r="AE28" s="112">
        <v>20</v>
      </c>
      <c r="AF28" s="112">
        <v>20</v>
      </c>
      <c r="AG28">
        <f>+(AF28+AE28+AD28/6*20+AC28+AB28/3*20)/5</f>
        <v>20</v>
      </c>
      <c r="AI28" s="202">
        <f t="shared" si="5"/>
        <v>20</v>
      </c>
      <c r="AJ28" s="203">
        <f t="shared" si="3"/>
        <v>17</v>
      </c>
    </row>
    <row r="29" spans="1:36" ht="16" thickBot="1">
      <c r="A29" s="279" t="s">
        <v>11</v>
      </c>
      <c r="B29" s="279"/>
      <c r="C29" s="279"/>
      <c r="D29" s="279"/>
      <c r="E29" s="279"/>
      <c r="F29" s="279"/>
      <c r="G29" s="279"/>
      <c r="H29" s="279"/>
      <c r="I29" s="26"/>
    </row>
    <row r="30" spans="1:36" ht="16.5" customHeight="1" thickTop="1" thickBot="1">
      <c r="A30" s="265" t="s">
        <v>322</v>
      </c>
      <c r="B30" s="265"/>
      <c r="C30" s="25" t="s">
        <v>37</v>
      </c>
      <c r="D30" s="21"/>
      <c r="E30" s="261"/>
      <c r="F30" s="261"/>
      <c r="G30" s="261"/>
      <c r="H30" s="261"/>
      <c r="I30" s="67"/>
    </row>
    <row r="31" spans="1:36" ht="17" thickTop="1" thickBot="1">
      <c r="A31" s="265" t="s">
        <v>323</v>
      </c>
      <c r="B31" s="265"/>
      <c r="C31" s="278" t="s">
        <v>286</v>
      </c>
      <c r="D31" s="278"/>
      <c r="E31" s="266" t="s">
        <v>60</v>
      </c>
      <c r="F31" s="266"/>
      <c r="G31" s="20"/>
      <c r="H31" s="22" t="s">
        <v>55</v>
      </c>
    </row>
    <row r="32" spans="1:36" ht="24" thickTop="1" thickBot="1">
      <c r="A32" s="265" t="s">
        <v>324</v>
      </c>
      <c r="B32" s="265"/>
      <c r="C32" s="261" t="s">
        <v>287</v>
      </c>
      <c r="D32" s="261"/>
      <c r="E32" s="261"/>
      <c r="F32" s="261"/>
      <c r="G32" s="261"/>
      <c r="H32" s="21" t="s">
        <v>56</v>
      </c>
      <c r="I32" s="92">
        <v>5</v>
      </c>
      <c r="J32" s="76">
        <v>10</v>
      </c>
      <c r="K32" s="76">
        <v>7</v>
      </c>
      <c r="L32" s="99">
        <v>7</v>
      </c>
      <c r="M32" s="72"/>
      <c r="N32" s="162"/>
      <c r="O32" s="121"/>
      <c r="P32" s="72"/>
      <c r="Q32" s="72"/>
      <c r="R32" s="72"/>
      <c r="S32" s="72"/>
      <c r="T32" s="99">
        <v>4</v>
      </c>
      <c r="U32" s="99">
        <v>7</v>
      </c>
      <c r="V32" s="99">
        <v>5</v>
      </c>
      <c r="W32" s="99"/>
      <c r="X32" s="147">
        <v>0.4</v>
      </c>
      <c r="Y32" s="147">
        <v>0.15</v>
      </c>
      <c r="Z32" s="165">
        <v>0.45</v>
      </c>
      <c r="AA32" s="149"/>
      <c r="AB32" s="72">
        <v>3</v>
      </c>
      <c r="AC32" s="72"/>
      <c r="AD32" s="72">
        <v>6</v>
      </c>
      <c r="AE32" s="72">
        <v>20</v>
      </c>
      <c r="AF32" s="72"/>
      <c r="AG32" s="147">
        <v>0.4</v>
      </c>
      <c r="AH32" s="147">
        <v>0.15</v>
      </c>
      <c r="AI32" s="202">
        <v>0.45</v>
      </c>
      <c r="AJ32" s="203"/>
    </row>
    <row r="33" spans="1:36" ht="24" thickTop="1" thickBot="1">
      <c r="A33" s="23" t="s">
        <v>325</v>
      </c>
      <c r="B33" s="262" t="s">
        <v>326</v>
      </c>
      <c r="C33" s="262"/>
      <c r="D33" s="262" t="s">
        <v>148</v>
      </c>
      <c r="E33" s="262"/>
      <c r="F33" s="262"/>
      <c r="G33" s="262"/>
      <c r="H33" s="78" t="s">
        <v>57</v>
      </c>
      <c r="I33" s="93" t="s">
        <v>510</v>
      </c>
      <c r="J33" s="76" t="s">
        <v>511</v>
      </c>
      <c r="K33" s="76" t="s">
        <v>433</v>
      </c>
      <c r="L33" s="76" t="s">
        <v>86</v>
      </c>
      <c r="M33" s="72" t="s">
        <v>237</v>
      </c>
      <c r="N33" s="163" t="s">
        <v>360</v>
      </c>
      <c r="O33" s="122" t="s">
        <v>499</v>
      </c>
      <c r="P33" s="71" t="s">
        <v>203</v>
      </c>
      <c r="Q33" s="71" t="s">
        <v>204</v>
      </c>
      <c r="R33" s="71" t="s">
        <v>205</v>
      </c>
      <c r="S33" s="71" t="s">
        <v>289</v>
      </c>
      <c r="T33" s="76" t="s">
        <v>290</v>
      </c>
      <c r="U33" s="76" t="s">
        <v>290</v>
      </c>
      <c r="V33" s="76" t="s">
        <v>291</v>
      </c>
      <c r="W33" s="146" t="s">
        <v>292</v>
      </c>
      <c r="X33" s="146" t="s">
        <v>361</v>
      </c>
      <c r="Y33" s="76" t="s">
        <v>293</v>
      </c>
      <c r="Z33" s="166" t="s">
        <v>294</v>
      </c>
      <c r="AA33" s="150" t="s">
        <v>532</v>
      </c>
      <c r="AB33" s="71" t="s">
        <v>533</v>
      </c>
      <c r="AC33" s="71" t="s">
        <v>397</v>
      </c>
      <c r="AD33" s="72" t="s">
        <v>227</v>
      </c>
      <c r="AE33" s="72" t="s">
        <v>486</v>
      </c>
      <c r="AF33" s="72" t="s">
        <v>398</v>
      </c>
      <c r="AG33" s="146" t="s">
        <v>534</v>
      </c>
      <c r="AH33" s="76" t="s">
        <v>293</v>
      </c>
      <c r="AI33" s="204" t="s">
        <v>294</v>
      </c>
      <c r="AJ33" s="205" t="s">
        <v>532</v>
      </c>
    </row>
    <row r="34" spans="1:36" ht="24" thickTop="1" thickBot="1">
      <c r="A34" s="24">
        <v>1</v>
      </c>
      <c r="B34" s="263" t="s">
        <v>494</v>
      </c>
      <c r="C34" s="263"/>
      <c r="D34" s="263" t="s">
        <v>427</v>
      </c>
      <c r="E34" s="263"/>
      <c r="F34" s="263"/>
      <c r="G34" s="263"/>
      <c r="H34" s="79" t="s">
        <v>428</v>
      </c>
      <c r="I34" s="80" t="s">
        <v>272</v>
      </c>
      <c r="J34" s="72">
        <v>7</v>
      </c>
      <c r="K34" s="72">
        <v>6</v>
      </c>
      <c r="L34" s="72">
        <v>4.5</v>
      </c>
      <c r="M34" s="72">
        <v>20</v>
      </c>
      <c r="N34" s="162">
        <v>11</v>
      </c>
      <c r="O34" s="121">
        <f t="shared" ref="O34:O56" si="6">+(N34*3+(I34+J34)/15*20+K34/7*20+L34/7*20)/6*0.85 + M34*0.15</f>
        <v>13.625</v>
      </c>
      <c r="P34" s="72">
        <v>13</v>
      </c>
      <c r="Q34" s="72">
        <v>13</v>
      </c>
      <c r="R34" s="72">
        <v>14</v>
      </c>
      <c r="S34" s="72">
        <v>16</v>
      </c>
      <c r="T34" s="72"/>
      <c r="U34" s="72"/>
      <c r="V34" s="72">
        <v>5</v>
      </c>
      <c r="W34" s="72">
        <v>15</v>
      </c>
      <c r="X34" s="72">
        <f>+(W34+V34*4+Q34+P34+AVERAGE(R34:S34))/5</f>
        <v>15.2</v>
      </c>
      <c r="Y34" s="72">
        <v>20</v>
      </c>
      <c r="Z34" s="162">
        <v>11</v>
      </c>
      <c r="AA34" s="149">
        <f t="shared" ref="AA34:AA56" si="7">+X34*0.4+Y34*0.15+Z34*0.45</f>
        <v>14.030000000000001</v>
      </c>
      <c r="AB34" s="72">
        <v>2</v>
      </c>
      <c r="AC34" s="72">
        <v>14</v>
      </c>
      <c r="AD34" s="72">
        <v>6</v>
      </c>
      <c r="AE34" s="72">
        <v>17</v>
      </c>
      <c r="AF34" s="72">
        <v>20</v>
      </c>
      <c r="AG34" s="72">
        <f t="shared" ref="AG34:AG56" si="8">+(AF34+AE34+AD34/6*20+AC34+AB34/3*20)/5</f>
        <v>16.866666666666667</v>
      </c>
      <c r="AH34" s="72">
        <v>20</v>
      </c>
      <c r="AI34" s="202">
        <f t="shared" ref="AI34:AI57" si="9">+(Z34+N34)/2</f>
        <v>11</v>
      </c>
      <c r="AJ34" s="203">
        <f t="shared" ref="AJ34:AJ57" si="10">+AI34*0.45+AH34*0.15+AG34*0.4</f>
        <v>14.696666666666667</v>
      </c>
    </row>
    <row r="35" spans="1:36" ht="24" thickTop="1" thickBot="1">
      <c r="A35" s="24">
        <v>2</v>
      </c>
      <c r="B35" s="263" t="s">
        <v>519</v>
      </c>
      <c r="C35" s="263"/>
      <c r="D35" s="263" t="s">
        <v>413</v>
      </c>
      <c r="E35" s="263"/>
      <c r="F35" s="263"/>
      <c r="G35" s="263"/>
      <c r="H35" s="79" t="s">
        <v>239</v>
      </c>
      <c r="I35" s="80"/>
      <c r="J35" s="72">
        <v>10</v>
      </c>
      <c r="K35" s="72">
        <v>6</v>
      </c>
      <c r="L35" s="72">
        <v>5.5</v>
      </c>
      <c r="M35" s="72">
        <v>15</v>
      </c>
      <c r="N35" s="162">
        <v>15</v>
      </c>
      <c r="O35" s="121">
        <f t="shared" si="6"/>
        <v>15.168650793650791</v>
      </c>
      <c r="P35" s="72"/>
      <c r="Q35" s="72">
        <v>8</v>
      </c>
      <c r="R35" s="72">
        <v>14</v>
      </c>
      <c r="S35" s="72"/>
      <c r="T35" s="72"/>
      <c r="U35" s="72"/>
      <c r="V35" s="72">
        <v>5</v>
      </c>
      <c r="W35" s="72">
        <v>14</v>
      </c>
      <c r="X35" s="72">
        <f t="shared" ref="X35:X57" si="11">+(W35+V35*4+Q35+P35+AVERAGE(R35:S35))/5</f>
        <v>11.2</v>
      </c>
      <c r="Y35" s="72">
        <v>13</v>
      </c>
      <c r="Z35" s="162">
        <v>12</v>
      </c>
      <c r="AA35" s="149">
        <f t="shared" si="7"/>
        <v>11.83</v>
      </c>
      <c r="AB35" s="72">
        <v>2.5</v>
      </c>
      <c r="AC35" s="72">
        <v>14</v>
      </c>
      <c r="AD35" s="72">
        <v>6</v>
      </c>
      <c r="AE35" s="72">
        <v>17</v>
      </c>
      <c r="AF35" s="72"/>
      <c r="AG35" s="72">
        <f t="shared" si="8"/>
        <v>13.533333333333335</v>
      </c>
      <c r="AH35" s="72">
        <f>20/26*20</f>
        <v>15.384615384615385</v>
      </c>
      <c r="AI35" s="202">
        <f t="shared" si="9"/>
        <v>13.5</v>
      </c>
      <c r="AJ35" s="203">
        <f t="shared" si="10"/>
        <v>13.796025641025642</v>
      </c>
    </row>
    <row r="36" spans="1:36" ht="24" thickTop="1" thickBot="1">
      <c r="A36" s="24">
        <v>3</v>
      </c>
      <c r="B36" s="263" t="s">
        <v>265</v>
      </c>
      <c r="C36" s="263"/>
      <c r="D36" s="263" t="s">
        <v>102</v>
      </c>
      <c r="E36" s="263"/>
      <c r="F36" s="263"/>
      <c r="G36" s="263"/>
      <c r="H36" s="79" t="s">
        <v>275</v>
      </c>
      <c r="I36" s="80" t="s">
        <v>230</v>
      </c>
      <c r="J36" s="72"/>
      <c r="K36" s="72"/>
      <c r="L36" s="72">
        <v>3</v>
      </c>
      <c r="M36" s="72">
        <v>10</v>
      </c>
      <c r="N36" s="162"/>
      <c r="O36" s="121">
        <f t="shared" si="6"/>
        <v>2.9031746031746035</v>
      </c>
      <c r="P36" s="72"/>
      <c r="Q36" s="72"/>
      <c r="R36" s="72">
        <v>12</v>
      </c>
      <c r="S36" s="72"/>
      <c r="T36" s="72"/>
      <c r="U36" s="72"/>
      <c r="V36" s="72">
        <v>1</v>
      </c>
      <c r="W36" s="72">
        <v>10</v>
      </c>
      <c r="X36" s="72">
        <f t="shared" si="11"/>
        <v>5.2</v>
      </c>
      <c r="Y36" s="72">
        <v>10</v>
      </c>
      <c r="Z36" s="162"/>
      <c r="AA36" s="149">
        <f t="shared" si="7"/>
        <v>3.58</v>
      </c>
      <c r="AB36" s="72"/>
      <c r="AC36" s="72"/>
      <c r="AD36" s="72"/>
      <c r="AE36" s="72"/>
      <c r="AF36" s="72"/>
      <c r="AG36" s="72">
        <f t="shared" si="8"/>
        <v>0</v>
      </c>
      <c r="AH36" s="72">
        <f>8/26*20</f>
        <v>6.1538461538461542</v>
      </c>
      <c r="AI36" s="202">
        <f t="shared" si="9"/>
        <v>0</v>
      </c>
      <c r="AJ36" s="203">
        <f t="shared" si="10"/>
        <v>0.92307692307692313</v>
      </c>
    </row>
    <row r="37" spans="1:36" ht="24" thickTop="1" thickBot="1">
      <c r="A37" s="24">
        <v>4</v>
      </c>
      <c r="B37" s="263" t="s">
        <v>321</v>
      </c>
      <c r="C37" s="263"/>
      <c r="D37" s="263" t="s">
        <v>33</v>
      </c>
      <c r="E37" s="263"/>
      <c r="F37" s="263"/>
      <c r="G37" s="263"/>
      <c r="H37" s="79" t="s">
        <v>239</v>
      </c>
      <c r="I37" s="80" t="s">
        <v>107</v>
      </c>
      <c r="J37" s="72">
        <v>10</v>
      </c>
      <c r="K37" s="72">
        <v>7</v>
      </c>
      <c r="L37" s="72">
        <v>5</v>
      </c>
      <c r="M37" s="72">
        <v>20</v>
      </c>
      <c r="N37" s="162">
        <v>15</v>
      </c>
      <c r="O37" s="121">
        <f t="shared" si="6"/>
        <v>16.593253968253968</v>
      </c>
      <c r="P37" s="72"/>
      <c r="Q37" s="72">
        <v>15</v>
      </c>
      <c r="R37" s="72">
        <v>17</v>
      </c>
      <c r="S37" s="72">
        <v>20</v>
      </c>
      <c r="T37" s="72"/>
      <c r="U37" s="72"/>
      <c r="V37" s="72">
        <v>5</v>
      </c>
      <c r="W37" s="72">
        <v>16</v>
      </c>
      <c r="X37" s="72">
        <f t="shared" si="11"/>
        <v>13.9</v>
      </c>
      <c r="Y37" s="72">
        <v>20</v>
      </c>
      <c r="Z37" s="162">
        <v>13</v>
      </c>
      <c r="AA37" s="149">
        <f t="shared" si="7"/>
        <v>14.41</v>
      </c>
      <c r="AB37" s="72">
        <v>2</v>
      </c>
      <c r="AC37" s="72">
        <v>15</v>
      </c>
      <c r="AD37" s="72">
        <v>6</v>
      </c>
      <c r="AE37" s="72">
        <v>20</v>
      </c>
      <c r="AF37" s="72">
        <v>20</v>
      </c>
      <c r="AG37" s="72">
        <f t="shared" si="8"/>
        <v>17.666666666666664</v>
      </c>
      <c r="AH37" s="72">
        <f>24/26*20</f>
        <v>18.461538461538463</v>
      </c>
      <c r="AI37" s="202">
        <f t="shared" si="9"/>
        <v>14</v>
      </c>
      <c r="AJ37" s="203">
        <f t="shared" si="10"/>
        <v>16.135897435897434</v>
      </c>
    </row>
    <row r="38" spans="1:36" ht="24" thickTop="1" thickBot="1">
      <c r="A38" s="24">
        <v>5</v>
      </c>
      <c r="B38" s="263" t="s">
        <v>208</v>
      </c>
      <c r="C38" s="263"/>
      <c r="D38" s="263" t="s">
        <v>380</v>
      </c>
      <c r="E38" s="263"/>
      <c r="F38" s="263"/>
      <c r="G38" s="263"/>
      <c r="H38" s="79" t="s">
        <v>459</v>
      </c>
      <c r="I38" s="80" t="s">
        <v>116</v>
      </c>
      <c r="J38" s="72">
        <v>8</v>
      </c>
      <c r="K38" s="72">
        <v>6</v>
      </c>
      <c r="L38" s="72">
        <v>5</v>
      </c>
      <c r="M38" s="72">
        <v>15</v>
      </c>
      <c r="N38" s="162">
        <v>13</v>
      </c>
      <c r="O38" s="121">
        <f t="shared" si="6"/>
        <v>14.682936507936509</v>
      </c>
      <c r="P38" s="72">
        <v>15</v>
      </c>
      <c r="Q38" s="72">
        <v>12</v>
      </c>
      <c r="R38" s="72">
        <v>15</v>
      </c>
      <c r="S38" s="72"/>
      <c r="T38" s="72"/>
      <c r="U38" s="72"/>
      <c r="V38" s="72">
        <v>4</v>
      </c>
      <c r="W38" s="72">
        <v>11</v>
      </c>
      <c r="X38" s="72">
        <f t="shared" si="11"/>
        <v>13.8</v>
      </c>
      <c r="Y38" s="72">
        <v>17</v>
      </c>
      <c r="Z38" s="162">
        <v>10</v>
      </c>
      <c r="AA38" s="149">
        <f t="shared" si="7"/>
        <v>12.57</v>
      </c>
      <c r="AB38" s="72">
        <v>2.5</v>
      </c>
      <c r="AC38" s="72">
        <v>14</v>
      </c>
      <c r="AD38" s="72">
        <v>6</v>
      </c>
      <c r="AE38" s="72">
        <v>17</v>
      </c>
      <c r="AF38" s="72">
        <v>20</v>
      </c>
      <c r="AG38" s="72">
        <f t="shared" si="8"/>
        <v>17.533333333333335</v>
      </c>
      <c r="AH38" s="72">
        <v>18.5</v>
      </c>
      <c r="AI38" s="202">
        <f t="shared" si="9"/>
        <v>11.5</v>
      </c>
      <c r="AJ38" s="203">
        <f t="shared" si="10"/>
        <v>14.963333333333335</v>
      </c>
    </row>
    <row r="39" spans="1:36" ht="24" thickTop="1" thickBot="1">
      <c r="A39" s="24">
        <v>6</v>
      </c>
      <c r="B39" s="263" t="s">
        <v>529</v>
      </c>
      <c r="C39" s="263"/>
      <c r="D39" s="263" t="s">
        <v>144</v>
      </c>
      <c r="E39" s="263"/>
      <c r="F39" s="263"/>
      <c r="G39" s="263"/>
      <c r="H39" s="79" t="s">
        <v>505</v>
      </c>
      <c r="I39" s="80" t="s">
        <v>272</v>
      </c>
      <c r="J39" s="72">
        <v>7</v>
      </c>
      <c r="K39" s="72"/>
      <c r="L39" s="72">
        <v>4</v>
      </c>
      <c r="M39" s="72">
        <v>20</v>
      </c>
      <c r="N39" s="162">
        <v>15</v>
      </c>
      <c r="O39" s="121">
        <f t="shared" si="6"/>
        <v>12.69404761904762</v>
      </c>
      <c r="P39" s="72">
        <v>14</v>
      </c>
      <c r="Q39" s="72">
        <v>13</v>
      </c>
      <c r="R39" s="72">
        <v>13</v>
      </c>
      <c r="S39" s="72">
        <v>15</v>
      </c>
      <c r="T39" s="72"/>
      <c r="U39" s="72"/>
      <c r="V39" s="72"/>
      <c r="W39" s="72">
        <v>12</v>
      </c>
      <c r="X39" s="72">
        <f t="shared" si="11"/>
        <v>10.6</v>
      </c>
      <c r="Y39" s="72">
        <v>17</v>
      </c>
      <c r="Z39" s="162">
        <v>10</v>
      </c>
      <c r="AA39" s="149">
        <f t="shared" si="7"/>
        <v>11.29</v>
      </c>
      <c r="AB39" s="72"/>
      <c r="AC39" s="72">
        <v>15</v>
      </c>
      <c r="AD39" s="72">
        <v>5</v>
      </c>
      <c r="AE39" s="72">
        <v>17</v>
      </c>
      <c r="AF39" s="72">
        <v>13</v>
      </c>
      <c r="AG39" s="72">
        <f t="shared" si="8"/>
        <v>12.333333333333334</v>
      </c>
      <c r="AH39" s="72">
        <f>22/26*20</f>
        <v>16.923076923076923</v>
      </c>
      <c r="AI39" s="202">
        <f t="shared" si="9"/>
        <v>12.5</v>
      </c>
      <c r="AJ39" s="203">
        <f t="shared" si="10"/>
        <v>13.096794871794872</v>
      </c>
    </row>
    <row r="40" spans="1:36" ht="24" thickTop="1" thickBot="1">
      <c r="A40" s="24">
        <v>7</v>
      </c>
      <c r="B40" s="263" t="s">
        <v>10</v>
      </c>
      <c r="C40" s="263"/>
      <c r="D40" s="263" t="s">
        <v>288</v>
      </c>
      <c r="E40" s="263"/>
      <c r="F40" s="263"/>
      <c r="G40" s="263"/>
      <c r="H40" s="79" t="s">
        <v>119</v>
      </c>
      <c r="I40" s="80" t="s">
        <v>117</v>
      </c>
      <c r="J40" s="72">
        <v>6</v>
      </c>
      <c r="K40" s="72"/>
      <c r="L40" s="72">
        <v>4</v>
      </c>
      <c r="M40" s="72">
        <v>10</v>
      </c>
      <c r="N40" s="162">
        <v>13</v>
      </c>
      <c r="O40" s="121">
        <f t="shared" si="6"/>
        <v>10.721825396825395</v>
      </c>
      <c r="P40" s="72">
        <v>13</v>
      </c>
      <c r="Q40" s="72">
        <v>12</v>
      </c>
      <c r="R40" s="72">
        <v>17</v>
      </c>
      <c r="S40" s="72">
        <v>19</v>
      </c>
      <c r="T40" s="72"/>
      <c r="U40" s="72"/>
      <c r="V40" s="72">
        <v>5</v>
      </c>
      <c r="W40" s="72">
        <v>13</v>
      </c>
      <c r="X40" s="72">
        <f t="shared" si="11"/>
        <v>15.2</v>
      </c>
      <c r="Y40" s="72">
        <v>7</v>
      </c>
      <c r="Z40" s="162">
        <v>10</v>
      </c>
      <c r="AA40" s="149">
        <f t="shared" si="7"/>
        <v>11.629999999999999</v>
      </c>
      <c r="AB40" s="72">
        <v>2</v>
      </c>
      <c r="AC40" s="72">
        <v>15</v>
      </c>
      <c r="AD40" s="72"/>
      <c r="AE40" s="72">
        <v>17</v>
      </c>
      <c r="AF40" s="72">
        <v>19</v>
      </c>
      <c r="AG40" s="72">
        <f t="shared" si="8"/>
        <v>12.866666666666665</v>
      </c>
      <c r="AH40" s="72">
        <f>8/26*20</f>
        <v>6.1538461538461542</v>
      </c>
      <c r="AI40" s="202">
        <f t="shared" si="9"/>
        <v>11.5</v>
      </c>
      <c r="AJ40" s="203">
        <f t="shared" si="10"/>
        <v>11.244743589743589</v>
      </c>
    </row>
    <row r="41" spans="1:36" ht="24" thickTop="1" thickBot="1">
      <c r="A41" s="24">
        <v>8</v>
      </c>
      <c r="B41" s="263" t="s">
        <v>120</v>
      </c>
      <c r="C41" s="263"/>
      <c r="D41" s="263" t="s">
        <v>121</v>
      </c>
      <c r="E41" s="263"/>
      <c r="F41" s="263"/>
      <c r="G41" s="263"/>
      <c r="H41" s="79" t="s">
        <v>122</v>
      </c>
      <c r="I41" s="80" t="s">
        <v>118</v>
      </c>
      <c r="J41" s="72">
        <v>7</v>
      </c>
      <c r="K41" s="72">
        <v>7</v>
      </c>
      <c r="L41" s="72">
        <v>7</v>
      </c>
      <c r="M41" s="72">
        <v>20</v>
      </c>
      <c r="N41" s="162">
        <v>13</v>
      </c>
      <c r="O41" s="121">
        <f t="shared" si="6"/>
        <v>16.269444444444442</v>
      </c>
      <c r="P41" s="72">
        <v>14</v>
      </c>
      <c r="Q41" s="72">
        <v>15</v>
      </c>
      <c r="R41" s="72">
        <v>15</v>
      </c>
      <c r="S41" s="72">
        <v>19</v>
      </c>
      <c r="T41" s="72"/>
      <c r="U41" s="72"/>
      <c r="V41" s="72">
        <v>5</v>
      </c>
      <c r="W41" s="72"/>
      <c r="X41" s="72">
        <f t="shared" si="11"/>
        <v>13.2</v>
      </c>
      <c r="Y41" s="72">
        <v>17</v>
      </c>
      <c r="Z41" s="162">
        <v>8</v>
      </c>
      <c r="AA41" s="149">
        <f t="shared" si="7"/>
        <v>11.43</v>
      </c>
      <c r="AB41" s="72">
        <v>2</v>
      </c>
      <c r="AC41" s="72">
        <v>15</v>
      </c>
      <c r="AD41" s="72">
        <v>6</v>
      </c>
      <c r="AE41" s="72">
        <v>17</v>
      </c>
      <c r="AF41" s="72">
        <v>20</v>
      </c>
      <c r="AG41" s="72">
        <f t="shared" si="8"/>
        <v>17.066666666666666</v>
      </c>
      <c r="AH41" s="72">
        <v>18.5</v>
      </c>
      <c r="AI41" s="202">
        <f t="shared" si="9"/>
        <v>10.5</v>
      </c>
      <c r="AJ41" s="203">
        <f t="shared" si="10"/>
        <v>14.326666666666668</v>
      </c>
    </row>
    <row r="42" spans="1:36" ht="24" thickTop="1" thickBot="1">
      <c r="A42" s="24">
        <v>9</v>
      </c>
      <c r="B42" s="263" t="s">
        <v>296</v>
      </c>
      <c r="C42" s="263"/>
      <c r="D42" s="263" t="s">
        <v>297</v>
      </c>
      <c r="E42" s="263"/>
      <c r="F42" s="263"/>
      <c r="G42" s="263"/>
      <c r="H42" s="79" t="s">
        <v>239</v>
      </c>
      <c r="I42" s="80" t="s">
        <v>270</v>
      </c>
      <c r="J42" s="72">
        <v>10</v>
      </c>
      <c r="K42" s="72">
        <v>7</v>
      </c>
      <c r="L42" s="72">
        <v>7</v>
      </c>
      <c r="M42" s="72">
        <v>20</v>
      </c>
      <c r="N42" s="162">
        <v>15</v>
      </c>
      <c r="O42" s="121">
        <f t="shared" si="6"/>
        <v>17.402777777777779</v>
      </c>
      <c r="P42" s="72">
        <v>18</v>
      </c>
      <c r="Q42" s="72">
        <v>17</v>
      </c>
      <c r="R42" s="72">
        <v>17</v>
      </c>
      <c r="S42" s="72">
        <v>20</v>
      </c>
      <c r="T42" s="72"/>
      <c r="U42" s="72"/>
      <c r="V42" s="72">
        <v>5</v>
      </c>
      <c r="W42" s="72">
        <v>18</v>
      </c>
      <c r="X42" s="72">
        <f t="shared" si="11"/>
        <v>18.3</v>
      </c>
      <c r="Y42" s="72">
        <v>20</v>
      </c>
      <c r="Z42" s="162">
        <v>13</v>
      </c>
      <c r="AA42" s="149">
        <f t="shared" si="7"/>
        <v>16.170000000000002</v>
      </c>
      <c r="AB42" s="72">
        <v>2.5</v>
      </c>
      <c r="AC42" s="72">
        <v>15</v>
      </c>
      <c r="AD42" s="72">
        <v>6</v>
      </c>
      <c r="AE42" s="72">
        <v>20</v>
      </c>
      <c r="AF42" s="72">
        <v>20</v>
      </c>
      <c r="AG42" s="72">
        <f t="shared" si="8"/>
        <v>18.333333333333336</v>
      </c>
      <c r="AH42" s="72">
        <v>18.5</v>
      </c>
      <c r="AI42" s="202">
        <f t="shared" si="9"/>
        <v>14</v>
      </c>
      <c r="AJ42" s="203">
        <f t="shared" si="10"/>
        <v>16.408333333333335</v>
      </c>
    </row>
    <row r="43" spans="1:36" ht="24" thickTop="1" thickBot="1">
      <c r="A43" s="24">
        <v>10</v>
      </c>
      <c r="B43" s="263" t="s">
        <v>530</v>
      </c>
      <c r="C43" s="263"/>
      <c r="D43" s="263" t="s">
        <v>145</v>
      </c>
      <c r="E43" s="263"/>
      <c r="F43" s="263"/>
      <c r="G43" s="263"/>
      <c r="H43" s="79" t="s">
        <v>239</v>
      </c>
      <c r="I43" s="80" t="s">
        <v>88</v>
      </c>
      <c r="J43" s="72">
        <v>10</v>
      </c>
      <c r="K43" s="72">
        <v>5</v>
      </c>
      <c r="L43" s="72">
        <v>5</v>
      </c>
      <c r="M43" s="72">
        <v>20</v>
      </c>
      <c r="N43" s="162">
        <v>16</v>
      </c>
      <c r="O43" s="121">
        <f t="shared" si="6"/>
        <v>16.680952380952384</v>
      </c>
      <c r="P43" s="72">
        <v>18</v>
      </c>
      <c r="Q43" s="72">
        <v>16</v>
      </c>
      <c r="R43" s="72">
        <v>14</v>
      </c>
      <c r="S43" s="72">
        <v>16</v>
      </c>
      <c r="T43" s="72"/>
      <c r="U43" s="72"/>
      <c r="V43" s="72"/>
      <c r="W43" s="72"/>
      <c r="X43" s="72">
        <f t="shared" si="11"/>
        <v>9.8000000000000007</v>
      </c>
      <c r="Y43" s="72">
        <v>17</v>
      </c>
      <c r="Z43" s="162">
        <v>12</v>
      </c>
      <c r="AA43" s="149">
        <f t="shared" si="7"/>
        <v>11.870000000000001</v>
      </c>
      <c r="AB43" s="72"/>
      <c r="AC43" s="72">
        <v>15</v>
      </c>
      <c r="AD43" s="72">
        <v>6</v>
      </c>
      <c r="AE43" s="72">
        <v>17</v>
      </c>
      <c r="AF43" s="72">
        <v>13</v>
      </c>
      <c r="AG43" s="72">
        <f t="shared" si="8"/>
        <v>13</v>
      </c>
      <c r="AH43" s="72">
        <f>22/26*20</f>
        <v>16.923076923076923</v>
      </c>
      <c r="AI43" s="202">
        <f t="shared" si="9"/>
        <v>14</v>
      </c>
      <c r="AJ43" s="203">
        <f t="shared" si="10"/>
        <v>14.038461538461537</v>
      </c>
    </row>
    <row r="44" spans="1:36" ht="24" thickTop="1" thickBot="1">
      <c r="A44" s="24">
        <v>11</v>
      </c>
      <c r="B44" s="263" t="s">
        <v>531</v>
      </c>
      <c r="C44" s="263"/>
      <c r="D44" s="263" t="s">
        <v>453</v>
      </c>
      <c r="E44" s="263"/>
      <c r="F44" s="263"/>
      <c r="G44" s="263"/>
      <c r="H44" s="79" t="s">
        <v>437</v>
      </c>
      <c r="I44" s="80" t="s">
        <v>99</v>
      </c>
      <c r="J44" s="72">
        <v>4</v>
      </c>
      <c r="K44" s="72"/>
      <c r="L44" s="72">
        <v>4.5</v>
      </c>
      <c r="M44" s="72">
        <v>20</v>
      </c>
      <c r="N44" s="162">
        <v>11</v>
      </c>
      <c r="O44" s="121">
        <f t="shared" si="6"/>
        <v>10.535317460317462</v>
      </c>
      <c r="P44" s="72">
        <v>14</v>
      </c>
      <c r="Q44" s="72">
        <v>13</v>
      </c>
      <c r="R44" s="72"/>
      <c r="S44" s="72">
        <v>0</v>
      </c>
      <c r="T44" s="72"/>
      <c r="U44" s="72"/>
      <c r="V44" s="72">
        <v>5</v>
      </c>
      <c r="W44" s="72">
        <v>11</v>
      </c>
      <c r="X44" s="72">
        <f t="shared" si="11"/>
        <v>11.6</v>
      </c>
      <c r="Y44" s="72">
        <v>17</v>
      </c>
      <c r="Z44" s="162">
        <v>12</v>
      </c>
      <c r="AA44" s="149">
        <f t="shared" si="7"/>
        <v>12.59</v>
      </c>
      <c r="AB44" s="72">
        <v>0.5</v>
      </c>
      <c r="AC44" s="72">
        <v>14</v>
      </c>
      <c r="AD44" s="72">
        <v>5</v>
      </c>
      <c r="AE44" s="72">
        <v>18</v>
      </c>
      <c r="AF44" s="72">
        <v>7</v>
      </c>
      <c r="AG44" s="72">
        <f t="shared" si="8"/>
        <v>11.8</v>
      </c>
      <c r="AH44" s="72">
        <f>14/26*20</f>
        <v>10.769230769230768</v>
      </c>
      <c r="AI44" s="202">
        <f t="shared" si="9"/>
        <v>11.5</v>
      </c>
      <c r="AJ44" s="203">
        <f t="shared" si="10"/>
        <v>11.510384615384616</v>
      </c>
    </row>
    <row r="45" spans="1:36" ht="24" thickTop="1" thickBot="1">
      <c r="A45" s="24">
        <v>12</v>
      </c>
      <c r="B45" s="263" t="s">
        <v>463</v>
      </c>
      <c r="C45" s="263"/>
      <c r="D45" s="263" t="s">
        <v>464</v>
      </c>
      <c r="E45" s="263"/>
      <c r="F45" s="263"/>
      <c r="G45" s="263"/>
      <c r="H45" s="79" t="s">
        <v>239</v>
      </c>
      <c r="I45" s="80" t="s">
        <v>116</v>
      </c>
      <c r="J45" s="72">
        <v>9</v>
      </c>
      <c r="K45" s="72">
        <v>6</v>
      </c>
      <c r="L45" s="72">
        <v>7</v>
      </c>
      <c r="M45" s="72">
        <v>20</v>
      </c>
      <c r="N45" s="162">
        <v>15</v>
      </c>
      <c r="O45" s="121">
        <f t="shared" si="6"/>
        <v>17.281349206349205</v>
      </c>
      <c r="P45" s="72">
        <v>20</v>
      </c>
      <c r="Q45" s="72">
        <v>18</v>
      </c>
      <c r="R45" s="72">
        <v>18</v>
      </c>
      <c r="S45" s="72">
        <v>20</v>
      </c>
      <c r="T45" s="72"/>
      <c r="U45" s="72"/>
      <c r="V45" s="72">
        <v>5</v>
      </c>
      <c r="W45" s="72">
        <v>18</v>
      </c>
      <c r="X45" s="72">
        <f t="shared" si="11"/>
        <v>19</v>
      </c>
      <c r="Y45" s="72">
        <v>20</v>
      </c>
      <c r="Z45" s="162">
        <v>18</v>
      </c>
      <c r="AA45" s="149">
        <f t="shared" si="7"/>
        <v>18.700000000000003</v>
      </c>
      <c r="AB45" s="72">
        <v>2.5</v>
      </c>
      <c r="AC45" s="72">
        <v>15</v>
      </c>
      <c r="AD45" s="72">
        <v>6</v>
      </c>
      <c r="AE45" s="72">
        <v>18</v>
      </c>
      <c r="AF45" s="72">
        <v>20</v>
      </c>
      <c r="AG45" s="72">
        <f t="shared" si="8"/>
        <v>17.933333333333334</v>
      </c>
      <c r="AH45" s="72">
        <v>20</v>
      </c>
      <c r="AI45" s="202">
        <f t="shared" si="9"/>
        <v>16.5</v>
      </c>
      <c r="AJ45" s="203">
        <f t="shared" si="10"/>
        <v>17.598333333333336</v>
      </c>
    </row>
    <row r="46" spans="1:36" ht="24" thickTop="1" thickBot="1">
      <c r="A46" s="24">
        <v>13</v>
      </c>
      <c r="B46" s="263" t="s">
        <v>242</v>
      </c>
      <c r="C46" s="263"/>
      <c r="D46" s="263" t="s">
        <v>243</v>
      </c>
      <c r="E46" s="263"/>
      <c r="F46" s="263"/>
      <c r="G46" s="263"/>
      <c r="H46" s="79" t="s">
        <v>428</v>
      </c>
      <c r="I46" s="80" t="s">
        <v>202</v>
      </c>
      <c r="J46" s="72">
        <v>9</v>
      </c>
      <c r="K46" s="72">
        <v>7</v>
      </c>
      <c r="L46" s="72">
        <v>6</v>
      </c>
      <c r="M46" s="72">
        <v>20</v>
      </c>
      <c r="N46" s="162">
        <v>17</v>
      </c>
      <c r="O46" s="121">
        <f t="shared" si="6"/>
        <v>18.131349206349206</v>
      </c>
      <c r="P46" s="72">
        <v>18</v>
      </c>
      <c r="Q46" s="72">
        <v>16</v>
      </c>
      <c r="R46" s="72">
        <v>17</v>
      </c>
      <c r="S46" s="72">
        <v>20</v>
      </c>
      <c r="T46" s="72"/>
      <c r="U46" s="72"/>
      <c r="V46" s="72">
        <v>5</v>
      </c>
      <c r="W46" s="72">
        <v>18</v>
      </c>
      <c r="X46" s="72">
        <f t="shared" si="11"/>
        <v>18.100000000000001</v>
      </c>
      <c r="Y46" s="72">
        <v>20</v>
      </c>
      <c r="Z46" s="162">
        <v>14</v>
      </c>
      <c r="AA46" s="149">
        <f t="shared" si="7"/>
        <v>16.540000000000003</v>
      </c>
      <c r="AB46" s="72">
        <v>2.5</v>
      </c>
      <c r="AC46" s="72">
        <v>14</v>
      </c>
      <c r="AD46" s="72">
        <v>6</v>
      </c>
      <c r="AE46" s="72">
        <v>18</v>
      </c>
      <c r="AF46" s="72">
        <v>20</v>
      </c>
      <c r="AG46" s="72">
        <f t="shared" si="8"/>
        <v>17.733333333333334</v>
      </c>
      <c r="AH46" s="72">
        <v>20</v>
      </c>
      <c r="AI46" s="202">
        <f t="shared" si="9"/>
        <v>15.5</v>
      </c>
      <c r="AJ46" s="203">
        <f t="shared" si="10"/>
        <v>17.068333333333335</v>
      </c>
    </row>
    <row r="47" spans="1:36" ht="24" thickTop="1" thickBot="1">
      <c r="A47" s="24">
        <v>14</v>
      </c>
      <c r="B47" s="263" t="s">
        <v>469</v>
      </c>
      <c r="C47" s="263"/>
      <c r="D47" s="263" t="s">
        <v>27</v>
      </c>
      <c r="E47" s="263"/>
      <c r="F47" s="263"/>
      <c r="G47" s="263"/>
      <c r="H47" s="79" t="s">
        <v>459</v>
      </c>
      <c r="I47" s="80" t="s">
        <v>99</v>
      </c>
      <c r="J47" s="72"/>
      <c r="K47" s="72"/>
      <c r="L47" s="72">
        <v>3.5</v>
      </c>
      <c r="M47" s="72">
        <v>15</v>
      </c>
      <c r="N47" s="162">
        <v>8</v>
      </c>
      <c r="O47" s="121">
        <f t="shared" si="6"/>
        <v>7.35</v>
      </c>
      <c r="P47" s="72"/>
      <c r="Q47" s="72"/>
      <c r="R47" s="72">
        <v>14</v>
      </c>
      <c r="S47" s="72"/>
      <c r="T47" s="72"/>
      <c r="U47" s="72"/>
      <c r="V47" s="72">
        <v>5</v>
      </c>
      <c r="W47" s="72">
        <v>14</v>
      </c>
      <c r="X47" s="72">
        <f t="shared" si="11"/>
        <v>9.6</v>
      </c>
      <c r="Y47" s="72">
        <v>15</v>
      </c>
      <c r="Z47" s="162">
        <v>13</v>
      </c>
      <c r="AA47" s="149">
        <f t="shared" si="7"/>
        <v>11.940000000000001</v>
      </c>
      <c r="AB47" s="72"/>
      <c r="AC47" s="72"/>
      <c r="AD47" s="72">
        <v>6</v>
      </c>
      <c r="AE47" s="72"/>
      <c r="AF47" s="72"/>
      <c r="AG47" s="72">
        <f t="shared" si="8"/>
        <v>4</v>
      </c>
      <c r="AH47" s="72">
        <f>14/26*20</f>
        <v>10.769230769230768</v>
      </c>
      <c r="AI47" s="202">
        <f t="shared" si="9"/>
        <v>10.5</v>
      </c>
      <c r="AJ47" s="203">
        <f t="shared" si="10"/>
        <v>7.940384615384616</v>
      </c>
    </row>
    <row r="48" spans="1:36" ht="24" thickTop="1" thickBot="1">
      <c r="A48" s="24">
        <v>15</v>
      </c>
      <c r="B48" s="263" t="s">
        <v>491</v>
      </c>
      <c r="C48" s="263"/>
      <c r="D48" s="263" t="s">
        <v>41</v>
      </c>
      <c r="E48" s="263"/>
      <c r="F48" s="263"/>
      <c r="G48" s="263"/>
      <c r="H48" s="79" t="s">
        <v>428</v>
      </c>
      <c r="I48" s="80" t="s">
        <v>116</v>
      </c>
      <c r="J48" s="72">
        <v>7</v>
      </c>
      <c r="K48" s="72">
        <v>7</v>
      </c>
      <c r="L48" s="72">
        <v>5</v>
      </c>
      <c r="M48" s="72">
        <v>20</v>
      </c>
      <c r="N48" s="162">
        <v>15</v>
      </c>
      <c r="O48" s="121">
        <f t="shared" si="6"/>
        <v>16.498809523809523</v>
      </c>
      <c r="P48" s="72">
        <v>15</v>
      </c>
      <c r="Q48" s="72">
        <v>15</v>
      </c>
      <c r="R48" s="72">
        <v>15</v>
      </c>
      <c r="S48" s="72">
        <v>18</v>
      </c>
      <c r="T48" s="72"/>
      <c r="U48" s="72"/>
      <c r="V48" s="72">
        <v>5</v>
      </c>
      <c r="W48" s="72">
        <v>15</v>
      </c>
      <c r="X48" s="72">
        <f t="shared" si="11"/>
        <v>16.3</v>
      </c>
      <c r="Y48" s="72">
        <v>20</v>
      </c>
      <c r="Z48" s="162">
        <v>11</v>
      </c>
      <c r="AA48" s="149">
        <f t="shared" si="7"/>
        <v>14.469999999999999</v>
      </c>
      <c r="AB48" s="72">
        <v>1.5</v>
      </c>
      <c r="AC48" s="72">
        <v>15</v>
      </c>
      <c r="AD48" s="72">
        <v>6</v>
      </c>
      <c r="AE48" s="72">
        <v>18</v>
      </c>
      <c r="AF48" s="72">
        <v>20</v>
      </c>
      <c r="AG48" s="72">
        <f t="shared" si="8"/>
        <v>16.600000000000001</v>
      </c>
      <c r="AH48" s="72">
        <v>20</v>
      </c>
      <c r="AI48" s="202">
        <f t="shared" si="9"/>
        <v>13</v>
      </c>
      <c r="AJ48" s="203">
        <f t="shared" si="10"/>
        <v>15.490000000000002</v>
      </c>
    </row>
    <row r="49" spans="1:36" ht="24" thickTop="1" thickBot="1">
      <c r="A49" s="24">
        <v>16</v>
      </c>
      <c r="B49" s="263" t="s">
        <v>51</v>
      </c>
      <c r="C49" s="263"/>
      <c r="D49" s="263" t="s">
        <v>52</v>
      </c>
      <c r="E49" s="263"/>
      <c r="F49" s="263"/>
      <c r="G49" s="263"/>
      <c r="H49" s="79" t="s">
        <v>506</v>
      </c>
      <c r="I49" s="80" t="s">
        <v>272</v>
      </c>
      <c r="J49" s="72">
        <v>6</v>
      </c>
      <c r="K49" s="72">
        <v>5</v>
      </c>
      <c r="L49" s="72">
        <v>5</v>
      </c>
      <c r="M49" s="72">
        <v>20</v>
      </c>
      <c r="N49" s="162">
        <v>12</v>
      </c>
      <c r="O49" s="121">
        <f t="shared" si="6"/>
        <v>13.658730158730158</v>
      </c>
      <c r="P49" s="72">
        <v>12</v>
      </c>
      <c r="Q49" s="72">
        <v>14</v>
      </c>
      <c r="R49" s="72">
        <v>14</v>
      </c>
      <c r="S49" s="72">
        <v>17</v>
      </c>
      <c r="T49" s="72"/>
      <c r="U49" s="72"/>
      <c r="V49" s="72"/>
      <c r="W49" s="72">
        <v>11</v>
      </c>
      <c r="X49" s="72">
        <f t="shared" si="11"/>
        <v>10.5</v>
      </c>
      <c r="Y49" s="72">
        <v>15</v>
      </c>
      <c r="Z49" s="162">
        <v>13</v>
      </c>
      <c r="AA49" s="149">
        <f t="shared" si="7"/>
        <v>12.3</v>
      </c>
      <c r="AB49" s="72"/>
      <c r="AC49" s="72">
        <v>15</v>
      </c>
      <c r="AD49" s="72">
        <v>6</v>
      </c>
      <c r="AE49" s="72">
        <v>17</v>
      </c>
      <c r="AF49" s="72">
        <v>20</v>
      </c>
      <c r="AG49" s="72">
        <f t="shared" si="8"/>
        <v>14.4</v>
      </c>
      <c r="AH49" s="72">
        <f>22/26*20</f>
        <v>16.923076923076923</v>
      </c>
      <c r="AI49" s="202">
        <f t="shared" si="9"/>
        <v>12.5</v>
      </c>
      <c r="AJ49" s="203">
        <f t="shared" si="10"/>
        <v>13.923461538461538</v>
      </c>
    </row>
    <row r="50" spans="1:36" ht="24" thickTop="1" thickBot="1">
      <c r="A50" s="24">
        <v>17</v>
      </c>
      <c r="B50" s="263" t="s">
        <v>161</v>
      </c>
      <c r="C50" s="263"/>
      <c r="D50" s="263" t="s">
        <v>162</v>
      </c>
      <c r="E50" s="263"/>
      <c r="F50" s="263"/>
      <c r="G50" s="263"/>
      <c r="H50" s="79" t="s">
        <v>239</v>
      </c>
      <c r="I50" s="80"/>
      <c r="J50" s="72"/>
      <c r="K50" s="72">
        <v>0</v>
      </c>
      <c r="L50" s="72"/>
      <c r="M50" s="72">
        <v>5</v>
      </c>
      <c r="N50" s="162"/>
      <c r="O50" s="121">
        <f t="shared" si="6"/>
        <v>0.75</v>
      </c>
      <c r="P50" s="72"/>
      <c r="Q50" s="72"/>
      <c r="R50" s="72"/>
      <c r="S50" s="72">
        <v>0</v>
      </c>
      <c r="T50" s="72"/>
      <c r="U50" s="72"/>
      <c r="V50" s="72"/>
      <c r="W50" s="72"/>
      <c r="X50" s="72">
        <f t="shared" si="11"/>
        <v>0</v>
      </c>
      <c r="Y50" s="72">
        <v>3</v>
      </c>
      <c r="Z50" s="162"/>
      <c r="AA50" s="149">
        <f t="shared" si="7"/>
        <v>0.44999999999999996</v>
      </c>
      <c r="AB50" s="72"/>
      <c r="AC50" s="72"/>
      <c r="AD50" s="72"/>
      <c r="AE50" s="157"/>
      <c r="AF50" s="157"/>
      <c r="AG50" s="72">
        <f t="shared" si="8"/>
        <v>0</v>
      </c>
      <c r="AH50" s="72">
        <f>2/26*20</f>
        <v>1.5384615384615385</v>
      </c>
      <c r="AI50" s="202">
        <f t="shared" si="9"/>
        <v>0</v>
      </c>
      <c r="AJ50" s="203">
        <f t="shared" si="10"/>
        <v>0.23076923076923078</v>
      </c>
    </row>
    <row r="51" spans="1:36" ht="23" thickBot="1">
      <c r="A51" s="24">
        <v>18</v>
      </c>
      <c r="B51" s="263" t="s">
        <v>333</v>
      </c>
      <c r="C51" s="263"/>
      <c r="D51" s="263" t="s">
        <v>160</v>
      </c>
      <c r="E51" s="263"/>
      <c r="F51" s="263"/>
      <c r="G51" s="263"/>
      <c r="H51" s="79" t="s">
        <v>460</v>
      </c>
      <c r="I51" s="80" t="s">
        <v>89</v>
      </c>
      <c r="J51" s="72">
        <v>10</v>
      </c>
      <c r="K51" s="72">
        <v>7</v>
      </c>
      <c r="L51" s="72">
        <v>4.5</v>
      </c>
      <c r="M51" s="72">
        <v>20</v>
      </c>
      <c r="N51" s="162">
        <v>17</v>
      </c>
      <c r="O51" s="121">
        <f t="shared" si="6"/>
        <v>17.713095238095239</v>
      </c>
      <c r="P51" s="72">
        <v>18</v>
      </c>
      <c r="Q51" s="72"/>
      <c r="R51" s="72">
        <v>13</v>
      </c>
      <c r="S51" s="72"/>
      <c r="T51" s="72"/>
      <c r="U51" s="72"/>
      <c r="V51" s="72">
        <v>5</v>
      </c>
      <c r="W51" s="72">
        <v>14</v>
      </c>
      <c r="X51" s="72">
        <f t="shared" si="11"/>
        <v>13</v>
      </c>
      <c r="Y51" s="72">
        <v>20</v>
      </c>
      <c r="Z51" s="162">
        <v>12</v>
      </c>
      <c r="AA51" s="149">
        <f t="shared" si="7"/>
        <v>13.6</v>
      </c>
      <c r="AB51" s="72">
        <v>3</v>
      </c>
      <c r="AC51" s="72">
        <v>14</v>
      </c>
      <c r="AD51" s="72">
        <v>6</v>
      </c>
      <c r="AE51" s="72">
        <v>17</v>
      </c>
      <c r="AF51" s="72">
        <v>20</v>
      </c>
      <c r="AG51" s="72">
        <f t="shared" si="8"/>
        <v>18.2</v>
      </c>
      <c r="AH51" s="72">
        <v>20</v>
      </c>
      <c r="AI51" s="202">
        <f t="shared" si="9"/>
        <v>14.5</v>
      </c>
      <c r="AJ51" s="203">
        <f t="shared" si="10"/>
        <v>16.805</v>
      </c>
    </row>
    <row r="52" spans="1:36" ht="24" thickTop="1" thickBot="1">
      <c r="A52" s="24">
        <v>2</v>
      </c>
      <c r="B52" s="263"/>
      <c r="C52" s="263"/>
      <c r="D52" s="263" t="s">
        <v>273</v>
      </c>
      <c r="E52" s="263"/>
      <c r="F52" s="263"/>
      <c r="G52" s="263"/>
      <c r="H52" s="79" t="s">
        <v>239</v>
      </c>
      <c r="I52" s="80"/>
      <c r="J52" s="72">
        <v>4</v>
      </c>
      <c r="K52" s="72">
        <v>7</v>
      </c>
      <c r="L52" s="72">
        <v>4</v>
      </c>
      <c r="M52" s="72">
        <v>15</v>
      </c>
      <c r="N52" s="162">
        <v>14</v>
      </c>
      <c r="O52" s="121">
        <f t="shared" si="6"/>
        <v>13.407936507936508</v>
      </c>
      <c r="P52" s="72">
        <v>9</v>
      </c>
      <c r="Q52" s="72">
        <v>13</v>
      </c>
      <c r="R52" s="72">
        <v>15</v>
      </c>
      <c r="S52" s="72">
        <v>19</v>
      </c>
      <c r="T52" s="72"/>
      <c r="U52" s="72"/>
      <c r="V52" s="72">
        <v>0</v>
      </c>
      <c r="W52" s="72">
        <v>12</v>
      </c>
      <c r="X52" s="72">
        <f t="shared" si="11"/>
        <v>10.199999999999999</v>
      </c>
      <c r="Y52" s="72">
        <v>13</v>
      </c>
      <c r="Z52" s="162">
        <v>13</v>
      </c>
      <c r="AA52" s="149">
        <f t="shared" si="7"/>
        <v>11.88</v>
      </c>
      <c r="AB52" s="72">
        <v>2</v>
      </c>
      <c r="AC52" s="72">
        <v>15</v>
      </c>
      <c r="AD52" s="72">
        <v>6</v>
      </c>
      <c r="AE52" s="72">
        <v>17</v>
      </c>
      <c r="AF52" s="72">
        <v>20</v>
      </c>
      <c r="AG52" s="72">
        <f t="shared" si="8"/>
        <v>17.066666666666666</v>
      </c>
      <c r="AH52" s="72">
        <f>16/26*20</f>
        <v>12.307692307692308</v>
      </c>
      <c r="AI52" s="202">
        <f t="shared" si="9"/>
        <v>13.5</v>
      </c>
      <c r="AJ52" s="203">
        <f t="shared" si="10"/>
        <v>14.747820512820514</v>
      </c>
    </row>
    <row r="53" spans="1:36" ht="24" thickTop="1" thickBot="1">
      <c r="A53" s="24">
        <v>2</v>
      </c>
      <c r="B53" s="263"/>
      <c r="C53" s="263"/>
      <c r="D53" s="263" t="s">
        <v>101</v>
      </c>
      <c r="E53" s="263"/>
      <c r="F53" s="263"/>
      <c r="G53" s="263"/>
      <c r="H53" s="79" t="s">
        <v>239</v>
      </c>
      <c r="I53" s="80"/>
      <c r="J53" s="72">
        <v>7</v>
      </c>
      <c r="K53" s="72">
        <v>7</v>
      </c>
      <c r="L53" s="72">
        <v>5</v>
      </c>
      <c r="M53" s="72">
        <v>15</v>
      </c>
      <c r="N53" s="162">
        <v>12</v>
      </c>
      <c r="O53" s="121">
        <f t="shared" si="6"/>
        <v>13.529365079365082</v>
      </c>
      <c r="P53" s="72">
        <v>15</v>
      </c>
      <c r="Q53" s="72"/>
      <c r="R53" s="72">
        <v>16</v>
      </c>
      <c r="S53" s="72">
        <v>18</v>
      </c>
      <c r="T53" s="72"/>
      <c r="U53" s="72"/>
      <c r="V53" s="72">
        <v>5</v>
      </c>
      <c r="W53" s="72">
        <v>16</v>
      </c>
      <c r="X53" s="72">
        <f t="shared" si="11"/>
        <v>13.6</v>
      </c>
      <c r="Y53" s="72">
        <v>15</v>
      </c>
      <c r="Z53" s="162">
        <v>12</v>
      </c>
      <c r="AA53" s="149">
        <f t="shared" si="7"/>
        <v>13.09</v>
      </c>
      <c r="AB53" s="72">
        <v>1.5</v>
      </c>
      <c r="AC53" s="72">
        <v>14</v>
      </c>
      <c r="AD53" s="72">
        <v>6</v>
      </c>
      <c r="AE53" s="72">
        <v>17</v>
      </c>
      <c r="AF53" s="72">
        <v>14</v>
      </c>
      <c r="AG53" s="72">
        <f t="shared" si="8"/>
        <v>15</v>
      </c>
      <c r="AH53" s="72">
        <f>20/26*20</f>
        <v>15.384615384615385</v>
      </c>
      <c r="AI53" s="202">
        <f t="shared" si="9"/>
        <v>12</v>
      </c>
      <c r="AJ53" s="203">
        <f t="shared" si="10"/>
        <v>13.707692307692309</v>
      </c>
    </row>
    <row r="54" spans="1:36" ht="24" thickTop="1" thickBot="1">
      <c r="A54" s="24">
        <v>19</v>
      </c>
      <c r="B54" s="263" t="s">
        <v>350</v>
      </c>
      <c r="C54" s="263"/>
      <c r="D54" s="263" t="s">
        <v>351</v>
      </c>
      <c r="E54" s="263"/>
      <c r="F54" s="263"/>
      <c r="G54" s="263"/>
      <c r="H54" s="79" t="s">
        <v>352</v>
      </c>
      <c r="I54" s="80" t="s">
        <v>90</v>
      </c>
      <c r="J54" s="72">
        <v>6</v>
      </c>
      <c r="K54" s="72">
        <v>5</v>
      </c>
      <c r="L54" s="72">
        <v>4.5</v>
      </c>
      <c r="M54" s="72">
        <v>20</v>
      </c>
      <c r="N54" s="162">
        <v>13</v>
      </c>
      <c r="O54" s="121">
        <f t="shared" si="6"/>
        <v>13.975793650793651</v>
      </c>
      <c r="P54" s="72">
        <v>13</v>
      </c>
      <c r="Q54" s="72">
        <v>14</v>
      </c>
      <c r="R54" s="72">
        <v>16</v>
      </c>
      <c r="S54" s="72">
        <v>19</v>
      </c>
      <c r="T54" s="72"/>
      <c r="U54" s="72"/>
      <c r="V54" s="72">
        <v>5</v>
      </c>
      <c r="W54" s="72">
        <v>16</v>
      </c>
      <c r="X54" s="72">
        <f t="shared" si="11"/>
        <v>16.100000000000001</v>
      </c>
      <c r="Y54" s="72">
        <v>17</v>
      </c>
      <c r="Z54" s="162">
        <v>12</v>
      </c>
      <c r="AA54" s="149">
        <f t="shared" si="7"/>
        <v>14.390000000000002</v>
      </c>
      <c r="AB54" s="72">
        <v>2</v>
      </c>
      <c r="AC54" s="72">
        <v>15</v>
      </c>
      <c r="AD54" s="72">
        <v>6</v>
      </c>
      <c r="AE54" s="72">
        <v>17</v>
      </c>
      <c r="AF54" s="72">
        <v>20</v>
      </c>
      <c r="AG54" s="72">
        <f t="shared" si="8"/>
        <v>17.066666666666666</v>
      </c>
      <c r="AH54" s="72">
        <f>24/26*20</f>
        <v>18.461538461538463</v>
      </c>
      <c r="AI54" s="202">
        <f t="shared" si="9"/>
        <v>12.5</v>
      </c>
      <c r="AJ54" s="203">
        <f t="shared" si="10"/>
        <v>15.220897435897438</v>
      </c>
    </row>
    <row r="55" spans="1:36" ht="24" thickTop="1" thickBot="1">
      <c r="A55" s="24">
        <v>20</v>
      </c>
      <c r="B55" s="263" t="s">
        <v>353</v>
      </c>
      <c r="C55" s="263"/>
      <c r="D55" s="263" t="s">
        <v>179</v>
      </c>
      <c r="E55" s="263"/>
      <c r="F55" s="263"/>
      <c r="G55" s="263"/>
      <c r="H55" s="79" t="s">
        <v>460</v>
      </c>
      <c r="I55" s="80" t="s">
        <v>116</v>
      </c>
      <c r="J55" s="72">
        <v>10</v>
      </c>
      <c r="K55" s="72">
        <v>4</v>
      </c>
      <c r="L55" s="72">
        <v>4</v>
      </c>
      <c r="M55" s="72">
        <v>20</v>
      </c>
      <c r="N55" s="162">
        <v>13</v>
      </c>
      <c r="O55" s="121">
        <f t="shared" si="6"/>
        <v>14.596428571428572</v>
      </c>
      <c r="P55" s="72">
        <v>12</v>
      </c>
      <c r="Q55" s="72">
        <v>12</v>
      </c>
      <c r="R55" s="72">
        <v>16</v>
      </c>
      <c r="S55" s="72">
        <v>18</v>
      </c>
      <c r="T55" s="72"/>
      <c r="U55" s="72"/>
      <c r="V55" s="72">
        <v>5</v>
      </c>
      <c r="W55" s="72">
        <v>11</v>
      </c>
      <c r="X55" s="72">
        <f t="shared" si="11"/>
        <v>14.4</v>
      </c>
      <c r="Y55" s="72">
        <v>20</v>
      </c>
      <c r="Z55" s="162">
        <v>13</v>
      </c>
      <c r="AA55" s="149">
        <f t="shared" si="7"/>
        <v>14.610000000000003</v>
      </c>
      <c r="AB55" s="72">
        <v>2</v>
      </c>
      <c r="AC55" s="72">
        <v>14</v>
      </c>
      <c r="AD55" s="72">
        <v>6</v>
      </c>
      <c r="AE55" s="72">
        <v>20</v>
      </c>
      <c r="AF55" s="72">
        <v>20</v>
      </c>
      <c r="AG55" s="72">
        <f t="shared" si="8"/>
        <v>17.466666666666665</v>
      </c>
      <c r="AH55" s="72">
        <v>20</v>
      </c>
      <c r="AI55" s="202">
        <f t="shared" si="9"/>
        <v>13</v>
      </c>
      <c r="AJ55" s="203">
        <f t="shared" si="10"/>
        <v>15.836666666666668</v>
      </c>
    </row>
    <row r="56" spans="1:36" ht="23" thickBot="1">
      <c r="A56" s="24">
        <v>21</v>
      </c>
      <c r="B56" s="263" t="s">
        <v>484</v>
      </c>
      <c r="C56" s="263"/>
      <c r="D56" s="263" t="s">
        <v>391</v>
      </c>
      <c r="E56" s="263"/>
      <c r="F56" s="263"/>
      <c r="G56" s="263"/>
      <c r="H56" s="79" t="s">
        <v>239</v>
      </c>
      <c r="I56" s="80" t="s">
        <v>91</v>
      </c>
      <c r="J56" s="72"/>
      <c r="K56" s="72"/>
      <c r="L56" s="72">
        <v>3.5</v>
      </c>
      <c r="M56" s="72">
        <v>15</v>
      </c>
      <c r="N56" s="162">
        <v>11</v>
      </c>
      <c r="O56" s="121">
        <f t="shared" si="6"/>
        <v>8.625</v>
      </c>
      <c r="P56" s="72">
        <v>11</v>
      </c>
      <c r="Q56" s="72"/>
      <c r="R56" s="72"/>
      <c r="S56" s="72">
        <v>0</v>
      </c>
      <c r="T56" s="72"/>
      <c r="U56" s="72"/>
      <c r="V56" s="72">
        <v>4</v>
      </c>
      <c r="W56" s="72">
        <v>11</v>
      </c>
      <c r="X56" s="72">
        <f t="shared" si="11"/>
        <v>7.6</v>
      </c>
      <c r="Y56" s="72">
        <v>13</v>
      </c>
      <c r="Z56" s="162">
        <v>8</v>
      </c>
      <c r="AA56" s="149">
        <f t="shared" si="7"/>
        <v>8.59</v>
      </c>
      <c r="AB56" s="72"/>
      <c r="AC56" s="72"/>
      <c r="AD56" s="72"/>
      <c r="AE56" s="72"/>
      <c r="AF56" s="72"/>
      <c r="AG56" s="72">
        <f t="shared" si="8"/>
        <v>0</v>
      </c>
      <c r="AH56" s="72">
        <f>10/26*20</f>
        <v>7.6923076923076925</v>
      </c>
      <c r="AI56" s="202">
        <f t="shared" si="9"/>
        <v>9.5</v>
      </c>
      <c r="AJ56" s="203">
        <f t="shared" si="10"/>
        <v>5.4288461538461537</v>
      </c>
    </row>
    <row r="57" spans="1:36">
      <c r="P57" s="100">
        <v>20</v>
      </c>
      <c r="Q57" s="100">
        <v>20</v>
      </c>
      <c r="S57">
        <v>20</v>
      </c>
      <c r="V57">
        <v>5</v>
      </c>
      <c r="W57">
        <v>20</v>
      </c>
      <c r="X57" s="72">
        <f t="shared" si="11"/>
        <v>20</v>
      </c>
      <c r="Y57" s="100">
        <v>20</v>
      </c>
      <c r="Z57" s="167">
        <v>20</v>
      </c>
      <c r="AA57" s="148">
        <f>+X57*0.4+Y57*0.15+Z57*0.45</f>
        <v>20</v>
      </c>
      <c r="AI57" s="202">
        <f t="shared" si="9"/>
        <v>10</v>
      </c>
      <c r="AJ57" s="203">
        <f t="shared" si="10"/>
        <v>4.5</v>
      </c>
    </row>
    <row r="58" spans="1:36">
      <c r="A58" s="27"/>
      <c r="B58" s="27"/>
      <c r="C58" s="27"/>
      <c r="D58" s="91"/>
      <c r="E58" s="287"/>
      <c r="F58" s="287"/>
      <c r="G58" s="287"/>
      <c r="H58" s="287"/>
      <c r="I58" s="34"/>
    </row>
    <row r="59" spans="1:36" ht="16" thickBot="1">
      <c r="A59" s="269" t="s">
        <v>4</v>
      </c>
      <c r="B59" s="269"/>
      <c r="C59" s="269"/>
      <c r="D59" s="269"/>
      <c r="E59" s="269"/>
      <c r="F59" s="269"/>
      <c r="G59" s="269"/>
      <c r="H59" s="269"/>
      <c r="I59" s="35"/>
    </row>
    <row r="60" spans="1:36" ht="16.5" customHeight="1" thickTop="1" thickBot="1">
      <c r="A60" s="270" t="s">
        <v>322</v>
      </c>
      <c r="B60" s="270"/>
      <c r="C60" s="33" t="s">
        <v>37</v>
      </c>
      <c r="D60" s="29"/>
      <c r="E60" s="288"/>
      <c r="F60" s="288"/>
      <c r="G60" s="288"/>
      <c r="H60" s="288"/>
      <c r="I60" s="68"/>
    </row>
    <row r="61" spans="1:36" ht="17" thickTop="1" thickBot="1">
      <c r="A61" s="270" t="s">
        <v>323</v>
      </c>
      <c r="B61" s="270"/>
      <c r="C61" s="292" t="s">
        <v>286</v>
      </c>
      <c r="D61" s="292"/>
      <c r="E61" s="289" t="s">
        <v>60</v>
      </c>
      <c r="F61" s="289"/>
      <c r="G61" s="28"/>
      <c r="H61" s="30" t="s">
        <v>55</v>
      </c>
    </row>
    <row r="62" spans="1:36" ht="24" thickTop="1" thickBot="1">
      <c r="A62" s="270" t="s">
        <v>324</v>
      </c>
      <c r="B62" s="270"/>
      <c r="C62" s="288" t="s">
        <v>287</v>
      </c>
      <c r="D62" s="288"/>
      <c r="E62" s="288"/>
      <c r="F62" s="288"/>
      <c r="G62" s="288"/>
      <c r="H62" s="29" t="s">
        <v>56</v>
      </c>
      <c r="I62" s="92">
        <v>5</v>
      </c>
      <c r="J62" s="76">
        <v>10</v>
      </c>
      <c r="K62" s="76">
        <v>7</v>
      </c>
      <c r="L62" s="99">
        <v>7</v>
      </c>
      <c r="M62" s="72"/>
      <c r="N62" s="162"/>
      <c r="O62" s="121"/>
      <c r="P62" s="72"/>
      <c r="Q62" s="72"/>
      <c r="R62" s="72"/>
      <c r="S62" s="72"/>
      <c r="T62" s="99">
        <v>4</v>
      </c>
      <c r="U62" s="99">
        <v>7</v>
      </c>
      <c r="V62" s="99">
        <v>5</v>
      </c>
      <c r="W62" s="99"/>
      <c r="X62" s="147">
        <v>0.4</v>
      </c>
      <c r="Y62" s="147">
        <v>0.15</v>
      </c>
      <c r="Z62" s="165">
        <v>0.45</v>
      </c>
      <c r="AA62" s="149"/>
      <c r="AB62" s="72">
        <v>3</v>
      </c>
      <c r="AC62" s="72"/>
      <c r="AD62" s="72">
        <v>6</v>
      </c>
      <c r="AE62" s="72"/>
      <c r="AF62" s="72"/>
      <c r="AG62" s="147">
        <v>0.4</v>
      </c>
      <c r="AH62" s="147">
        <v>0.15</v>
      </c>
      <c r="AI62" s="202">
        <v>0.45</v>
      </c>
      <c r="AJ62" s="203"/>
    </row>
    <row r="63" spans="1:36" ht="24" thickTop="1" thickBot="1">
      <c r="A63" s="31" t="s">
        <v>325</v>
      </c>
      <c r="B63" s="271" t="s">
        <v>326</v>
      </c>
      <c r="C63" s="271"/>
      <c r="D63" s="271" t="s">
        <v>148</v>
      </c>
      <c r="E63" s="271"/>
      <c r="F63" s="271"/>
      <c r="G63" s="271"/>
      <c r="H63" s="81" t="s">
        <v>57</v>
      </c>
      <c r="I63" s="93" t="s">
        <v>510</v>
      </c>
      <c r="J63" s="76" t="s">
        <v>511</v>
      </c>
      <c r="K63" s="76" t="s">
        <v>433</v>
      </c>
      <c r="L63" s="76" t="s">
        <v>86</v>
      </c>
      <c r="M63" s="72" t="s">
        <v>237</v>
      </c>
      <c r="N63" s="163" t="s">
        <v>360</v>
      </c>
      <c r="O63" s="122" t="s">
        <v>499</v>
      </c>
      <c r="P63" s="71" t="s">
        <v>203</v>
      </c>
      <c r="Q63" s="71" t="s">
        <v>204</v>
      </c>
      <c r="R63" s="71" t="s">
        <v>205</v>
      </c>
      <c r="S63" s="71" t="s">
        <v>289</v>
      </c>
      <c r="T63" s="76" t="s">
        <v>290</v>
      </c>
      <c r="U63" s="76" t="s">
        <v>290</v>
      </c>
      <c r="V63" s="76" t="s">
        <v>291</v>
      </c>
      <c r="W63" s="146" t="s">
        <v>292</v>
      </c>
      <c r="X63" s="146" t="s">
        <v>534</v>
      </c>
      <c r="Y63" s="76" t="s">
        <v>293</v>
      </c>
      <c r="Z63" s="166" t="s">
        <v>294</v>
      </c>
      <c r="AA63" s="150" t="s">
        <v>532</v>
      </c>
      <c r="AB63" s="71" t="s">
        <v>533</v>
      </c>
      <c r="AC63" s="71" t="s">
        <v>397</v>
      </c>
      <c r="AD63" s="72" t="s">
        <v>227</v>
      </c>
      <c r="AE63" s="72" t="s">
        <v>486</v>
      </c>
      <c r="AF63" s="72" t="s">
        <v>398</v>
      </c>
      <c r="AG63" s="146" t="s">
        <v>534</v>
      </c>
      <c r="AH63" s="76" t="s">
        <v>293</v>
      </c>
      <c r="AI63" s="204" t="s">
        <v>294</v>
      </c>
      <c r="AJ63" s="205" t="s">
        <v>532</v>
      </c>
    </row>
    <row r="64" spans="1:36" ht="24" thickTop="1" thickBot="1">
      <c r="A64" s="32">
        <v>1</v>
      </c>
      <c r="B64" s="268" t="s">
        <v>157</v>
      </c>
      <c r="C64" s="268"/>
      <c r="D64" s="268" t="s">
        <v>61</v>
      </c>
      <c r="E64" s="268"/>
      <c r="F64" s="268"/>
      <c r="G64" s="268"/>
      <c r="H64" s="82" t="s">
        <v>459</v>
      </c>
      <c r="I64" s="83" t="s">
        <v>106</v>
      </c>
      <c r="J64" s="72">
        <v>7</v>
      </c>
      <c r="K64" s="72">
        <v>1.5</v>
      </c>
      <c r="L64" s="72">
        <v>4</v>
      </c>
      <c r="M64" s="72">
        <v>20</v>
      </c>
      <c r="N64" s="162">
        <v>13</v>
      </c>
      <c r="O64" s="121">
        <f t="shared" ref="O64:O84" si="12">+(N64*3+(I64+J64)/15*20+K64/7*20+L64/7*20)/6*0.85 + M64*0.15</f>
        <v>12.451190476190476</v>
      </c>
      <c r="P64" s="72">
        <v>18</v>
      </c>
      <c r="Q64" s="72">
        <v>14</v>
      </c>
      <c r="R64" s="72">
        <v>17</v>
      </c>
      <c r="S64" s="72">
        <v>20</v>
      </c>
      <c r="T64" s="72"/>
      <c r="U64" s="72"/>
      <c r="V64" s="72"/>
      <c r="W64" s="72">
        <v>13</v>
      </c>
      <c r="X64" s="72">
        <f>+(Q64+P64+R64+S64+W64)/5</f>
        <v>16.399999999999999</v>
      </c>
      <c r="Y64" s="72">
        <v>20</v>
      </c>
      <c r="Z64" s="162">
        <v>12</v>
      </c>
      <c r="AA64" s="149">
        <f t="shared" ref="AA64:AA84" si="13">+X64*0.4+Y64*0.15+Z64*0.45</f>
        <v>14.959999999999999</v>
      </c>
      <c r="AB64" s="72">
        <v>3</v>
      </c>
      <c r="AC64" s="72">
        <v>14</v>
      </c>
      <c r="AD64" s="72">
        <v>6</v>
      </c>
      <c r="AE64" s="72">
        <v>18</v>
      </c>
      <c r="AF64" s="72">
        <v>15</v>
      </c>
      <c r="AG64" s="72">
        <f t="shared" ref="AG64:AG84" si="14">+(AF64+AE64+AD64/6*20+AC64+AB64/3*20)/5</f>
        <v>17.399999999999999</v>
      </c>
      <c r="AH64" s="72">
        <f>20*24/26</f>
        <v>18.46153846153846</v>
      </c>
      <c r="AI64" s="202">
        <f t="shared" ref="AI64:AI85" si="15">+(Z64+N64)/2</f>
        <v>12.5</v>
      </c>
      <c r="AJ64" s="203">
        <f t="shared" ref="AJ64:AJ85" si="16">+AI64*0.45+AH64*0.15+AG64*0.4</f>
        <v>15.354230769230767</v>
      </c>
    </row>
    <row r="65" spans="1:36" ht="24" thickTop="1" thickBot="1">
      <c r="A65" s="32">
        <v>2</v>
      </c>
      <c r="B65" s="268" t="s">
        <v>158</v>
      </c>
      <c r="C65" s="268"/>
      <c r="D65" s="268" t="s">
        <v>232</v>
      </c>
      <c r="E65" s="268"/>
      <c r="F65" s="268"/>
      <c r="G65" s="268"/>
      <c r="H65" s="82" t="s">
        <v>239</v>
      </c>
      <c r="I65" s="83" t="s">
        <v>107</v>
      </c>
      <c r="J65" s="72">
        <v>10</v>
      </c>
      <c r="K65" s="72">
        <v>7</v>
      </c>
      <c r="L65" s="72">
        <v>7.5</v>
      </c>
      <c r="M65" s="72">
        <v>20</v>
      </c>
      <c r="N65" s="162">
        <v>15</v>
      </c>
      <c r="O65" s="121">
        <f t="shared" si="12"/>
        <v>17.605158730158731</v>
      </c>
      <c r="P65" s="72">
        <v>16</v>
      </c>
      <c r="Q65" s="72">
        <v>13</v>
      </c>
      <c r="R65" s="72">
        <v>18</v>
      </c>
      <c r="S65" s="72">
        <v>20</v>
      </c>
      <c r="T65" s="72"/>
      <c r="U65" s="72"/>
      <c r="V65" s="72"/>
      <c r="W65" s="72">
        <v>13</v>
      </c>
      <c r="X65" s="72">
        <f t="shared" ref="X65:X84" si="17">+(Q65+P65+R65+S65+W65)/5</f>
        <v>16</v>
      </c>
      <c r="Y65" s="72">
        <v>20</v>
      </c>
      <c r="Z65" s="162">
        <v>12</v>
      </c>
      <c r="AA65" s="149">
        <f t="shared" si="13"/>
        <v>14.8</v>
      </c>
      <c r="AB65" s="72">
        <v>3</v>
      </c>
      <c r="AC65" s="72">
        <v>14</v>
      </c>
      <c r="AD65" s="72">
        <v>6.5</v>
      </c>
      <c r="AE65" s="72">
        <v>18</v>
      </c>
      <c r="AF65" s="72">
        <v>20</v>
      </c>
      <c r="AG65" s="72">
        <f t="shared" si="14"/>
        <v>18.733333333333331</v>
      </c>
      <c r="AH65" s="72">
        <v>20</v>
      </c>
      <c r="AI65" s="202">
        <f t="shared" si="15"/>
        <v>13.5</v>
      </c>
      <c r="AJ65" s="203">
        <f t="shared" si="16"/>
        <v>16.568333333333332</v>
      </c>
    </row>
    <row r="66" spans="1:36" ht="24" thickTop="1" thickBot="1">
      <c r="A66" s="32">
        <v>3</v>
      </c>
      <c r="B66" s="268" t="s">
        <v>429</v>
      </c>
      <c r="C66" s="268"/>
      <c r="D66" s="268" t="s">
        <v>430</v>
      </c>
      <c r="E66" s="268"/>
      <c r="F66" s="268"/>
      <c r="G66" s="268"/>
      <c r="H66" s="82" t="s">
        <v>275</v>
      </c>
      <c r="I66" s="83" t="s">
        <v>108</v>
      </c>
      <c r="J66" s="72">
        <v>7</v>
      </c>
      <c r="K66" s="72">
        <v>6</v>
      </c>
      <c r="L66" s="72">
        <v>4</v>
      </c>
      <c r="M66" s="72">
        <v>20</v>
      </c>
      <c r="N66" s="162">
        <v>13</v>
      </c>
      <c r="O66" s="121">
        <f t="shared" si="12"/>
        <v>14.272619047619047</v>
      </c>
      <c r="P66" s="72">
        <v>16</v>
      </c>
      <c r="Q66" s="72">
        <v>17</v>
      </c>
      <c r="R66" s="72">
        <v>18</v>
      </c>
      <c r="S66" s="72">
        <v>20</v>
      </c>
      <c r="T66" s="72"/>
      <c r="U66" s="72"/>
      <c r="V66" s="72"/>
      <c r="W66" s="72">
        <v>12</v>
      </c>
      <c r="X66" s="72">
        <f t="shared" si="17"/>
        <v>16.600000000000001</v>
      </c>
      <c r="Y66" s="72">
        <v>20</v>
      </c>
      <c r="Z66" s="162">
        <v>9</v>
      </c>
      <c r="AA66" s="149">
        <f t="shared" si="13"/>
        <v>13.690000000000001</v>
      </c>
      <c r="AB66" s="72">
        <v>3</v>
      </c>
      <c r="AC66" s="72">
        <v>14</v>
      </c>
      <c r="AD66" s="72">
        <v>6</v>
      </c>
      <c r="AE66" s="72">
        <v>18</v>
      </c>
      <c r="AF66" s="72">
        <v>20</v>
      </c>
      <c r="AG66" s="72">
        <f t="shared" si="14"/>
        <v>18.399999999999999</v>
      </c>
      <c r="AH66" s="72">
        <v>20</v>
      </c>
      <c r="AI66" s="202">
        <f t="shared" si="15"/>
        <v>11</v>
      </c>
      <c r="AJ66" s="203">
        <f t="shared" si="16"/>
        <v>15.309999999999999</v>
      </c>
    </row>
    <row r="67" spans="1:36" ht="24" thickTop="1" thickBot="1">
      <c r="A67" s="32">
        <v>4</v>
      </c>
      <c r="B67" s="268" t="s">
        <v>520</v>
      </c>
      <c r="C67" s="268"/>
      <c r="D67" s="268" t="s">
        <v>414</v>
      </c>
      <c r="E67" s="268"/>
      <c r="F67" s="268"/>
      <c r="G67" s="268"/>
      <c r="H67" s="82" t="s">
        <v>239</v>
      </c>
      <c r="I67" s="83" t="s">
        <v>107</v>
      </c>
      <c r="J67" s="72">
        <v>5</v>
      </c>
      <c r="K67" s="72">
        <v>1.5</v>
      </c>
      <c r="L67" s="72">
        <v>4.5</v>
      </c>
      <c r="M67" s="72">
        <v>20</v>
      </c>
      <c r="N67" s="162">
        <v>12</v>
      </c>
      <c r="O67" s="121">
        <f t="shared" si="12"/>
        <v>11.945238095238095</v>
      </c>
      <c r="P67" s="72">
        <v>14</v>
      </c>
      <c r="Q67" s="72">
        <v>13</v>
      </c>
      <c r="R67" s="72">
        <v>14</v>
      </c>
      <c r="S67" s="72">
        <v>18</v>
      </c>
      <c r="T67" s="72"/>
      <c r="U67" s="72"/>
      <c r="V67" s="72"/>
      <c r="W67" s="72">
        <v>14</v>
      </c>
      <c r="X67" s="72">
        <f t="shared" si="17"/>
        <v>14.6</v>
      </c>
      <c r="Y67" s="72">
        <v>20</v>
      </c>
      <c r="Z67" s="162">
        <v>11</v>
      </c>
      <c r="AA67" s="149">
        <f t="shared" si="13"/>
        <v>13.79</v>
      </c>
      <c r="AB67" s="72">
        <v>1</v>
      </c>
      <c r="AC67" s="72">
        <v>10</v>
      </c>
      <c r="AD67" s="72">
        <v>6</v>
      </c>
      <c r="AE67" s="72">
        <v>17</v>
      </c>
      <c r="AF67" s="72">
        <v>20</v>
      </c>
      <c r="AG67" s="72">
        <f t="shared" si="14"/>
        <v>14.733333333333334</v>
      </c>
      <c r="AH67" s="72">
        <v>20</v>
      </c>
      <c r="AI67" s="202">
        <f t="shared" si="15"/>
        <v>11.5</v>
      </c>
      <c r="AJ67" s="203">
        <f t="shared" si="16"/>
        <v>14.068333333333335</v>
      </c>
    </row>
    <row r="68" spans="1:36" ht="23" thickBot="1">
      <c r="A68" s="32">
        <v>5</v>
      </c>
      <c r="B68" s="268" t="s">
        <v>522</v>
      </c>
      <c r="C68" s="268"/>
      <c r="D68" s="268" t="s">
        <v>191</v>
      </c>
      <c r="E68" s="268"/>
      <c r="F68" s="268"/>
      <c r="G68" s="268"/>
      <c r="H68" s="82" t="s">
        <v>239</v>
      </c>
      <c r="I68" s="83" t="s">
        <v>272</v>
      </c>
      <c r="J68" s="72">
        <v>7</v>
      </c>
      <c r="K68" s="72">
        <v>1.5</v>
      </c>
      <c r="L68" s="72">
        <v>4</v>
      </c>
      <c r="M68" s="72">
        <v>20</v>
      </c>
      <c r="N68" s="162">
        <v>10</v>
      </c>
      <c r="O68" s="121">
        <f t="shared" si="12"/>
        <v>11.176190476190476</v>
      </c>
      <c r="P68" s="72">
        <v>12</v>
      </c>
      <c r="Q68" s="72">
        <v>11</v>
      </c>
      <c r="R68" s="72">
        <v>16</v>
      </c>
      <c r="S68" s="72">
        <v>19</v>
      </c>
      <c r="T68" s="72"/>
      <c r="U68" s="72"/>
      <c r="V68" s="72"/>
      <c r="W68" s="72">
        <v>15</v>
      </c>
      <c r="X68" s="72">
        <f t="shared" si="17"/>
        <v>14.6</v>
      </c>
      <c r="Y68" s="72">
        <v>20</v>
      </c>
      <c r="Z68" s="162">
        <v>10</v>
      </c>
      <c r="AA68" s="149">
        <f t="shared" si="13"/>
        <v>13.34</v>
      </c>
      <c r="AB68" s="72">
        <v>1</v>
      </c>
      <c r="AC68" s="72">
        <v>14</v>
      </c>
      <c r="AD68" s="72">
        <v>5</v>
      </c>
      <c r="AE68" s="72">
        <v>18</v>
      </c>
      <c r="AF68" s="72"/>
      <c r="AG68" s="72">
        <f t="shared" si="14"/>
        <v>11.066666666666666</v>
      </c>
      <c r="AH68" s="72">
        <f>24/26*20</f>
        <v>18.461538461538463</v>
      </c>
      <c r="AI68" s="202">
        <f t="shared" si="15"/>
        <v>10</v>
      </c>
      <c r="AJ68" s="203">
        <f t="shared" si="16"/>
        <v>11.695897435897436</v>
      </c>
    </row>
    <row r="69" spans="1:36" ht="24" thickTop="1" thickBot="1">
      <c r="A69" s="32">
        <v>6</v>
      </c>
      <c r="B69" s="268" t="s">
        <v>105</v>
      </c>
      <c r="C69" s="268"/>
      <c r="D69" s="268" t="s">
        <v>318</v>
      </c>
      <c r="E69" s="268"/>
      <c r="F69" s="268"/>
      <c r="G69" s="268"/>
      <c r="H69" s="82" t="s">
        <v>435</v>
      </c>
      <c r="I69" s="83" t="s">
        <v>109</v>
      </c>
      <c r="J69" s="72">
        <v>8</v>
      </c>
      <c r="K69" s="72">
        <v>7</v>
      </c>
      <c r="L69" s="72">
        <v>4</v>
      </c>
      <c r="M69" s="72">
        <v>20</v>
      </c>
      <c r="N69" s="162">
        <v>11</v>
      </c>
      <c r="O69" s="121">
        <f t="shared" si="12"/>
        <v>14.299603174603176</v>
      </c>
      <c r="P69" s="72"/>
      <c r="Q69" s="72">
        <v>15</v>
      </c>
      <c r="R69" s="72">
        <v>18</v>
      </c>
      <c r="S69" s="72">
        <v>20</v>
      </c>
      <c r="T69" s="72"/>
      <c r="U69" s="72"/>
      <c r="V69" s="72"/>
      <c r="W69" s="72">
        <v>14</v>
      </c>
      <c r="X69" s="72">
        <f t="shared" si="17"/>
        <v>13.4</v>
      </c>
      <c r="Y69" s="72">
        <v>15</v>
      </c>
      <c r="Z69" s="162">
        <v>11</v>
      </c>
      <c r="AA69" s="149">
        <f t="shared" si="13"/>
        <v>12.56</v>
      </c>
      <c r="AB69" s="72">
        <v>2</v>
      </c>
      <c r="AC69" s="72">
        <v>14</v>
      </c>
      <c r="AD69" s="72"/>
      <c r="AE69" s="72">
        <v>17</v>
      </c>
      <c r="AF69" s="72">
        <v>12</v>
      </c>
      <c r="AG69" s="72">
        <f t="shared" si="14"/>
        <v>11.266666666666666</v>
      </c>
      <c r="AH69" s="72">
        <f>16/26*20</f>
        <v>12.307692307692308</v>
      </c>
      <c r="AI69" s="202">
        <f t="shared" si="15"/>
        <v>11</v>
      </c>
      <c r="AJ69" s="203">
        <f t="shared" si="16"/>
        <v>11.302820512820514</v>
      </c>
    </row>
    <row r="70" spans="1:36" ht="24" thickTop="1" thickBot="1">
      <c r="A70" s="32">
        <v>7</v>
      </c>
      <c r="B70" s="268" t="s">
        <v>523</v>
      </c>
      <c r="C70" s="268"/>
      <c r="D70" s="268" t="s">
        <v>192</v>
      </c>
      <c r="E70" s="268"/>
      <c r="F70" s="268"/>
      <c r="G70" s="268"/>
      <c r="H70" s="82" t="s">
        <v>239</v>
      </c>
      <c r="I70" s="83" t="s">
        <v>270</v>
      </c>
      <c r="J70" s="72">
        <v>10</v>
      </c>
      <c r="K70" s="72">
        <v>7</v>
      </c>
      <c r="L70" s="72">
        <v>4.5</v>
      </c>
      <c r="M70" s="72">
        <v>20</v>
      </c>
      <c r="N70" s="162">
        <v>9</v>
      </c>
      <c r="O70" s="121">
        <f t="shared" si="12"/>
        <v>13.840873015873017</v>
      </c>
      <c r="P70" s="72">
        <v>15</v>
      </c>
      <c r="Q70" s="72">
        <v>13</v>
      </c>
      <c r="R70" s="72">
        <v>15</v>
      </c>
      <c r="S70" s="72">
        <v>18</v>
      </c>
      <c r="T70" s="72"/>
      <c r="U70" s="72"/>
      <c r="V70" s="72"/>
      <c r="W70" s="72">
        <v>14</v>
      </c>
      <c r="X70" s="72">
        <f t="shared" si="17"/>
        <v>15</v>
      </c>
      <c r="Y70" s="72">
        <v>20</v>
      </c>
      <c r="Z70" s="162">
        <v>10</v>
      </c>
      <c r="AA70" s="149">
        <f t="shared" si="13"/>
        <v>13.5</v>
      </c>
      <c r="AB70" s="72">
        <v>3</v>
      </c>
      <c r="AC70" s="72">
        <v>14</v>
      </c>
      <c r="AD70" s="72">
        <v>5</v>
      </c>
      <c r="AE70" s="72">
        <v>18</v>
      </c>
      <c r="AF70" s="72">
        <v>20</v>
      </c>
      <c r="AG70" s="72">
        <f t="shared" si="14"/>
        <v>17.733333333333334</v>
      </c>
      <c r="AH70" s="72">
        <v>20</v>
      </c>
      <c r="AI70" s="202">
        <f t="shared" si="15"/>
        <v>9.5</v>
      </c>
      <c r="AJ70" s="203">
        <f t="shared" si="16"/>
        <v>14.368333333333334</v>
      </c>
    </row>
    <row r="71" spans="1:36" ht="24" thickTop="1" thickBot="1">
      <c r="A71" s="32">
        <v>8</v>
      </c>
      <c r="B71" s="268" t="s">
        <v>526</v>
      </c>
      <c r="C71" s="268"/>
      <c r="D71" s="268" t="s">
        <v>195</v>
      </c>
      <c r="E71" s="268"/>
      <c r="F71" s="268"/>
      <c r="G71" s="268"/>
      <c r="H71" s="82" t="s">
        <v>459</v>
      </c>
      <c r="I71" s="83" t="s">
        <v>270</v>
      </c>
      <c r="J71" s="72">
        <v>10</v>
      </c>
      <c r="K71" s="72">
        <v>1.5</v>
      </c>
      <c r="L71" s="72">
        <v>4.5</v>
      </c>
      <c r="M71" s="72">
        <v>20</v>
      </c>
      <c r="N71" s="162">
        <v>11</v>
      </c>
      <c r="O71" s="121">
        <f t="shared" si="12"/>
        <v>12.464682539682538</v>
      </c>
      <c r="P71" s="72">
        <v>18</v>
      </c>
      <c r="Q71" s="72">
        <v>13</v>
      </c>
      <c r="R71" s="72">
        <v>16</v>
      </c>
      <c r="S71" s="72">
        <v>18</v>
      </c>
      <c r="T71" s="72"/>
      <c r="U71" s="72"/>
      <c r="V71" s="72"/>
      <c r="W71" s="72">
        <v>11</v>
      </c>
      <c r="X71" s="72">
        <f t="shared" si="17"/>
        <v>15.2</v>
      </c>
      <c r="Y71" s="72">
        <v>17</v>
      </c>
      <c r="Z71" s="162">
        <v>17</v>
      </c>
      <c r="AA71" s="149">
        <f t="shared" si="13"/>
        <v>16.28</v>
      </c>
      <c r="AB71" s="72">
        <v>3</v>
      </c>
      <c r="AC71" s="72">
        <v>15</v>
      </c>
      <c r="AD71" s="72">
        <v>6</v>
      </c>
      <c r="AE71" s="72">
        <v>18</v>
      </c>
      <c r="AF71" s="72">
        <v>20</v>
      </c>
      <c r="AG71" s="72">
        <f t="shared" si="14"/>
        <v>18.600000000000001</v>
      </c>
      <c r="AH71" s="72">
        <v>18.5</v>
      </c>
      <c r="AI71" s="202">
        <f t="shared" si="15"/>
        <v>14</v>
      </c>
      <c r="AJ71" s="203">
        <f t="shared" si="16"/>
        <v>16.515000000000001</v>
      </c>
    </row>
    <row r="72" spans="1:36" ht="24" thickTop="1" thickBot="1">
      <c r="A72" s="32">
        <v>10</v>
      </c>
      <c r="B72" s="268" t="s">
        <v>357</v>
      </c>
      <c r="C72" s="268"/>
      <c r="D72" s="268" t="s">
        <v>395</v>
      </c>
      <c r="E72" s="268"/>
      <c r="F72" s="268"/>
      <c r="G72" s="268"/>
      <c r="H72" s="82" t="s">
        <v>239</v>
      </c>
      <c r="I72" s="83" t="s">
        <v>110</v>
      </c>
      <c r="J72" s="72">
        <v>8</v>
      </c>
      <c r="K72" s="72">
        <v>4</v>
      </c>
      <c r="L72" s="72">
        <v>4</v>
      </c>
      <c r="M72" s="72">
        <v>20</v>
      </c>
      <c r="N72" s="162">
        <v>12</v>
      </c>
      <c r="O72" s="121">
        <f t="shared" si="12"/>
        <v>13.226984126984126</v>
      </c>
      <c r="P72" s="72">
        <v>18</v>
      </c>
      <c r="Q72" s="72">
        <v>15</v>
      </c>
      <c r="R72" s="72">
        <v>14</v>
      </c>
      <c r="S72" s="72">
        <v>17</v>
      </c>
      <c r="T72" s="72"/>
      <c r="U72" s="72"/>
      <c r="V72" s="72"/>
      <c r="W72" s="72">
        <v>15</v>
      </c>
      <c r="X72" s="72">
        <f t="shared" si="17"/>
        <v>15.8</v>
      </c>
      <c r="Y72" s="72">
        <v>20</v>
      </c>
      <c r="Z72" s="162">
        <v>14</v>
      </c>
      <c r="AA72" s="149">
        <f t="shared" si="13"/>
        <v>15.620000000000001</v>
      </c>
      <c r="AB72" s="72">
        <v>2</v>
      </c>
      <c r="AC72" s="72">
        <v>14</v>
      </c>
      <c r="AD72" s="72">
        <v>6</v>
      </c>
      <c r="AE72" s="72">
        <v>18</v>
      </c>
      <c r="AF72" s="72">
        <v>15</v>
      </c>
      <c r="AG72" s="72">
        <f t="shared" si="14"/>
        <v>16.066666666666666</v>
      </c>
      <c r="AH72" s="72">
        <v>18.5</v>
      </c>
      <c r="AI72" s="202">
        <f t="shared" si="15"/>
        <v>13</v>
      </c>
      <c r="AJ72" s="203">
        <f t="shared" si="16"/>
        <v>15.051666666666666</v>
      </c>
    </row>
    <row r="73" spans="1:36" ht="24" thickTop="1" thickBot="1">
      <c r="A73" s="32">
        <v>11</v>
      </c>
      <c r="B73" s="268" t="s">
        <v>465</v>
      </c>
      <c r="C73" s="268"/>
      <c r="D73" s="268" t="s">
        <v>226</v>
      </c>
      <c r="E73" s="268"/>
      <c r="F73" s="268"/>
      <c r="G73" s="268"/>
      <c r="H73" s="82" t="s">
        <v>459</v>
      </c>
      <c r="I73" s="83" t="s">
        <v>107</v>
      </c>
      <c r="J73" s="72">
        <v>10</v>
      </c>
      <c r="K73" s="72">
        <v>5</v>
      </c>
      <c r="L73" s="72">
        <v>4.5</v>
      </c>
      <c r="M73" s="72">
        <v>20</v>
      </c>
      <c r="N73" s="162">
        <v>11</v>
      </c>
      <c r="O73" s="121">
        <f t="shared" si="12"/>
        <v>13.881349206349206</v>
      </c>
      <c r="P73" s="72">
        <v>16</v>
      </c>
      <c r="Q73" s="72">
        <v>14</v>
      </c>
      <c r="R73" s="72">
        <v>18</v>
      </c>
      <c r="S73" s="72">
        <v>20</v>
      </c>
      <c r="T73" s="72"/>
      <c r="U73" s="72"/>
      <c r="V73" s="72"/>
      <c r="W73" s="72">
        <v>15</v>
      </c>
      <c r="X73" s="72">
        <f t="shared" si="17"/>
        <v>16.600000000000001</v>
      </c>
      <c r="Y73" s="72">
        <v>20</v>
      </c>
      <c r="Z73" s="162">
        <v>12</v>
      </c>
      <c r="AA73" s="149">
        <f t="shared" si="13"/>
        <v>15.040000000000001</v>
      </c>
      <c r="AB73" s="72">
        <v>2</v>
      </c>
      <c r="AC73" s="72">
        <v>14</v>
      </c>
      <c r="AD73" s="72">
        <v>6</v>
      </c>
      <c r="AE73" s="72">
        <v>18</v>
      </c>
      <c r="AF73" s="72">
        <v>20</v>
      </c>
      <c r="AG73" s="72">
        <f t="shared" si="14"/>
        <v>17.066666666666666</v>
      </c>
      <c r="AH73" s="72">
        <v>20</v>
      </c>
      <c r="AI73" s="202">
        <f t="shared" si="15"/>
        <v>11.5</v>
      </c>
      <c r="AJ73" s="203">
        <f t="shared" si="16"/>
        <v>15.001666666666669</v>
      </c>
    </row>
    <row r="74" spans="1:36" ht="24" thickTop="1" thickBot="1">
      <c r="A74" s="32">
        <v>12</v>
      </c>
      <c r="B74" s="268" t="s">
        <v>415</v>
      </c>
      <c r="C74" s="268"/>
      <c r="D74" s="268" t="s">
        <v>142</v>
      </c>
      <c r="E74" s="268"/>
      <c r="F74" s="268"/>
      <c r="G74" s="268"/>
      <c r="H74" s="82" t="s">
        <v>239</v>
      </c>
      <c r="I74" s="83" t="s">
        <v>111</v>
      </c>
      <c r="J74" s="72">
        <v>10</v>
      </c>
      <c r="K74" s="72">
        <v>6.5</v>
      </c>
      <c r="L74" s="72">
        <v>7</v>
      </c>
      <c r="M74" s="72">
        <v>20</v>
      </c>
      <c r="N74" s="162">
        <v>11</v>
      </c>
      <c r="O74" s="121">
        <f t="shared" si="12"/>
        <v>15.783730158730158</v>
      </c>
      <c r="P74" s="72">
        <v>15</v>
      </c>
      <c r="Q74" s="72">
        <v>17</v>
      </c>
      <c r="R74" s="72">
        <v>16</v>
      </c>
      <c r="S74" s="72">
        <v>20</v>
      </c>
      <c r="T74" s="72"/>
      <c r="U74" s="72"/>
      <c r="V74" s="72"/>
      <c r="W74" s="72">
        <v>20</v>
      </c>
      <c r="X74" s="72">
        <f t="shared" si="17"/>
        <v>17.600000000000001</v>
      </c>
      <c r="Y74" s="72">
        <v>17</v>
      </c>
      <c r="Z74" s="162">
        <v>11</v>
      </c>
      <c r="AA74" s="149">
        <f t="shared" si="13"/>
        <v>14.54</v>
      </c>
      <c r="AB74" s="72">
        <v>3</v>
      </c>
      <c r="AC74" s="72">
        <v>14</v>
      </c>
      <c r="AD74" s="72">
        <v>6</v>
      </c>
      <c r="AE74" s="72">
        <v>18</v>
      </c>
      <c r="AF74" s="72">
        <v>15</v>
      </c>
      <c r="AG74" s="72">
        <f t="shared" si="14"/>
        <v>17.399999999999999</v>
      </c>
      <c r="AH74" s="72">
        <v>18.5</v>
      </c>
      <c r="AI74" s="202">
        <f t="shared" si="15"/>
        <v>11</v>
      </c>
      <c r="AJ74" s="203">
        <f t="shared" si="16"/>
        <v>14.684999999999999</v>
      </c>
    </row>
    <row r="75" spans="1:36" ht="24" thickTop="1" thickBot="1">
      <c r="A75" s="32">
        <v>13</v>
      </c>
      <c r="B75" s="268" t="s">
        <v>470</v>
      </c>
      <c r="C75" s="268"/>
      <c r="D75" s="268" t="s">
        <v>28</v>
      </c>
      <c r="E75" s="268"/>
      <c r="F75" s="268"/>
      <c r="G75" s="268"/>
      <c r="H75" s="82" t="s">
        <v>239</v>
      </c>
      <c r="I75" s="83" t="s">
        <v>111</v>
      </c>
      <c r="J75" s="72">
        <v>8</v>
      </c>
      <c r="K75" s="72">
        <v>5</v>
      </c>
      <c r="L75" s="72">
        <v>5</v>
      </c>
      <c r="M75" s="72">
        <v>20</v>
      </c>
      <c r="N75" s="162">
        <v>13</v>
      </c>
      <c r="O75" s="121">
        <f t="shared" si="12"/>
        <v>14.839285714285715</v>
      </c>
      <c r="P75" s="72">
        <v>14</v>
      </c>
      <c r="Q75" s="72">
        <v>14</v>
      </c>
      <c r="R75" s="72">
        <v>18</v>
      </c>
      <c r="S75" s="72">
        <v>20</v>
      </c>
      <c r="T75" s="72"/>
      <c r="U75" s="72"/>
      <c r="V75" s="72"/>
      <c r="W75" s="72">
        <v>15</v>
      </c>
      <c r="X75" s="72">
        <f t="shared" si="17"/>
        <v>16.2</v>
      </c>
      <c r="Y75" s="72">
        <v>20</v>
      </c>
      <c r="Z75" s="162">
        <v>12</v>
      </c>
      <c r="AA75" s="149">
        <f t="shared" si="13"/>
        <v>14.88</v>
      </c>
      <c r="AB75" s="72">
        <v>2</v>
      </c>
      <c r="AC75" s="72">
        <v>14</v>
      </c>
      <c r="AD75" s="72">
        <v>6</v>
      </c>
      <c r="AE75" s="72">
        <v>18</v>
      </c>
      <c r="AF75" s="72">
        <v>20</v>
      </c>
      <c r="AG75" s="72">
        <f t="shared" si="14"/>
        <v>17.066666666666666</v>
      </c>
      <c r="AH75" s="72">
        <v>20</v>
      </c>
      <c r="AI75" s="202">
        <f t="shared" si="15"/>
        <v>12.5</v>
      </c>
      <c r="AJ75" s="203">
        <f t="shared" si="16"/>
        <v>15.451666666666668</v>
      </c>
    </row>
    <row r="76" spans="1:36" ht="24" thickTop="1" thickBot="1">
      <c r="A76" s="32">
        <v>14</v>
      </c>
      <c r="B76" s="268" t="s">
        <v>474</v>
      </c>
      <c r="C76" s="268"/>
      <c r="D76" s="268" t="s">
        <v>379</v>
      </c>
      <c r="E76" s="268"/>
      <c r="F76" s="268"/>
      <c r="G76" s="268"/>
      <c r="H76" s="82" t="s">
        <v>239</v>
      </c>
      <c r="I76" s="83" t="s">
        <v>0</v>
      </c>
      <c r="J76" s="72">
        <v>8</v>
      </c>
      <c r="K76" s="72">
        <v>4</v>
      </c>
      <c r="L76" s="72">
        <v>4</v>
      </c>
      <c r="M76" s="72">
        <v>20</v>
      </c>
      <c r="N76" s="162">
        <v>11</v>
      </c>
      <c r="O76" s="121">
        <f t="shared" si="12"/>
        <v>12.801984126984127</v>
      </c>
      <c r="P76" s="72">
        <v>16</v>
      </c>
      <c r="Q76" s="72">
        <v>15</v>
      </c>
      <c r="R76" s="72">
        <v>15</v>
      </c>
      <c r="S76" s="72">
        <v>17</v>
      </c>
      <c r="T76" s="72"/>
      <c r="U76" s="72"/>
      <c r="V76" s="72"/>
      <c r="W76" s="72">
        <v>12</v>
      </c>
      <c r="X76" s="72">
        <f t="shared" si="17"/>
        <v>15</v>
      </c>
      <c r="Y76" s="72">
        <v>20</v>
      </c>
      <c r="Z76" s="162">
        <v>16</v>
      </c>
      <c r="AA76" s="149">
        <f t="shared" si="13"/>
        <v>16.2</v>
      </c>
      <c r="AB76" s="72">
        <v>3</v>
      </c>
      <c r="AC76" s="72">
        <v>14</v>
      </c>
      <c r="AD76" s="72">
        <v>6</v>
      </c>
      <c r="AE76" s="72">
        <v>18</v>
      </c>
      <c r="AF76" s="72">
        <v>20</v>
      </c>
      <c r="AG76" s="72">
        <f t="shared" si="14"/>
        <v>18.399999999999999</v>
      </c>
      <c r="AH76" s="72">
        <v>20</v>
      </c>
      <c r="AI76" s="202">
        <f t="shared" si="15"/>
        <v>13.5</v>
      </c>
      <c r="AJ76" s="203">
        <f t="shared" si="16"/>
        <v>16.434999999999999</v>
      </c>
    </row>
    <row r="77" spans="1:36" ht="24" thickTop="1" thickBot="1">
      <c r="A77" s="32">
        <v>15</v>
      </c>
      <c r="B77" s="268" t="s">
        <v>39</v>
      </c>
      <c r="C77" s="268"/>
      <c r="D77" s="268" t="s">
        <v>396</v>
      </c>
      <c r="E77" s="268"/>
      <c r="F77" s="268"/>
      <c r="G77" s="268"/>
      <c r="H77" s="82" t="s">
        <v>239</v>
      </c>
      <c r="I77" s="83" t="s">
        <v>112</v>
      </c>
      <c r="J77" s="72">
        <v>6</v>
      </c>
      <c r="K77" s="72">
        <v>5</v>
      </c>
      <c r="L77" s="72">
        <v>4</v>
      </c>
      <c r="M77" s="72">
        <v>20</v>
      </c>
      <c r="N77" s="162">
        <v>12</v>
      </c>
      <c r="O77" s="121">
        <f t="shared" si="12"/>
        <v>13.442857142857141</v>
      </c>
      <c r="P77" s="72">
        <v>13</v>
      </c>
      <c r="Q77" s="72">
        <v>17</v>
      </c>
      <c r="R77" s="72">
        <v>18</v>
      </c>
      <c r="S77" s="72">
        <v>20</v>
      </c>
      <c r="T77" s="72"/>
      <c r="U77" s="72"/>
      <c r="V77" s="72">
        <v>5</v>
      </c>
      <c r="W77" s="72">
        <v>20</v>
      </c>
      <c r="X77" s="72">
        <f t="shared" si="17"/>
        <v>17.600000000000001</v>
      </c>
      <c r="Y77" s="72">
        <v>20</v>
      </c>
      <c r="Z77" s="162">
        <v>9</v>
      </c>
      <c r="AA77" s="149">
        <f t="shared" si="13"/>
        <v>14.09</v>
      </c>
      <c r="AB77" s="72">
        <v>0.5</v>
      </c>
      <c r="AC77" s="72">
        <v>14</v>
      </c>
      <c r="AD77" s="72"/>
      <c r="AE77" s="72">
        <v>17</v>
      </c>
      <c r="AF77" s="72">
        <v>20</v>
      </c>
      <c r="AG77" s="72">
        <f t="shared" si="14"/>
        <v>10.866666666666667</v>
      </c>
      <c r="AH77" s="72">
        <f>22/26*20</f>
        <v>16.923076923076923</v>
      </c>
      <c r="AI77" s="202">
        <f t="shared" si="15"/>
        <v>10.5</v>
      </c>
      <c r="AJ77" s="203">
        <f t="shared" si="16"/>
        <v>11.610128205128206</v>
      </c>
    </row>
    <row r="78" spans="1:36" ht="24" thickTop="1" thickBot="1">
      <c r="A78" s="32">
        <v>16</v>
      </c>
      <c r="B78" s="268" t="s">
        <v>42</v>
      </c>
      <c r="C78" s="268"/>
      <c r="D78" s="268" t="s">
        <v>149</v>
      </c>
      <c r="E78" s="268"/>
      <c r="F78" s="268"/>
      <c r="G78" s="268"/>
      <c r="H78" s="82" t="s">
        <v>275</v>
      </c>
      <c r="I78" s="83" t="s">
        <v>272</v>
      </c>
      <c r="J78" s="72">
        <v>6</v>
      </c>
      <c r="K78" s="72">
        <v>5</v>
      </c>
      <c r="L78" s="72">
        <v>4</v>
      </c>
      <c r="M78" s="72">
        <v>20</v>
      </c>
      <c r="N78" s="162">
        <v>13</v>
      </c>
      <c r="O78" s="121">
        <f t="shared" si="12"/>
        <v>13.678968253968254</v>
      </c>
      <c r="P78" s="72">
        <v>15</v>
      </c>
      <c r="Q78" s="72">
        <v>16</v>
      </c>
      <c r="R78" s="72">
        <v>15</v>
      </c>
      <c r="S78" s="72">
        <v>18</v>
      </c>
      <c r="T78" s="72"/>
      <c r="U78" s="72"/>
      <c r="V78" s="72"/>
      <c r="W78" s="72">
        <v>13</v>
      </c>
      <c r="X78" s="72">
        <f t="shared" si="17"/>
        <v>15.4</v>
      </c>
      <c r="Y78" s="72">
        <v>20</v>
      </c>
      <c r="Z78" s="162">
        <v>12</v>
      </c>
      <c r="AA78" s="149">
        <f t="shared" si="13"/>
        <v>14.56</v>
      </c>
      <c r="AB78" s="72">
        <v>3</v>
      </c>
      <c r="AC78" s="72">
        <v>14</v>
      </c>
      <c r="AD78" s="72">
        <v>5</v>
      </c>
      <c r="AE78" s="72">
        <v>17</v>
      </c>
      <c r="AF78" s="72">
        <v>13</v>
      </c>
      <c r="AG78" s="72">
        <f t="shared" si="14"/>
        <v>16.133333333333333</v>
      </c>
      <c r="AH78" s="72">
        <v>20</v>
      </c>
      <c r="AI78" s="202">
        <f t="shared" si="15"/>
        <v>12.5</v>
      </c>
      <c r="AJ78" s="203">
        <f t="shared" si="16"/>
        <v>15.078333333333333</v>
      </c>
    </row>
    <row r="79" spans="1:36" ht="24" thickTop="1" thickBot="1">
      <c r="A79" s="32">
        <v>17</v>
      </c>
      <c r="B79" s="268" t="s">
        <v>476</v>
      </c>
      <c r="C79" s="268"/>
      <c r="D79" s="268" t="s">
        <v>442</v>
      </c>
      <c r="E79" s="268"/>
      <c r="F79" s="268"/>
      <c r="G79" s="268"/>
      <c r="H79" s="82" t="s">
        <v>275</v>
      </c>
      <c r="I79" s="83"/>
      <c r="J79" s="72"/>
      <c r="K79" s="72">
        <v>3</v>
      </c>
      <c r="L79" s="72">
        <v>2.5</v>
      </c>
      <c r="M79" s="72">
        <v>10</v>
      </c>
      <c r="N79" s="162">
        <v>13</v>
      </c>
      <c r="O79" s="121">
        <f t="shared" si="12"/>
        <v>9.2511904761904766</v>
      </c>
      <c r="P79" s="72"/>
      <c r="Q79" s="72"/>
      <c r="R79" s="72"/>
      <c r="S79" s="72">
        <v>0</v>
      </c>
      <c r="T79" s="72"/>
      <c r="U79" s="72"/>
      <c r="V79" s="72"/>
      <c r="W79" s="72"/>
      <c r="X79" s="72">
        <f t="shared" si="17"/>
        <v>0</v>
      </c>
      <c r="Y79" s="72">
        <v>5</v>
      </c>
      <c r="Z79" s="162"/>
      <c r="AA79" s="149">
        <f t="shared" si="13"/>
        <v>0.75</v>
      </c>
      <c r="AB79" s="72"/>
      <c r="AC79" s="72"/>
      <c r="AD79" s="72"/>
      <c r="AE79" s="72"/>
      <c r="AF79" s="72"/>
      <c r="AG79" s="72">
        <f t="shared" si="14"/>
        <v>0</v>
      </c>
      <c r="AH79" s="72">
        <f>4/26*20</f>
        <v>3.0769230769230771</v>
      </c>
      <c r="AI79" s="202">
        <f t="shared" si="15"/>
        <v>6.5</v>
      </c>
      <c r="AJ79" s="203">
        <f t="shared" si="16"/>
        <v>3.3865384615384619</v>
      </c>
    </row>
    <row r="80" spans="1:36" ht="24" thickTop="1" thickBot="1">
      <c r="A80" s="32">
        <v>18</v>
      </c>
      <c r="B80" s="268" t="s">
        <v>478</v>
      </c>
      <c r="C80" s="268"/>
      <c r="D80" s="268" t="s">
        <v>444</v>
      </c>
      <c r="E80" s="268"/>
      <c r="F80" s="268"/>
      <c r="G80" s="268"/>
      <c r="H80" s="82" t="s">
        <v>239</v>
      </c>
      <c r="I80" s="83" t="s">
        <v>6</v>
      </c>
      <c r="J80" s="72">
        <v>3</v>
      </c>
      <c r="K80" s="72">
        <v>2.5</v>
      </c>
      <c r="L80" s="72">
        <v>4.5</v>
      </c>
      <c r="M80" s="72">
        <v>20</v>
      </c>
      <c r="N80" s="162">
        <v>11</v>
      </c>
      <c r="O80" s="121">
        <f t="shared" si="12"/>
        <v>11.452777777777778</v>
      </c>
      <c r="P80" s="72">
        <v>15</v>
      </c>
      <c r="Q80" s="72">
        <v>11</v>
      </c>
      <c r="R80" s="72">
        <v>18</v>
      </c>
      <c r="S80" s="72">
        <v>20</v>
      </c>
      <c r="T80" s="72"/>
      <c r="U80" s="72"/>
      <c r="V80" s="72"/>
      <c r="W80" s="72">
        <v>13</v>
      </c>
      <c r="X80" s="72">
        <f t="shared" si="17"/>
        <v>15.4</v>
      </c>
      <c r="Y80" s="72">
        <v>20</v>
      </c>
      <c r="Z80" s="162">
        <v>12</v>
      </c>
      <c r="AA80" s="149">
        <f t="shared" si="13"/>
        <v>14.56</v>
      </c>
      <c r="AB80" s="72">
        <v>1</v>
      </c>
      <c r="AC80" s="72">
        <v>14</v>
      </c>
      <c r="AD80" s="72">
        <v>6</v>
      </c>
      <c r="AE80" s="72">
        <v>18</v>
      </c>
      <c r="AF80" s="72">
        <v>19</v>
      </c>
      <c r="AG80" s="72">
        <f t="shared" si="14"/>
        <v>15.533333333333335</v>
      </c>
      <c r="AH80" s="72">
        <v>20</v>
      </c>
      <c r="AI80" s="202">
        <f t="shared" si="15"/>
        <v>11.5</v>
      </c>
      <c r="AJ80" s="203">
        <f t="shared" si="16"/>
        <v>14.388333333333335</v>
      </c>
    </row>
    <row r="81" spans="1:36" ht="24" thickTop="1" thickBot="1">
      <c r="A81" s="32">
        <v>19</v>
      </c>
      <c r="B81" s="268" t="s">
        <v>401</v>
      </c>
      <c r="C81" s="268"/>
      <c r="D81" s="268" t="s">
        <v>402</v>
      </c>
      <c r="E81" s="268"/>
      <c r="F81" s="268"/>
      <c r="G81" s="268"/>
      <c r="H81" s="82" t="s">
        <v>239</v>
      </c>
      <c r="I81" s="83" t="s">
        <v>109</v>
      </c>
      <c r="J81" s="72">
        <v>9</v>
      </c>
      <c r="K81" s="72">
        <v>3</v>
      </c>
      <c r="L81" s="72">
        <v>6</v>
      </c>
      <c r="M81" s="72">
        <v>20</v>
      </c>
      <c r="N81" s="162">
        <v>12</v>
      </c>
      <c r="O81" s="121">
        <f t="shared" si="12"/>
        <v>14.103968253968253</v>
      </c>
      <c r="P81" s="72">
        <v>13</v>
      </c>
      <c r="Q81" s="72">
        <v>12</v>
      </c>
      <c r="R81" s="72">
        <v>17</v>
      </c>
      <c r="S81" s="72">
        <v>18</v>
      </c>
      <c r="T81" s="72"/>
      <c r="U81" s="72"/>
      <c r="V81" s="72"/>
      <c r="W81" s="72">
        <v>14</v>
      </c>
      <c r="X81" s="72">
        <f t="shared" si="17"/>
        <v>14.8</v>
      </c>
      <c r="Y81" s="72">
        <v>20</v>
      </c>
      <c r="Z81" s="162">
        <v>12</v>
      </c>
      <c r="AA81" s="149">
        <f t="shared" si="13"/>
        <v>14.320000000000002</v>
      </c>
      <c r="AB81" s="72">
        <v>3</v>
      </c>
      <c r="AC81" s="72">
        <v>14</v>
      </c>
      <c r="AD81" s="72">
        <v>6</v>
      </c>
      <c r="AE81" s="72">
        <v>18</v>
      </c>
      <c r="AF81" s="72">
        <v>20</v>
      </c>
      <c r="AG81" s="72">
        <f t="shared" si="14"/>
        <v>18.399999999999999</v>
      </c>
      <c r="AH81" s="72">
        <v>20</v>
      </c>
      <c r="AI81" s="202">
        <f t="shared" si="15"/>
        <v>12</v>
      </c>
      <c r="AJ81" s="203">
        <f t="shared" si="16"/>
        <v>15.76</v>
      </c>
    </row>
    <row r="82" spans="1:36" ht="24" thickTop="1" thickBot="1">
      <c r="A82" s="32">
        <v>20</v>
      </c>
      <c r="B82" s="268" t="s">
        <v>482</v>
      </c>
      <c r="C82" s="268"/>
      <c r="D82" s="268" t="s">
        <v>389</v>
      </c>
      <c r="E82" s="268"/>
      <c r="F82" s="268"/>
      <c r="G82" s="268"/>
      <c r="H82" s="82" t="s">
        <v>239</v>
      </c>
      <c r="I82" s="83" t="s">
        <v>109</v>
      </c>
      <c r="J82" s="72">
        <v>7</v>
      </c>
      <c r="K82" s="72">
        <v>4</v>
      </c>
      <c r="L82" s="72">
        <v>4.5</v>
      </c>
      <c r="M82" s="72">
        <v>20</v>
      </c>
      <c r="N82" s="162">
        <v>12</v>
      </c>
      <c r="O82" s="121">
        <f t="shared" si="12"/>
        <v>13.523809523809524</v>
      </c>
      <c r="P82" s="72">
        <v>11</v>
      </c>
      <c r="Q82" s="72">
        <v>13</v>
      </c>
      <c r="R82" s="72">
        <v>15</v>
      </c>
      <c r="S82" s="72"/>
      <c r="T82" s="72"/>
      <c r="U82" s="72"/>
      <c r="V82" s="72"/>
      <c r="W82" s="72">
        <v>11</v>
      </c>
      <c r="X82" s="72">
        <f t="shared" si="17"/>
        <v>10</v>
      </c>
      <c r="Y82" s="72">
        <v>20</v>
      </c>
      <c r="Z82" s="162">
        <v>12</v>
      </c>
      <c r="AA82" s="149">
        <f t="shared" si="13"/>
        <v>12.4</v>
      </c>
      <c r="AB82" s="72">
        <v>2</v>
      </c>
      <c r="AC82" s="72">
        <v>14</v>
      </c>
      <c r="AD82" s="72">
        <v>5</v>
      </c>
      <c r="AE82" s="72"/>
      <c r="AF82" s="72">
        <v>20</v>
      </c>
      <c r="AG82" s="72">
        <f t="shared" si="14"/>
        <v>12.8</v>
      </c>
      <c r="AH82" s="72">
        <f>24/26*20</f>
        <v>18.461538461538463</v>
      </c>
      <c r="AI82" s="202">
        <f t="shared" si="15"/>
        <v>12</v>
      </c>
      <c r="AJ82" s="203">
        <f t="shared" si="16"/>
        <v>13.289230769230771</v>
      </c>
    </row>
    <row r="83" spans="1:36" ht="24" thickTop="1" thickBot="1">
      <c r="A83" s="32">
        <v>21</v>
      </c>
      <c r="B83" s="268" t="s">
        <v>483</v>
      </c>
      <c r="C83" s="268"/>
      <c r="D83" s="268" t="s">
        <v>390</v>
      </c>
      <c r="E83" s="268"/>
      <c r="F83" s="268"/>
      <c r="G83" s="268"/>
      <c r="H83" s="82" t="s">
        <v>278</v>
      </c>
      <c r="I83" s="83" t="s">
        <v>87</v>
      </c>
      <c r="J83" s="72">
        <v>9</v>
      </c>
      <c r="K83" s="72">
        <v>7</v>
      </c>
      <c r="L83" s="72">
        <v>4.5</v>
      </c>
      <c r="M83" s="72">
        <v>20</v>
      </c>
      <c r="N83" s="162">
        <v>17</v>
      </c>
      <c r="O83" s="121">
        <f t="shared" si="12"/>
        <v>17.524206349206352</v>
      </c>
      <c r="P83" s="72">
        <v>18</v>
      </c>
      <c r="Q83" s="72">
        <v>15</v>
      </c>
      <c r="R83" s="72">
        <v>18</v>
      </c>
      <c r="S83" s="72">
        <v>20</v>
      </c>
      <c r="T83" s="72"/>
      <c r="U83" s="72"/>
      <c r="V83" s="72"/>
      <c r="W83" s="72">
        <v>14</v>
      </c>
      <c r="X83" s="72">
        <f t="shared" si="17"/>
        <v>17</v>
      </c>
      <c r="Y83" s="72">
        <v>20</v>
      </c>
      <c r="Z83" s="162">
        <v>13</v>
      </c>
      <c r="AA83" s="149">
        <f t="shared" si="13"/>
        <v>15.650000000000002</v>
      </c>
      <c r="AB83" s="72">
        <v>3</v>
      </c>
      <c r="AC83" s="72">
        <v>14</v>
      </c>
      <c r="AD83" s="72">
        <v>6</v>
      </c>
      <c r="AE83" s="72">
        <v>17</v>
      </c>
      <c r="AF83" s="72">
        <v>20</v>
      </c>
      <c r="AG83" s="72">
        <f t="shared" si="14"/>
        <v>18.2</v>
      </c>
      <c r="AH83" s="72">
        <v>18.5</v>
      </c>
      <c r="AI83" s="202">
        <f t="shared" si="15"/>
        <v>15</v>
      </c>
      <c r="AJ83" s="203">
        <f t="shared" si="16"/>
        <v>16.805</v>
      </c>
    </row>
    <row r="84" spans="1:36" ht="23" thickBot="1">
      <c r="A84" s="32">
        <v>9</v>
      </c>
      <c r="B84" s="268" t="s">
        <v>527</v>
      </c>
      <c r="C84" s="268"/>
      <c r="D84" s="268" t="s">
        <v>196</v>
      </c>
      <c r="E84" s="268"/>
      <c r="F84" s="268"/>
      <c r="G84" s="268"/>
      <c r="H84" s="82" t="s">
        <v>438</v>
      </c>
      <c r="I84" s="83"/>
      <c r="J84" s="72"/>
      <c r="K84" s="72"/>
      <c r="L84" s="72"/>
      <c r="M84" s="72"/>
      <c r="N84" s="162"/>
      <c r="O84" s="121">
        <f t="shared" si="12"/>
        <v>0</v>
      </c>
      <c r="P84" s="72">
        <v>11</v>
      </c>
      <c r="Q84" s="72"/>
      <c r="R84" s="72"/>
      <c r="S84" s="72">
        <v>0</v>
      </c>
      <c r="T84" s="72"/>
      <c r="U84" s="72"/>
      <c r="V84" s="72"/>
      <c r="W84" s="72"/>
      <c r="X84" s="72">
        <f t="shared" si="17"/>
        <v>2.2000000000000002</v>
      </c>
      <c r="Y84" s="72">
        <v>3</v>
      </c>
      <c r="Z84" s="162">
        <v>8</v>
      </c>
      <c r="AA84" s="149">
        <f t="shared" si="13"/>
        <v>4.93</v>
      </c>
      <c r="AB84" s="72"/>
      <c r="AC84" s="72"/>
      <c r="AD84" s="72"/>
      <c r="AE84" s="72"/>
      <c r="AF84" s="72"/>
      <c r="AG84" s="72">
        <f t="shared" si="14"/>
        <v>0</v>
      </c>
      <c r="AH84" s="72">
        <f>2/26*20</f>
        <v>1.5384615384615385</v>
      </c>
      <c r="AI84" s="202">
        <f t="shared" si="15"/>
        <v>4</v>
      </c>
      <c r="AJ84" s="203">
        <f t="shared" si="16"/>
        <v>2.0307692307692307</v>
      </c>
    </row>
    <row r="85" spans="1:36">
      <c r="A85" s="36"/>
      <c r="B85" s="36"/>
      <c r="C85" s="36"/>
      <c r="D85" s="36"/>
      <c r="E85" s="284"/>
      <c r="F85" s="284"/>
      <c r="G85" s="284"/>
      <c r="H85" s="284"/>
      <c r="I85" s="42"/>
      <c r="P85" s="100">
        <v>20</v>
      </c>
      <c r="Q85" s="100">
        <v>20</v>
      </c>
      <c r="R85" s="100">
        <v>20</v>
      </c>
      <c r="S85">
        <v>20</v>
      </c>
      <c r="W85">
        <v>20</v>
      </c>
      <c r="X85" s="72">
        <f>+(Q85+P85+R85+S85+W85)/5</f>
        <v>20</v>
      </c>
      <c r="Y85" s="100">
        <v>20</v>
      </c>
      <c r="Z85" s="167">
        <v>20</v>
      </c>
      <c r="AA85" s="148">
        <f>+X85*0.4+Y85*0.15+Z85*0.45</f>
        <v>20</v>
      </c>
      <c r="AI85" s="202">
        <f t="shared" si="15"/>
        <v>10</v>
      </c>
      <c r="AJ85" s="203">
        <f t="shared" si="16"/>
        <v>4.5</v>
      </c>
    </row>
    <row r="86" spans="1:36" ht="16" thickBot="1">
      <c r="A86" s="282" t="s">
        <v>269</v>
      </c>
      <c r="B86" s="282"/>
      <c r="C86" s="282"/>
      <c r="D86" s="282"/>
      <c r="E86" s="282"/>
      <c r="F86" s="282"/>
      <c r="G86" s="282"/>
      <c r="H86" s="282"/>
      <c r="I86" s="43"/>
    </row>
    <row r="87" spans="1:36" ht="16.5" customHeight="1" thickTop="1" thickBot="1">
      <c r="A87" s="283" t="s">
        <v>322</v>
      </c>
      <c r="B87" s="283"/>
      <c r="C87" s="41" t="s">
        <v>37</v>
      </c>
      <c r="D87" s="38"/>
      <c r="E87" s="285"/>
      <c r="F87" s="285"/>
      <c r="G87" s="285"/>
      <c r="H87" s="285"/>
      <c r="I87" s="69"/>
    </row>
    <row r="88" spans="1:36" ht="17" thickTop="1" thickBot="1">
      <c r="A88" s="283" t="s">
        <v>323</v>
      </c>
      <c r="B88" s="283"/>
      <c r="C88" s="294" t="s">
        <v>286</v>
      </c>
      <c r="D88" s="294"/>
      <c r="E88" s="295" t="s">
        <v>60</v>
      </c>
      <c r="F88" s="295"/>
      <c r="G88" s="37"/>
      <c r="H88" s="39" t="s">
        <v>55</v>
      </c>
      <c r="I88" s="70"/>
    </row>
    <row r="89" spans="1:36" ht="24" thickTop="1" thickBot="1">
      <c r="A89" s="283" t="s">
        <v>324</v>
      </c>
      <c r="B89" s="283"/>
      <c r="C89" s="285" t="s">
        <v>287</v>
      </c>
      <c r="D89" s="285"/>
      <c r="E89" s="285"/>
      <c r="F89" s="285"/>
      <c r="G89" s="285"/>
      <c r="H89" s="38" t="s">
        <v>56</v>
      </c>
      <c r="I89" s="92">
        <v>5</v>
      </c>
      <c r="J89" s="76">
        <v>10</v>
      </c>
      <c r="K89" s="76">
        <v>7</v>
      </c>
      <c r="L89" s="99">
        <v>7</v>
      </c>
      <c r="M89" s="72"/>
      <c r="N89" s="162"/>
      <c r="O89" s="121"/>
      <c r="P89" s="72"/>
      <c r="Q89" s="72"/>
      <c r="R89" s="72"/>
      <c r="S89" s="72"/>
      <c r="T89" s="99">
        <v>4</v>
      </c>
      <c r="U89" s="99">
        <v>7</v>
      </c>
      <c r="V89" s="99">
        <v>5</v>
      </c>
      <c r="W89" s="99"/>
      <c r="X89" s="147">
        <v>0.4</v>
      </c>
      <c r="Y89" s="147">
        <v>0.15</v>
      </c>
      <c r="Z89" s="165">
        <v>0.45</v>
      </c>
      <c r="AA89" s="149"/>
      <c r="AB89" s="72">
        <v>3</v>
      </c>
      <c r="AC89" s="72"/>
      <c r="AD89" s="72">
        <v>6</v>
      </c>
      <c r="AE89" s="72"/>
      <c r="AF89" s="72"/>
      <c r="AG89" s="147">
        <v>0.4</v>
      </c>
      <c r="AH89" s="147">
        <v>0.15</v>
      </c>
      <c r="AI89" s="202">
        <v>0.45</v>
      </c>
      <c r="AJ89" s="203"/>
    </row>
    <row r="90" spans="1:36" ht="24" thickTop="1" thickBot="1">
      <c r="A90" s="40" t="s">
        <v>325</v>
      </c>
      <c r="B90" s="281" t="s">
        <v>326</v>
      </c>
      <c r="C90" s="281"/>
      <c r="D90" s="281" t="s">
        <v>148</v>
      </c>
      <c r="E90" s="281"/>
      <c r="F90" s="281"/>
      <c r="G90" s="281"/>
      <c r="H90" s="95" t="s">
        <v>57</v>
      </c>
      <c r="I90" s="96" t="s">
        <v>510</v>
      </c>
      <c r="J90" s="97" t="s">
        <v>511</v>
      </c>
      <c r="K90" s="97" t="s">
        <v>433</v>
      </c>
      <c r="L90" s="76" t="s">
        <v>86</v>
      </c>
      <c r="M90" s="72" t="s">
        <v>237</v>
      </c>
      <c r="N90" s="163" t="s">
        <v>360</v>
      </c>
      <c r="O90" s="122" t="s">
        <v>499</v>
      </c>
      <c r="P90" s="71" t="s">
        <v>203</v>
      </c>
      <c r="Q90" s="71" t="s">
        <v>204</v>
      </c>
      <c r="R90" s="71" t="s">
        <v>205</v>
      </c>
      <c r="S90" s="71" t="s">
        <v>289</v>
      </c>
      <c r="T90" s="76" t="s">
        <v>290</v>
      </c>
      <c r="U90" s="76" t="s">
        <v>290</v>
      </c>
      <c r="V90" s="76" t="s">
        <v>291</v>
      </c>
      <c r="W90" s="146" t="s">
        <v>292</v>
      </c>
      <c r="X90" s="146" t="s">
        <v>534</v>
      </c>
      <c r="Y90" s="76" t="s">
        <v>293</v>
      </c>
      <c r="Z90" s="166" t="s">
        <v>294</v>
      </c>
      <c r="AA90" s="150" t="s">
        <v>532</v>
      </c>
      <c r="AB90" s="71" t="s">
        <v>533</v>
      </c>
      <c r="AC90" s="71" t="s">
        <v>397</v>
      </c>
      <c r="AD90" s="72" t="s">
        <v>227</v>
      </c>
      <c r="AE90" s="72" t="s">
        <v>486</v>
      </c>
      <c r="AF90" s="72" t="s">
        <v>136</v>
      </c>
      <c r="AG90" s="146" t="s">
        <v>534</v>
      </c>
      <c r="AH90" s="76" t="s">
        <v>293</v>
      </c>
      <c r="AI90" s="204" t="s">
        <v>294</v>
      </c>
      <c r="AJ90" s="205" t="s">
        <v>532</v>
      </c>
    </row>
    <row r="91" spans="1:36" ht="24" thickTop="1" thickBot="1">
      <c r="A91" s="94">
        <v>1</v>
      </c>
      <c r="B91" s="267" t="s">
        <v>454</v>
      </c>
      <c r="C91" s="267"/>
      <c r="D91" s="267" t="s">
        <v>316</v>
      </c>
      <c r="E91" s="267"/>
      <c r="F91" s="267"/>
      <c r="G91" s="267"/>
      <c r="H91" s="84" t="s">
        <v>239</v>
      </c>
      <c r="I91" s="84" t="s">
        <v>270</v>
      </c>
      <c r="J91" s="72">
        <v>7</v>
      </c>
      <c r="K91" s="72">
        <v>7</v>
      </c>
      <c r="L91" s="72">
        <v>5</v>
      </c>
      <c r="M91" s="72">
        <v>20</v>
      </c>
      <c r="N91" s="162">
        <v>17</v>
      </c>
      <c r="O91" s="121">
        <f t="shared" ref="O91:O107" si="18">+(N91*3+(I91+J91)/15*20+K91/7*20+L91/7*20)/6*0.85 + M91*0.15</f>
        <v>16.8765873015873</v>
      </c>
      <c r="P91" s="72">
        <v>13</v>
      </c>
      <c r="Q91" s="72">
        <v>14</v>
      </c>
      <c r="R91" s="72"/>
      <c r="S91" s="72">
        <v>0</v>
      </c>
      <c r="T91" s="72">
        <v>4</v>
      </c>
      <c r="U91" s="72">
        <v>6</v>
      </c>
      <c r="V91" s="72">
        <v>4</v>
      </c>
      <c r="W91" s="72"/>
      <c r="X91" s="72">
        <f t="shared" ref="X91:X99" si="19">+(V91*4+U91/7*20+T91*5+Q91+P91+AVERAGE(R91:S91))/6</f>
        <v>13.357142857142856</v>
      </c>
      <c r="Y91" s="72">
        <v>20</v>
      </c>
      <c r="Z91" s="162">
        <v>14</v>
      </c>
      <c r="AA91" s="149">
        <f t="shared" ref="AA91:AA106" si="20">+X91*0.4+Y91*0.15+Z91*0.45</f>
        <v>14.642857142857142</v>
      </c>
      <c r="AB91" s="72">
        <v>2</v>
      </c>
      <c r="AC91" s="72">
        <v>15</v>
      </c>
      <c r="AD91" s="72">
        <v>5</v>
      </c>
      <c r="AE91" s="72">
        <v>20</v>
      </c>
      <c r="AF91" s="72">
        <v>13</v>
      </c>
      <c r="AG91" s="72">
        <f t="shared" ref="AG91:AG106" si="21">+(AF91+AE91+AD91/6*20+AC91+AB91/3*20)/5</f>
        <v>15.6</v>
      </c>
      <c r="AH91" s="72">
        <v>20</v>
      </c>
      <c r="AI91" s="202">
        <f t="shared" ref="AI91:AI107" si="22">+(Z91+N91)/2</f>
        <v>15.5</v>
      </c>
      <c r="AJ91" s="203">
        <f t="shared" ref="AJ91:AJ107" si="23">+AI91*0.45+AH91*0.15+AG91*0.4</f>
        <v>16.215000000000003</v>
      </c>
    </row>
    <row r="92" spans="1:36" ht="24" thickTop="1" thickBot="1">
      <c r="A92" s="94">
        <v>2</v>
      </c>
      <c r="B92" s="267" t="s">
        <v>156</v>
      </c>
      <c r="C92" s="267"/>
      <c r="D92" s="267" t="s">
        <v>317</v>
      </c>
      <c r="E92" s="267"/>
      <c r="F92" s="267"/>
      <c r="G92" s="267"/>
      <c r="H92" s="84" t="s">
        <v>239</v>
      </c>
      <c r="I92" s="84" t="s">
        <v>271</v>
      </c>
      <c r="J92" s="72">
        <v>8</v>
      </c>
      <c r="K92" s="72">
        <v>3</v>
      </c>
      <c r="L92" s="72">
        <v>4</v>
      </c>
      <c r="M92" s="72">
        <v>20</v>
      </c>
      <c r="N92" s="162">
        <v>14</v>
      </c>
      <c r="O92" s="121">
        <f t="shared" si="18"/>
        <v>13.577777777777776</v>
      </c>
      <c r="P92" s="72">
        <v>12</v>
      </c>
      <c r="Q92" s="72">
        <v>15</v>
      </c>
      <c r="R92" s="72"/>
      <c r="S92" s="72">
        <v>0</v>
      </c>
      <c r="T92" s="72"/>
      <c r="U92" s="72">
        <v>3</v>
      </c>
      <c r="V92" s="72"/>
      <c r="W92" s="72"/>
      <c r="X92" s="72">
        <f t="shared" si="19"/>
        <v>5.9285714285714279</v>
      </c>
      <c r="Y92" s="72">
        <v>11</v>
      </c>
      <c r="Z92" s="162">
        <v>8</v>
      </c>
      <c r="AA92" s="149">
        <f t="shared" si="20"/>
        <v>7.6214285714285719</v>
      </c>
      <c r="AB92" s="72"/>
      <c r="AC92" s="72">
        <v>14</v>
      </c>
      <c r="AD92" s="72">
        <v>0</v>
      </c>
      <c r="AE92" s="72">
        <v>17</v>
      </c>
      <c r="AF92" s="72">
        <v>15</v>
      </c>
      <c r="AG92" s="72">
        <f t="shared" si="21"/>
        <v>9.1999999999999993</v>
      </c>
      <c r="AH92" s="72">
        <v>10</v>
      </c>
      <c r="AI92" s="202">
        <f t="shared" si="22"/>
        <v>11</v>
      </c>
      <c r="AJ92" s="203">
        <f t="shared" si="23"/>
        <v>10.129999999999999</v>
      </c>
    </row>
    <row r="93" spans="1:36" ht="24" thickTop="1" thickBot="1">
      <c r="A93" s="94">
        <v>3</v>
      </c>
      <c r="B93" s="267" t="s">
        <v>159</v>
      </c>
      <c r="C93" s="267"/>
      <c r="D93" s="267" t="s">
        <v>233</v>
      </c>
      <c r="E93" s="267"/>
      <c r="F93" s="267"/>
      <c r="G93" s="267"/>
      <c r="H93" s="84" t="s">
        <v>239</v>
      </c>
      <c r="I93" s="84" t="s">
        <v>272</v>
      </c>
      <c r="J93" s="72">
        <v>8</v>
      </c>
      <c r="K93" s="72">
        <v>6</v>
      </c>
      <c r="L93" s="72">
        <v>3.5</v>
      </c>
      <c r="M93" s="72">
        <v>20</v>
      </c>
      <c r="N93" s="162">
        <v>10</v>
      </c>
      <c r="O93" s="121">
        <f t="shared" si="18"/>
        <v>12.984126984126982</v>
      </c>
      <c r="P93" s="72">
        <v>13</v>
      </c>
      <c r="Q93" s="72">
        <v>12</v>
      </c>
      <c r="R93" s="72">
        <v>16</v>
      </c>
      <c r="S93" s="72"/>
      <c r="T93" s="72"/>
      <c r="U93" s="72">
        <v>4</v>
      </c>
      <c r="V93" s="72">
        <v>4</v>
      </c>
      <c r="W93" s="72"/>
      <c r="X93" s="72">
        <f t="shared" si="19"/>
        <v>11.404761904761905</v>
      </c>
      <c r="Y93" s="72">
        <v>15</v>
      </c>
      <c r="Z93" s="162">
        <v>13</v>
      </c>
      <c r="AA93" s="149">
        <f t="shared" si="20"/>
        <v>12.661904761904763</v>
      </c>
      <c r="AB93" s="72">
        <v>2</v>
      </c>
      <c r="AC93" s="72">
        <v>14</v>
      </c>
      <c r="AD93" s="72">
        <v>6</v>
      </c>
      <c r="AE93" s="72">
        <v>19</v>
      </c>
      <c r="AF93" s="72">
        <v>15</v>
      </c>
      <c r="AG93" s="72">
        <f t="shared" si="21"/>
        <v>16.266666666666666</v>
      </c>
      <c r="AH93" s="72">
        <f>22/28*20</f>
        <v>15.714285714285714</v>
      </c>
      <c r="AI93" s="202">
        <f t="shared" si="22"/>
        <v>11.5</v>
      </c>
      <c r="AJ93" s="203">
        <f t="shared" si="23"/>
        <v>14.038809523809523</v>
      </c>
    </row>
    <row r="94" spans="1:36" ht="24" thickTop="1" thickBot="1">
      <c r="A94" s="94">
        <v>4</v>
      </c>
      <c r="B94" s="267" t="s">
        <v>456</v>
      </c>
      <c r="C94" s="267"/>
      <c r="D94" s="267" t="s">
        <v>354</v>
      </c>
      <c r="E94" s="267"/>
      <c r="F94" s="267"/>
      <c r="G94" s="267"/>
      <c r="H94" s="84" t="s">
        <v>239</v>
      </c>
      <c r="I94" s="84" t="s">
        <v>99</v>
      </c>
      <c r="J94" s="72">
        <v>7</v>
      </c>
      <c r="K94" s="72">
        <v>7</v>
      </c>
      <c r="L94" s="72">
        <v>4</v>
      </c>
      <c r="M94" s="72">
        <v>20</v>
      </c>
      <c r="N94" s="162">
        <v>14</v>
      </c>
      <c r="O94" s="121">
        <f t="shared" si="18"/>
        <v>15.007936507936508</v>
      </c>
      <c r="P94" s="72">
        <v>14</v>
      </c>
      <c r="Q94" s="72">
        <v>11</v>
      </c>
      <c r="R94" s="72"/>
      <c r="S94" s="72">
        <v>0</v>
      </c>
      <c r="T94" s="72">
        <v>4</v>
      </c>
      <c r="U94" s="72">
        <v>6</v>
      </c>
      <c r="V94" s="72">
        <v>3</v>
      </c>
      <c r="W94" s="72"/>
      <c r="X94" s="72">
        <f t="shared" si="19"/>
        <v>12.357142857142856</v>
      </c>
      <c r="Y94" s="72">
        <v>18</v>
      </c>
      <c r="Z94" s="162">
        <v>17</v>
      </c>
      <c r="AA94" s="149">
        <f t="shared" si="20"/>
        <v>15.292857142857143</v>
      </c>
      <c r="AB94" s="72">
        <v>2</v>
      </c>
      <c r="AC94" s="72">
        <v>14</v>
      </c>
      <c r="AD94" s="72">
        <v>5</v>
      </c>
      <c r="AE94" s="72">
        <v>20</v>
      </c>
      <c r="AF94" s="72">
        <v>15</v>
      </c>
      <c r="AG94" s="72">
        <f t="shared" si="21"/>
        <v>15.8</v>
      </c>
      <c r="AH94" s="72">
        <f>26/28*20</f>
        <v>18.571428571428573</v>
      </c>
      <c r="AI94" s="202">
        <f t="shared" si="22"/>
        <v>15.5</v>
      </c>
      <c r="AJ94" s="203">
        <f t="shared" si="23"/>
        <v>16.080714285714286</v>
      </c>
    </row>
    <row r="95" spans="1:36" ht="24" thickTop="1" thickBot="1">
      <c r="A95" s="94">
        <v>5</v>
      </c>
      <c r="B95" s="267" t="s">
        <v>431</v>
      </c>
      <c r="C95" s="267"/>
      <c r="D95" s="267" t="s">
        <v>432</v>
      </c>
      <c r="E95" s="267"/>
      <c r="F95" s="267"/>
      <c r="G95" s="267"/>
      <c r="H95" s="84" t="s">
        <v>276</v>
      </c>
      <c r="I95" s="84" t="s">
        <v>201</v>
      </c>
      <c r="J95" s="72">
        <v>10</v>
      </c>
      <c r="K95" s="72">
        <v>6</v>
      </c>
      <c r="L95" s="72">
        <v>5</v>
      </c>
      <c r="M95" s="72">
        <v>10</v>
      </c>
      <c r="N95" s="162">
        <v>12</v>
      </c>
      <c r="O95" s="121">
        <f t="shared" si="18"/>
        <v>13.507936507936508</v>
      </c>
      <c r="P95" s="72">
        <v>14</v>
      </c>
      <c r="Q95" s="72">
        <v>12</v>
      </c>
      <c r="R95" s="72"/>
      <c r="S95" s="72">
        <v>11</v>
      </c>
      <c r="T95" s="72">
        <v>2</v>
      </c>
      <c r="U95" s="72">
        <v>0</v>
      </c>
      <c r="V95" s="72">
        <v>4.5</v>
      </c>
      <c r="W95" s="72"/>
      <c r="X95" s="72">
        <f t="shared" si="19"/>
        <v>10.833333333333334</v>
      </c>
      <c r="Y95" s="72">
        <v>7</v>
      </c>
      <c r="Z95" s="162">
        <v>12</v>
      </c>
      <c r="AA95" s="149">
        <f t="shared" si="20"/>
        <v>10.783333333333335</v>
      </c>
      <c r="AB95" s="72">
        <v>0.5</v>
      </c>
      <c r="AC95" s="72">
        <v>15</v>
      </c>
      <c r="AD95" s="72">
        <v>5</v>
      </c>
      <c r="AE95" s="72">
        <v>14</v>
      </c>
      <c r="AF95" s="72">
        <v>11</v>
      </c>
      <c r="AG95" s="72">
        <f t="shared" si="21"/>
        <v>12.000000000000002</v>
      </c>
      <c r="AH95" s="72">
        <f>10/28*20</f>
        <v>7.1428571428571432</v>
      </c>
      <c r="AI95" s="202">
        <f t="shared" si="22"/>
        <v>12</v>
      </c>
      <c r="AJ95" s="203">
        <f t="shared" si="23"/>
        <v>11.271428571428572</v>
      </c>
    </row>
    <row r="96" spans="1:36" ht="24" thickTop="1" thickBot="1">
      <c r="A96" s="94">
        <v>6</v>
      </c>
      <c r="B96" s="267" t="s">
        <v>406</v>
      </c>
      <c r="C96" s="267"/>
      <c r="D96" s="267" t="s">
        <v>240</v>
      </c>
      <c r="E96" s="267"/>
      <c r="F96" s="267"/>
      <c r="G96" s="267"/>
      <c r="H96" s="84" t="s">
        <v>239</v>
      </c>
      <c r="I96" s="84" t="s">
        <v>267</v>
      </c>
      <c r="J96" s="72">
        <v>6</v>
      </c>
      <c r="K96" s="72">
        <v>5</v>
      </c>
      <c r="L96" s="72">
        <v>4.5</v>
      </c>
      <c r="M96" s="72">
        <v>20</v>
      </c>
      <c r="N96" s="162">
        <v>16</v>
      </c>
      <c r="O96" s="121">
        <f t="shared" si="18"/>
        <v>15.345238095238097</v>
      </c>
      <c r="P96" s="72">
        <v>15</v>
      </c>
      <c r="Q96" s="72">
        <v>15</v>
      </c>
      <c r="R96" s="72"/>
      <c r="S96" s="72">
        <v>0</v>
      </c>
      <c r="T96" s="72">
        <v>3</v>
      </c>
      <c r="U96" s="72">
        <v>4</v>
      </c>
      <c r="V96" s="72">
        <v>4</v>
      </c>
      <c r="W96" s="72"/>
      <c r="X96" s="72">
        <f t="shared" si="19"/>
        <v>12.071428571428571</v>
      </c>
      <c r="Y96" s="72">
        <v>20</v>
      </c>
      <c r="Z96" s="162">
        <v>12</v>
      </c>
      <c r="AA96" s="149">
        <f t="shared" si="20"/>
        <v>13.22857142857143</v>
      </c>
      <c r="AB96" s="72">
        <v>3</v>
      </c>
      <c r="AC96" s="72">
        <v>14</v>
      </c>
      <c r="AD96" s="72">
        <v>4</v>
      </c>
      <c r="AE96" s="72">
        <v>17</v>
      </c>
      <c r="AF96" s="72"/>
      <c r="AG96" s="72">
        <f t="shared" si="21"/>
        <v>12.866666666666665</v>
      </c>
      <c r="AH96" s="72">
        <v>20</v>
      </c>
      <c r="AI96" s="202">
        <f t="shared" si="22"/>
        <v>14</v>
      </c>
      <c r="AJ96" s="203">
        <f t="shared" si="23"/>
        <v>14.446666666666667</v>
      </c>
    </row>
    <row r="97" spans="1:36" ht="23" thickBot="1">
      <c r="A97" s="94">
        <v>8</v>
      </c>
      <c r="B97" s="267" t="s">
        <v>422</v>
      </c>
      <c r="C97" s="267"/>
      <c r="D97" s="267" t="s">
        <v>423</v>
      </c>
      <c r="E97" s="267"/>
      <c r="F97" s="267"/>
      <c r="G97" s="267"/>
      <c r="H97" s="84" t="s">
        <v>276</v>
      </c>
      <c r="I97" s="84"/>
      <c r="J97" s="72">
        <v>10</v>
      </c>
      <c r="K97" s="72"/>
      <c r="L97" s="72"/>
      <c r="M97" s="72">
        <v>0</v>
      </c>
      <c r="N97" s="162"/>
      <c r="O97" s="121">
        <f>+(N97*3+(I97+J97)/15*20+K97/7*20+L97/7*20)/6*0.85 + M97*0.15</f>
        <v>1.8888888888888886</v>
      </c>
      <c r="P97" s="72"/>
      <c r="Q97" s="72">
        <v>15</v>
      </c>
      <c r="R97" s="72">
        <v>15</v>
      </c>
      <c r="S97" s="72">
        <v>18</v>
      </c>
      <c r="T97" s="72"/>
      <c r="U97" s="72"/>
      <c r="V97" s="72">
        <v>4</v>
      </c>
      <c r="W97" s="72">
        <v>13</v>
      </c>
      <c r="X97" s="72">
        <f t="shared" si="19"/>
        <v>7.916666666666667</v>
      </c>
      <c r="Y97" s="72">
        <v>0</v>
      </c>
      <c r="Z97" s="162">
        <v>12</v>
      </c>
      <c r="AA97" s="149">
        <f t="shared" si="20"/>
        <v>8.5666666666666664</v>
      </c>
      <c r="AB97" s="72">
        <v>2</v>
      </c>
      <c r="AC97" s="72"/>
      <c r="AD97" s="72">
        <v>6</v>
      </c>
      <c r="AE97" s="72">
        <v>17</v>
      </c>
      <c r="AF97" s="72"/>
      <c r="AG97" s="72">
        <f t="shared" si="21"/>
        <v>10.066666666666666</v>
      </c>
      <c r="AH97" s="72"/>
      <c r="AI97" s="202">
        <f t="shared" si="22"/>
        <v>6</v>
      </c>
      <c r="AJ97" s="203">
        <f t="shared" si="23"/>
        <v>6.7266666666666666</v>
      </c>
    </row>
    <row r="98" spans="1:36" ht="23" thickBot="1">
      <c r="A98" s="94">
        <v>9</v>
      </c>
      <c r="B98" s="267" t="s">
        <v>521</v>
      </c>
      <c r="C98" s="267"/>
      <c r="D98" s="267" t="s">
        <v>517</v>
      </c>
      <c r="E98" s="267"/>
      <c r="F98" s="267"/>
      <c r="G98" s="267"/>
      <c r="H98" s="84" t="s">
        <v>239</v>
      </c>
      <c r="I98" s="84" t="s">
        <v>100</v>
      </c>
      <c r="J98" s="72">
        <v>10</v>
      </c>
      <c r="K98" s="72">
        <v>7</v>
      </c>
      <c r="L98" s="72">
        <v>4.5</v>
      </c>
      <c r="M98" s="72">
        <v>20</v>
      </c>
      <c r="N98" s="162">
        <v>13</v>
      </c>
      <c r="O98" s="121">
        <f t="shared" si="18"/>
        <v>15.540873015873016</v>
      </c>
      <c r="P98" s="72">
        <v>13</v>
      </c>
      <c r="Q98" s="72">
        <v>17</v>
      </c>
      <c r="R98" s="72">
        <v>18</v>
      </c>
      <c r="S98" s="72"/>
      <c r="T98" s="72"/>
      <c r="U98" s="72"/>
      <c r="V98" s="72">
        <v>4</v>
      </c>
      <c r="W98" s="72"/>
      <c r="X98" s="72">
        <f t="shared" si="19"/>
        <v>10.666666666666666</v>
      </c>
      <c r="Y98" s="72">
        <v>16</v>
      </c>
      <c r="Z98" s="162">
        <v>12</v>
      </c>
      <c r="AA98" s="149">
        <f t="shared" si="20"/>
        <v>12.066666666666666</v>
      </c>
      <c r="AB98" s="72">
        <v>3</v>
      </c>
      <c r="AC98" s="72">
        <v>15</v>
      </c>
      <c r="AD98" s="72">
        <v>6</v>
      </c>
      <c r="AE98" s="72">
        <v>20</v>
      </c>
      <c r="AF98" s="72">
        <v>15</v>
      </c>
      <c r="AG98" s="72">
        <f t="shared" si="21"/>
        <v>18</v>
      </c>
      <c r="AH98" s="72">
        <f>20/28*20</f>
        <v>14.285714285714286</v>
      </c>
      <c r="AI98" s="202">
        <f t="shared" si="22"/>
        <v>12.5</v>
      </c>
      <c r="AJ98" s="203">
        <f t="shared" si="23"/>
        <v>14.967857142857142</v>
      </c>
    </row>
    <row r="99" spans="1:36" ht="23" thickBot="1">
      <c r="A99" s="94">
        <v>10</v>
      </c>
      <c r="B99" s="267" t="s">
        <v>525</v>
      </c>
      <c r="C99" s="267"/>
      <c r="D99" s="267" t="s">
        <v>194</v>
      </c>
      <c r="E99" s="267"/>
      <c r="F99" s="267"/>
      <c r="G99" s="267"/>
      <c r="H99" s="84" t="s">
        <v>239</v>
      </c>
      <c r="I99" s="84" t="s">
        <v>0</v>
      </c>
      <c r="J99" s="72">
        <v>5</v>
      </c>
      <c r="K99" s="72">
        <v>7</v>
      </c>
      <c r="L99" s="72">
        <v>5</v>
      </c>
      <c r="M99" s="72">
        <v>20</v>
      </c>
      <c r="N99" s="162">
        <v>15</v>
      </c>
      <c r="O99" s="121">
        <f t="shared" si="18"/>
        <v>15.554365079365081</v>
      </c>
      <c r="P99" s="72">
        <v>15</v>
      </c>
      <c r="Q99" s="72">
        <v>12</v>
      </c>
      <c r="R99" s="72"/>
      <c r="S99" s="72">
        <v>0</v>
      </c>
      <c r="T99" s="72">
        <v>3</v>
      </c>
      <c r="U99" s="72">
        <v>3</v>
      </c>
      <c r="V99" s="72">
        <v>4</v>
      </c>
      <c r="W99" s="72"/>
      <c r="X99" s="72">
        <f t="shared" si="19"/>
        <v>11.095238095238095</v>
      </c>
      <c r="Y99" s="72">
        <v>18</v>
      </c>
      <c r="Z99" s="162">
        <v>15</v>
      </c>
      <c r="AA99" s="149">
        <f t="shared" si="20"/>
        <v>13.888095238095238</v>
      </c>
      <c r="AB99" s="72">
        <v>0.5</v>
      </c>
      <c r="AC99" s="72">
        <v>14</v>
      </c>
      <c r="AD99" s="72">
        <v>4</v>
      </c>
      <c r="AE99" s="72">
        <v>17</v>
      </c>
      <c r="AF99" s="72"/>
      <c r="AG99" s="72">
        <f t="shared" si="21"/>
        <v>9.5333333333333332</v>
      </c>
      <c r="AH99" s="72">
        <f>24/28*20</f>
        <v>17.142857142857142</v>
      </c>
      <c r="AI99" s="202">
        <f t="shared" si="22"/>
        <v>15</v>
      </c>
      <c r="AJ99" s="203">
        <f t="shared" si="23"/>
        <v>13.134761904761906</v>
      </c>
    </row>
    <row r="100" spans="1:36" ht="23" thickBot="1">
      <c r="A100" s="94">
        <v>11</v>
      </c>
      <c r="B100" s="267" t="s">
        <v>381</v>
      </c>
      <c r="C100" s="267"/>
      <c r="D100" s="267" t="s">
        <v>7</v>
      </c>
      <c r="E100" s="267"/>
      <c r="F100" s="267"/>
      <c r="G100" s="267"/>
      <c r="H100" s="84" t="s">
        <v>276</v>
      </c>
      <c r="I100" s="84" t="s">
        <v>1</v>
      </c>
      <c r="J100" s="72">
        <v>10</v>
      </c>
      <c r="K100" s="72">
        <v>7</v>
      </c>
      <c r="L100" s="72">
        <v>4</v>
      </c>
      <c r="M100" s="72">
        <v>15</v>
      </c>
      <c r="N100" s="162">
        <v>13</v>
      </c>
      <c r="O100" s="121">
        <f t="shared" si="18"/>
        <v>16.760714285714286</v>
      </c>
      <c r="P100" s="72">
        <v>17</v>
      </c>
      <c r="Q100" s="72">
        <v>12</v>
      </c>
      <c r="R100" s="72"/>
      <c r="S100" s="72">
        <v>12</v>
      </c>
      <c r="T100" s="72">
        <v>3</v>
      </c>
      <c r="U100" s="72">
        <v>1</v>
      </c>
      <c r="V100" s="72">
        <v>5</v>
      </c>
      <c r="W100" s="72"/>
      <c r="X100" s="72">
        <f>+(V100*4+U100/7*20+T100*5+Q100+P100+AVERAGE(R100:S100))/6</f>
        <v>13.142857142857144</v>
      </c>
      <c r="Y100" s="72">
        <v>11</v>
      </c>
      <c r="Z100" s="162">
        <v>12</v>
      </c>
      <c r="AA100" s="149">
        <f t="shared" si="20"/>
        <v>12.307142857142859</v>
      </c>
      <c r="AB100" s="72">
        <v>1</v>
      </c>
      <c r="AC100" s="72">
        <v>14</v>
      </c>
      <c r="AD100" s="72">
        <v>5</v>
      </c>
      <c r="AE100" s="72">
        <v>17</v>
      </c>
      <c r="AF100" s="72">
        <v>11</v>
      </c>
      <c r="AG100" s="72">
        <f t="shared" si="21"/>
        <v>13.066666666666668</v>
      </c>
      <c r="AH100" s="72">
        <f>12/28*20</f>
        <v>8.5714285714285712</v>
      </c>
      <c r="AI100" s="202">
        <f t="shared" si="22"/>
        <v>12.5</v>
      </c>
      <c r="AJ100" s="203">
        <f t="shared" si="23"/>
        <v>12.137380952380953</v>
      </c>
    </row>
    <row r="101" spans="1:36" ht="23" thickBot="1">
      <c r="A101" s="94">
        <v>12</v>
      </c>
      <c r="B101" s="267" t="s">
        <v>126</v>
      </c>
      <c r="C101" s="267"/>
      <c r="D101" s="267" t="s">
        <v>70</v>
      </c>
      <c r="E101" s="267"/>
      <c r="F101" s="267"/>
      <c r="G101" s="267"/>
      <c r="H101" s="84" t="s">
        <v>241</v>
      </c>
      <c r="I101" s="84" t="s">
        <v>2</v>
      </c>
      <c r="J101" s="72">
        <v>5</v>
      </c>
      <c r="K101" s="72"/>
      <c r="L101" s="72"/>
      <c r="M101" s="72">
        <v>10</v>
      </c>
      <c r="N101" s="162">
        <v>8</v>
      </c>
      <c r="O101" s="121">
        <f t="shared" si="18"/>
        <v>5.9388888888888891</v>
      </c>
      <c r="P101" s="72">
        <v>14</v>
      </c>
      <c r="Q101" s="72"/>
      <c r="R101" s="72"/>
      <c r="S101" s="72">
        <v>13</v>
      </c>
      <c r="T101" s="72">
        <v>0</v>
      </c>
      <c r="U101" s="72">
        <v>1</v>
      </c>
      <c r="V101" s="72">
        <v>5</v>
      </c>
      <c r="W101" s="72"/>
      <c r="X101" s="72">
        <f t="shared" ref="X101:X107" si="24">+(V101*4+U101/7*20+T101*5+Q101+P101+AVERAGE(R101:S101))/6</f>
        <v>8.3095238095238102</v>
      </c>
      <c r="Y101" s="72">
        <v>11</v>
      </c>
      <c r="Z101" s="162">
        <v>15</v>
      </c>
      <c r="AA101" s="149">
        <f t="shared" si="20"/>
        <v>11.723809523809525</v>
      </c>
      <c r="AB101" s="72">
        <v>1</v>
      </c>
      <c r="AC101" s="72">
        <v>14</v>
      </c>
      <c r="AD101" s="72">
        <v>6</v>
      </c>
      <c r="AE101" s="72"/>
      <c r="AF101" s="72">
        <v>18</v>
      </c>
      <c r="AG101" s="72">
        <f t="shared" si="21"/>
        <v>11.733333333333333</v>
      </c>
      <c r="AH101" s="72">
        <f>18/28*20</f>
        <v>12.857142857142858</v>
      </c>
      <c r="AI101" s="202">
        <f t="shared" si="22"/>
        <v>11.5</v>
      </c>
      <c r="AJ101" s="203">
        <f t="shared" si="23"/>
        <v>11.796904761904763</v>
      </c>
    </row>
    <row r="102" spans="1:36" ht="24" thickTop="1" thickBot="1">
      <c r="A102" s="94">
        <v>13</v>
      </c>
      <c r="B102" s="267" t="s">
        <v>466</v>
      </c>
      <c r="C102" s="267"/>
      <c r="D102" s="267" t="s">
        <v>200</v>
      </c>
      <c r="E102" s="267"/>
      <c r="F102" s="267"/>
      <c r="G102" s="267"/>
      <c r="H102" s="84" t="s">
        <v>437</v>
      </c>
      <c r="I102" s="84" t="s">
        <v>267</v>
      </c>
      <c r="J102" s="72">
        <v>0</v>
      </c>
      <c r="K102" s="72">
        <v>0</v>
      </c>
      <c r="L102" s="72"/>
      <c r="M102" s="72">
        <v>10</v>
      </c>
      <c r="N102" s="162"/>
      <c r="O102" s="121">
        <f t="shared" si="18"/>
        <v>2.0666666666666664</v>
      </c>
      <c r="P102" s="72"/>
      <c r="Q102" s="72"/>
      <c r="R102" s="72"/>
      <c r="S102" s="72">
        <v>0</v>
      </c>
      <c r="T102" s="72"/>
      <c r="U102" s="72"/>
      <c r="V102" s="72"/>
      <c r="W102" s="72"/>
      <c r="X102" s="72">
        <f t="shared" si="24"/>
        <v>0</v>
      </c>
      <c r="Y102" s="72">
        <v>4</v>
      </c>
      <c r="Z102" s="162"/>
      <c r="AA102" s="149">
        <f t="shared" si="20"/>
        <v>0.6</v>
      </c>
      <c r="AB102" s="72"/>
      <c r="AC102" s="72"/>
      <c r="AD102" s="72"/>
      <c r="AE102" s="72"/>
      <c r="AF102" s="72"/>
      <c r="AG102" s="72">
        <f t="shared" si="21"/>
        <v>0</v>
      </c>
      <c r="AH102" s="72">
        <f>4/28*20</f>
        <v>2.8571428571428568</v>
      </c>
      <c r="AI102" s="202">
        <f t="shared" si="22"/>
        <v>0</v>
      </c>
      <c r="AJ102" s="203">
        <f t="shared" si="23"/>
        <v>0.42857142857142849</v>
      </c>
    </row>
    <row r="103" spans="1:36" ht="24" thickTop="1" thickBot="1">
      <c r="A103" s="94">
        <v>14</v>
      </c>
      <c r="B103" s="267" t="s">
        <v>467</v>
      </c>
      <c r="C103" s="267"/>
      <c r="D103" s="267" t="s">
        <v>487</v>
      </c>
      <c r="E103" s="267"/>
      <c r="F103" s="267"/>
      <c r="G103" s="267"/>
      <c r="H103" s="84" t="s">
        <v>239</v>
      </c>
      <c r="I103" s="84" t="s">
        <v>99</v>
      </c>
      <c r="J103" s="72">
        <v>7</v>
      </c>
      <c r="K103" s="72">
        <v>4.5</v>
      </c>
      <c r="L103" s="72">
        <v>4</v>
      </c>
      <c r="M103" s="72">
        <v>10</v>
      </c>
      <c r="N103" s="162">
        <v>18</v>
      </c>
      <c r="O103" s="121">
        <f t="shared" si="18"/>
        <v>14.196031746031746</v>
      </c>
      <c r="P103" s="72">
        <v>13</v>
      </c>
      <c r="Q103" s="72">
        <v>15</v>
      </c>
      <c r="R103" s="72"/>
      <c r="S103" s="72">
        <v>0</v>
      </c>
      <c r="T103" s="72">
        <v>3</v>
      </c>
      <c r="U103" s="72">
        <v>7</v>
      </c>
      <c r="V103" s="72">
        <v>5</v>
      </c>
      <c r="W103" s="72"/>
      <c r="X103" s="72">
        <f t="shared" si="24"/>
        <v>13.833333333333334</v>
      </c>
      <c r="Y103" s="72">
        <v>9</v>
      </c>
      <c r="Z103" s="162">
        <v>18</v>
      </c>
      <c r="AA103" s="149">
        <f t="shared" si="20"/>
        <v>14.983333333333334</v>
      </c>
      <c r="AB103" s="72">
        <v>2</v>
      </c>
      <c r="AC103" s="72">
        <v>14</v>
      </c>
      <c r="AD103" s="72">
        <v>4</v>
      </c>
      <c r="AE103" s="72">
        <v>20</v>
      </c>
      <c r="AF103" s="72">
        <v>19</v>
      </c>
      <c r="AG103" s="72">
        <f t="shared" si="21"/>
        <v>15.933333333333332</v>
      </c>
      <c r="AH103" s="72">
        <f>16/28*20</f>
        <v>11.428571428571427</v>
      </c>
      <c r="AI103" s="202">
        <f t="shared" si="22"/>
        <v>18</v>
      </c>
      <c r="AJ103" s="203">
        <f t="shared" si="23"/>
        <v>16.187619047619044</v>
      </c>
    </row>
    <row r="104" spans="1:36" ht="24" thickTop="1" thickBot="1">
      <c r="A104" s="94">
        <v>15</v>
      </c>
      <c r="B104" s="267" t="s">
        <v>468</v>
      </c>
      <c r="C104" s="267"/>
      <c r="D104" s="267" t="s">
        <v>26</v>
      </c>
      <c r="E104" s="267"/>
      <c r="F104" s="267"/>
      <c r="G104" s="267"/>
      <c r="H104" s="84" t="s">
        <v>239</v>
      </c>
      <c r="I104" s="84" t="s">
        <v>3</v>
      </c>
      <c r="J104" s="72">
        <v>6</v>
      </c>
      <c r="K104" s="72">
        <v>3</v>
      </c>
      <c r="L104" s="72">
        <v>4.5</v>
      </c>
      <c r="M104" s="72">
        <v>20</v>
      </c>
      <c r="N104" s="162">
        <v>15</v>
      </c>
      <c r="O104" s="121">
        <f t="shared" si="18"/>
        <v>14.016269841269841</v>
      </c>
      <c r="P104" s="72">
        <v>13</v>
      </c>
      <c r="Q104" s="72">
        <v>14</v>
      </c>
      <c r="R104" s="72"/>
      <c r="S104" s="72">
        <v>0</v>
      </c>
      <c r="T104" s="72">
        <v>3</v>
      </c>
      <c r="U104" s="72">
        <v>4</v>
      </c>
      <c r="V104" s="72">
        <v>3</v>
      </c>
      <c r="W104" s="72"/>
      <c r="X104" s="72">
        <f t="shared" si="24"/>
        <v>10.904761904761905</v>
      </c>
      <c r="Y104" s="72">
        <v>20</v>
      </c>
      <c r="Z104" s="162">
        <v>16</v>
      </c>
      <c r="AA104" s="149">
        <f t="shared" si="20"/>
        <v>14.561904761904763</v>
      </c>
      <c r="AB104" s="72">
        <v>2</v>
      </c>
      <c r="AC104" s="72">
        <v>14</v>
      </c>
      <c r="AD104" s="72">
        <v>4</v>
      </c>
      <c r="AE104" s="72">
        <v>17</v>
      </c>
      <c r="AF104" s="72"/>
      <c r="AG104" s="72">
        <f t="shared" si="21"/>
        <v>11.533333333333331</v>
      </c>
      <c r="AH104" s="72">
        <v>20</v>
      </c>
      <c r="AI104" s="202">
        <f t="shared" si="22"/>
        <v>15.5</v>
      </c>
      <c r="AJ104" s="203">
        <f t="shared" si="23"/>
        <v>14.588333333333335</v>
      </c>
    </row>
    <row r="105" spans="1:36" ht="23" thickBot="1">
      <c r="A105" s="14">
        <v>9</v>
      </c>
      <c r="B105" s="264" t="s">
        <v>150</v>
      </c>
      <c r="C105" s="264"/>
      <c r="D105" s="264" t="s">
        <v>151</v>
      </c>
      <c r="E105" s="264"/>
      <c r="F105" s="264"/>
      <c r="G105" s="264"/>
      <c r="H105" s="75" t="s">
        <v>438</v>
      </c>
      <c r="I105" s="77"/>
      <c r="J105" s="72"/>
      <c r="K105" s="72">
        <v>3</v>
      </c>
      <c r="L105" s="72">
        <v>4</v>
      </c>
      <c r="M105" s="72">
        <v>5</v>
      </c>
      <c r="N105" s="162">
        <v>12</v>
      </c>
      <c r="O105" s="121">
        <f t="shared" si="18"/>
        <v>8.6833333333333336</v>
      </c>
      <c r="P105" s="72"/>
      <c r="Q105" s="72"/>
      <c r="R105" s="72"/>
      <c r="S105" s="72">
        <v>0</v>
      </c>
      <c r="T105" s="72"/>
      <c r="U105" s="72"/>
      <c r="V105" s="72"/>
      <c r="W105" s="72"/>
      <c r="X105" s="72">
        <f t="shared" si="24"/>
        <v>0</v>
      </c>
      <c r="Y105" s="72">
        <v>2</v>
      </c>
      <c r="Z105" s="162"/>
      <c r="AA105" s="149">
        <f t="shared" si="20"/>
        <v>0.3</v>
      </c>
      <c r="AB105" s="72"/>
      <c r="AC105" s="72"/>
      <c r="AD105" s="72"/>
      <c r="AE105" s="72"/>
      <c r="AF105" s="72"/>
      <c r="AG105" s="72">
        <f t="shared" si="21"/>
        <v>0</v>
      </c>
      <c r="AH105" s="72">
        <f>2/28*20</f>
        <v>1.4285714285714284</v>
      </c>
      <c r="AI105" s="202">
        <f t="shared" si="22"/>
        <v>6</v>
      </c>
      <c r="AJ105" s="203">
        <f t="shared" si="23"/>
        <v>2.9142857142857146</v>
      </c>
    </row>
    <row r="106" spans="1:36" ht="22">
      <c r="A106" s="111"/>
      <c r="B106" s="267" t="s">
        <v>407</v>
      </c>
      <c r="C106" s="267"/>
      <c r="D106" s="267" t="s">
        <v>314</v>
      </c>
      <c r="E106" s="267"/>
      <c r="F106" s="267"/>
      <c r="G106" s="267"/>
      <c r="H106" s="84" t="s">
        <v>239</v>
      </c>
      <c r="I106" s="84" t="s">
        <v>270</v>
      </c>
      <c r="J106" s="72">
        <v>6</v>
      </c>
      <c r="K106" s="72">
        <v>4</v>
      </c>
      <c r="L106" s="72"/>
      <c r="M106" s="72"/>
      <c r="N106" s="162"/>
      <c r="O106" s="121">
        <f t="shared" si="18"/>
        <v>3.2246031746031738</v>
      </c>
      <c r="P106" s="72"/>
      <c r="Q106" s="72"/>
      <c r="R106" s="72"/>
      <c r="S106" s="72">
        <v>0</v>
      </c>
      <c r="T106" s="72"/>
      <c r="U106" s="72"/>
      <c r="V106" s="72"/>
      <c r="W106" s="72"/>
      <c r="X106" s="72">
        <f t="shared" si="24"/>
        <v>0</v>
      </c>
      <c r="Y106" s="72"/>
      <c r="Z106" s="162"/>
      <c r="AA106" s="149">
        <f t="shared" si="20"/>
        <v>0</v>
      </c>
      <c r="AB106" s="72"/>
      <c r="AC106" s="72"/>
      <c r="AD106" s="72"/>
      <c r="AE106" s="72"/>
      <c r="AF106" s="72"/>
      <c r="AG106" s="72">
        <f t="shared" si="21"/>
        <v>0</v>
      </c>
      <c r="AH106" s="72">
        <v>0</v>
      </c>
      <c r="AI106" s="202">
        <f t="shared" si="22"/>
        <v>0</v>
      </c>
      <c r="AJ106" s="203">
        <f t="shared" si="23"/>
        <v>0</v>
      </c>
    </row>
    <row r="107" spans="1:36">
      <c r="A107" t="s">
        <v>370</v>
      </c>
      <c r="B107" t="s">
        <v>371</v>
      </c>
      <c r="E107" t="s">
        <v>372</v>
      </c>
      <c r="N107" s="161">
        <v>20</v>
      </c>
      <c r="O107" s="172">
        <f t="shared" si="18"/>
        <v>8.5</v>
      </c>
      <c r="P107" s="100">
        <v>20</v>
      </c>
      <c r="Q107" s="100">
        <v>20</v>
      </c>
      <c r="S107">
        <v>20</v>
      </c>
      <c r="T107">
        <v>4</v>
      </c>
      <c r="U107">
        <v>7</v>
      </c>
      <c r="V107">
        <v>5</v>
      </c>
      <c r="X107" s="72">
        <f t="shared" si="24"/>
        <v>20</v>
      </c>
      <c r="Y107" s="100">
        <v>20</v>
      </c>
      <c r="Z107" s="167">
        <v>20</v>
      </c>
      <c r="AA107" s="148">
        <f>+X107*0.4+Y107*0.15+Z107*0.45</f>
        <v>20</v>
      </c>
      <c r="AI107" s="202">
        <f t="shared" si="22"/>
        <v>20</v>
      </c>
      <c r="AJ107" s="203">
        <f t="shared" si="23"/>
        <v>9</v>
      </c>
    </row>
  </sheetData>
  <sheetCalcPr fullCalcOnLoad="1"/>
  <mergeCells count="192">
    <mergeCell ref="D100:G100"/>
    <mergeCell ref="D101:G101"/>
    <mergeCell ref="B104:C104"/>
    <mergeCell ref="C88:D88"/>
    <mergeCell ref="D102:G102"/>
    <mergeCell ref="B103:C103"/>
    <mergeCell ref="B99:C99"/>
    <mergeCell ref="B100:C100"/>
    <mergeCell ref="D106:G106"/>
    <mergeCell ref="A89:B89"/>
    <mergeCell ref="D97:G97"/>
    <mergeCell ref="B98:C98"/>
    <mergeCell ref="D104:G104"/>
    <mergeCell ref="D98:G98"/>
    <mergeCell ref="D103:G103"/>
    <mergeCell ref="D99:G99"/>
    <mergeCell ref="B105:C105"/>
    <mergeCell ref="D96:G96"/>
    <mergeCell ref="E88:F88"/>
    <mergeCell ref="D94:G94"/>
    <mergeCell ref="D95:G95"/>
    <mergeCell ref="D105:G105"/>
    <mergeCell ref="B101:C101"/>
    <mergeCell ref="B102:C102"/>
    <mergeCell ref="C62:G62"/>
    <mergeCell ref="B74:C74"/>
    <mergeCell ref="B75:C75"/>
    <mergeCell ref="B76:C76"/>
    <mergeCell ref="D70:G70"/>
    <mergeCell ref="D71:G71"/>
    <mergeCell ref="B68:C68"/>
    <mergeCell ref="B69:C69"/>
    <mergeCell ref="B66:C66"/>
    <mergeCell ref="B67:C67"/>
    <mergeCell ref="D72:G72"/>
    <mergeCell ref="B81:C81"/>
    <mergeCell ref="C6:H6"/>
    <mergeCell ref="C89:G89"/>
    <mergeCell ref="D90:G90"/>
    <mergeCell ref="D91:G91"/>
    <mergeCell ref="D92:G92"/>
    <mergeCell ref="D93:G93"/>
    <mergeCell ref="B44:C44"/>
    <mergeCell ref="D79:G79"/>
    <mergeCell ref="D80:G80"/>
    <mergeCell ref="D81:G81"/>
    <mergeCell ref="E58:H58"/>
    <mergeCell ref="E60:H60"/>
    <mergeCell ref="E61:F61"/>
    <mergeCell ref="D63:G63"/>
    <mergeCell ref="D64:G64"/>
    <mergeCell ref="D65:G65"/>
    <mergeCell ref="D66:G66"/>
    <mergeCell ref="A9:H9"/>
    <mergeCell ref="A10:B10"/>
    <mergeCell ref="A11:B11"/>
    <mergeCell ref="A12:B12"/>
    <mergeCell ref="C61:D61"/>
    <mergeCell ref="C11:D11"/>
    <mergeCell ref="A3:F3"/>
    <mergeCell ref="B95:C95"/>
    <mergeCell ref="B96:C96"/>
    <mergeCell ref="B106:C106"/>
    <mergeCell ref="B97:C97"/>
    <mergeCell ref="B90:C90"/>
    <mergeCell ref="B91:C91"/>
    <mergeCell ref="B92:C92"/>
    <mergeCell ref="B93:C93"/>
    <mergeCell ref="A86:H86"/>
    <mergeCell ref="A87:B87"/>
    <mergeCell ref="A88:B88"/>
    <mergeCell ref="E85:H85"/>
    <mergeCell ref="E87:H87"/>
    <mergeCell ref="D68:G68"/>
    <mergeCell ref="D69:G69"/>
    <mergeCell ref="B83:C83"/>
    <mergeCell ref="B77:C77"/>
    <mergeCell ref="B78:C78"/>
    <mergeCell ref="B79:C79"/>
    <mergeCell ref="B80:C80"/>
    <mergeCell ref="D74:G74"/>
    <mergeCell ref="D75:G75"/>
    <mergeCell ref="D76:G76"/>
    <mergeCell ref="C12:G12"/>
    <mergeCell ref="D19:G19"/>
    <mergeCell ref="D20:G20"/>
    <mergeCell ref="D21:G21"/>
    <mergeCell ref="D22:G22"/>
    <mergeCell ref="D23:G23"/>
    <mergeCell ref="C31:D31"/>
    <mergeCell ref="D25:G25"/>
    <mergeCell ref="B22:C22"/>
    <mergeCell ref="B23:C23"/>
    <mergeCell ref="B26:C26"/>
    <mergeCell ref="D13:G13"/>
    <mergeCell ref="D16:G16"/>
    <mergeCell ref="D17:G17"/>
    <mergeCell ref="D18:G18"/>
    <mergeCell ref="A29:H29"/>
    <mergeCell ref="A30:B30"/>
    <mergeCell ref="B15:C15"/>
    <mergeCell ref="D15:G15"/>
    <mergeCell ref="B84:C84"/>
    <mergeCell ref="D51:G51"/>
    <mergeCell ref="D54:G54"/>
    <mergeCell ref="D40:G40"/>
    <mergeCell ref="D82:G82"/>
    <mergeCell ref="D83:G83"/>
    <mergeCell ref="D77:G77"/>
    <mergeCell ref="D78:G78"/>
    <mergeCell ref="B45:C45"/>
    <mergeCell ref="B47:C47"/>
    <mergeCell ref="B82:C82"/>
    <mergeCell ref="B51:C51"/>
    <mergeCell ref="B54:C54"/>
    <mergeCell ref="B72:C72"/>
    <mergeCell ref="B53:C53"/>
    <mergeCell ref="D53:G53"/>
    <mergeCell ref="D55:G55"/>
    <mergeCell ref="D56:G56"/>
    <mergeCell ref="B42:C42"/>
    <mergeCell ref="B43:C43"/>
    <mergeCell ref="B40:C40"/>
    <mergeCell ref="B41:C41"/>
    <mergeCell ref="B64:C64"/>
    <mergeCell ref="D84:G84"/>
    <mergeCell ref="E7:E8"/>
    <mergeCell ref="E1:H1"/>
    <mergeCell ref="E10:H10"/>
    <mergeCell ref="E4:H4"/>
    <mergeCell ref="E11:F11"/>
    <mergeCell ref="D39:G39"/>
    <mergeCell ref="B48:C48"/>
    <mergeCell ref="B14:C14"/>
    <mergeCell ref="D14:G14"/>
    <mergeCell ref="B27:C27"/>
    <mergeCell ref="D27:G27"/>
    <mergeCell ref="D33:G33"/>
    <mergeCell ref="D34:G34"/>
    <mergeCell ref="B13:C13"/>
    <mergeCell ref="B16:C16"/>
    <mergeCell ref="B17:C17"/>
    <mergeCell ref="B18:C18"/>
    <mergeCell ref="B19:C19"/>
    <mergeCell ref="B20:C20"/>
    <mergeCell ref="B21:C21"/>
    <mergeCell ref="D35:G35"/>
    <mergeCell ref="B46:C46"/>
    <mergeCell ref="A31:B31"/>
    <mergeCell ref="D37:G37"/>
    <mergeCell ref="B94:C94"/>
    <mergeCell ref="B65:C65"/>
    <mergeCell ref="D49:G49"/>
    <mergeCell ref="D50:G50"/>
    <mergeCell ref="D41:G41"/>
    <mergeCell ref="D42:G42"/>
    <mergeCell ref="D43:G43"/>
    <mergeCell ref="D44:G44"/>
    <mergeCell ref="D45:G45"/>
    <mergeCell ref="D46:G46"/>
    <mergeCell ref="D73:G73"/>
    <mergeCell ref="A59:H59"/>
    <mergeCell ref="A60:B60"/>
    <mergeCell ref="A61:B61"/>
    <mergeCell ref="A62:B62"/>
    <mergeCell ref="B49:C49"/>
    <mergeCell ref="B50:C50"/>
    <mergeCell ref="B70:C70"/>
    <mergeCell ref="B71:C71"/>
    <mergeCell ref="D67:G67"/>
    <mergeCell ref="B63:C63"/>
    <mergeCell ref="B73:C73"/>
    <mergeCell ref="B52:C52"/>
    <mergeCell ref="D52:G52"/>
    <mergeCell ref="C32:G32"/>
    <mergeCell ref="B33:C33"/>
    <mergeCell ref="B34:C34"/>
    <mergeCell ref="B25:C25"/>
    <mergeCell ref="A32:B32"/>
    <mergeCell ref="B55:C55"/>
    <mergeCell ref="B56:C56"/>
    <mergeCell ref="D47:G47"/>
    <mergeCell ref="D48:G48"/>
    <mergeCell ref="B37:C37"/>
    <mergeCell ref="B38:C38"/>
    <mergeCell ref="B39:C39"/>
    <mergeCell ref="B35:C35"/>
    <mergeCell ref="B36:C36"/>
    <mergeCell ref="D36:G36"/>
    <mergeCell ref="D38:G38"/>
    <mergeCell ref="E30:H30"/>
    <mergeCell ref="E31:F31"/>
  </mergeCells>
  <phoneticPr fontId="2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U39"/>
  <sheetViews>
    <sheetView topLeftCell="B9" workbookViewId="0">
      <selection activeCell="AT27" sqref="AT27"/>
    </sheetView>
  </sheetViews>
  <sheetFormatPr baseColWidth="10" defaultRowHeight="15"/>
  <cols>
    <col min="1" max="1" width="4.875" customWidth="1"/>
    <col min="2" max="2" width="5.625" customWidth="1"/>
    <col min="3" max="3" width="1.375" customWidth="1"/>
    <col min="4" max="4" width="21.625" customWidth="1"/>
    <col min="5" max="5" width="2.5" customWidth="1"/>
    <col min="6" max="6" width="6.875" customWidth="1"/>
    <col min="7" max="21" width="1.375" customWidth="1"/>
    <col min="22" max="24" width="3.875" customWidth="1"/>
    <col min="25" max="25" width="5.375" style="117" customWidth="1"/>
    <col min="26" max="29" width="1.625" customWidth="1"/>
    <col min="30" max="32" width="2.875" customWidth="1"/>
    <col min="33" max="33" width="4.625" style="142" bestFit="1" customWidth="1"/>
    <col min="34" max="34" width="3.5" style="158" customWidth="1"/>
    <col min="35" max="43" width="3.5" customWidth="1"/>
    <col min="44" max="44" width="4.375" style="169" customWidth="1"/>
    <col min="45" max="45" width="4.375" style="211" customWidth="1"/>
    <col min="46" max="46" width="4.75" customWidth="1"/>
    <col min="47" max="47" width="5.625" style="168" customWidth="1"/>
  </cols>
  <sheetData>
    <row r="1" spans="1:47">
      <c r="A1" s="44"/>
      <c r="B1" s="44"/>
      <c r="C1" s="44"/>
      <c r="D1" s="44"/>
      <c r="E1" s="297"/>
      <c r="F1" s="297"/>
    </row>
    <row r="2" spans="1:47">
      <c r="A2" s="44"/>
      <c r="B2" s="44"/>
      <c r="C2" s="44"/>
      <c r="D2" s="44"/>
      <c r="E2" s="44"/>
      <c r="F2" s="44"/>
    </row>
    <row r="3" spans="1:47" ht="18">
      <c r="A3" s="44"/>
      <c r="B3" s="304"/>
      <c r="C3" s="44"/>
      <c r="D3" s="300"/>
      <c r="E3" s="300"/>
      <c r="F3" s="300"/>
    </row>
    <row r="4" spans="1:47">
      <c r="A4" s="44"/>
      <c r="B4" s="304"/>
      <c r="C4" s="44"/>
      <c r="D4" s="44"/>
      <c r="E4" s="299"/>
      <c r="F4" s="299"/>
    </row>
    <row r="5" spans="1:47">
      <c r="A5" s="44"/>
      <c r="B5" s="304"/>
      <c r="C5" s="44"/>
      <c r="D5" s="44"/>
      <c r="E5" s="44"/>
      <c r="F5" s="44"/>
    </row>
    <row r="6" spans="1:47">
      <c r="A6" s="44"/>
      <c r="B6" s="304"/>
      <c r="C6" s="302" t="s">
        <v>36</v>
      </c>
      <c r="D6" s="302"/>
      <c r="E6" s="302"/>
      <c r="F6" s="302"/>
    </row>
    <row r="7" spans="1:47" ht="15" customHeight="1">
      <c r="A7" s="44"/>
      <c r="B7" s="304"/>
      <c r="C7" s="44"/>
      <c r="D7" s="44"/>
      <c r="E7" s="44"/>
      <c r="F7" s="44"/>
    </row>
    <row r="8" spans="1:47">
      <c r="A8" s="44"/>
      <c r="B8" s="44"/>
      <c r="C8" s="44"/>
      <c r="D8" s="44"/>
      <c r="E8" s="44"/>
      <c r="F8" s="44"/>
    </row>
    <row r="9" spans="1:47" ht="16" thickBot="1">
      <c r="A9" s="304"/>
      <c r="B9" s="304"/>
      <c r="C9" s="304"/>
      <c r="D9" s="304"/>
      <c r="E9" s="304"/>
      <c r="F9" s="304"/>
    </row>
    <row r="10" spans="1:47" ht="24" thickTop="1" thickBot="1">
      <c r="A10" s="305" t="s">
        <v>322</v>
      </c>
      <c r="B10" s="305"/>
      <c r="C10" s="50" t="s">
        <v>37</v>
      </c>
      <c r="D10" s="46"/>
      <c r="E10" s="298"/>
      <c r="F10" s="298"/>
    </row>
    <row r="11" spans="1:47" ht="46" thickTop="1" thickBot="1">
      <c r="A11" s="305" t="s">
        <v>323</v>
      </c>
      <c r="B11" s="305"/>
      <c r="C11" s="303" t="s">
        <v>180</v>
      </c>
      <c r="D11" s="303"/>
      <c r="E11" s="45" t="s">
        <v>181</v>
      </c>
      <c r="F11" s="47" t="s">
        <v>55</v>
      </c>
    </row>
    <row r="12" spans="1:47" ht="17" thickTop="1" thickBot="1">
      <c r="A12" s="305" t="s">
        <v>324</v>
      </c>
      <c r="B12" s="305"/>
      <c r="C12" s="298" t="s">
        <v>287</v>
      </c>
      <c r="D12" s="298"/>
      <c r="E12" s="298"/>
      <c r="F12" s="46" t="s">
        <v>56</v>
      </c>
      <c r="V12" s="114">
        <v>0.4</v>
      </c>
      <c r="W12" s="114">
        <v>0.15</v>
      </c>
      <c r="X12" s="114">
        <v>0.45</v>
      </c>
      <c r="AD12" s="114">
        <v>0.4</v>
      </c>
      <c r="AE12" s="114">
        <v>0.15</v>
      </c>
      <c r="AF12" s="114">
        <v>0.45</v>
      </c>
      <c r="AR12" s="171" t="s">
        <v>400</v>
      </c>
      <c r="AS12" s="211">
        <v>0.15</v>
      </c>
      <c r="AT12" s="114">
        <v>0.4</v>
      </c>
      <c r="AU12" s="155"/>
    </row>
    <row r="13" spans="1:47" ht="17" thickTop="1" thickBot="1">
      <c r="A13" s="48" t="s">
        <v>325</v>
      </c>
      <c r="B13" s="301" t="s">
        <v>326</v>
      </c>
      <c r="C13" s="301"/>
      <c r="D13" s="301" t="s">
        <v>148</v>
      </c>
      <c r="E13" s="301"/>
      <c r="F13" s="85" t="s">
        <v>57</v>
      </c>
      <c r="G13" s="71" t="s">
        <v>383</v>
      </c>
      <c r="H13" s="71" t="s">
        <v>114</v>
      </c>
      <c r="I13" s="71" t="s">
        <v>228</v>
      </c>
      <c r="J13" s="71" t="s">
        <v>229</v>
      </c>
      <c r="K13" s="71" t="s">
        <v>222</v>
      </c>
      <c r="L13" s="71" t="s">
        <v>358</v>
      </c>
      <c r="M13" s="71" t="s">
        <v>223</v>
      </c>
      <c r="N13" s="71" t="s">
        <v>224</v>
      </c>
      <c r="O13" s="71" t="s">
        <v>225</v>
      </c>
      <c r="P13" s="71" t="s">
        <v>359</v>
      </c>
      <c r="Q13" s="71" t="s">
        <v>346</v>
      </c>
      <c r="R13" s="71" t="s">
        <v>48</v>
      </c>
      <c r="S13" s="102" t="s">
        <v>50</v>
      </c>
      <c r="T13" s="102" t="s">
        <v>188</v>
      </c>
      <c r="U13" s="102" t="s">
        <v>65</v>
      </c>
      <c r="V13" s="102" t="s">
        <v>64</v>
      </c>
      <c r="W13" s="102" t="s">
        <v>235</v>
      </c>
      <c r="X13" s="102" t="s">
        <v>348</v>
      </c>
      <c r="Y13" s="119" t="s">
        <v>71</v>
      </c>
      <c r="Z13" s="102" t="s">
        <v>347</v>
      </c>
      <c r="AA13" s="72"/>
      <c r="AB13" s="72" t="s">
        <v>53</v>
      </c>
      <c r="AC13" s="72" t="s">
        <v>54</v>
      </c>
      <c r="AD13" s="72" t="s">
        <v>163</v>
      </c>
      <c r="AE13" s="72" t="s">
        <v>255</v>
      </c>
      <c r="AF13" s="72" t="s">
        <v>260</v>
      </c>
      <c r="AG13" s="143" t="s">
        <v>256</v>
      </c>
      <c r="AH13" s="159"/>
      <c r="AI13" s="72"/>
      <c r="AJ13" s="72"/>
      <c r="AK13" s="72" t="s">
        <v>133</v>
      </c>
      <c r="AL13" s="72" t="s">
        <v>131</v>
      </c>
      <c r="AM13" s="72" t="s">
        <v>132</v>
      </c>
      <c r="AN13" s="72" t="s">
        <v>334</v>
      </c>
      <c r="AO13" s="72" t="s">
        <v>245</v>
      </c>
      <c r="AP13" s="72" t="s">
        <v>248</v>
      </c>
      <c r="AQ13" s="72" t="s">
        <v>399</v>
      </c>
      <c r="AR13" s="170" t="s">
        <v>163</v>
      </c>
      <c r="AS13" s="212" t="s">
        <v>255</v>
      </c>
      <c r="AT13" s="72" t="s">
        <v>254</v>
      </c>
      <c r="AU13" s="156" t="s">
        <v>256</v>
      </c>
    </row>
    <row r="14" spans="1:47" ht="16" thickBot="1">
      <c r="A14" s="49">
        <v>1</v>
      </c>
      <c r="B14" s="296" t="s">
        <v>356</v>
      </c>
      <c r="C14" s="296"/>
      <c r="D14" s="296" t="s">
        <v>190</v>
      </c>
      <c r="E14" s="296"/>
      <c r="F14" s="86" t="s">
        <v>459</v>
      </c>
      <c r="G14" s="72"/>
      <c r="H14" s="72">
        <v>2</v>
      </c>
      <c r="I14" s="72">
        <v>1</v>
      </c>
      <c r="J14" s="72">
        <v>1</v>
      </c>
      <c r="K14" s="72">
        <v>2</v>
      </c>
      <c r="L14" s="72">
        <v>19</v>
      </c>
      <c r="M14" s="72">
        <v>1.5</v>
      </c>
      <c r="N14" s="72"/>
      <c r="O14" s="72"/>
      <c r="P14" s="72">
        <v>19</v>
      </c>
      <c r="Q14" s="72">
        <v>1</v>
      </c>
      <c r="R14" s="72"/>
      <c r="S14" s="72">
        <v>1</v>
      </c>
      <c r="T14" s="72"/>
      <c r="U14" s="72"/>
      <c r="V14" s="72">
        <v>14</v>
      </c>
      <c r="W14" s="72">
        <v>14</v>
      </c>
      <c r="X14" s="72">
        <f t="shared" ref="X14:X34" si="0">(SUM(G14:K14)+SUM(M14:O14)+SUM(Q14:U14))*0.7+L14*0.15+P14*0.15</f>
        <v>12.35</v>
      </c>
      <c r="Y14" s="118">
        <f>+V14*0.4+W14*0.15+X14*0.45</f>
        <v>13.2575</v>
      </c>
      <c r="Z14" s="72"/>
      <c r="AA14" s="72"/>
      <c r="AB14" s="72">
        <v>12</v>
      </c>
      <c r="AC14" s="72">
        <v>15</v>
      </c>
      <c r="AD14" s="72">
        <f>+AC14/30*20*0.65+AB14/9*20*0.35+AA14/2+Z14/2</f>
        <v>15.833333333333332</v>
      </c>
      <c r="AE14" s="72">
        <v>11</v>
      </c>
      <c r="AF14" s="72">
        <v>11</v>
      </c>
      <c r="AG14" s="143">
        <f>+AF14*0.45+AE14*0.15+AD14*0.4</f>
        <v>12.933333333333334</v>
      </c>
      <c r="AH14" s="159"/>
      <c r="AI14" s="72">
        <v>3</v>
      </c>
      <c r="AJ14" s="72"/>
      <c r="AK14" s="72"/>
      <c r="AL14" s="72"/>
      <c r="AM14" s="72"/>
      <c r="AN14" s="72"/>
      <c r="AO14" s="72"/>
      <c r="AP14" s="72"/>
      <c r="AQ14" s="72"/>
      <c r="AR14" s="170">
        <f t="shared" ref="AR14:AR34" si="1">SUM(AH14:AQ14)/35*20</f>
        <v>1.7142857142857144</v>
      </c>
      <c r="AS14" s="212"/>
      <c r="AT14" s="72"/>
      <c r="AU14" s="156">
        <v>14</v>
      </c>
    </row>
    <row r="15" spans="1:47" ht="16" thickBot="1">
      <c r="A15" s="49">
        <v>2</v>
      </c>
      <c r="B15" s="296" t="s">
        <v>19</v>
      </c>
      <c r="C15" s="296"/>
      <c r="D15" s="296" t="s">
        <v>20</v>
      </c>
      <c r="E15" s="296"/>
      <c r="F15" s="86" t="s">
        <v>439</v>
      </c>
      <c r="G15" s="72">
        <v>1</v>
      </c>
      <c r="H15" s="72"/>
      <c r="I15" s="72"/>
      <c r="J15" s="72"/>
      <c r="K15" s="72"/>
      <c r="L15" s="72">
        <v>19</v>
      </c>
      <c r="M15" s="72"/>
      <c r="N15" s="72"/>
      <c r="O15" s="72"/>
      <c r="P15" s="72">
        <v>19</v>
      </c>
      <c r="Q15" s="72"/>
      <c r="R15" s="72"/>
      <c r="S15" s="72"/>
      <c r="T15" s="72"/>
      <c r="U15" s="72">
        <v>2</v>
      </c>
      <c r="V15" s="72">
        <v>8</v>
      </c>
      <c r="W15" s="72">
        <v>14</v>
      </c>
      <c r="X15" s="72">
        <f t="shared" si="0"/>
        <v>7.7999999999999989</v>
      </c>
      <c r="Y15" s="118">
        <f t="shared" ref="Y15:Y35" si="2">+V15*0.4+W15*0.15+X15*0.45</f>
        <v>8.81</v>
      </c>
      <c r="Z15" s="72"/>
      <c r="AA15" s="72">
        <v>1</v>
      </c>
      <c r="AB15" s="72"/>
      <c r="AC15" s="72"/>
      <c r="AD15" s="72">
        <f t="shared" ref="AD15:AD35" si="3">+AC15/30*20*0.65+AB15/9*20*0.35+AA15/2+Z15/2</f>
        <v>0.5</v>
      </c>
      <c r="AE15" s="72">
        <v>12</v>
      </c>
      <c r="AF15" s="72">
        <v>8</v>
      </c>
      <c r="AG15" s="143">
        <f t="shared" ref="AG15:AG35" si="4">+AF15*0.45+AE15*0.15+AD15*0.4</f>
        <v>5.6000000000000005</v>
      </c>
      <c r="AH15" s="159"/>
      <c r="AI15" s="72"/>
      <c r="AJ15" s="72"/>
      <c r="AK15" s="72"/>
      <c r="AL15" s="72"/>
      <c r="AM15" s="72"/>
      <c r="AN15" s="72"/>
      <c r="AO15" s="72"/>
      <c r="AP15" s="72"/>
      <c r="AQ15" s="72"/>
      <c r="AR15" s="170">
        <f t="shared" si="1"/>
        <v>0</v>
      </c>
      <c r="AS15" s="212">
        <f>24/56*20</f>
        <v>8.5714285714285712</v>
      </c>
      <c r="AT15" s="72"/>
      <c r="AU15" s="156">
        <f t="shared" ref="AU15:AU35" si="5">+AT15*0.4+AS15*0.15+AR15*0.45</f>
        <v>1.2857142857142856</v>
      </c>
    </row>
    <row r="16" spans="1:47" ht="16" thickBot="1">
      <c r="A16" s="49">
        <v>3</v>
      </c>
      <c r="B16" s="296" t="s">
        <v>21</v>
      </c>
      <c r="C16" s="296"/>
      <c r="D16" s="296" t="s">
        <v>22</v>
      </c>
      <c r="E16" s="296"/>
      <c r="F16" s="86" t="s">
        <v>437</v>
      </c>
      <c r="G16" s="72">
        <v>1</v>
      </c>
      <c r="H16" s="72">
        <v>2</v>
      </c>
      <c r="I16" s="72">
        <v>1</v>
      </c>
      <c r="J16" s="72">
        <v>1</v>
      </c>
      <c r="K16" s="72">
        <v>2</v>
      </c>
      <c r="L16" s="72">
        <v>18</v>
      </c>
      <c r="M16" s="72"/>
      <c r="N16" s="72">
        <v>1</v>
      </c>
      <c r="O16" s="72"/>
      <c r="P16" s="72"/>
      <c r="Q16" s="72"/>
      <c r="R16" s="72">
        <v>1</v>
      </c>
      <c r="S16" s="72"/>
      <c r="T16" s="72"/>
      <c r="U16" s="72"/>
      <c r="V16" s="72">
        <v>8</v>
      </c>
      <c r="W16" s="72">
        <v>12</v>
      </c>
      <c r="X16" s="72">
        <f t="shared" si="0"/>
        <v>9</v>
      </c>
      <c r="Y16" s="118">
        <f t="shared" si="2"/>
        <v>9.0500000000000007</v>
      </c>
      <c r="Z16" s="72"/>
      <c r="AA16" s="72"/>
      <c r="AB16" s="72"/>
      <c r="AC16" s="72"/>
      <c r="AD16" s="72">
        <f t="shared" si="3"/>
        <v>0</v>
      </c>
      <c r="AE16" s="72">
        <v>6</v>
      </c>
      <c r="AF16" s="72"/>
      <c r="AG16" s="143">
        <f t="shared" si="4"/>
        <v>0.89999999999999991</v>
      </c>
      <c r="AH16" s="159"/>
      <c r="AI16" s="72"/>
      <c r="AJ16" s="72"/>
      <c r="AK16" s="72"/>
      <c r="AL16" s="72"/>
      <c r="AM16" s="72"/>
      <c r="AN16" s="72"/>
      <c r="AO16" s="72"/>
      <c r="AP16" s="72"/>
      <c r="AQ16" s="72"/>
      <c r="AR16" s="170">
        <f t="shared" si="1"/>
        <v>0</v>
      </c>
      <c r="AS16" s="212">
        <f>12/56*20</f>
        <v>4.2857142857142856</v>
      </c>
      <c r="AT16" s="72"/>
      <c r="AU16" s="156">
        <f t="shared" si="5"/>
        <v>0.64285714285714279</v>
      </c>
    </row>
    <row r="17" spans="1:47" ht="16" thickBot="1">
      <c r="A17" s="49">
        <v>4</v>
      </c>
      <c r="B17" s="296" t="s">
        <v>452</v>
      </c>
      <c r="C17" s="296"/>
      <c r="D17" s="296" t="s">
        <v>92</v>
      </c>
      <c r="E17" s="296"/>
      <c r="F17" s="86" t="s">
        <v>437</v>
      </c>
      <c r="G17" s="72">
        <v>1</v>
      </c>
      <c r="H17" s="72">
        <v>2</v>
      </c>
      <c r="I17" s="72">
        <v>1</v>
      </c>
      <c r="J17" s="72">
        <v>0.5</v>
      </c>
      <c r="K17" s="72">
        <v>2</v>
      </c>
      <c r="L17" s="72">
        <v>20</v>
      </c>
      <c r="M17" s="72">
        <v>3.5</v>
      </c>
      <c r="N17" s="72">
        <v>2</v>
      </c>
      <c r="O17" s="72"/>
      <c r="P17" s="72">
        <v>19</v>
      </c>
      <c r="Q17" s="72"/>
      <c r="R17" s="72"/>
      <c r="S17" s="72">
        <v>1</v>
      </c>
      <c r="T17" s="72"/>
      <c r="U17" s="72"/>
      <c r="V17" s="72">
        <v>14</v>
      </c>
      <c r="W17" s="72">
        <v>18</v>
      </c>
      <c r="X17" s="72">
        <f t="shared" si="0"/>
        <v>14.95</v>
      </c>
      <c r="Y17" s="118">
        <f t="shared" si="2"/>
        <v>15.0275</v>
      </c>
      <c r="Z17" s="72"/>
      <c r="AA17" s="72">
        <v>1</v>
      </c>
      <c r="AB17" s="72"/>
      <c r="AC17" s="72">
        <f>1+4+7</f>
        <v>12</v>
      </c>
      <c r="AD17" s="72">
        <f t="shared" si="3"/>
        <v>5.7</v>
      </c>
      <c r="AE17" s="72">
        <v>17</v>
      </c>
      <c r="AF17" s="72">
        <v>12</v>
      </c>
      <c r="AG17" s="143">
        <f t="shared" si="4"/>
        <v>10.23</v>
      </c>
      <c r="AH17" s="159"/>
      <c r="AI17" s="72">
        <v>3</v>
      </c>
      <c r="AJ17" s="72"/>
      <c r="AK17" s="72">
        <v>5</v>
      </c>
      <c r="AL17" s="72">
        <v>1</v>
      </c>
      <c r="AM17" s="72"/>
      <c r="AN17" s="72"/>
      <c r="AO17" s="72">
        <v>4</v>
      </c>
      <c r="AP17" s="72">
        <v>8</v>
      </c>
      <c r="AQ17" s="72">
        <v>8</v>
      </c>
      <c r="AR17" s="170">
        <f t="shared" si="1"/>
        <v>16.571428571428573</v>
      </c>
      <c r="AS17" s="212">
        <f>48/56*20</f>
        <v>17.142857142857142</v>
      </c>
      <c r="AT17" s="72">
        <v>10</v>
      </c>
      <c r="AU17" s="156">
        <f t="shared" si="5"/>
        <v>14.028571428571428</v>
      </c>
    </row>
    <row r="18" spans="1:47" ht="16" thickBot="1">
      <c r="A18" s="49">
        <v>5</v>
      </c>
      <c r="B18" s="296" t="s">
        <v>93</v>
      </c>
      <c r="C18" s="296"/>
      <c r="D18" s="296" t="s">
        <v>94</v>
      </c>
      <c r="E18" s="296"/>
      <c r="F18" s="86" t="s">
        <v>122</v>
      </c>
      <c r="G18" s="72">
        <v>2</v>
      </c>
      <c r="H18" s="72">
        <v>2</v>
      </c>
      <c r="I18" s="72">
        <v>1</v>
      </c>
      <c r="J18" s="72">
        <v>1</v>
      </c>
      <c r="K18" s="72">
        <v>3</v>
      </c>
      <c r="L18" s="72">
        <v>19</v>
      </c>
      <c r="M18" s="72">
        <v>2.5</v>
      </c>
      <c r="N18" s="72">
        <v>2</v>
      </c>
      <c r="O18" s="72"/>
      <c r="P18" s="72">
        <v>19</v>
      </c>
      <c r="Q18" s="72">
        <v>1</v>
      </c>
      <c r="R18" s="72">
        <v>1</v>
      </c>
      <c r="S18" s="103">
        <v>1</v>
      </c>
      <c r="T18" s="103">
        <v>2</v>
      </c>
      <c r="U18" s="103"/>
      <c r="V18" s="103">
        <v>10</v>
      </c>
      <c r="W18" s="103">
        <v>20</v>
      </c>
      <c r="X18" s="72">
        <f t="shared" si="0"/>
        <v>18.649999999999999</v>
      </c>
      <c r="Y18" s="118">
        <f t="shared" si="2"/>
        <v>15.3925</v>
      </c>
      <c r="Z18" s="103">
        <v>3</v>
      </c>
      <c r="AA18" s="72">
        <v>4</v>
      </c>
      <c r="AB18" s="72">
        <v>5</v>
      </c>
      <c r="AC18" s="72">
        <v>22</v>
      </c>
      <c r="AD18" s="72">
        <f t="shared" si="3"/>
        <v>16.922222222222221</v>
      </c>
      <c r="AE18" s="72">
        <v>19</v>
      </c>
      <c r="AF18" s="72">
        <v>12</v>
      </c>
      <c r="AG18" s="143">
        <f t="shared" si="4"/>
        <v>15.018888888888888</v>
      </c>
      <c r="AH18" s="159"/>
      <c r="AI18" s="72">
        <v>4</v>
      </c>
      <c r="AJ18" s="72">
        <v>1</v>
      </c>
      <c r="AK18" s="72">
        <v>5</v>
      </c>
      <c r="AL18" s="72"/>
      <c r="AM18" s="72">
        <v>2</v>
      </c>
      <c r="AN18" s="72"/>
      <c r="AO18" s="72"/>
      <c r="AP18" s="72">
        <v>13</v>
      </c>
      <c r="AQ18" s="72">
        <v>9</v>
      </c>
      <c r="AR18" s="170">
        <f t="shared" si="1"/>
        <v>19.428571428571427</v>
      </c>
      <c r="AS18" s="212">
        <f>48/56*20</f>
        <v>17.142857142857142</v>
      </c>
      <c r="AT18" s="72">
        <v>8</v>
      </c>
      <c r="AU18" s="156">
        <f t="shared" si="5"/>
        <v>14.514285714285712</v>
      </c>
    </row>
    <row r="19" spans="1:47" ht="16" thickBot="1">
      <c r="A19" s="49">
        <v>6</v>
      </c>
      <c r="B19" s="296" t="s">
        <v>95</v>
      </c>
      <c r="C19" s="296"/>
      <c r="D19" s="296" t="s">
        <v>96</v>
      </c>
      <c r="E19" s="296"/>
      <c r="F19" s="86" t="s">
        <v>119</v>
      </c>
      <c r="G19" s="72">
        <v>1</v>
      </c>
      <c r="H19" s="72">
        <v>2</v>
      </c>
      <c r="I19" s="72"/>
      <c r="J19" s="72"/>
      <c r="K19" s="72">
        <v>2</v>
      </c>
      <c r="L19" s="72">
        <v>19</v>
      </c>
      <c r="M19" s="72">
        <v>2.5</v>
      </c>
      <c r="N19" s="72"/>
      <c r="O19" s="72"/>
      <c r="P19" s="72">
        <v>18</v>
      </c>
      <c r="Q19" s="72"/>
      <c r="R19" s="72">
        <v>1</v>
      </c>
      <c r="S19" s="72">
        <v>1</v>
      </c>
      <c r="T19" s="72"/>
      <c r="U19" s="72"/>
      <c r="V19" s="72">
        <v>8</v>
      </c>
      <c r="W19" s="72">
        <v>18</v>
      </c>
      <c r="X19" s="72">
        <f t="shared" si="0"/>
        <v>12.2</v>
      </c>
      <c r="Y19" s="118">
        <f t="shared" si="2"/>
        <v>11.39</v>
      </c>
      <c r="Z19" s="72"/>
      <c r="AA19" s="72">
        <v>2</v>
      </c>
      <c r="AB19" s="72">
        <v>5</v>
      </c>
      <c r="AC19" s="72">
        <f>1+1+4</f>
        <v>6</v>
      </c>
      <c r="AD19" s="72">
        <f t="shared" si="3"/>
        <v>7.4888888888888889</v>
      </c>
      <c r="AE19" s="72">
        <v>17</v>
      </c>
      <c r="AF19" s="72">
        <v>9</v>
      </c>
      <c r="AG19" s="143">
        <f t="shared" si="4"/>
        <v>9.5955555555555563</v>
      </c>
      <c r="AH19" s="159"/>
      <c r="AI19" s="72">
        <v>2</v>
      </c>
      <c r="AJ19" s="72">
        <v>1</v>
      </c>
      <c r="AK19" s="72">
        <v>3</v>
      </c>
      <c r="AL19" s="72"/>
      <c r="AM19" s="72"/>
      <c r="AN19" s="72"/>
      <c r="AO19" s="72"/>
      <c r="AP19" s="72"/>
      <c r="AQ19" s="72"/>
      <c r="AR19" s="170">
        <f t="shared" si="1"/>
        <v>3.4285714285714288</v>
      </c>
      <c r="AS19" s="212">
        <f>44/56*20</f>
        <v>15.714285714285714</v>
      </c>
      <c r="AT19" s="72"/>
      <c r="AU19" s="156">
        <f t="shared" si="5"/>
        <v>3.8999999999999995</v>
      </c>
    </row>
    <row r="20" spans="1:47" ht="16" thickBot="1">
      <c r="A20" s="49">
        <v>7</v>
      </c>
      <c r="B20" s="296" t="s">
        <v>97</v>
      </c>
      <c r="C20" s="296"/>
      <c r="D20" s="296" t="s">
        <v>209</v>
      </c>
      <c r="E20" s="296"/>
      <c r="F20" s="86" t="s">
        <v>412</v>
      </c>
      <c r="G20" s="72"/>
      <c r="H20" s="72"/>
      <c r="I20" s="72"/>
      <c r="J20" s="72"/>
      <c r="K20" s="72"/>
      <c r="L20" s="72"/>
      <c r="M20" s="72"/>
      <c r="N20" s="72"/>
      <c r="O20" s="72"/>
      <c r="P20" s="72"/>
      <c r="Q20" s="72"/>
      <c r="R20" s="72"/>
      <c r="S20" s="72"/>
      <c r="T20" s="72"/>
      <c r="U20" s="72"/>
      <c r="V20" s="72"/>
      <c r="W20" s="72">
        <v>0</v>
      </c>
      <c r="X20" s="72">
        <f t="shared" si="0"/>
        <v>0</v>
      </c>
      <c r="Y20" s="118">
        <f t="shared" si="2"/>
        <v>0</v>
      </c>
      <c r="Z20" s="72"/>
      <c r="AA20" s="72"/>
      <c r="AB20" s="72"/>
      <c r="AC20" s="72"/>
      <c r="AD20" s="72">
        <f t="shared" si="3"/>
        <v>0</v>
      </c>
      <c r="AE20" s="72">
        <v>0</v>
      </c>
      <c r="AF20" s="72"/>
      <c r="AG20" s="143">
        <f t="shared" si="4"/>
        <v>0</v>
      </c>
      <c r="AH20" s="159"/>
      <c r="AI20" s="72"/>
      <c r="AJ20" s="72"/>
      <c r="AK20" s="72"/>
      <c r="AL20" s="72"/>
      <c r="AM20" s="72"/>
      <c r="AN20" s="72"/>
      <c r="AO20" s="72"/>
      <c r="AP20" s="72"/>
      <c r="AQ20" s="72"/>
      <c r="AR20" s="170">
        <f t="shared" si="1"/>
        <v>0</v>
      </c>
      <c r="AS20" s="212"/>
      <c r="AT20" s="72"/>
      <c r="AU20" s="156">
        <f t="shared" si="5"/>
        <v>0</v>
      </c>
    </row>
    <row r="21" spans="1:47" ht="16" thickBot="1">
      <c r="A21" s="49">
        <v>8</v>
      </c>
      <c r="B21" s="296" t="s">
        <v>416</v>
      </c>
      <c r="C21" s="296"/>
      <c r="D21" s="296" t="s">
        <v>210</v>
      </c>
      <c r="E21" s="296"/>
      <c r="F21" s="86" t="s">
        <v>460</v>
      </c>
      <c r="G21" s="72"/>
      <c r="H21" s="72">
        <v>1</v>
      </c>
      <c r="I21" s="72">
        <v>1</v>
      </c>
      <c r="J21" s="72">
        <v>1</v>
      </c>
      <c r="K21" s="72">
        <v>2</v>
      </c>
      <c r="L21" s="72">
        <v>19</v>
      </c>
      <c r="M21" s="72"/>
      <c r="N21" s="72"/>
      <c r="O21" s="72">
        <v>2</v>
      </c>
      <c r="P21" s="72"/>
      <c r="Q21" s="72">
        <v>1</v>
      </c>
      <c r="R21" s="72">
        <v>1</v>
      </c>
      <c r="S21" s="72"/>
      <c r="T21" s="72"/>
      <c r="U21" s="72"/>
      <c r="V21" s="72">
        <v>13</v>
      </c>
      <c r="W21" s="72">
        <v>10</v>
      </c>
      <c r="X21" s="72">
        <f t="shared" si="0"/>
        <v>9.15</v>
      </c>
      <c r="Y21" s="118">
        <f t="shared" si="2"/>
        <v>10.817500000000001</v>
      </c>
      <c r="Z21" s="72"/>
      <c r="AA21" s="72"/>
      <c r="AB21" s="72"/>
      <c r="AC21" s="72">
        <f>6+3</f>
        <v>9</v>
      </c>
      <c r="AD21" s="72">
        <f t="shared" si="3"/>
        <v>3.9000000000000004</v>
      </c>
      <c r="AE21" s="72">
        <v>9</v>
      </c>
      <c r="AF21" s="72">
        <v>5</v>
      </c>
      <c r="AG21" s="143">
        <f t="shared" si="4"/>
        <v>5.16</v>
      </c>
      <c r="AH21" s="159">
        <v>2</v>
      </c>
      <c r="AI21" s="72"/>
      <c r="AJ21" s="72"/>
      <c r="AK21" s="72">
        <v>5</v>
      </c>
      <c r="AL21" s="72"/>
      <c r="AM21" s="72"/>
      <c r="AN21" s="72"/>
      <c r="AO21" s="72"/>
      <c r="AP21" s="72"/>
      <c r="AQ21" s="72"/>
      <c r="AR21" s="170">
        <f t="shared" si="1"/>
        <v>4</v>
      </c>
      <c r="AS21" s="212">
        <f>20/56*20</f>
        <v>7.1428571428571432</v>
      </c>
      <c r="AT21" s="72">
        <v>5</v>
      </c>
      <c r="AU21" s="156">
        <f t="shared" si="5"/>
        <v>4.871428571428571</v>
      </c>
    </row>
    <row r="22" spans="1:47" ht="16" thickBot="1">
      <c r="A22" s="49">
        <v>9</v>
      </c>
      <c r="B22" s="296" t="s">
        <v>211</v>
      </c>
      <c r="C22" s="296"/>
      <c r="D22" s="296" t="s">
        <v>212</v>
      </c>
      <c r="E22" s="296"/>
      <c r="F22" s="86" t="s">
        <v>43</v>
      </c>
      <c r="G22" s="72">
        <v>3</v>
      </c>
      <c r="H22" s="72">
        <v>2.5</v>
      </c>
      <c r="I22" s="72">
        <v>1</v>
      </c>
      <c r="J22" s="72">
        <v>1</v>
      </c>
      <c r="K22" s="72">
        <v>2</v>
      </c>
      <c r="L22" s="72">
        <v>20</v>
      </c>
      <c r="M22" s="72">
        <v>4</v>
      </c>
      <c r="N22" s="72">
        <v>1</v>
      </c>
      <c r="O22" s="72"/>
      <c r="P22" s="72">
        <v>20</v>
      </c>
      <c r="Q22" s="72"/>
      <c r="R22" s="72">
        <v>1</v>
      </c>
      <c r="S22" s="103">
        <v>1</v>
      </c>
      <c r="T22" s="103">
        <v>2</v>
      </c>
      <c r="U22" s="103">
        <v>2</v>
      </c>
      <c r="V22" s="103">
        <v>20</v>
      </c>
      <c r="W22" s="103">
        <v>20</v>
      </c>
      <c r="X22" s="72">
        <f t="shared" si="0"/>
        <v>20.350000000000001</v>
      </c>
      <c r="Y22" s="118">
        <f t="shared" si="2"/>
        <v>20.157499999999999</v>
      </c>
      <c r="Z22" s="103">
        <v>5</v>
      </c>
      <c r="AA22" s="72">
        <v>3.5</v>
      </c>
      <c r="AB22" s="72">
        <v>8</v>
      </c>
      <c r="AC22" s="72">
        <f>2+5+9+8+7</f>
        <v>31</v>
      </c>
      <c r="AD22" s="72">
        <f t="shared" si="3"/>
        <v>23.905555555555559</v>
      </c>
      <c r="AE22" s="72">
        <v>20</v>
      </c>
      <c r="AF22" s="72">
        <v>17</v>
      </c>
      <c r="AG22" s="143">
        <f t="shared" si="4"/>
        <v>20.212222222222223</v>
      </c>
      <c r="AH22" s="159"/>
      <c r="AI22" s="72">
        <v>4</v>
      </c>
      <c r="AJ22" s="72">
        <v>2</v>
      </c>
      <c r="AK22" s="72">
        <v>5</v>
      </c>
      <c r="AL22" s="72">
        <v>5</v>
      </c>
      <c r="AM22" s="72">
        <v>2</v>
      </c>
      <c r="AN22" s="72">
        <v>3</v>
      </c>
      <c r="AO22" s="72">
        <v>2</v>
      </c>
      <c r="AP22" s="72">
        <v>5</v>
      </c>
      <c r="AQ22" s="72">
        <v>9</v>
      </c>
      <c r="AR22" s="170">
        <f t="shared" si="1"/>
        <v>21.142857142857142</v>
      </c>
      <c r="AS22" s="212">
        <v>20</v>
      </c>
      <c r="AT22" s="72">
        <v>20</v>
      </c>
      <c r="AU22" s="156">
        <f t="shared" si="5"/>
        <v>20.514285714285712</v>
      </c>
    </row>
    <row r="23" spans="1:47" ht="16" thickBot="1">
      <c r="A23" s="49">
        <v>10</v>
      </c>
      <c r="B23" s="296" t="s">
        <v>471</v>
      </c>
      <c r="C23" s="296"/>
      <c r="D23" s="296" t="s">
        <v>306</v>
      </c>
      <c r="E23" s="296"/>
      <c r="F23" s="86" t="s">
        <v>122</v>
      </c>
      <c r="G23" s="72">
        <v>2</v>
      </c>
      <c r="H23" s="72">
        <v>2.5</v>
      </c>
      <c r="I23" s="72">
        <v>1</v>
      </c>
      <c r="J23" s="72">
        <v>1</v>
      </c>
      <c r="K23" s="72">
        <v>3</v>
      </c>
      <c r="L23" s="72">
        <v>19</v>
      </c>
      <c r="M23" s="72">
        <v>2.5</v>
      </c>
      <c r="N23" s="72">
        <v>1</v>
      </c>
      <c r="O23" s="72"/>
      <c r="P23" s="72">
        <v>19</v>
      </c>
      <c r="Q23" s="72"/>
      <c r="R23" s="72">
        <v>1</v>
      </c>
      <c r="S23" s="103">
        <v>1</v>
      </c>
      <c r="T23" s="72"/>
      <c r="U23" s="72">
        <v>2</v>
      </c>
      <c r="V23" s="72">
        <v>18</v>
      </c>
      <c r="W23" s="72">
        <v>18</v>
      </c>
      <c r="X23" s="72">
        <f t="shared" si="0"/>
        <v>17.599999999999998</v>
      </c>
      <c r="Y23" s="118">
        <f t="shared" si="2"/>
        <v>17.82</v>
      </c>
      <c r="Z23" s="72">
        <v>3.5</v>
      </c>
      <c r="AA23" s="72">
        <v>3</v>
      </c>
      <c r="AB23" s="72">
        <v>7</v>
      </c>
      <c r="AC23" s="72">
        <f>2+6+9+8+8</f>
        <v>33</v>
      </c>
      <c r="AD23" s="72">
        <f t="shared" si="3"/>
        <v>22.994444444444444</v>
      </c>
      <c r="AE23" s="72">
        <v>17</v>
      </c>
      <c r="AF23" s="72">
        <v>14</v>
      </c>
      <c r="AG23" s="143">
        <f t="shared" si="4"/>
        <v>18.047777777777778</v>
      </c>
      <c r="AH23" s="159"/>
      <c r="AI23" s="72"/>
      <c r="AJ23" s="72">
        <v>2</v>
      </c>
      <c r="AK23" s="72">
        <v>5</v>
      </c>
      <c r="AL23" s="72"/>
      <c r="AM23" s="72"/>
      <c r="AN23" s="72">
        <v>1</v>
      </c>
      <c r="AO23" s="72">
        <v>1</v>
      </c>
      <c r="AP23" s="72">
        <v>8</v>
      </c>
      <c r="AQ23" s="72">
        <v>5</v>
      </c>
      <c r="AR23" s="170">
        <f t="shared" si="1"/>
        <v>12.571428571428571</v>
      </c>
      <c r="AS23" s="212">
        <f>42/56*20</f>
        <v>15</v>
      </c>
      <c r="AT23" s="72">
        <v>10</v>
      </c>
      <c r="AU23" s="156">
        <f t="shared" si="5"/>
        <v>11.907142857142858</v>
      </c>
    </row>
    <row r="24" spans="1:47" ht="16" thickBot="1">
      <c r="A24" s="49">
        <v>11</v>
      </c>
      <c r="B24" s="296" t="s">
        <v>307</v>
      </c>
      <c r="C24" s="296"/>
      <c r="D24" s="296" t="s">
        <v>308</v>
      </c>
      <c r="E24" s="296"/>
      <c r="F24" s="86" t="s">
        <v>274</v>
      </c>
      <c r="G24" s="72"/>
      <c r="H24" s="72"/>
      <c r="I24" s="72"/>
      <c r="J24" s="72"/>
      <c r="K24" s="72"/>
      <c r="L24" s="72"/>
      <c r="M24" s="72"/>
      <c r="N24" s="72"/>
      <c r="O24" s="72"/>
      <c r="P24" s="72">
        <v>19</v>
      </c>
      <c r="Q24" s="72"/>
      <c r="R24" s="72"/>
      <c r="S24" s="72"/>
      <c r="T24" s="72"/>
      <c r="U24" s="72"/>
      <c r="V24" s="72"/>
      <c r="W24" s="72">
        <v>2</v>
      </c>
      <c r="X24" s="72">
        <f t="shared" si="0"/>
        <v>2.85</v>
      </c>
      <c r="Y24" s="118">
        <f t="shared" si="2"/>
        <v>1.5825</v>
      </c>
      <c r="Z24" s="72"/>
      <c r="AA24" s="72"/>
      <c r="AB24" s="72"/>
      <c r="AC24" s="72"/>
      <c r="AD24" s="72">
        <f t="shared" si="3"/>
        <v>0</v>
      </c>
      <c r="AE24" s="72">
        <v>4</v>
      </c>
      <c r="AF24" s="72">
        <v>7</v>
      </c>
      <c r="AG24" s="143">
        <f t="shared" si="4"/>
        <v>3.75</v>
      </c>
      <c r="AH24" s="159"/>
      <c r="AI24" s="72">
        <v>1</v>
      </c>
      <c r="AJ24" s="72">
        <v>1</v>
      </c>
      <c r="AK24" s="72"/>
      <c r="AL24" s="72"/>
      <c r="AM24" s="72"/>
      <c r="AN24" s="72"/>
      <c r="AO24" s="72"/>
      <c r="AP24" s="72"/>
      <c r="AQ24" s="72"/>
      <c r="AR24" s="170">
        <f t="shared" si="1"/>
        <v>1.1428571428571428</v>
      </c>
      <c r="AS24" s="212">
        <f>12/56*20</f>
        <v>4.2857142857142856</v>
      </c>
      <c r="AT24" s="72"/>
      <c r="AU24" s="156">
        <f t="shared" si="5"/>
        <v>1.157142857142857</v>
      </c>
    </row>
    <row r="25" spans="1:47" ht="16" thickBot="1">
      <c r="A25" s="49">
        <v>12</v>
      </c>
      <c r="B25" s="296" t="s">
        <v>309</v>
      </c>
      <c r="C25" s="296"/>
      <c r="D25" s="296" t="s">
        <v>310</v>
      </c>
      <c r="E25" s="296"/>
      <c r="F25" s="86" t="s">
        <v>428</v>
      </c>
      <c r="G25" s="72"/>
      <c r="H25" s="72">
        <v>1</v>
      </c>
      <c r="I25" s="72">
        <v>1</v>
      </c>
      <c r="J25" s="72">
        <v>1</v>
      </c>
      <c r="K25" s="72">
        <v>2</v>
      </c>
      <c r="L25" s="72">
        <v>20</v>
      </c>
      <c r="M25" s="72"/>
      <c r="N25" s="72"/>
      <c r="O25" s="72">
        <v>2</v>
      </c>
      <c r="P25" s="72"/>
      <c r="Q25" s="72"/>
      <c r="R25" s="72">
        <v>1</v>
      </c>
      <c r="S25" s="72"/>
      <c r="T25" s="72"/>
      <c r="U25" s="72"/>
      <c r="V25" s="72">
        <v>8</v>
      </c>
      <c r="W25" s="72">
        <v>10</v>
      </c>
      <c r="X25" s="72">
        <f t="shared" si="0"/>
        <v>8.6</v>
      </c>
      <c r="Y25" s="118">
        <f t="shared" si="2"/>
        <v>8.57</v>
      </c>
      <c r="Z25" s="72"/>
      <c r="AA25" s="72"/>
      <c r="AB25" s="72"/>
      <c r="AC25" s="72"/>
      <c r="AD25" s="72">
        <f t="shared" si="3"/>
        <v>0</v>
      </c>
      <c r="AE25" s="72">
        <v>6</v>
      </c>
      <c r="AF25" s="72">
        <v>6</v>
      </c>
      <c r="AG25" s="143">
        <f t="shared" si="4"/>
        <v>3.6</v>
      </c>
      <c r="AH25" s="159">
        <v>2</v>
      </c>
      <c r="AI25" s="72"/>
      <c r="AJ25" s="72"/>
      <c r="AK25" s="72"/>
      <c r="AL25" s="72"/>
      <c r="AM25" s="72"/>
      <c r="AN25" s="72"/>
      <c r="AO25" s="72"/>
      <c r="AP25" s="72"/>
      <c r="AQ25" s="72"/>
      <c r="AR25" s="170">
        <f t="shared" si="1"/>
        <v>1.1428571428571428</v>
      </c>
      <c r="AS25" s="212">
        <f>12/56*20</f>
        <v>4.2857142857142856</v>
      </c>
      <c r="AT25" s="72"/>
      <c r="AU25" s="156">
        <f t="shared" si="5"/>
        <v>1.157142857142857</v>
      </c>
    </row>
    <row r="26" spans="1:47" ht="16" thickBot="1">
      <c r="A26" s="49">
        <v>13</v>
      </c>
      <c r="B26" s="296" t="s">
        <v>311</v>
      </c>
      <c r="C26" s="296"/>
      <c r="D26" s="296" t="s">
        <v>312</v>
      </c>
      <c r="E26" s="296"/>
      <c r="F26" s="86" t="s">
        <v>122</v>
      </c>
      <c r="G26" s="72">
        <v>2</v>
      </c>
      <c r="H26" s="72">
        <v>1</v>
      </c>
      <c r="I26" s="72">
        <v>1</v>
      </c>
      <c r="J26" s="72">
        <v>1</v>
      </c>
      <c r="K26" s="72">
        <v>2</v>
      </c>
      <c r="L26" s="72">
        <v>20</v>
      </c>
      <c r="M26" s="72">
        <v>2.5</v>
      </c>
      <c r="N26" s="72"/>
      <c r="O26" s="72">
        <v>1</v>
      </c>
      <c r="P26" s="72">
        <v>20</v>
      </c>
      <c r="Q26" s="72">
        <v>1</v>
      </c>
      <c r="R26" s="72">
        <v>1</v>
      </c>
      <c r="S26" s="103">
        <v>1</v>
      </c>
      <c r="T26" s="103">
        <v>2</v>
      </c>
      <c r="U26" s="103"/>
      <c r="V26" s="103">
        <v>20</v>
      </c>
      <c r="W26" s="103">
        <v>20</v>
      </c>
      <c r="X26" s="72">
        <f t="shared" si="0"/>
        <v>16.850000000000001</v>
      </c>
      <c r="Y26" s="118">
        <f t="shared" si="2"/>
        <v>18.5825</v>
      </c>
      <c r="Z26" s="103">
        <v>3</v>
      </c>
      <c r="AA26" s="72">
        <v>4</v>
      </c>
      <c r="AB26" s="72"/>
      <c r="AC26" s="72">
        <v>1</v>
      </c>
      <c r="AD26" s="72">
        <f t="shared" si="3"/>
        <v>3.9333333333333336</v>
      </c>
      <c r="AE26" s="72">
        <v>19</v>
      </c>
      <c r="AF26" s="72">
        <v>12</v>
      </c>
      <c r="AG26" s="143">
        <f t="shared" si="4"/>
        <v>9.8233333333333341</v>
      </c>
      <c r="AH26" s="159">
        <v>1</v>
      </c>
      <c r="AI26" s="72">
        <v>1</v>
      </c>
      <c r="AJ26" s="72"/>
      <c r="AK26" s="72"/>
      <c r="AL26" s="72"/>
      <c r="AM26" s="72"/>
      <c r="AN26" s="72"/>
      <c r="AO26" s="72">
        <v>7</v>
      </c>
      <c r="AP26" s="72">
        <v>8</v>
      </c>
      <c r="AQ26" s="72">
        <v>8</v>
      </c>
      <c r="AR26" s="170">
        <f t="shared" si="1"/>
        <v>14.285714285714286</v>
      </c>
      <c r="AS26" s="212">
        <f>54/56*20</f>
        <v>19.285714285714285</v>
      </c>
      <c r="AT26" s="72">
        <v>5</v>
      </c>
      <c r="AU26" s="156">
        <f t="shared" si="5"/>
        <v>11.321428571428571</v>
      </c>
    </row>
    <row r="27" spans="1:47" ht="16" thickBot="1">
      <c r="A27" s="49">
        <v>14</v>
      </c>
      <c r="B27" s="296" t="s">
        <v>313</v>
      </c>
      <c r="C27" s="296"/>
      <c r="D27" s="296" t="s">
        <v>35</v>
      </c>
      <c r="E27" s="296"/>
      <c r="F27" s="86" t="s">
        <v>43</v>
      </c>
      <c r="G27" s="72">
        <v>1</v>
      </c>
      <c r="H27" s="72">
        <v>2</v>
      </c>
      <c r="I27" s="72">
        <v>1</v>
      </c>
      <c r="J27" s="72">
        <v>1</v>
      </c>
      <c r="K27" s="72">
        <v>2</v>
      </c>
      <c r="L27" s="72">
        <v>19</v>
      </c>
      <c r="M27" s="72">
        <v>2.5</v>
      </c>
      <c r="N27" s="72">
        <v>1</v>
      </c>
      <c r="O27" s="72">
        <v>0.5</v>
      </c>
      <c r="P27" s="72">
        <v>15</v>
      </c>
      <c r="Q27" s="72">
        <v>1</v>
      </c>
      <c r="R27" s="72">
        <v>1</v>
      </c>
      <c r="S27" s="103">
        <v>1</v>
      </c>
      <c r="T27" s="72">
        <v>0.5</v>
      </c>
      <c r="U27" s="72">
        <v>1</v>
      </c>
      <c r="V27" s="72">
        <v>8</v>
      </c>
      <c r="W27" s="72">
        <v>20</v>
      </c>
      <c r="X27" s="72">
        <f t="shared" si="0"/>
        <v>15.95</v>
      </c>
      <c r="Y27" s="118">
        <f t="shared" si="2"/>
        <v>13.377500000000001</v>
      </c>
      <c r="Z27" s="72">
        <v>4.5</v>
      </c>
      <c r="AA27" s="72">
        <v>4</v>
      </c>
      <c r="AB27" s="72">
        <v>9</v>
      </c>
      <c r="AC27" s="72">
        <f>4+5+8+7</f>
        <v>24</v>
      </c>
      <c r="AD27" s="72">
        <f t="shared" si="3"/>
        <v>21.65</v>
      </c>
      <c r="AE27" s="72">
        <v>19</v>
      </c>
      <c r="AF27" s="72">
        <v>14</v>
      </c>
      <c r="AG27" s="143">
        <f t="shared" si="4"/>
        <v>17.810000000000002</v>
      </c>
      <c r="AH27" s="159"/>
      <c r="AI27" s="72"/>
      <c r="AJ27" s="72"/>
      <c r="AK27" s="72"/>
      <c r="AL27" s="72"/>
      <c r="AM27" s="72"/>
      <c r="AN27" s="72"/>
      <c r="AO27" s="72"/>
      <c r="AP27" s="72"/>
      <c r="AQ27" s="72"/>
      <c r="AR27" s="170">
        <f t="shared" si="1"/>
        <v>0</v>
      </c>
      <c r="AS27" s="212">
        <f>38/56*20</f>
        <v>13.571428571428573</v>
      </c>
      <c r="AT27" s="72">
        <v>5</v>
      </c>
      <c r="AU27" s="156">
        <f t="shared" si="5"/>
        <v>4.0357142857142865</v>
      </c>
    </row>
    <row r="28" spans="1:47" ht="16" thickBot="1">
      <c r="A28" s="49">
        <v>15</v>
      </c>
      <c r="B28" s="296" t="s">
        <v>301</v>
      </c>
      <c r="C28" s="296"/>
      <c r="D28" s="296" t="s">
        <v>302</v>
      </c>
      <c r="E28" s="296"/>
      <c r="F28" s="86" t="s">
        <v>122</v>
      </c>
      <c r="G28" s="72">
        <v>2</v>
      </c>
      <c r="H28" s="72">
        <v>2</v>
      </c>
      <c r="I28" s="72">
        <v>1</v>
      </c>
      <c r="J28" s="72">
        <v>1</v>
      </c>
      <c r="K28" s="72">
        <v>1</v>
      </c>
      <c r="L28" s="72">
        <v>19</v>
      </c>
      <c r="M28" s="72">
        <v>2.5</v>
      </c>
      <c r="N28" s="72">
        <v>1</v>
      </c>
      <c r="O28" s="72"/>
      <c r="P28" s="72">
        <v>18</v>
      </c>
      <c r="Q28" s="72"/>
      <c r="R28" s="72">
        <v>1</v>
      </c>
      <c r="S28" s="72"/>
      <c r="T28" s="72"/>
      <c r="U28" s="72"/>
      <c r="V28" s="72">
        <v>10</v>
      </c>
      <c r="W28" s="72">
        <v>20</v>
      </c>
      <c r="X28" s="72">
        <f t="shared" si="0"/>
        <v>13.599999999999998</v>
      </c>
      <c r="Y28" s="118">
        <f t="shared" si="2"/>
        <v>13.12</v>
      </c>
      <c r="Z28" s="72"/>
      <c r="AA28" s="72">
        <v>2</v>
      </c>
      <c r="AB28" s="72"/>
      <c r="AC28" s="72">
        <f>3+5+4+1</f>
        <v>13</v>
      </c>
      <c r="AD28" s="72">
        <f t="shared" si="3"/>
        <v>6.6333333333333346</v>
      </c>
      <c r="AE28" s="72">
        <v>19</v>
      </c>
      <c r="AF28" s="72">
        <v>7</v>
      </c>
      <c r="AG28" s="143">
        <f t="shared" si="4"/>
        <v>8.6533333333333342</v>
      </c>
      <c r="AH28" s="159"/>
      <c r="AI28" s="72">
        <v>1</v>
      </c>
      <c r="AJ28" s="72"/>
      <c r="AK28" s="72">
        <v>2</v>
      </c>
      <c r="AL28" s="72"/>
      <c r="AM28" s="72"/>
      <c r="AN28" s="72"/>
      <c r="AO28" s="72">
        <v>8</v>
      </c>
      <c r="AP28" s="72">
        <v>8</v>
      </c>
      <c r="AQ28" s="72"/>
      <c r="AR28" s="170">
        <f t="shared" si="1"/>
        <v>10.857142857142856</v>
      </c>
      <c r="AS28" s="212">
        <f>48/56*20</f>
        <v>17.142857142857142</v>
      </c>
      <c r="AT28" s="72">
        <v>5</v>
      </c>
      <c r="AU28" s="156">
        <f t="shared" si="5"/>
        <v>9.4571428571428555</v>
      </c>
    </row>
    <row r="29" spans="1:47" ht="16" thickBot="1">
      <c r="A29" s="49">
        <v>16</v>
      </c>
      <c r="B29" s="296" t="s">
        <v>384</v>
      </c>
      <c r="C29" s="296"/>
      <c r="D29" s="296" t="s">
        <v>29</v>
      </c>
      <c r="E29" s="296"/>
      <c r="F29" s="86" t="s">
        <v>274</v>
      </c>
      <c r="G29" s="72">
        <v>3</v>
      </c>
      <c r="H29" s="72">
        <v>2</v>
      </c>
      <c r="I29" s="72"/>
      <c r="J29" s="72"/>
      <c r="K29" s="72"/>
      <c r="L29" s="72"/>
      <c r="M29" s="72">
        <v>2.5</v>
      </c>
      <c r="N29" s="72"/>
      <c r="O29" s="72"/>
      <c r="P29" s="72"/>
      <c r="Q29" s="72"/>
      <c r="R29" s="72"/>
      <c r="S29" s="72"/>
      <c r="T29" s="72"/>
      <c r="U29" s="72"/>
      <c r="V29" s="72">
        <v>11</v>
      </c>
      <c r="W29" s="72">
        <v>10</v>
      </c>
      <c r="X29" s="72">
        <f t="shared" si="0"/>
        <v>5.25</v>
      </c>
      <c r="Y29" s="118">
        <f t="shared" si="2"/>
        <v>8.2625000000000011</v>
      </c>
      <c r="Z29" s="72"/>
      <c r="AA29" s="72"/>
      <c r="AB29" s="72"/>
      <c r="AC29" s="72"/>
      <c r="AD29" s="72">
        <f t="shared" si="3"/>
        <v>0</v>
      </c>
      <c r="AE29" s="72">
        <v>5</v>
      </c>
      <c r="AF29" s="72"/>
      <c r="AG29" s="143">
        <f t="shared" si="4"/>
        <v>0.75</v>
      </c>
      <c r="AH29" s="159"/>
      <c r="AI29" s="72"/>
      <c r="AJ29" s="72"/>
      <c r="AK29" s="72"/>
      <c r="AL29" s="72"/>
      <c r="AM29" s="72"/>
      <c r="AN29" s="72"/>
      <c r="AO29" s="72"/>
      <c r="AP29" s="72"/>
      <c r="AQ29" s="72"/>
      <c r="AR29" s="170">
        <f t="shared" si="1"/>
        <v>0</v>
      </c>
      <c r="AS29" s="212">
        <f>10/56*20</f>
        <v>3.5714285714285716</v>
      </c>
      <c r="AT29" s="72"/>
      <c r="AU29" s="156">
        <f t="shared" si="5"/>
        <v>0.5357142857142857</v>
      </c>
    </row>
    <row r="30" spans="1:47" ht="16" thickBot="1">
      <c r="A30" s="49">
        <v>17</v>
      </c>
      <c r="B30" s="296" t="s">
        <v>30</v>
      </c>
      <c r="C30" s="296"/>
      <c r="D30" s="296" t="s">
        <v>386</v>
      </c>
      <c r="E30" s="296"/>
      <c r="F30" s="86" t="s">
        <v>437</v>
      </c>
      <c r="G30" s="72">
        <v>1</v>
      </c>
      <c r="H30" s="72">
        <v>1</v>
      </c>
      <c r="I30" s="72">
        <v>1</v>
      </c>
      <c r="J30" s="72">
        <v>1</v>
      </c>
      <c r="K30" s="72">
        <v>2</v>
      </c>
      <c r="L30" s="72">
        <v>19</v>
      </c>
      <c r="M30" s="72">
        <v>2.5</v>
      </c>
      <c r="N30" s="72"/>
      <c r="O30" s="72"/>
      <c r="P30" s="72">
        <v>19</v>
      </c>
      <c r="Q30" s="72"/>
      <c r="R30" s="72">
        <v>1</v>
      </c>
      <c r="S30" s="72">
        <v>1</v>
      </c>
      <c r="T30" s="72">
        <v>2</v>
      </c>
      <c r="U30" s="72">
        <v>2</v>
      </c>
      <c r="V30" s="72">
        <v>12</v>
      </c>
      <c r="W30" s="72">
        <v>18</v>
      </c>
      <c r="X30" s="72">
        <f t="shared" si="0"/>
        <v>15.849999999999998</v>
      </c>
      <c r="Y30" s="118">
        <f t="shared" si="2"/>
        <v>14.6325</v>
      </c>
      <c r="Z30" s="72"/>
      <c r="AA30" s="72"/>
      <c r="AB30" s="72"/>
      <c r="AC30" s="72"/>
      <c r="AD30" s="72">
        <f t="shared" si="3"/>
        <v>0</v>
      </c>
      <c r="AE30" s="72">
        <v>11</v>
      </c>
      <c r="AF30" s="72">
        <v>7</v>
      </c>
      <c r="AG30" s="143">
        <f t="shared" si="4"/>
        <v>4.8</v>
      </c>
      <c r="AH30" s="159"/>
      <c r="AI30" s="72"/>
      <c r="AJ30" s="72"/>
      <c r="AK30" s="72"/>
      <c r="AL30" s="72"/>
      <c r="AM30" s="72"/>
      <c r="AN30" s="72"/>
      <c r="AO30" s="72"/>
      <c r="AP30" s="72"/>
      <c r="AQ30" s="72"/>
      <c r="AR30" s="170">
        <f t="shared" si="1"/>
        <v>0</v>
      </c>
      <c r="AS30" s="212">
        <f>22/56*20</f>
        <v>7.8571428571428568</v>
      </c>
      <c r="AT30" s="72"/>
      <c r="AU30" s="156">
        <f t="shared" si="5"/>
        <v>1.1785714285714284</v>
      </c>
    </row>
    <row r="31" spans="1:47" ht="16" thickBot="1">
      <c r="A31" s="49">
        <v>18</v>
      </c>
      <c r="B31" s="296" t="s">
        <v>387</v>
      </c>
      <c r="C31" s="296"/>
      <c r="D31" s="296" t="s">
        <v>215</v>
      </c>
      <c r="E31" s="296"/>
      <c r="F31" s="86" t="s">
        <v>122</v>
      </c>
      <c r="G31" s="72">
        <v>2</v>
      </c>
      <c r="H31" s="72">
        <v>2</v>
      </c>
      <c r="I31" s="72">
        <v>1</v>
      </c>
      <c r="J31" s="72">
        <v>1</v>
      </c>
      <c r="K31" s="72">
        <v>2</v>
      </c>
      <c r="L31" s="72">
        <v>19</v>
      </c>
      <c r="M31" s="72">
        <v>2.5</v>
      </c>
      <c r="N31" s="72">
        <v>2</v>
      </c>
      <c r="O31" s="72"/>
      <c r="P31" s="72">
        <v>18</v>
      </c>
      <c r="Q31" s="72"/>
      <c r="R31" s="72">
        <v>1</v>
      </c>
      <c r="S31" s="103">
        <v>1</v>
      </c>
      <c r="T31" s="103">
        <v>1</v>
      </c>
      <c r="U31" s="103">
        <v>2</v>
      </c>
      <c r="V31" s="103">
        <v>13</v>
      </c>
      <c r="W31" s="103">
        <v>16</v>
      </c>
      <c r="X31" s="72">
        <f t="shared" si="0"/>
        <v>17.8</v>
      </c>
      <c r="Y31" s="118">
        <f t="shared" si="2"/>
        <v>15.61</v>
      </c>
      <c r="Z31" s="103">
        <v>5</v>
      </c>
      <c r="AA31" s="72"/>
      <c r="AB31" s="72">
        <v>5</v>
      </c>
      <c r="AC31" s="72">
        <f>8+4</f>
        <v>12</v>
      </c>
      <c r="AD31" s="72">
        <f t="shared" si="3"/>
        <v>11.588888888888889</v>
      </c>
      <c r="AE31" s="72">
        <v>15</v>
      </c>
      <c r="AF31" s="72">
        <v>10</v>
      </c>
      <c r="AG31" s="143">
        <f t="shared" si="4"/>
        <v>11.385555555555555</v>
      </c>
      <c r="AH31" s="159"/>
      <c r="AI31" s="72">
        <v>3</v>
      </c>
      <c r="AJ31" s="72">
        <v>1</v>
      </c>
      <c r="AK31" s="72"/>
      <c r="AL31" s="72">
        <v>2</v>
      </c>
      <c r="AM31" s="72"/>
      <c r="AN31" s="72"/>
      <c r="AO31" s="72"/>
      <c r="AP31" s="72">
        <v>13</v>
      </c>
      <c r="AQ31" s="72">
        <v>9</v>
      </c>
      <c r="AR31" s="170">
        <f t="shared" si="1"/>
        <v>16</v>
      </c>
      <c r="AS31" s="212">
        <f>42/56*20</f>
        <v>15</v>
      </c>
      <c r="AT31" s="72">
        <v>5</v>
      </c>
      <c r="AU31" s="156">
        <f t="shared" si="5"/>
        <v>11.45</v>
      </c>
    </row>
    <row r="32" spans="1:47" ht="16" thickBot="1">
      <c r="A32" s="49">
        <v>19</v>
      </c>
      <c r="B32" s="296" t="s">
        <v>216</v>
      </c>
      <c r="C32" s="296"/>
      <c r="D32" s="296" t="s">
        <v>217</v>
      </c>
      <c r="E32" s="296"/>
      <c r="F32" s="86" t="s">
        <v>459</v>
      </c>
      <c r="G32" s="72"/>
      <c r="H32" s="72">
        <v>1</v>
      </c>
      <c r="I32" s="72">
        <v>1</v>
      </c>
      <c r="J32" s="72">
        <v>1</v>
      </c>
      <c r="K32" s="72">
        <v>2</v>
      </c>
      <c r="L32" s="72">
        <v>18</v>
      </c>
      <c r="M32" s="72">
        <v>2</v>
      </c>
      <c r="N32" s="72"/>
      <c r="O32" s="72"/>
      <c r="P32" s="72"/>
      <c r="Q32" s="72">
        <v>1</v>
      </c>
      <c r="R32" s="72">
        <v>1</v>
      </c>
      <c r="S32" s="103">
        <v>1</v>
      </c>
      <c r="T32" s="72"/>
      <c r="U32" s="72"/>
      <c r="V32" s="103">
        <v>13</v>
      </c>
      <c r="W32" s="103">
        <v>10</v>
      </c>
      <c r="X32" s="72">
        <f t="shared" si="0"/>
        <v>9.6999999999999993</v>
      </c>
      <c r="Y32" s="118">
        <f t="shared" si="2"/>
        <v>11.065000000000001</v>
      </c>
      <c r="Z32" s="103"/>
      <c r="AA32" s="72">
        <v>1</v>
      </c>
      <c r="AB32" s="72">
        <v>5</v>
      </c>
      <c r="AC32" s="72">
        <f>3+5+4+2</f>
        <v>14</v>
      </c>
      <c r="AD32" s="72">
        <f t="shared" si="3"/>
        <v>10.455555555555556</v>
      </c>
      <c r="AE32" s="72">
        <v>13</v>
      </c>
      <c r="AF32" s="72">
        <v>8</v>
      </c>
      <c r="AG32" s="143">
        <f t="shared" si="4"/>
        <v>9.732222222222223</v>
      </c>
      <c r="AH32" s="159"/>
      <c r="AI32" s="72">
        <v>4</v>
      </c>
      <c r="AJ32" s="72">
        <v>1</v>
      </c>
      <c r="AK32" s="72">
        <v>4</v>
      </c>
      <c r="AL32" s="72"/>
      <c r="AM32" s="72"/>
      <c r="AN32" s="72">
        <v>1</v>
      </c>
      <c r="AO32" s="72">
        <v>4</v>
      </c>
      <c r="AP32" s="72">
        <v>2</v>
      </c>
      <c r="AQ32" s="72">
        <v>0.5</v>
      </c>
      <c r="AR32" s="170">
        <f t="shared" si="1"/>
        <v>9.4285714285714288</v>
      </c>
      <c r="AS32" s="212">
        <f>40/56*20</f>
        <v>14.285714285714286</v>
      </c>
      <c r="AT32" s="72">
        <v>5</v>
      </c>
      <c r="AU32" s="156">
        <f t="shared" si="5"/>
        <v>8.3857142857142861</v>
      </c>
    </row>
    <row r="33" spans="1:47" ht="16" thickBot="1">
      <c r="A33" s="49">
        <v>20</v>
      </c>
      <c r="B33" s="296" t="s">
        <v>218</v>
      </c>
      <c r="C33" s="296"/>
      <c r="D33" s="296" t="s">
        <v>219</v>
      </c>
      <c r="E33" s="296"/>
      <c r="F33" s="86" t="s">
        <v>122</v>
      </c>
      <c r="G33" s="72">
        <v>1</v>
      </c>
      <c r="H33" s="72">
        <v>1</v>
      </c>
      <c r="I33" s="72">
        <v>1</v>
      </c>
      <c r="J33" s="72"/>
      <c r="K33" s="72">
        <v>2</v>
      </c>
      <c r="L33" s="72">
        <v>20</v>
      </c>
      <c r="M33" s="72">
        <v>2.5</v>
      </c>
      <c r="N33" s="72">
        <v>1</v>
      </c>
      <c r="O33" s="72"/>
      <c r="P33" s="72">
        <v>19</v>
      </c>
      <c r="Q33" s="72"/>
      <c r="R33" s="72">
        <v>1</v>
      </c>
      <c r="S33" s="103">
        <v>1</v>
      </c>
      <c r="T33" s="72"/>
      <c r="U33" s="72"/>
      <c r="V33" s="72">
        <v>7</v>
      </c>
      <c r="W33" s="72">
        <v>18</v>
      </c>
      <c r="X33" s="72">
        <f t="shared" si="0"/>
        <v>13.2</v>
      </c>
      <c r="Y33" s="118">
        <f t="shared" si="2"/>
        <v>11.44</v>
      </c>
      <c r="Z33" s="72"/>
      <c r="AA33" s="72">
        <v>1</v>
      </c>
      <c r="AB33" s="72">
        <v>9</v>
      </c>
      <c r="AC33" s="72">
        <f>1+6+2+2</f>
        <v>11</v>
      </c>
      <c r="AD33" s="72">
        <f t="shared" si="3"/>
        <v>12.266666666666666</v>
      </c>
      <c r="AE33" s="72">
        <v>18</v>
      </c>
      <c r="AF33" s="72">
        <v>8</v>
      </c>
      <c r="AG33" s="143">
        <f t="shared" si="4"/>
        <v>11.206666666666667</v>
      </c>
      <c r="AH33" s="159"/>
      <c r="AI33" s="72">
        <v>2</v>
      </c>
      <c r="AJ33" s="72">
        <v>1</v>
      </c>
      <c r="AK33" s="72">
        <v>3</v>
      </c>
      <c r="AL33" s="72"/>
      <c r="AM33" s="72"/>
      <c r="AN33" s="72">
        <v>9</v>
      </c>
      <c r="AO33" s="72"/>
      <c r="AP33" s="72">
        <v>10</v>
      </c>
      <c r="AQ33" s="72">
        <v>6</v>
      </c>
      <c r="AR33" s="170">
        <f t="shared" si="1"/>
        <v>17.714285714285715</v>
      </c>
      <c r="AS33" s="212">
        <f>50/56*20</f>
        <v>17.857142857142858</v>
      </c>
      <c r="AT33" s="72">
        <v>5</v>
      </c>
      <c r="AU33" s="156">
        <f t="shared" si="5"/>
        <v>12.650000000000002</v>
      </c>
    </row>
    <row r="34" spans="1:47" ht="16" thickBot="1">
      <c r="A34" s="49">
        <v>21</v>
      </c>
      <c r="B34" s="296" t="s">
        <v>305</v>
      </c>
      <c r="C34" s="296"/>
      <c r="D34" s="296" t="s">
        <v>85</v>
      </c>
      <c r="E34" s="296"/>
      <c r="F34" s="86" t="s">
        <v>274</v>
      </c>
      <c r="G34" s="72">
        <v>3</v>
      </c>
      <c r="H34" s="72">
        <v>3</v>
      </c>
      <c r="I34" s="72">
        <v>1</v>
      </c>
      <c r="J34" s="72"/>
      <c r="K34" s="72">
        <v>3</v>
      </c>
      <c r="L34" s="72">
        <v>20</v>
      </c>
      <c r="M34" s="72">
        <v>4</v>
      </c>
      <c r="N34" s="72">
        <v>2</v>
      </c>
      <c r="O34" s="72">
        <v>4</v>
      </c>
      <c r="P34" s="72">
        <v>20</v>
      </c>
      <c r="Q34" s="72">
        <v>1</v>
      </c>
      <c r="R34" s="72"/>
      <c r="S34" s="103">
        <v>1</v>
      </c>
      <c r="T34" s="103">
        <v>2</v>
      </c>
      <c r="U34" s="103"/>
      <c r="V34" s="103">
        <v>20</v>
      </c>
      <c r="W34" s="103">
        <v>16</v>
      </c>
      <c r="X34" s="72">
        <f t="shared" si="0"/>
        <v>22.799999999999997</v>
      </c>
      <c r="Y34" s="118">
        <f t="shared" si="2"/>
        <v>20.66</v>
      </c>
      <c r="Z34" s="103">
        <v>3</v>
      </c>
      <c r="AA34" s="72">
        <v>6</v>
      </c>
      <c r="AB34" s="72">
        <v>1</v>
      </c>
      <c r="AC34" s="72">
        <f>3+6+10+8+8</f>
        <v>35</v>
      </c>
      <c r="AD34" s="72">
        <f t="shared" si="3"/>
        <v>20.444444444444446</v>
      </c>
      <c r="AE34" s="72">
        <v>17</v>
      </c>
      <c r="AF34" s="72">
        <v>20</v>
      </c>
      <c r="AG34" s="143">
        <f t="shared" si="4"/>
        <v>19.727777777777781</v>
      </c>
      <c r="AH34" s="159">
        <v>2</v>
      </c>
      <c r="AI34" s="72"/>
      <c r="AJ34" s="72">
        <v>2</v>
      </c>
      <c r="AK34" s="72">
        <v>5</v>
      </c>
      <c r="AL34" s="72">
        <v>5</v>
      </c>
      <c r="AM34" s="72"/>
      <c r="AN34" s="72"/>
      <c r="AO34" s="72"/>
      <c r="AP34" s="72"/>
      <c r="AQ34" s="72">
        <v>9</v>
      </c>
      <c r="AR34" s="170">
        <f t="shared" si="1"/>
        <v>13.142857142857142</v>
      </c>
      <c r="AS34" s="212">
        <f>44/56*20</f>
        <v>15.714285714285714</v>
      </c>
      <c r="AT34" s="72">
        <v>10</v>
      </c>
      <c r="AU34" s="156">
        <f t="shared" si="5"/>
        <v>12.271428571428572</v>
      </c>
    </row>
    <row r="35" spans="1:47" ht="16" thickTop="1">
      <c r="G35" s="100">
        <v>3</v>
      </c>
      <c r="H35" s="100">
        <v>2</v>
      </c>
      <c r="I35" s="100">
        <v>1</v>
      </c>
      <c r="J35" s="100">
        <v>1</v>
      </c>
      <c r="K35" s="100">
        <v>3</v>
      </c>
      <c r="L35" s="100">
        <v>20</v>
      </c>
      <c r="M35" s="100">
        <v>3</v>
      </c>
      <c r="N35" s="100">
        <v>2</v>
      </c>
      <c r="O35" s="100">
        <v>1</v>
      </c>
      <c r="P35" s="100">
        <v>20</v>
      </c>
      <c r="Q35">
        <v>1</v>
      </c>
      <c r="R35" s="100">
        <v>1</v>
      </c>
      <c r="S35" s="100">
        <v>1</v>
      </c>
      <c r="T35" s="100">
        <v>2</v>
      </c>
      <c r="U35" s="112">
        <v>2</v>
      </c>
      <c r="V35" s="100">
        <v>20</v>
      </c>
      <c r="W35" s="100">
        <v>20</v>
      </c>
      <c r="X35" s="72">
        <f>(SUM(G35:K35)+SUM(M35:O35)+SUM(Q35:U35))*0.7+L35*0.15+P35*0.15</f>
        <v>22.099999999999998</v>
      </c>
      <c r="Y35" s="118">
        <f t="shared" si="2"/>
        <v>20.945</v>
      </c>
      <c r="Z35" s="100">
        <v>2</v>
      </c>
      <c r="AA35" s="100">
        <v>2</v>
      </c>
      <c r="AB35" s="100">
        <v>9</v>
      </c>
      <c r="AC35">
        <v>30</v>
      </c>
      <c r="AD35" s="72">
        <f t="shared" si="3"/>
        <v>22</v>
      </c>
      <c r="AE35" s="100">
        <v>20</v>
      </c>
      <c r="AF35" s="100">
        <v>20</v>
      </c>
      <c r="AG35" s="143">
        <f t="shared" si="4"/>
        <v>20.8</v>
      </c>
      <c r="AH35" s="160">
        <v>1</v>
      </c>
      <c r="AI35" s="100">
        <v>4</v>
      </c>
      <c r="AJ35" s="100">
        <v>2</v>
      </c>
      <c r="AK35" s="100">
        <v>5</v>
      </c>
      <c r="AL35" s="100">
        <v>5</v>
      </c>
      <c r="AM35" s="100">
        <v>2</v>
      </c>
      <c r="AN35" s="100">
        <v>3</v>
      </c>
      <c r="AO35" s="100">
        <v>2</v>
      </c>
      <c r="AP35" s="100">
        <v>13</v>
      </c>
      <c r="AQ35" s="100">
        <v>9</v>
      </c>
      <c r="AR35" s="169">
        <f>SUM(AH35:AQ35)/35*20</f>
        <v>26.285714285714285</v>
      </c>
      <c r="AS35" s="213">
        <v>20</v>
      </c>
      <c r="AT35" s="100">
        <v>20</v>
      </c>
      <c r="AU35" s="156">
        <f t="shared" si="5"/>
        <v>22.828571428571429</v>
      </c>
    </row>
    <row r="36" spans="1:47">
      <c r="A36" t="s">
        <v>373</v>
      </c>
      <c r="D36" t="s">
        <v>375</v>
      </c>
      <c r="E36" t="s">
        <v>220</v>
      </c>
      <c r="F36" s="125" t="s">
        <v>153</v>
      </c>
      <c r="G36" t="s">
        <v>244</v>
      </c>
    </row>
    <row r="37" spans="1:47">
      <c r="A37" t="s">
        <v>374</v>
      </c>
      <c r="D37" t="s">
        <v>485</v>
      </c>
      <c r="E37" t="s">
        <v>221</v>
      </c>
      <c r="F37" s="125" t="s">
        <v>154</v>
      </c>
      <c r="G37" t="s">
        <v>134</v>
      </c>
    </row>
    <row r="38" spans="1:47" ht="16">
      <c r="D38" t="s">
        <v>504</v>
      </c>
      <c r="F38" s="126" t="s">
        <v>155</v>
      </c>
      <c r="G38" t="s">
        <v>135</v>
      </c>
    </row>
    <row r="39" spans="1:47" ht="16">
      <c r="D39" t="s">
        <v>152</v>
      </c>
      <c r="F39" s="126" t="s">
        <v>155</v>
      </c>
      <c r="G39" t="s">
        <v>341</v>
      </c>
    </row>
  </sheetData>
  <sheetCalcPr fullCalcOnLoad="1"/>
  <mergeCells count="56"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27:C27"/>
    <mergeCell ref="D18:E18"/>
    <mergeCell ref="D19:E19"/>
    <mergeCell ref="B28:C28"/>
    <mergeCell ref="B29:C29"/>
    <mergeCell ref="D20:E20"/>
    <mergeCell ref="D21:E21"/>
    <mergeCell ref="D22:E22"/>
    <mergeCell ref="D23:E23"/>
    <mergeCell ref="D24:E24"/>
    <mergeCell ref="D25:E25"/>
    <mergeCell ref="D26:E26"/>
    <mergeCell ref="D27:E27"/>
    <mergeCell ref="D28:E28"/>
    <mergeCell ref="D29:E29"/>
    <mergeCell ref="B22:C22"/>
    <mergeCell ref="B30:C30"/>
    <mergeCell ref="B31:C31"/>
    <mergeCell ref="B32:C32"/>
    <mergeCell ref="B33:C33"/>
    <mergeCell ref="B34:C34"/>
    <mergeCell ref="D14:E14"/>
    <mergeCell ref="D15:E15"/>
    <mergeCell ref="D16:E16"/>
    <mergeCell ref="C6:F6"/>
    <mergeCell ref="C11:D11"/>
    <mergeCell ref="C12:E12"/>
    <mergeCell ref="A9:F9"/>
    <mergeCell ref="A10:B10"/>
    <mergeCell ref="B3:B7"/>
    <mergeCell ref="B13:C13"/>
    <mergeCell ref="B14:C14"/>
    <mergeCell ref="B15:C15"/>
    <mergeCell ref="B16:C16"/>
    <mergeCell ref="A11:B11"/>
    <mergeCell ref="A12:B12"/>
    <mergeCell ref="E1:F1"/>
    <mergeCell ref="E10:F10"/>
    <mergeCell ref="E4:F4"/>
    <mergeCell ref="D3:F3"/>
    <mergeCell ref="D13:E13"/>
    <mergeCell ref="D33:E33"/>
    <mergeCell ref="D34:E34"/>
    <mergeCell ref="D17:E17"/>
    <mergeCell ref="D30:E30"/>
    <mergeCell ref="D31:E31"/>
    <mergeCell ref="D32:E32"/>
  </mergeCells>
  <phoneticPr fontId="2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41"/>
  <sheetViews>
    <sheetView tabSelected="1" topLeftCell="B9" workbookViewId="0">
      <selection activeCell="B22" sqref="A22:XFD22"/>
    </sheetView>
  </sheetViews>
  <sheetFormatPr baseColWidth="10" defaultRowHeight="15"/>
  <cols>
    <col min="1" max="1" width="6.75" customWidth="1"/>
    <col min="2" max="2" width="7.25" customWidth="1"/>
    <col min="3" max="3" width="0.875" customWidth="1"/>
    <col min="4" max="4" width="23.125" customWidth="1"/>
    <col min="5" max="5" width="3.375" customWidth="1"/>
    <col min="7" max="11" width="5.625" customWidth="1"/>
    <col min="12" max="12" width="5.625" style="117" customWidth="1"/>
    <col min="13" max="15" width="5.625" customWidth="1"/>
    <col min="16" max="16" width="5.625" style="128" customWidth="1"/>
    <col min="17" max="17" width="5.625" style="130" customWidth="1"/>
    <col min="18" max="22" width="5.625" customWidth="1"/>
    <col min="23" max="23" width="5.625" style="206" customWidth="1"/>
    <col min="24" max="24" width="5.625" customWidth="1"/>
    <col min="25" max="25" width="4.625" bestFit="1" customWidth="1"/>
  </cols>
  <sheetData>
    <row r="1" spans="1:25">
      <c r="A1" s="51"/>
      <c r="B1" s="51"/>
      <c r="C1" s="51"/>
      <c r="D1" s="51"/>
      <c r="E1" s="309"/>
      <c r="F1" s="309"/>
    </row>
    <row r="2" spans="1:25">
      <c r="A2" s="51"/>
      <c r="B2" s="51"/>
      <c r="C2" s="51"/>
      <c r="D2" s="51"/>
      <c r="E2" s="51"/>
      <c r="F2" s="51"/>
    </row>
    <row r="3" spans="1:25" ht="18">
      <c r="A3" s="51"/>
      <c r="B3" s="313"/>
      <c r="C3" s="51"/>
      <c r="D3" s="317"/>
      <c r="E3" s="317"/>
      <c r="F3" s="317"/>
    </row>
    <row r="4" spans="1:25">
      <c r="A4" s="51"/>
      <c r="B4" s="313"/>
      <c r="C4" s="51"/>
      <c r="D4" s="51"/>
      <c r="E4" s="311"/>
      <c r="F4" s="311"/>
    </row>
    <row r="5" spans="1:25">
      <c r="A5" s="51"/>
      <c r="B5" s="313"/>
      <c r="C5" s="51"/>
      <c r="D5" s="51"/>
      <c r="E5" s="51"/>
      <c r="F5" s="51"/>
    </row>
    <row r="6" spans="1:25">
      <c r="A6" s="51"/>
      <c r="B6" s="313"/>
      <c r="C6" s="315" t="s">
        <v>36</v>
      </c>
      <c r="D6" s="315"/>
      <c r="E6" s="315"/>
      <c r="F6" s="315"/>
    </row>
    <row r="7" spans="1:25">
      <c r="A7" s="51"/>
      <c r="B7" s="313"/>
      <c r="C7" s="51"/>
      <c r="D7" s="51"/>
      <c r="E7" s="51"/>
      <c r="F7" s="51"/>
    </row>
    <row r="8" spans="1:25">
      <c r="A8" s="51"/>
      <c r="B8" s="51"/>
      <c r="C8" s="51"/>
      <c r="D8" s="51"/>
      <c r="E8" s="51"/>
      <c r="F8" s="51"/>
    </row>
    <row r="9" spans="1:25" ht="16" thickBot="1">
      <c r="A9" s="313"/>
      <c r="B9" s="313"/>
      <c r="C9" s="313"/>
      <c r="D9" s="313"/>
      <c r="E9" s="313"/>
      <c r="F9" s="313"/>
    </row>
    <row r="10" spans="1:25" ht="24" thickTop="1" thickBot="1">
      <c r="A10" s="314" t="s">
        <v>322</v>
      </c>
      <c r="B10" s="314"/>
      <c r="C10" s="57" t="s">
        <v>37</v>
      </c>
      <c r="D10" s="53"/>
      <c r="E10" s="310"/>
      <c r="F10" s="310"/>
    </row>
    <row r="11" spans="1:25" ht="35" thickTop="1" thickBot="1">
      <c r="A11" s="314" t="s">
        <v>323</v>
      </c>
      <c r="B11" s="314"/>
      <c r="C11" s="316" t="s">
        <v>58</v>
      </c>
      <c r="D11" s="316"/>
      <c r="E11" s="52" t="s">
        <v>458</v>
      </c>
      <c r="F11" s="54" t="s">
        <v>55</v>
      </c>
      <c r="G11" s="72"/>
      <c r="H11" s="72"/>
      <c r="I11" s="72"/>
      <c r="J11" s="72"/>
      <c r="K11" s="72"/>
      <c r="L11" s="118"/>
      <c r="M11" s="72"/>
      <c r="N11" s="72"/>
      <c r="O11" s="72"/>
      <c r="P11" s="129"/>
      <c r="Q11" s="131"/>
      <c r="R11" s="72"/>
      <c r="S11" s="72"/>
      <c r="T11" s="72"/>
      <c r="U11" s="72"/>
      <c r="V11" s="72">
        <v>3</v>
      </c>
      <c r="W11" s="207"/>
      <c r="X11" s="127"/>
    </row>
    <row r="12" spans="1:25" ht="17" thickTop="1" thickBot="1">
      <c r="A12" s="314" t="s">
        <v>324</v>
      </c>
      <c r="B12" s="314"/>
      <c r="C12" s="310" t="s">
        <v>287</v>
      </c>
      <c r="D12" s="310"/>
      <c r="E12" s="310"/>
      <c r="F12" s="53" t="s">
        <v>56</v>
      </c>
      <c r="G12" s="113">
        <v>0.1</v>
      </c>
      <c r="H12" s="113">
        <v>0.1</v>
      </c>
      <c r="I12" s="113">
        <v>0.1</v>
      </c>
      <c r="J12" s="113">
        <v>0.1</v>
      </c>
      <c r="K12" s="113">
        <v>0.6</v>
      </c>
      <c r="L12" s="118"/>
      <c r="M12" s="132" t="s">
        <v>164</v>
      </c>
      <c r="N12" s="132" t="s">
        <v>164</v>
      </c>
      <c r="O12" s="113">
        <v>0.15</v>
      </c>
      <c r="P12" s="133" t="s">
        <v>165</v>
      </c>
      <c r="Q12" s="131"/>
      <c r="R12" s="113">
        <v>0.1</v>
      </c>
      <c r="S12" s="113">
        <v>0.1</v>
      </c>
      <c r="T12" s="113">
        <v>0.1</v>
      </c>
      <c r="U12" s="113">
        <v>0.35</v>
      </c>
      <c r="V12" s="113">
        <v>0.35</v>
      </c>
      <c r="W12" s="208"/>
      <c r="X12" s="127"/>
    </row>
    <row r="13" spans="1:25" ht="17" thickTop="1" thickBot="1">
      <c r="A13" s="55" t="s">
        <v>325</v>
      </c>
      <c r="B13" s="312" t="s">
        <v>326</v>
      </c>
      <c r="C13" s="312"/>
      <c r="D13" s="312" t="s">
        <v>148</v>
      </c>
      <c r="E13" s="312"/>
      <c r="F13" s="87" t="s">
        <v>57</v>
      </c>
      <c r="G13" s="71" t="s">
        <v>166</v>
      </c>
      <c r="H13" s="71" t="s">
        <v>167</v>
      </c>
      <c r="I13" s="71" t="s">
        <v>168</v>
      </c>
      <c r="J13" s="71" t="s">
        <v>169</v>
      </c>
      <c r="K13" s="71" t="s">
        <v>170</v>
      </c>
      <c r="L13" s="119" t="s">
        <v>171</v>
      </c>
      <c r="M13" s="71" t="s">
        <v>172</v>
      </c>
      <c r="N13" s="71" t="s">
        <v>173</v>
      </c>
      <c r="O13" s="71" t="s">
        <v>174</v>
      </c>
      <c r="P13" s="135" t="s">
        <v>175</v>
      </c>
      <c r="Q13" s="136" t="s">
        <v>176</v>
      </c>
      <c r="R13" s="71"/>
      <c r="S13" s="71" t="s">
        <v>283</v>
      </c>
      <c r="T13" s="71" t="s">
        <v>137</v>
      </c>
      <c r="U13" s="71" t="s">
        <v>281</v>
      </c>
      <c r="V13" s="71" t="s">
        <v>177</v>
      </c>
      <c r="W13" s="209" t="s">
        <v>282</v>
      </c>
      <c r="X13" s="127"/>
    </row>
    <row r="14" spans="1:25" ht="17" thickTop="1" thickBot="1">
      <c r="A14" s="56">
        <v>1</v>
      </c>
      <c r="B14" s="308" t="s">
        <v>59</v>
      </c>
      <c r="C14" s="308"/>
      <c r="D14" s="308" t="s">
        <v>127</v>
      </c>
      <c r="E14" s="308"/>
      <c r="F14" s="88" t="s">
        <v>239</v>
      </c>
      <c r="G14" s="72">
        <v>1</v>
      </c>
      <c r="H14" s="72">
        <v>14</v>
      </c>
      <c r="I14" s="72"/>
      <c r="J14" s="72">
        <v>15</v>
      </c>
      <c r="K14" s="72">
        <v>8</v>
      </c>
      <c r="L14" s="117">
        <f t="shared" ref="L14:L40" si="0">+K14*0.6+J14*0.1+I14*0.1+H14*0.1+G14*20*0.1</f>
        <v>9.6999999999999993</v>
      </c>
      <c r="M14" s="72">
        <v>15</v>
      </c>
      <c r="N14" s="72">
        <v>12</v>
      </c>
      <c r="O14" s="72">
        <v>17</v>
      </c>
      <c r="P14" s="129">
        <v>15.5</v>
      </c>
      <c r="Q14" s="131">
        <f>+P14*0.5+O14*0.15+N14*0.175+M14*0.175</f>
        <v>15.025</v>
      </c>
      <c r="R14" s="72">
        <v>12</v>
      </c>
      <c r="S14" s="72">
        <v>15</v>
      </c>
      <c r="T14" s="72">
        <f>24/28*20</f>
        <v>17.142857142857142</v>
      </c>
      <c r="U14" s="72">
        <v>13.5</v>
      </c>
      <c r="V14" s="72">
        <v>3</v>
      </c>
      <c r="W14" s="208">
        <f>+V14/3*20*0.35+U14*0.35+T14*0.1+S14*0.1+R14*0.1</f>
        <v>16.139285714285712</v>
      </c>
      <c r="X14" s="215">
        <f>AVERAGE(W14,Q14,L14)</f>
        <v>13.621428571428572</v>
      </c>
    </row>
    <row r="15" spans="1:25" ht="17" thickTop="1" thickBot="1">
      <c r="A15" s="56">
        <v>2</v>
      </c>
      <c r="B15" s="308" t="s">
        <v>128</v>
      </c>
      <c r="C15" s="308"/>
      <c r="D15" s="308" t="s">
        <v>129</v>
      </c>
      <c r="E15" s="308"/>
      <c r="F15" s="88" t="s">
        <v>239</v>
      </c>
      <c r="G15" s="72">
        <v>1</v>
      </c>
      <c r="H15" s="72">
        <v>14</v>
      </c>
      <c r="I15" s="72">
        <v>16</v>
      </c>
      <c r="J15" s="72">
        <v>15</v>
      </c>
      <c r="K15" s="72">
        <v>8.5</v>
      </c>
      <c r="L15" s="117">
        <f t="shared" si="0"/>
        <v>11.6</v>
      </c>
      <c r="M15" s="72">
        <v>17</v>
      </c>
      <c r="N15" s="72">
        <v>15</v>
      </c>
      <c r="O15" s="72">
        <v>17</v>
      </c>
      <c r="P15" s="129">
        <v>11.5</v>
      </c>
      <c r="Q15" s="131">
        <f t="shared" ref="Q15:Q41" si="1">+P15*0.5+O15*0.15+N15*0.175+M15*0.175</f>
        <v>13.9</v>
      </c>
      <c r="R15" s="72">
        <v>13</v>
      </c>
      <c r="S15" s="72">
        <v>16</v>
      </c>
      <c r="T15" s="72">
        <f>26/28*20</f>
        <v>18.571428571428573</v>
      </c>
      <c r="U15" s="72">
        <v>17</v>
      </c>
      <c r="V15" s="72">
        <v>3</v>
      </c>
      <c r="W15" s="208">
        <f t="shared" ref="W15:W41" si="2">+V15/3*20*0.35+U15*0.35+T15*0.1+S15*0.1+R15*0.1</f>
        <v>17.707142857142859</v>
      </c>
      <c r="X15" s="215">
        <f t="shared" ref="X15:X40" si="3">AVERAGE(W15,Q15,L15)</f>
        <v>14.402380952380954</v>
      </c>
    </row>
    <row r="16" spans="1:25" ht="17" thickTop="1" thickBot="1">
      <c r="A16" s="56">
        <v>3</v>
      </c>
      <c r="B16" s="308" t="s">
        <v>130</v>
      </c>
      <c r="C16" s="308"/>
      <c r="D16" s="308" t="s">
        <v>62</v>
      </c>
      <c r="E16" s="308"/>
      <c r="F16" s="88" t="s">
        <v>239</v>
      </c>
      <c r="G16" s="72"/>
      <c r="H16" s="72"/>
      <c r="I16" s="72">
        <v>11</v>
      </c>
      <c r="J16" s="72">
        <v>5</v>
      </c>
      <c r="K16" s="72">
        <v>6</v>
      </c>
      <c r="L16" s="117">
        <f t="shared" si="0"/>
        <v>5.1999999999999993</v>
      </c>
      <c r="M16" s="72">
        <v>12</v>
      </c>
      <c r="N16" s="72">
        <v>7</v>
      </c>
      <c r="O16" s="72">
        <v>9</v>
      </c>
      <c r="P16" s="129">
        <v>2.5</v>
      </c>
      <c r="Q16" s="131">
        <f t="shared" si="1"/>
        <v>5.9249999999999989</v>
      </c>
      <c r="R16" s="72">
        <v>10</v>
      </c>
      <c r="S16" s="72">
        <v>14</v>
      </c>
      <c r="T16" s="72">
        <v>10</v>
      </c>
      <c r="U16" s="72">
        <v>9</v>
      </c>
      <c r="V16" s="72">
        <v>2</v>
      </c>
      <c r="W16" s="208">
        <f t="shared" si="2"/>
        <v>11.216666666666667</v>
      </c>
      <c r="X16" s="215">
        <f t="shared" si="3"/>
        <v>7.447222222222222</v>
      </c>
      <c r="Y16" s="134">
        <v>5.5</v>
      </c>
    </row>
    <row r="17" spans="1:25" ht="17" thickTop="1" thickBot="1">
      <c r="A17" s="56">
        <v>4</v>
      </c>
      <c r="B17" s="308" t="s">
        <v>63</v>
      </c>
      <c r="C17" s="308"/>
      <c r="D17" s="308" t="s">
        <v>13</v>
      </c>
      <c r="E17" s="308"/>
      <c r="F17" s="88" t="s">
        <v>239</v>
      </c>
      <c r="G17" s="72"/>
      <c r="H17" s="72"/>
      <c r="I17" s="72"/>
      <c r="J17" s="72">
        <v>15</v>
      </c>
      <c r="K17" s="72">
        <v>8.5</v>
      </c>
      <c r="L17" s="117">
        <f t="shared" si="0"/>
        <v>6.6</v>
      </c>
      <c r="M17" s="72">
        <v>15</v>
      </c>
      <c r="N17" s="72">
        <v>15</v>
      </c>
      <c r="O17" s="72">
        <v>13</v>
      </c>
      <c r="P17" s="129">
        <v>18</v>
      </c>
      <c r="Q17" s="131">
        <f t="shared" si="1"/>
        <v>16.2</v>
      </c>
      <c r="R17" s="72">
        <v>13</v>
      </c>
      <c r="S17" s="72">
        <v>14</v>
      </c>
      <c r="T17" s="72">
        <f>22/28*20</f>
        <v>15.714285714285714</v>
      </c>
      <c r="U17" s="72">
        <v>17.5</v>
      </c>
      <c r="V17" s="72">
        <v>3</v>
      </c>
      <c r="W17" s="208">
        <f t="shared" si="2"/>
        <v>17.396428571428572</v>
      </c>
      <c r="X17" s="215">
        <f t="shared" si="3"/>
        <v>13.398809523809526</v>
      </c>
    </row>
    <row r="18" spans="1:25" ht="17" thickTop="1" thickBot="1">
      <c r="A18" s="56">
        <v>5</v>
      </c>
      <c r="B18" s="308" t="s">
        <v>14</v>
      </c>
      <c r="C18" s="308"/>
      <c r="D18" s="308" t="s">
        <v>15</v>
      </c>
      <c r="E18" s="308"/>
      <c r="F18" s="88" t="s">
        <v>239</v>
      </c>
      <c r="G18" s="72">
        <v>1</v>
      </c>
      <c r="H18" s="72">
        <v>12</v>
      </c>
      <c r="I18" s="72">
        <v>12</v>
      </c>
      <c r="J18" s="72">
        <v>15</v>
      </c>
      <c r="K18" s="72">
        <v>7</v>
      </c>
      <c r="L18" s="117">
        <f t="shared" si="0"/>
        <v>10.100000000000001</v>
      </c>
      <c r="M18" s="72">
        <v>15</v>
      </c>
      <c r="N18" s="72">
        <v>13</v>
      </c>
      <c r="O18" s="72">
        <v>17</v>
      </c>
      <c r="P18" s="129">
        <v>4.5</v>
      </c>
      <c r="Q18" s="131">
        <f t="shared" si="1"/>
        <v>9.6999999999999993</v>
      </c>
      <c r="R18" s="72">
        <v>11</v>
      </c>
      <c r="S18" s="72">
        <v>15</v>
      </c>
      <c r="T18" s="72">
        <f>24/28*20</f>
        <v>17.142857142857142</v>
      </c>
      <c r="U18" s="72">
        <v>16.5</v>
      </c>
      <c r="V18" s="72">
        <v>3</v>
      </c>
      <c r="W18" s="208">
        <f t="shared" si="2"/>
        <v>17.089285714285715</v>
      </c>
      <c r="X18" s="215">
        <f t="shared" si="3"/>
        <v>12.296428571428573</v>
      </c>
    </row>
    <row r="19" spans="1:25" ht="17" thickTop="1" thickBot="1">
      <c r="A19" s="56">
        <v>6</v>
      </c>
      <c r="B19" s="308" t="s">
        <v>16</v>
      </c>
      <c r="C19" s="308"/>
      <c r="D19" s="308" t="s">
        <v>17</v>
      </c>
      <c r="E19" s="308"/>
      <c r="F19" s="88" t="s">
        <v>43</v>
      </c>
      <c r="G19" s="72">
        <v>1</v>
      </c>
      <c r="H19" s="72">
        <v>13</v>
      </c>
      <c r="I19" s="72">
        <v>10</v>
      </c>
      <c r="J19" s="72">
        <v>20</v>
      </c>
      <c r="K19" s="72">
        <v>9.5</v>
      </c>
      <c r="L19" s="117">
        <f t="shared" si="0"/>
        <v>12</v>
      </c>
      <c r="M19" s="72">
        <v>15</v>
      </c>
      <c r="N19" s="72">
        <v>13</v>
      </c>
      <c r="O19" s="72">
        <v>20</v>
      </c>
      <c r="P19" s="129">
        <v>11</v>
      </c>
      <c r="Q19" s="131">
        <f t="shared" si="1"/>
        <v>13.4</v>
      </c>
      <c r="R19" s="72">
        <v>11</v>
      </c>
      <c r="S19" s="72">
        <v>15</v>
      </c>
      <c r="T19" s="72">
        <v>20</v>
      </c>
      <c r="U19" s="72">
        <v>15.5</v>
      </c>
      <c r="V19" s="72">
        <v>3</v>
      </c>
      <c r="W19" s="208">
        <f t="shared" si="2"/>
        <v>17.025000000000002</v>
      </c>
      <c r="X19" s="215">
        <f t="shared" si="3"/>
        <v>14.141666666666667</v>
      </c>
    </row>
    <row r="20" spans="1:25" ht="17" thickTop="1" thickBot="1">
      <c r="A20" s="56">
        <v>7</v>
      </c>
      <c r="B20" s="308" t="s">
        <v>409</v>
      </c>
      <c r="C20" s="308"/>
      <c r="D20" s="308" t="s">
        <v>410</v>
      </c>
      <c r="E20" s="308"/>
      <c r="F20" s="88" t="s">
        <v>239</v>
      </c>
      <c r="G20" s="72">
        <v>1</v>
      </c>
      <c r="H20" s="72">
        <v>14</v>
      </c>
      <c r="I20" s="72">
        <v>13</v>
      </c>
      <c r="J20" s="72">
        <v>20</v>
      </c>
      <c r="K20" s="72">
        <v>8.5</v>
      </c>
      <c r="L20" s="117">
        <f t="shared" si="0"/>
        <v>11.8</v>
      </c>
      <c r="M20" s="72">
        <v>15</v>
      </c>
      <c r="N20" s="72">
        <v>13</v>
      </c>
      <c r="O20" s="72">
        <v>20</v>
      </c>
      <c r="P20" s="129">
        <v>14</v>
      </c>
      <c r="Q20" s="131">
        <f t="shared" si="1"/>
        <v>14.9</v>
      </c>
      <c r="R20" s="72">
        <v>12</v>
      </c>
      <c r="S20" s="72">
        <v>16</v>
      </c>
      <c r="T20" s="72">
        <v>20</v>
      </c>
      <c r="U20" s="72">
        <v>20</v>
      </c>
      <c r="V20" s="72">
        <v>2</v>
      </c>
      <c r="W20" s="208">
        <f t="shared" si="2"/>
        <v>16.466666666666665</v>
      </c>
      <c r="X20" s="215">
        <f t="shared" si="3"/>
        <v>14.388888888888891</v>
      </c>
    </row>
    <row r="21" spans="1:25" ht="17" thickTop="1" thickBot="1">
      <c r="A21" s="56">
        <v>8</v>
      </c>
      <c r="B21" s="308" t="s">
        <v>411</v>
      </c>
      <c r="C21" s="308"/>
      <c r="D21" s="308" t="s">
        <v>417</v>
      </c>
      <c r="E21" s="308"/>
      <c r="F21" s="88" t="s">
        <v>43</v>
      </c>
      <c r="G21" s="72">
        <v>1</v>
      </c>
      <c r="H21" s="72">
        <v>12</v>
      </c>
      <c r="I21" s="72">
        <v>12</v>
      </c>
      <c r="J21" s="72">
        <v>15</v>
      </c>
      <c r="K21" s="72">
        <v>4</v>
      </c>
      <c r="L21" s="117">
        <f t="shared" si="0"/>
        <v>8.3000000000000007</v>
      </c>
      <c r="M21" s="72">
        <v>15</v>
      </c>
      <c r="N21" s="72">
        <v>14</v>
      </c>
      <c r="O21" s="72">
        <v>11</v>
      </c>
      <c r="P21" s="129">
        <v>2.5</v>
      </c>
      <c r="Q21" s="131">
        <f t="shared" si="1"/>
        <v>7.9749999999999996</v>
      </c>
      <c r="R21" s="72">
        <v>9</v>
      </c>
      <c r="S21" s="72"/>
      <c r="T21" s="72">
        <f>18/28*20</f>
        <v>12.857142857142858</v>
      </c>
      <c r="U21" s="72">
        <v>13.5</v>
      </c>
      <c r="V21" s="72">
        <v>2</v>
      </c>
      <c r="W21" s="208">
        <f t="shared" si="2"/>
        <v>11.577380952380953</v>
      </c>
      <c r="X21" s="215">
        <f t="shared" si="3"/>
        <v>9.2841269841269831</v>
      </c>
      <c r="Y21">
        <v>12</v>
      </c>
    </row>
    <row r="22" spans="1:25" ht="17" thickTop="1" thickBot="1">
      <c r="A22" s="56">
        <v>9</v>
      </c>
      <c r="B22" s="308" t="s">
        <v>418</v>
      </c>
      <c r="C22" s="308"/>
      <c r="D22" s="308" t="s">
        <v>419</v>
      </c>
      <c r="E22" s="308"/>
      <c r="F22" s="88" t="s">
        <v>239</v>
      </c>
      <c r="G22" s="72"/>
      <c r="H22" s="72"/>
      <c r="I22" s="72"/>
      <c r="J22" s="72">
        <v>10</v>
      </c>
      <c r="K22" s="72">
        <v>8</v>
      </c>
      <c r="L22" s="117">
        <f t="shared" si="0"/>
        <v>5.8</v>
      </c>
      <c r="M22" s="72">
        <v>15</v>
      </c>
      <c r="N22" s="72"/>
      <c r="O22" s="72">
        <v>15</v>
      </c>
      <c r="P22" s="129">
        <v>10</v>
      </c>
      <c r="Q22" s="131">
        <f t="shared" si="1"/>
        <v>9.875</v>
      </c>
      <c r="R22" s="72">
        <v>10</v>
      </c>
      <c r="S22" s="72">
        <v>11</v>
      </c>
      <c r="T22" s="72">
        <f>22/28*20</f>
        <v>15.714285714285714</v>
      </c>
      <c r="U22" s="72">
        <v>15</v>
      </c>
      <c r="V22" s="72">
        <v>3</v>
      </c>
      <c r="W22" s="208">
        <f t="shared" si="2"/>
        <v>15.921428571428571</v>
      </c>
      <c r="X22" s="215">
        <f t="shared" si="3"/>
        <v>10.532142857142857</v>
      </c>
      <c r="Y22">
        <v>8</v>
      </c>
    </row>
    <row r="23" spans="1:25" ht="17" thickTop="1" thickBot="1">
      <c r="A23" s="56">
        <v>10</v>
      </c>
      <c r="B23" s="308" t="s">
        <v>420</v>
      </c>
      <c r="C23" s="308"/>
      <c r="D23" s="308" t="s">
        <v>489</v>
      </c>
      <c r="E23" s="308"/>
      <c r="F23" s="88" t="s">
        <v>460</v>
      </c>
      <c r="G23" s="72">
        <v>1</v>
      </c>
      <c r="H23" s="72">
        <v>18</v>
      </c>
      <c r="I23" s="72">
        <v>17</v>
      </c>
      <c r="J23" s="72">
        <v>15</v>
      </c>
      <c r="K23" s="72">
        <v>4</v>
      </c>
      <c r="L23" s="117">
        <f t="shared" si="0"/>
        <v>9.3999999999999986</v>
      </c>
      <c r="M23" s="72">
        <v>15</v>
      </c>
      <c r="N23" s="72">
        <v>13</v>
      </c>
      <c r="O23" s="72">
        <v>17</v>
      </c>
      <c r="P23" s="129">
        <v>1</v>
      </c>
      <c r="Q23" s="131">
        <f t="shared" si="1"/>
        <v>7.9499999999999993</v>
      </c>
      <c r="R23" s="72">
        <v>11</v>
      </c>
      <c r="S23" s="72">
        <v>14</v>
      </c>
      <c r="T23" s="72">
        <f>26/28*20</f>
        <v>18.571428571428573</v>
      </c>
      <c r="U23" s="72">
        <v>8</v>
      </c>
      <c r="V23" s="72">
        <v>3</v>
      </c>
      <c r="W23" s="208">
        <f t="shared" si="2"/>
        <v>14.157142857142858</v>
      </c>
      <c r="X23" s="215">
        <f t="shared" si="3"/>
        <v>10.502380952380951</v>
      </c>
    </row>
    <row r="24" spans="1:25" ht="17" thickTop="1" thickBot="1">
      <c r="A24" s="56">
        <v>11</v>
      </c>
      <c r="B24" s="308" t="s">
        <v>490</v>
      </c>
      <c r="C24" s="308"/>
      <c r="D24" s="308" t="s">
        <v>18</v>
      </c>
      <c r="E24" s="308"/>
      <c r="F24" s="88" t="s">
        <v>239</v>
      </c>
      <c r="G24" s="72"/>
      <c r="H24" s="72">
        <v>12</v>
      </c>
      <c r="I24" s="72">
        <v>12</v>
      </c>
      <c r="J24" s="72">
        <v>10</v>
      </c>
      <c r="K24" s="72">
        <v>6</v>
      </c>
      <c r="L24" s="117">
        <f t="shared" si="0"/>
        <v>7</v>
      </c>
      <c r="M24" s="72">
        <v>15</v>
      </c>
      <c r="N24" s="72">
        <v>12</v>
      </c>
      <c r="O24" s="72">
        <v>15</v>
      </c>
      <c r="P24" s="129">
        <v>7</v>
      </c>
      <c r="Q24" s="131">
        <f t="shared" si="1"/>
        <v>10.475</v>
      </c>
      <c r="R24" s="72">
        <v>10</v>
      </c>
      <c r="S24" s="72">
        <v>13</v>
      </c>
      <c r="T24" s="72">
        <f>22/28*20</f>
        <v>15.714285714285714</v>
      </c>
      <c r="U24" s="72">
        <v>19</v>
      </c>
      <c r="V24" s="72">
        <v>3</v>
      </c>
      <c r="W24" s="208">
        <f t="shared" si="2"/>
        <v>17.521428571428569</v>
      </c>
      <c r="X24" s="215">
        <f t="shared" si="3"/>
        <v>11.665476190476189</v>
      </c>
    </row>
    <row r="25" spans="1:25" ht="17" thickTop="1" thickBot="1">
      <c r="A25" s="56">
        <v>12</v>
      </c>
      <c r="B25" s="308" t="s">
        <v>528</v>
      </c>
      <c r="C25" s="308"/>
      <c r="D25" s="308" t="s">
        <v>197</v>
      </c>
      <c r="E25" s="308"/>
      <c r="F25" s="88" t="s">
        <v>439</v>
      </c>
      <c r="G25" s="72">
        <v>1</v>
      </c>
      <c r="H25" s="72">
        <v>10</v>
      </c>
      <c r="I25" s="72">
        <v>11</v>
      </c>
      <c r="J25" s="72">
        <v>20</v>
      </c>
      <c r="K25" s="72">
        <v>4.5</v>
      </c>
      <c r="L25" s="117">
        <f t="shared" si="0"/>
        <v>8.7999999999999989</v>
      </c>
      <c r="M25" s="72">
        <v>15</v>
      </c>
      <c r="N25" s="72">
        <v>13</v>
      </c>
      <c r="O25" s="72">
        <v>17</v>
      </c>
      <c r="P25" s="129">
        <v>4.5</v>
      </c>
      <c r="Q25" s="145">
        <f>+P25*0.5+O25*0.15+N25*0.175+M25*0.175+1</f>
        <v>10.7</v>
      </c>
      <c r="R25" s="72">
        <v>5</v>
      </c>
      <c r="S25" s="72">
        <v>10</v>
      </c>
      <c r="T25" s="72">
        <f>24/28*20</f>
        <v>17.142857142857142</v>
      </c>
      <c r="U25" s="72">
        <v>9</v>
      </c>
      <c r="V25" s="72">
        <v>2</v>
      </c>
      <c r="W25" s="210">
        <f>+V25/3*20*0.35+U25*0.35+T25*0.1+S25*0.1+R25*0.1+1</f>
        <v>12.030952380952382</v>
      </c>
      <c r="X25" s="215">
        <f t="shared" si="3"/>
        <v>10.510317460317459</v>
      </c>
    </row>
    <row r="26" spans="1:25" ht="17" customHeight="1" thickTop="1" thickBot="1">
      <c r="A26" s="56"/>
      <c r="B26" s="308"/>
      <c r="C26" s="308"/>
      <c r="D26" s="306" t="s">
        <v>67</v>
      </c>
      <c r="E26" s="307"/>
      <c r="F26" s="88"/>
      <c r="G26" s="72"/>
      <c r="H26" s="72"/>
      <c r="I26" s="72"/>
      <c r="J26" s="72">
        <v>20</v>
      </c>
      <c r="K26" s="72">
        <v>5.5</v>
      </c>
      <c r="L26" s="117">
        <f t="shared" si="0"/>
        <v>5.3</v>
      </c>
      <c r="M26" s="72">
        <v>15</v>
      </c>
      <c r="N26" s="72">
        <v>13</v>
      </c>
      <c r="O26" s="72">
        <v>11</v>
      </c>
      <c r="P26" s="129">
        <v>11</v>
      </c>
      <c r="Q26" s="131">
        <f t="shared" si="1"/>
        <v>12.05</v>
      </c>
      <c r="R26" s="72">
        <v>5</v>
      </c>
      <c r="S26" s="72">
        <v>15</v>
      </c>
      <c r="T26" s="72">
        <f>20/28*20</f>
        <v>14.285714285714286</v>
      </c>
      <c r="U26" s="72">
        <v>17.5</v>
      </c>
      <c r="V26" s="72">
        <v>2</v>
      </c>
      <c r="W26" s="208">
        <f t="shared" si="2"/>
        <v>14.220238095238095</v>
      </c>
      <c r="X26" s="215">
        <f t="shared" si="3"/>
        <v>10.523412698412699</v>
      </c>
    </row>
    <row r="27" spans="1:25" ht="17" thickTop="1" thickBot="1">
      <c r="A27" s="56">
        <v>13</v>
      </c>
      <c r="B27" s="308" t="s">
        <v>123</v>
      </c>
      <c r="C27" s="308"/>
      <c r="D27" s="308" t="s">
        <v>124</v>
      </c>
      <c r="E27" s="308"/>
      <c r="F27" s="88" t="s">
        <v>239</v>
      </c>
      <c r="G27" s="72"/>
      <c r="H27" s="72"/>
      <c r="I27" s="72"/>
      <c r="J27" s="72">
        <v>20</v>
      </c>
      <c r="K27" s="72">
        <v>9.5</v>
      </c>
      <c r="L27" s="117">
        <f t="shared" si="0"/>
        <v>7.7</v>
      </c>
      <c r="M27" s="72">
        <v>15</v>
      </c>
      <c r="N27" s="72"/>
      <c r="O27" s="72">
        <v>17</v>
      </c>
      <c r="P27" s="129">
        <v>8</v>
      </c>
      <c r="Q27" s="131">
        <f t="shared" si="1"/>
        <v>9.1750000000000007</v>
      </c>
      <c r="R27" s="72">
        <v>12</v>
      </c>
      <c r="S27" s="72">
        <v>15</v>
      </c>
      <c r="T27" s="72">
        <f>22/28*20</f>
        <v>15.714285714285714</v>
      </c>
      <c r="U27" s="72">
        <v>13.5</v>
      </c>
      <c r="V27" s="72">
        <v>2</v>
      </c>
      <c r="W27" s="208">
        <f t="shared" si="2"/>
        <v>13.663095238095238</v>
      </c>
      <c r="X27" s="215">
        <f t="shared" si="3"/>
        <v>10.179365079365079</v>
      </c>
    </row>
    <row r="28" spans="1:25" ht="17" thickTop="1" thickBot="1">
      <c r="A28" s="56">
        <v>14</v>
      </c>
      <c r="B28" s="308" t="s">
        <v>298</v>
      </c>
      <c r="C28" s="308"/>
      <c r="D28" s="308" t="s">
        <v>299</v>
      </c>
      <c r="E28" s="308"/>
      <c r="F28" s="88" t="s">
        <v>276</v>
      </c>
      <c r="G28" s="72">
        <v>1</v>
      </c>
      <c r="H28" s="72">
        <v>5</v>
      </c>
      <c r="I28" s="72">
        <v>5</v>
      </c>
      <c r="J28" s="72">
        <v>20</v>
      </c>
      <c r="K28" s="72">
        <v>4.5</v>
      </c>
      <c r="L28" s="117">
        <f t="shared" si="0"/>
        <v>7.6999999999999993</v>
      </c>
      <c r="M28" s="72">
        <v>8</v>
      </c>
      <c r="N28" s="72"/>
      <c r="O28" s="72">
        <v>15</v>
      </c>
      <c r="P28" s="129"/>
      <c r="Q28" s="131">
        <f t="shared" si="1"/>
        <v>3.65</v>
      </c>
      <c r="R28" s="72"/>
      <c r="S28" s="72">
        <v>8</v>
      </c>
      <c r="T28" s="72">
        <f>16/28*20</f>
        <v>11.428571428571427</v>
      </c>
      <c r="U28" s="72">
        <v>7.5</v>
      </c>
      <c r="V28" s="72"/>
      <c r="W28" s="208">
        <f t="shared" si="2"/>
        <v>4.5678571428571431</v>
      </c>
      <c r="X28" s="215">
        <f t="shared" si="3"/>
        <v>5.3059523809523812</v>
      </c>
    </row>
    <row r="29" spans="1:25" ht="17" thickTop="1" thickBot="1">
      <c r="A29" s="56">
        <v>15</v>
      </c>
      <c r="B29" s="308" t="s">
        <v>300</v>
      </c>
      <c r="C29" s="308"/>
      <c r="D29" s="308" t="s">
        <v>426</v>
      </c>
      <c r="E29" s="308"/>
      <c r="F29" s="88" t="s">
        <v>239</v>
      </c>
      <c r="G29" s="72">
        <v>1</v>
      </c>
      <c r="H29" s="72">
        <v>12</v>
      </c>
      <c r="I29" s="72">
        <v>12</v>
      </c>
      <c r="J29" s="72">
        <v>20</v>
      </c>
      <c r="K29" s="72">
        <v>3.5</v>
      </c>
      <c r="L29" s="117">
        <f t="shared" si="0"/>
        <v>8.5</v>
      </c>
      <c r="M29" s="72"/>
      <c r="N29" s="72"/>
      <c r="O29" s="72">
        <v>17</v>
      </c>
      <c r="P29" s="129">
        <v>8</v>
      </c>
      <c r="Q29" s="131">
        <f t="shared" si="1"/>
        <v>6.55</v>
      </c>
      <c r="R29" s="72">
        <v>14</v>
      </c>
      <c r="S29" s="72">
        <v>7</v>
      </c>
      <c r="T29" s="72">
        <f>26/28*20</f>
        <v>18.571428571428573</v>
      </c>
      <c r="U29" s="72">
        <v>5.5</v>
      </c>
      <c r="V29" s="72">
        <v>2</v>
      </c>
      <c r="W29" s="208">
        <f t="shared" si="2"/>
        <v>10.548809523809522</v>
      </c>
      <c r="X29" s="215">
        <f t="shared" si="3"/>
        <v>8.5329365079365065</v>
      </c>
      <c r="Y29">
        <v>10.5</v>
      </c>
    </row>
    <row r="30" spans="1:25" ht="17" thickTop="1" thickBot="1">
      <c r="A30" s="56">
        <v>16</v>
      </c>
      <c r="B30" s="308" t="s">
        <v>261</v>
      </c>
      <c r="C30" s="308"/>
      <c r="D30" s="308" t="s">
        <v>262</v>
      </c>
      <c r="E30" s="308"/>
      <c r="F30" s="88" t="s">
        <v>239</v>
      </c>
      <c r="G30" s="72"/>
      <c r="H30" s="72">
        <v>8</v>
      </c>
      <c r="I30" s="72">
        <v>12</v>
      </c>
      <c r="J30" s="72">
        <v>15</v>
      </c>
      <c r="K30" s="72">
        <v>4</v>
      </c>
      <c r="L30" s="117">
        <f t="shared" si="0"/>
        <v>5.8999999999999995</v>
      </c>
      <c r="M30" s="72">
        <v>12</v>
      </c>
      <c r="N30" s="72">
        <v>8</v>
      </c>
      <c r="O30" s="72">
        <v>15</v>
      </c>
      <c r="P30" s="129">
        <v>1</v>
      </c>
      <c r="Q30" s="131">
        <f t="shared" si="1"/>
        <v>6.25</v>
      </c>
      <c r="R30" s="72">
        <v>10</v>
      </c>
      <c r="S30" s="72">
        <v>9</v>
      </c>
      <c r="T30" s="72">
        <f>16/28*20</f>
        <v>11.428571428571427</v>
      </c>
      <c r="U30" s="72">
        <v>9.5</v>
      </c>
      <c r="V30" s="72">
        <v>2</v>
      </c>
      <c r="W30" s="208">
        <f t="shared" si="2"/>
        <v>11.034523809523808</v>
      </c>
      <c r="X30" s="215">
        <f t="shared" si="3"/>
        <v>7.7281746031746019</v>
      </c>
      <c r="Y30">
        <v>10.5</v>
      </c>
    </row>
    <row r="31" spans="1:25" ht="17" thickTop="1" thickBot="1">
      <c r="A31" s="56">
        <v>17</v>
      </c>
      <c r="B31" s="308" t="s">
        <v>263</v>
      </c>
      <c r="C31" s="308"/>
      <c r="D31" s="308" t="s">
        <v>77</v>
      </c>
      <c r="E31" s="308"/>
      <c r="F31" s="88" t="s">
        <v>239</v>
      </c>
      <c r="G31" s="72">
        <v>1</v>
      </c>
      <c r="H31" s="72">
        <v>14</v>
      </c>
      <c r="I31" s="72">
        <v>8</v>
      </c>
      <c r="J31" s="72">
        <v>15</v>
      </c>
      <c r="K31" s="72">
        <v>7.5</v>
      </c>
      <c r="L31" s="117">
        <f t="shared" si="0"/>
        <v>10.199999999999999</v>
      </c>
      <c r="M31" s="72">
        <v>15</v>
      </c>
      <c r="N31" s="72">
        <v>14</v>
      </c>
      <c r="O31" s="72">
        <v>17</v>
      </c>
      <c r="P31" s="129">
        <v>6</v>
      </c>
      <c r="Q31" s="131">
        <f t="shared" si="1"/>
        <v>10.625</v>
      </c>
      <c r="R31" s="72">
        <v>11</v>
      </c>
      <c r="S31" s="72">
        <v>14</v>
      </c>
      <c r="T31" s="72">
        <f>24/28*20</f>
        <v>17.142857142857142</v>
      </c>
      <c r="U31" s="72">
        <v>15.5</v>
      </c>
      <c r="V31" s="72">
        <v>2</v>
      </c>
      <c r="W31" s="208">
        <f t="shared" si="2"/>
        <v>14.30595238095238</v>
      </c>
      <c r="X31" s="215">
        <f t="shared" si="3"/>
        <v>11.71031746031746</v>
      </c>
    </row>
    <row r="32" spans="1:25" ht="17" thickTop="1" thickBot="1">
      <c r="A32" s="56"/>
      <c r="B32" s="308"/>
      <c r="C32" s="308"/>
      <c r="D32" s="308" t="s">
        <v>68</v>
      </c>
      <c r="E32" s="308"/>
      <c r="F32" s="88"/>
      <c r="G32" s="72">
        <v>1</v>
      </c>
      <c r="H32" s="72"/>
      <c r="I32" s="72"/>
      <c r="J32" s="72">
        <v>5</v>
      </c>
      <c r="K32" s="72">
        <v>3</v>
      </c>
      <c r="L32" s="117">
        <f t="shared" si="0"/>
        <v>4.3</v>
      </c>
      <c r="M32" s="72"/>
      <c r="N32" s="72"/>
      <c r="O32" s="72">
        <v>6</v>
      </c>
      <c r="P32" s="129">
        <v>13.5</v>
      </c>
      <c r="Q32" s="131">
        <f t="shared" si="1"/>
        <v>7.65</v>
      </c>
      <c r="R32" s="72"/>
      <c r="S32" s="72">
        <v>12</v>
      </c>
      <c r="T32" s="72">
        <f>10/28*20</f>
        <v>7.1428571428571432</v>
      </c>
      <c r="U32" s="72">
        <v>11.5</v>
      </c>
      <c r="V32" s="72">
        <v>2</v>
      </c>
      <c r="W32" s="208">
        <f t="shared" si="2"/>
        <v>10.605952380952381</v>
      </c>
      <c r="X32" s="215">
        <f t="shared" si="3"/>
        <v>7.5186507936507931</v>
      </c>
    </row>
    <row r="33" spans="1:25" ht="17" thickTop="1" thickBot="1">
      <c r="A33" s="56">
        <v>18</v>
      </c>
      <c r="B33" s="308" t="s">
        <v>78</v>
      </c>
      <c r="C33" s="308"/>
      <c r="D33" s="308" t="s">
        <v>79</v>
      </c>
      <c r="E33" s="308"/>
      <c r="F33" s="88" t="s">
        <v>239</v>
      </c>
      <c r="G33" s="72"/>
      <c r="H33" s="72">
        <v>10</v>
      </c>
      <c r="I33" s="72">
        <v>12</v>
      </c>
      <c r="J33" s="72">
        <v>15</v>
      </c>
      <c r="K33" s="72">
        <v>12.5</v>
      </c>
      <c r="L33" s="117">
        <f>+K33*0.6+J33*0.1+I33*0.1+H33*0.1+G33*20*0.1</f>
        <v>11.2</v>
      </c>
      <c r="M33" s="72">
        <v>15</v>
      </c>
      <c r="N33" s="72">
        <v>15</v>
      </c>
      <c r="O33" s="72">
        <v>17</v>
      </c>
      <c r="P33" s="129">
        <v>4</v>
      </c>
      <c r="Q33" s="131">
        <f t="shared" si="1"/>
        <v>9.8000000000000007</v>
      </c>
      <c r="R33" s="72">
        <v>10</v>
      </c>
      <c r="S33" s="72">
        <v>16</v>
      </c>
      <c r="T33" s="72">
        <f>22/28*20</f>
        <v>15.714285714285714</v>
      </c>
      <c r="U33" s="72">
        <v>12.5</v>
      </c>
      <c r="V33" s="72">
        <v>3</v>
      </c>
      <c r="W33" s="208">
        <f t="shared" si="2"/>
        <v>15.546428571428571</v>
      </c>
      <c r="X33" s="215">
        <f t="shared" si="3"/>
        <v>12.182142857142857</v>
      </c>
    </row>
    <row r="34" spans="1:25" ht="17" thickTop="1" thickBot="1">
      <c r="A34" s="56">
        <v>19</v>
      </c>
      <c r="B34" s="308" t="s">
        <v>80</v>
      </c>
      <c r="C34" s="308"/>
      <c r="D34" s="308" t="s">
        <v>199</v>
      </c>
      <c r="E34" s="308"/>
      <c r="F34" s="88" t="s">
        <v>239</v>
      </c>
      <c r="G34" s="72">
        <v>1</v>
      </c>
      <c r="H34" s="72">
        <v>14</v>
      </c>
      <c r="I34" s="72">
        <v>12</v>
      </c>
      <c r="J34" s="72">
        <v>20</v>
      </c>
      <c r="K34" s="72">
        <v>5</v>
      </c>
      <c r="L34" s="117">
        <f t="shared" si="0"/>
        <v>9.6000000000000014</v>
      </c>
      <c r="M34" s="72">
        <v>15</v>
      </c>
      <c r="N34" s="72">
        <v>13</v>
      </c>
      <c r="O34" s="72">
        <v>17</v>
      </c>
      <c r="P34" s="129">
        <v>10.5</v>
      </c>
      <c r="Q34" s="131">
        <f t="shared" si="1"/>
        <v>12.7</v>
      </c>
      <c r="R34" s="72">
        <v>12</v>
      </c>
      <c r="S34" s="72">
        <v>15</v>
      </c>
      <c r="T34" s="72">
        <f>26/28*20</f>
        <v>18.571428571428573</v>
      </c>
      <c r="U34" s="72">
        <v>15</v>
      </c>
      <c r="V34" s="72">
        <v>3</v>
      </c>
      <c r="W34" s="208">
        <f t="shared" si="2"/>
        <v>16.807142857142857</v>
      </c>
      <c r="X34" s="215">
        <f t="shared" si="3"/>
        <v>13.035714285714286</v>
      </c>
    </row>
    <row r="35" spans="1:25" ht="17" thickTop="1" thickBot="1">
      <c r="A35" s="56">
        <v>20</v>
      </c>
      <c r="B35" s="308" t="s">
        <v>31</v>
      </c>
      <c r="C35" s="308"/>
      <c r="D35" s="308" t="s">
        <v>32</v>
      </c>
      <c r="E35" s="308"/>
      <c r="F35" s="88" t="s">
        <v>239</v>
      </c>
      <c r="G35" s="72">
        <v>1</v>
      </c>
      <c r="H35" s="72">
        <v>12</v>
      </c>
      <c r="I35" s="72">
        <v>11</v>
      </c>
      <c r="J35" s="72">
        <v>15</v>
      </c>
      <c r="K35" s="72">
        <v>10.5</v>
      </c>
      <c r="L35" s="117">
        <f t="shared" si="0"/>
        <v>12.100000000000001</v>
      </c>
      <c r="M35" s="72">
        <v>11</v>
      </c>
      <c r="N35" s="72">
        <v>14</v>
      </c>
      <c r="O35" s="72">
        <v>11</v>
      </c>
      <c r="P35" s="129">
        <v>7.5</v>
      </c>
      <c r="Q35" s="131">
        <f t="shared" si="1"/>
        <v>9.7749999999999986</v>
      </c>
      <c r="R35" s="72">
        <v>9</v>
      </c>
      <c r="S35" s="72">
        <v>12</v>
      </c>
      <c r="T35" s="72">
        <f>18/28*20</f>
        <v>12.857142857142858</v>
      </c>
      <c r="U35" s="72">
        <v>14</v>
      </c>
      <c r="V35" s="72">
        <v>2</v>
      </c>
      <c r="W35" s="208">
        <f t="shared" si="2"/>
        <v>12.952380952380954</v>
      </c>
      <c r="X35" s="215">
        <f t="shared" si="3"/>
        <v>11.609126984126986</v>
      </c>
    </row>
    <row r="36" spans="1:25" ht="17" thickTop="1" thickBot="1">
      <c r="A36" s="56">
        <v>21</v>
      </c>
      <c r="B36" s="308" t="s">
        <v>24</v>
      </c>
      <c r="C36" s="308"/>
      <c r="D36" s="308" t="s">
        <v>25</v>
      </c>
      <c r="E36" s="308"/>
      <c r="F36" s="88" t="s">
        <v>239</v>
      </c>
      <c r="G36" s="72">
        <v>1</v>
      </c>
      <c r="H36" s="72">
        <v>10</v>
      </c>
      <c r="I36" s="72"/>
      <c r="J36" s="72">
        <v>20</v>
      </c>
      <c r="K36" s="72">
        <v>9.5</v>
      </c>
      <c r="L36" s="117">
        <f t="shared" si="0"/>
        <v>10.7</v>
      </c>
      <c r="M36" s="72">
        <v>15</v>
      </c>
      <c r="N36" s="72">
        <v>14</v>
      </c>
      <c r="O36" s="72">
        <v>20</v>
      </c>
      <c r="P36" s="129">
        <v>2.5</v>
      </c>
      <c r="Q36" s="131">
        <f t="shared" si="1"/>
        <v>9.3249999999999993</v>
      </c>
      <c r="R36" s="72">
        <v>11</v>
      </c>
      <c r="S36" s="72">
        <v>14</v>
      </c>
      <c r="T36" s="72">
        <v>20</v>
      </c>
      <c r="U36" s="72">
        <v>15</v>
      </c>
      <c r="V36" s="72">
        <v>2</v>
      </c>
      <c r="W36" s="208">
        <f t="shared" si="2"/>
        <v>14.416666666666666</v>
      </c>
      <c r="X36" s="215">
        <f t="shared" si="3"/>
        <v>11.480555555555554</v>
      </c>
    </row>
    <row r="37" spans="1:25" ht="17" thickTop="1" thickBot="1">
      <c r="A37" s="56"/>
      <c r="B37" s="308"/>
      <c r="C37" s="308"/>
      <c r="D37" s="308" t="s">
        <v>69</v>
      </c>
      <c r="E37" s="308"/>
      <c r="F37" s="88"/>
      <c r="G37" s="72">
        <v>1</v>
      </c>
      <c r="H37" s="72">
        <v>5</v>
      </c>
      <c r="I37" s="72">
        <v>7</v>
      </c>
      <c r="J37" s="72">
        <v>10</v>
      </c>
      <c r="K37" s="72">
        <v>6</v>
      </c>
      <c r="L37" s="117">
        <f t="shared" si="0"/>
        <v>7.8</v>
      </c>
      <c r="M37" s="72">
        <v>8</v>
      </c>
      <c r="N37" s="72">
        <v>13</v>
      </c>
      <c r="O37" s="72">
        <v>8</v>
      </c>
      <c r="P37" s="129">
        <v>13.5</v>
      </c>
      <c r="Q37" s="131">
        <f t="shared" si="1"/>
        <v>11.625</v>
      </c>
      <c r="R37" s="72">
        <v>10</v>
      </c>
      <c r="S37" s="72">
        <v>8</v>
      </c>
      <c r="T37" s="72">
        <f>10/28*20</f>
        <v>7.1428571428571432</v>
      </c>
      <c r="U37" s="72">
        <v>10</v>
      </c>
      <c r="V37" s="72"/>
      <c r="W37" s="208">
        <f t="shared" si="2"/>
        <v>6.0142857142857142</v>
      </c>
      <c r="X37" s="215">
        <f t="shared" si="3"/>
        <v>8.4797619047619044</v>
      </c>
      <c r="Y37">
        <v>10.5</v>
      </c>
    </row>
    <row r="38" spans="1:25" ht="17" thickTop="1" thickBot="1">
      <c r="A38" s="56">
        <v>22</v>
      </c>
      <c r="B38" s="308" t="s">
        <v>76</v>
      </c>
      <c r="C38" s="308"/>
      <c r="D38" s="308" t="s">
        <v>45</v>
      </c>
      <c r="E38" s="308"/>
      <c r="F38" s="88" t="s">
        <v>239</v>
      </c>
      <c r="G38" s="72">
        <v>1</v>
      </c>
      <c r="H38" s="72">
        <v>13</v>
      </c>
      <c r="I38" s="72">
        <v>10</v>
      </c>
      <c r="J38" s="72">
        <v>15</v>
      </c>
      <c r="K38" s="72">
        <v>5</v>
      </c>
      <c r="L38" s="117">
        <f t="shared" si="0"/>
        <v>8.8000000000000007</v>
      </c>
      <c r="M38" s="72">
        <v>15</v>
      </c>
      <c r="N38" s="72">
        <v>13</v>
      </c>
      <c r="O38" s="72">
        <v>15</v>
      </c>
      <c r="P38" s="129">
        <v>7</v>
      </c>
      <c r="Q38" s="131">
        <f t="shared" si="1"/>
        <v>10.65</v>
      </c>
      <c r="R38" s="72">
        <v>11</v>
      </c>
      <c r="S38" s="72">
        <v>15</v>
      </c>
      <c r="T38" s="72">
        <f>24/28*20</f>
        <v>17.142857142857142</v>
      </c>
      <c r="U38" s="72">
        <v>16.5</v>
      </c>
      <c r="V38" s="72">
        <v>3</v>
      </c>
      <c r="W38" s="208">
        <f t="shared" si="2"/>
        <v>17.089285714285715</v>
      </c>
      <c r="X38" s="215">
        <f t="shared" si="3"/>
        <v>12.179761904761904</v>
      </c>
    </row>
    <row r="39" spans="1:25" ht="17" thickTop="1" thickBot="1">
      <c r="A39" s="56">
        <v>23</v>
      </c>
      <c r="B39" s="308" t="s">
        <v>44</v>
      </c>
      <c r="C39" s="308"/>
      <c r="D39" s="308" t="s">
        <v>74</v>
      </c>
      <c r="E39" s="308"/>
      <c r="F39" s="88" t="s">
        <v>239</v>
      </c>
      <c r="G39" s="72">
        <v>1</v>
      </c>
      <c r="H39" s="72">
        <v>11</v>
      </c>
      <c r="I39" s="72">
        <v>7</v>
      </c>
      <c r="J39" s="72">
        <v>5</v>
      </c>
      <c r="K39" s="72">
        <v>4</v>
      </c>
      <c r="L39" s="117">
        <f t="shared" si="0"/>
        <v>6.7</v>
      </c>
      <c r="M39" s="72">
        <v>16</v>
      </c>
      <c r="N39" s="72">
        <v>14</v>
      </c>
      <c r="O39" s="72">
        <v>6</v>
      </c>
      <c r="P39" s="129">
        <v>2</v>
      </c>
      <c r="Q39" s="131">
        <f t="shared" si="1"/>
        <v>7.1499999999999995</v>
      </c>
      <c r="R39" s="72"/>
      <c r="S39" s="72"/>
      <c r="T39" s="72">
        <f>6/28*20</f>
        <v>4.2857142857142856</v>
      </c>
      <c r="U39" s="72"/>
      <c r="V39" s="72"/>
      <c r="W39" s="208">
        <f t="shared" si="2"/>
        <v>0.4285714285714286</v>
      </c>
      <c r="X39" s="215">
        <f t="shared" si="3"/>
        <v>4.7595238095238095</v>
      </c>
    </row>
    <row r="40" spans="1:25" ht="17" thickTop="1" thickBot="1">
      <c r="A40" s="56">
        <v>24</v>
      </c>
      <c r="B40" s="308" t="s">
        <v>75</v>
      </c>
      <c r="C40" s="308"/>
      <c r="D40" s="308" t="s">
        <v>81</v>
      </c>
      <c r="E40" s="308"/>
      <c r="F40" s="88" t="s">
        <v>239</v>
      </c>
      <c r="G40" s="72"/>
      <c r="H40" s="72">
        <v>14</v>
      </c>
      <c r="I40" s="72">
        <v>12</v>
      </c>
      <c r="J40" s="72">
        <v>15</v>
      </c>
      <c r="K40" s="72">
        <v>8</v>
      </c>
      <c r="L40" s="117">
        <f t="shared" si="0"/>
        <v>8.9</v>
      </c>
      <c r="M40" s="72">
        <v>18</v>
      </c>
      <c r="N40" s="72">
        <v>13</v>
      </c>
      <c r="O40" s="72">
        <v>15</v>
      </c>
      <c r="P40" s="129">
        <v>15</v>
      </c>
      <c r="Q40" s="131">
        <f t="shared" si="1"/>
        <v>15.175000000000001</v>
      </c>
      <c r="R40" s="72"/>
      <c r="S40" s="72">
        <v>15</v>
      </c>
      <c r="T40" s="72">
        <f>20/28*20</f>
        <v>14.285714285714286</v>
      </c>
      <c r="U40" s="72">
        <v>9.5</v>
      </c>
      <c r="V40" s="72">
        <v>3</v>
      </c>
      <c r="W40" s="208">
        <f t="shared" si="2"/>
        <v>13.253571428571428</v>
      </c>
      <c r="X40" s="215">
        <f t="shared" si="3"/>
        <v>12.442857142857143</v>
      </c>
    </row>
    <row r="41" spans="1:25" ht="16" thickTop="1">
      <c r="G41" s="100">
        <v>1</v>
      </c>
      <c r="H41" s="100">
        <v>20</v>
      </c>
      <c r="I41" s="100">
        <v>20</v>
      </c>
      <c r="J41" s="100">
        <v>20</v>
      </c>
      <c r="K41" s="100">
        <v>20</v>
      </c>
      <c r="L41" s="117">
        <f>+K41*0.6+J41*0.1+I41*0.1+H41*0.1+G41*20*0.1</f>
        <v>20</v>
      </c>
      <c r="M41" s="134">
        <v>20</v>
      </c>
      <c r="N41">
        <v>20</v>
      </c>
      <c r="O41" s="100">
        <v>20</v>
      </c>
      <c r="P41" s="128">
        <v>20</v>
      </c>
      <c r="Q41" s="131">
        <f t="shared" si="1"/>
        <v>20</v>
      </c>
      <c r="R41" s="100">
        <v>20</v>
      </c>
      <c r="S41" s="154">
        <v>20</v>
      </c>
      <c r="T41" s="154">
        <v>20</v>
      </c>
      <c r="U41" s="100">
        <v>20</v>
      </c>
      <c r="V41" s="100">
        <v>3</v>
      </c>
      <c r="W41" s="207">
        <f t="shared" si="2"/>
        <v>20</v>
      </c>
    </row>
  </sheetData>
  <sheetCalcPr fullCalcOnLoad="1"/>
  <mergeCells count="68">
    <mergeCell ref="A9:F9"/>
    <mergeCell ref="A10:B10"/>
    <mergeCell ref="A11:B11"/>
    <mergeCell ref="A12:B12"/>
    <mergeCell ref="B3:B7"/>
    <mergeCell ref="C6:F6"/>
    <mergeCell ref="C11:D11"/>
    <mergeCell ref="C12:E12"/>
    <mergeCell ref="D3:F3"/>
    <mergeCell ref="B13:C13"/>
    <mergeCell ref="B14:C14"/>
    <mergeCell ref="B15:C15"/>
    <mergeCell ref="B16:C16"/>
    <mergeCell ref="B17:C17"/>
    <mergeCell ref="B38:C38"/>
    <mergeCell ref="B39:C39"/>
    <mergeCell ref="B40:C40"/>
    <mergeCell ref="B29:C29"/>
    <mergeCell ref="B30:C30"/>
    <mergeCell ref="B31:C31"/>
    <mergeCell ref="B33:C33"/>
    <mergeCell ref="B34:C34"/>
    <mergeCell ref="D14:E14"/>
    <mergeCell ref="D15:E15"/>
    <mergeCell ref="D16:E16"/>
    <mergeCell ref="D17:E17"/>
    <mergeCell ref="B35:C35"/>
    <mergeCell ref="B23:C23"/>
    <mergeCell ref="B24:C24"/>
    <mergeCell ref="B25:C25"/>
    <mergeCell ref="B27:C27"/>
    <mergeCell ref="B28:C28"/>
    <mergeCell ref="B18:C18"/>
    <mergeCell ref="B19:C19"/>
    <mergeCell ref="B20:C20"/>
    <mergeCell ref="B21:C21"/>
    <mergeCell ref="B22:C22"/>
    <mergeCell ref="B26:C26"/>
    <mergeCell ref="D38:E38"/>
    <mergeCell ref="D39:E39"/>
    <mergeCell ref="D40:E40"/>
    <mergeCell ref="D29:E29"/>
    <mergeCell ref="D30:E30"/>
    <mergeCell ref="D31:E31"/>
    <mergeCell ref="D33:E33"/>
    <mergeCell ref="D34:E34"/>
    <mergeCell ref="E1:F1"/>
    <mergeCell ref="E10:F10"/>
    <mergeCell ref="E4:F4"/>
    <mergeCell ref="D35:E35"/>
    <mergeCell ref="D36:E36"/>
    <mergeCell ref="D23:E23"/>
    <mergeCell ref="D24:E24"/>
    <mergeCell ref="D25:E25"/>
    <mergeCell ref="D27:E27"/>
    <mergeCell ref="D28:E28"/>
    <mergeCell ref="D18:E18"/>
    <mergeCell ref="D19:E19"/>
    <mergeCell ref="D20:E20"/>
    <mergeCell ref="D21:E21"/>
    <mergeCell ref="D22:E22"/>
    <mergeCell ref="D13:E13"/>
    <mergeCell ref="D26:E26"/>
    <mergeCell ref="B32:C32"/>
    <mergeCell ref="D32:E32"/>
    <mergeCell ref="B37:C37"/>
    <mergeCell ref="D37:E37"/>
    <mergeCell ref="B36:C36"/>
  </mergeCells>
  <phoneticPr fontId="2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Z41"/>
  <sheetViews>
    <sheetView topLeftCell="B11" workbookViewId="0">
      <selection activeCell="B37" sqref="A37:XFD37"/>
    </sheetView>
  </sheetViews>
  <sheetFormatPr baseColWidth="10" defaultRowHeight="15"/>
  <cols>
    <col min="1" max="1" width="7.625" customWidth="1"/>
    <col min="2" max="2" width="7.25" customWidth="1"/>
    <col min="3" max="3" width="0.875" customWidth="1"/>
    <col min="4" max="4" width="20.75" customWidth="1"/>
    <col min="5" max="5" width="5.25" customWidth="1"/>
    <col min="6" max="6" width="8.125" customWidth="1"/>
    <col min="7" max="10" width="4.75" customWidth="1"/>
    <col min="11" max="11" width="5.625" style="115" customWidth="1"/>
    <col min="12" max="16" width="4.625" customWidth="1"/>
    <col min="17" max="17" width="5.625" style="155" customWidth="1"/>
    <col min="18" max="24" width="4.5" customWidth="1"/>
    <col min="25" max="25" width="6.25" style="206" customWidth="1"/>
    <col min="26" max="26" width="6.375" customWidth="1"/>
  </cols>
  <sheetData>
    <row r="1" spans="1:26">
      <c r="A1" s="58"/>
      <c r="B1" s="58"/>
      <c r="C1" s="58"/>
      <c r="D1" s="58"/>
      <c r="E1" s="318"/>
      <c r="F1" s="318"/>
    </row>
    <row r="2" spans="1:26">
      <c r="A2" s="58"/>
      <c r="B2" s="58"/>
      <c r="C2" s="58"/>
      <c r="D2" s="58"/>
      <c r="E2" s="58"/>
      <c r="F2" s="58"/>
    </row>
    <row r="3" spans="1:26" ht="18">
      <c r="A3" s="58"/>
      <c r="B3" s="323"/>
      <c r="C3" s="58"/>
      <c r="D3" s="327"/>
      <c r="E3" s="327"/>
      <c r="F3" s="327"/>
    </row>
    <row r="4" spans="1:26">
      <c r="A4" s="58"/>
      <c r="B4" s="323"/>
      <c r="C4" s="58"/>
      <c r="D4" s="58"/>
      <c r="E4" s="320"/>
      <c r="F4" s="320"/>
    </row>
    <row r="5" spans="1:26">
      <c r="A5" s="58"/>
      <c r="B5" s="323"/>
      <c r="C5" s="58"/>
      <c r="D5" s="58"/>
      <c r="E5" s="58"/>
      <c r="F5" s="58"/>
    </row>
    <row r="6" spans="1:26">
      <c r="A6" s="58"/>
      <c r="B6" s="323"/>
      <c r="C6" s="325" t="s">
        <v>36</v>
      </c>
      <c r="D6" s="325"/>
      <c r="E6" s="325"/>
      <c r="F6" s="325"/>
    </row>
    <row r="7" spans="1:26" ht="15" customHeight="1">
      <c r="A7" s="58"/>
      <c r="B7" s="323"/>
      <c r="C7" s="58"/>
      <c r="D7" s="58"/>
      <c r="E7" s="58"/>
      <c r="F7" s="58"/>
    </row>
    <row r="8" spans="1:26">
      <c r="A8" s="58"/>
      <c r="B8" s="58"/>
      <c r="C8" s="58"/>
      <c r="D8" s="58"/>
      <c r="E8" s="58"/>
      <c r="F8" s="58"/>
    </row>
    <row r="9" spans="1:26" ht="16" thickBot="1">
      <c r="A9" s="323"/>
      <c r="B9" s="323"/>
      <c r="C9" s="323"/>
      <c r="D9" s="323"/>
      <c r="E9" s="323"/>
      <c r="F9" s="323"/>
    </row>
    <row r="10" spans="1:26" ht="24" thickTop="1" thickBot="1">
      <c r="A10" s="324" t="s">
        <v>322</v>
      </c>
      <c r="B10" s="324"/>
      <c r="C10" s="64" t="s">
        <v>37</v>
      </c>
      <c r="D10" s="60"/>
      <c r="E10" s="319"/>
      <c r="F10" s="319"/>
    </row>
    <row r="11" spans="1:26" ht="24" thickTop="1" thickBot="1">
      <c r="A11" s="324" t="s">
        <v>323</v>
      </c>
      <c r="B11" s="324"/>
      <c r="C11" s="326" t="s">
        <v>58</v>
      </c>
      <c r="D11" s="326"/>
      <c r="E11" s="59" t="s">
        <v>458</v>
      </c>
      <c r="F11" s="61" t="s">
        <v>55</v>
      </c>
      <c r="G11" s="72"/>
      <c r="H11" s="72"/>
      <c r="I11" s="72"/>
      <c r="J11" s="72"/>
      <c r="K11" s="116"/>
      <c r="L11" s="72"/>
      <c r="M11" s="72"/>
      <c r="N11" s="72"/>
      <c r="O11" s="72"/>
      <c r="P11" s="72"/>
      <c r="Q11" s="156"/>
      <c r="R11" s="72"/>
      <c r="S11" s="72"/>
      <c r="T11" s="72"/>
      <c r="U11" s="72"/>
      <c r="V11" s="72"/>
      <c r="W11" s="72"/>
      <c r="X11" s="72"/>
      <c r="Y11" s="208"/>
    </row>
    <row r="12" spans="1:26" ht="17" thickTop="1" thickBot="1">
      <c r="A12" s="324" t="s">
        <v>324</v>
      </c>
      <c r="B12" s="324"/>
      <c r="C12" s="319" t="s">
        <v>287</v>
      </c>
      <c r="D12" s="319"/>
      <c r="E12" s="319"/>
      <c r="F12" s="60" t="s">
        <v>56</v>
      </c>
      <c r="G12" s="72"/>
      <c r="H12" s="72"/>
      <c r="I12" s="72"/>
      <c r="J12" s="72"/>
      <c r="K12" s="116"/>
      <c r="L12" s="72"/>
      <c r="M12" s="72"/>
      <c r="N12" s="72"/>
      <c r="O12" s="72"/>
      <c r="P12" s="72"/>
      <c r="Q12" s="156"/>
      <c r="R12" s="113">
        <v>0.1</v>
      </c>
      <c r="S12" s="113">
        <v>0.1</v>
      </c>
      <c r="T12" s="113">
        <v>0.1</v>
      </c>
      <c r="U12" s="113">
        <v>0.1</v>
      </c>
      <c r="V12" s="113">
        <v>0.1</v>
      </c>
      <c r="W12" s="113">
        <v>0.3</v>
      </c>
      <c r="X12" s="113">
        <v>0.2</v>
      </c>
      <c r="Y12" s="208"/>
    </row>
    <row r="13" spans="1:26" ht="17" thickTop="1" thickBot="1">
      <c r="A13" s="62" t="s">
        <v>325</v>
      </c>
      <c r="B13" s="322" t="s">
        <v>326</v>
      </c>
      <c r="C13" s="322"/>
      <c r="D13" s="322" t="s">
        <v>148</v>
      </c>
      <c r="E13" s="322"/>
      <c r="F13" s="89" t="s">
        <v>57</v>
      </c>
      <c r="G13" s="72" t="s">
        <v>503</v>
      </c>
      <c r="H13" s="72" t="s">
        <v>500</v>
      </c>
      <c r="I13" s="72" t="s">
        <v>237</v>
      </c>
      <c r="J13" s="72" t="s">
        <v>501</v>
      </c>
      <c r="K13" s="116" t="s">
        <v>502</v>
      </c>
      <c r="L13" s="72" t="s">
        <v>259</v>
      </c>
      <c r="M13" s="72" t="s">
        <v>258</v>
      </c>
      <c r="N13" s="72" t="s">
        <v>257</v>
      </c>
      <c r="O13" s="72" t="s">
        <v>255</v>
      </c>
      <c r="P13" s="72" t="s">
        <v>254</v>
      </c>
      <c r="Q13" s="156" t="s">
        <v>256</v>
      </c>
      <c r="R13" s="72" t="s">
        <v>246</v>
      </c>
      <c r="S13" s="72" t="s">
        <v>247</v>
      </c>
      <c r="T13" s="173" t="s">
        <v>138</v>
      </c>
      <c r="U13" s="173" t="s">
        <v>139</v>
      </c>
      <c r="V13" s="173" t="s">
        <v>140</v>
      </c>
      <c r="W13" s="100" t="s">
        <v>285</v>
      </c>
      <c r="X13" s="72" t="s">
        <v>137</v>
      </c>
      <c r="Y13" s="208" t="s">
        <v>141</v>
      </c>
    </row>
    <row r="14" spans="1:26" ht="16" thickBot="1">
      <c r="A14" s="63">
        <v>1</v>
      </c>
      <c r="B14" s="321" t="s">
        <v>59</v>
      </c>
      <c r="C14" s="321"/>
      <c r="D14" s="321" t="s">
        <v>127</v>
      </c>
      <c r="E14" s="321"/>
      <c r="F14" s="90" t="s">
        <v>239</v>
      </c>
      <c r="G14" s="72">
        <v>2</v>
      </c>
      <c r="H14" s="72">
        <v>12</v>
      </c>
      <c r="I14" s="72">
        <v>15</v>
      </c>
      <c r="J14" s="72">
        <v>8</v>
      </c>
      <c r="K14" s="116">
        <f>+J14*0.5+I14*0.15+H14*0.2+G14/4*20*0.15</f>
        <v>10.15</v>
      </c>
      <c r="L14" s="72">
        <v>12</v>
      </c>
      <c r="M14" s="72">
        <v>11</v>
      </c>
      <c r="N14" s="72">
        <v>11</v>
      </c>
      <c r="O14" s="72">
        <v>15</v>
      </c>
      <c r="P14" s="72">
        <v>12</v>
      </c>
      <c r="Q14" s="156">
        <f>+P14*0.5+O14*0.15+N14*0.11+M14*0.11+L14*0.13</f>
        <v>12.230000000000002</v>
      </c>
      <c r="R14" s="72">
        <v>12</v>
      </c>
      <c r="S14" s="72">
        <v>13</v>
      </c>
      <c r="T14" s="72">
        <v>14</v>
      </c>
      <c r="U14" s="72">
        <v>14</v>
      </c>
      <c r="V14" s="72">
        <v>13</v>
      </c>
      <c r="W14" s="72">
        <v>15</v>
      </c>
      <c r="X14" s="72">
        <f>22/26*20</f>
        <v>16.923076923076923</v>
      </c>
      <c r="Y14" s="208">
        <f>+X14*0.2+W14*0.3+V14*0.1+U14*0.1+T14*0.1+S14*0.1+R14*0.1</f>
        <v>14.484615384615388</v>
      </c>
      <c r="Z14" s="211">
        <f>AVERAGE(Y14,Q14,K14)</f>
        <v>12.28820512820513</v>
      </c>
    </row>
    <row r="15" spans="1:26" ht="16" thickBot="1">
      <c r="A15" s="63">
        <v>2</v>
      </c>
      <c r="B15" s="321" t="s">
        <v>128</v>
      </c>
      <c r="C15" s="321"/>
      <c r="D15" s="321" t="s">
        <v>129</v>
      </c>
      <c r="E15" s="321"/>
      <c r="F15" s="90" t="s">
        <v>239</v>
      </c>
      <c r="G15" s="72"/>
      <c r="H15" s="72">
        <v>14</v>
      </c>
      <c r="I15" s="72">
        <v>20</v>
      </c>
      <c r="J15" s="72">
        <v>16</v>
      </c>
      <c r="K15" s="116">
        <f t="shared" ref="K15:K40" si="0">+J15*0.5+I15*0.15+H15*0.2+G15/4*20*0.15</f>
        <v>13.8</v>
      </c>
      <c r="L15" s="72">
        <v>14</v>
      </c>
      <c r="M15" s="72">
        <v>13</v>
      </c>
      <c r="N15" s="72">
        <v>13</v>
      </c>
      <c r="O15" s="72">
        <v>20</v>
      </c>
      <c r="P15" s="72">
        <v>17</v>
      </c>
      <c r="Q15" s="156">
        <f t="shared" ref="Q15:Q41" si="1">+P15*0.5+O15*0.15+N15*0.11+M15*0.11+L15*0.13</f>
        <v>16.18</v>
      </c>
      <c r="R15" s="72">
        <v>13</v>
      </c>
      <c r="S15" s="72">
        <v>14</v>
      </c>
      <c r="T15" s="72">
        <v>14</v>
      </c>
      <c r="U15" s="72">
        <v>14</v>
      </c>
      <c r="V15" s="72">
        <v>13</v>
      </c>
      <c r="W15" s="72">
        <v>16</v>
      </c>
      <c r="X15" s="72">
        <v>20</v>
      </c>
      <c r="Y15" s="208">
        <f t="shared" ref="Y15:Y41" si="2">+X15*0.2+W15*0.3+V15*0.1+U15*0.1+T15*0.1+S15*0.1+R15*0.1</f>
        <v>15.600000000000003</v>
      </c>
      <c r="Z15" s="211">
        <f t="shared" ref="Z15:Z40" si="3">AVERAGE(Y15,Q15,K15)</f>
        <v>15.193333333333333</v>
      </c>
    </row>
    <row r="16" spans="1:26" ht="16" thickBot="1">
      <c r="A16" s="63">
        <v>3</v>
      </c>
      <c r="B16" s="321" t="s">
        <v>130</v>
      </c>
      <c r="C16" s="321"/>
      <c r="D16" s="321" t="s">
        <v>62</v>
      </c>
      <c r="E16" s="321"/>
      <c r="F16" s="90" t="s">
        <v>239</v>
      </c>
      <c r="G16" s="72"/>
      <c r="H16" s="72"/>
      <c r="I16" s="72">
        <v>10</v>
      </c>
      <c r="J16" s="72"/>
      <c r="K16" s="116">
        <f t="shared" si="0"/>
        <v>1.5</v>
      </c>
      <c r="L16" s="72">
        <v>12</v>
      </c>
      <c r="M16" s="72">
        <v>14</v>
      </c>
      <c r="N16" s="72">
        <v>12</v>
      </c>
      <c r="O16" s="72">
        <v>15</v>
      </c>
      <c r="P16" s="72">
        <v>6</v>
      </c>
      <c r="Q16" s="156">
        <f t="shared" si="1"/>
        <v>9.67</v>
      </c>
      <c r="R16" s="72">
        <v>12</v>
      </c>
      <c r="S16" s="72">
        <v>8</v>
      </c>
      <c r="T16" s="72">
        <v>12</v>
      </c>
      <c r="U16" s="72"/>
      <c r="V16" s="72">
        <v>10</v>
      </c>
      <c r="W16" s="72">
        <v>12</v>
      </c>
      <c r="X16" s="72">
        <f>20/26*20</f>
        <v>15.384615384615385</v>
      </c>
      <c r="Y16" s="208">
        <f t="shared" si="2"/>
        <v>10.876923076923077</v>
      </c>
      <c r="Z16" s="211">
        <f t="shared" si="3"/>
        <v>7.3489743589743597</v>
      </c>
    </row>
    <row r="17" spans="1:26" ht="16" thickBot="1">
      <c r="A17" s="63">
        <v>4</v>
      </c>
      <c r="B17" s="321" t="s">
        <v>63</v>
      </c>
      <c r="C17" s="321"/>
      <c r="D17" s="321" t="s">
        <v>13</v>
      </c>
      <c r="E17" s="321"/>
      <c r="F17" s="90" t="s">
        <v>239</v>
      </c>
      <c r="G17" s="72"/>
      <c r="H17" s="72">
        <v>12</v>
      </c>
      <c r="I17" s="72">
        <v>20</v>
      </c>
      <c r="J17" s="72"/>
      <c r="K17" s="116">
        <f t="shared" si="0"/>
        <v>5.4</v>
      </c>
      <c r="L17" s="72">
        <v>15</v>
      </c>
      <c r="M17" s="72">
        <v>13</v>
      </c>
      <c r="N17" s="72">
        <v>14</v>
      </c>
      <c r="O17" s="72">
        <v>20</v>
      </c>
      <c r="P17" s="72">
        <v>14</v>
      </c>
      <c r="Q17" s="156">
        <f t="shared" si="1"/>
        <v>14.919999999999998</v>
      </c>
      <c r="R17" s="72">
        <v>11</v>
      </c>
      <c r="S17" s="72">
        <v>10</v>
      </c>
      <c r="T17" s="72">
        <v>12</v>
      </c>
      <c r="U17" s="72">
        <v>12</v>
      </c>
      <c r="V17" s="72">
        <v>15</v>
      </c>
      <c r="W17" s="72">
        <v>16</v>
      </c>
      <c r="X17" s="72">
        <v>20</v>
      </c>
      <c r="Y17" s="208">
        <f t="shared" si="2"/>
        <v>14.799999999999999</v>
      </c>
      <c r="Z17" s="211">
        <f t="shared" si="3"/>
        <v>11.706666666666665</v>
      </c>
    </row>
    <row r="18" spans="1:26" ht="16" thickBot="1">
      <c r="A18" s="63">
        <v>5</v>
      </c>
      <c r="B18" s="321" t="s">
        <v>14</v>
      </c>
      <c r="C18" s="321"/>
      <c r="D18" s="321" t="s">
        <v>15</v>
      </c>
      <c r="E18" s="321"/>
      <c r="F18" s="90" t="s">
        <v>239</v>
      </c>
      <c r="G18" s="72"/>
      <c r="H18" s="72">
        <v>11</v>
      </c>
      <c r="I18" s="72">
        <v>20</v>
      </c>
      <c r="J18" s="72">
        <v>8</v>
      </c>
      <c r="K18" s="116">
        <f t="shared" si="0"/>
        <v>9.1999999999999993</v>
      </c>
      <c r="L18" s="72">
        <v>12</v>
      </c>
      <c r="M18" s="72">
        <v>12</v>
      </c>
      <c r="N18" s="72">
        <v>10</v>
      </c>
      <c r="O18" s="72">
        <v>20</v>
      </c>
      <c r="P18" s="72">
        <v>15</v>
      </c>
      <c r="Q18" s="156">
        <f t="shared" si="1"/>
        <v>14.48</v>
      </c>
      <c r="R18" s="72">
        <v>12</v>
      </c>
      <c r="S18" s="72">
        <v>11</v>
      </c>
      <c r="T18" s="72">
        <v>12</v>
      </c>
      <c r="U18" s="72">
        <v>7</v>
      </c>
      <c r="V18" s="72">
        <v>12</v>
      </c>
      <c r="W18" s="72">
        <v>14</v>
      </c>
      <c r="X18" s="72">
        <f>24/26*20</f>
        <v>18.461538461538463</v>
      </c>
      <c r="Y18" s="208">
        <f t="shared" si="2"/>
        <v>13.292307692307691</v>
      </c>
      <c r="Z18" s="211">
        <f t="shared" si="3"/>
        <v>12.324102564102565</v>
      </c>
    </row>
    <row r="19" spans="1:26" ht="16" thickBot="1">
      <c r="A19" s="63">
        <v>6</v>
      </c>
      <c r="B19" s="321" t="s">
        <v>16</v>
      </c>
      <c r="C19" s="321"/>
      <c r="D19" s="321" t="s">
        <v>17</v>
      </c>
      <c r="E19" s="321"/>
      <c r="F19" s="90" t="s">
        <v>43</v>
      </c>
      <c r="G19" s="72"/>
      <c r="H19" s="72">
        <v>13</v>
      </c>
      <c r="I19" s="72">
        <v>20</v>
      </c>
      <c r="J19" s="72">
        <v>14</v>
      </c>
      <c r="K19" s="116">
        <f t="shared" si="0"/>
        <v>12.6</v>
      </c>
      <c r="L19" s="72">
        <v>13</v>
      </c>
      <c r="M19" s="72">
        <v>11</v>
      </c>
      <c r="N19" s="72">
        <v>12</v>
      </c>
      <c r="O19" s="72">
        <v>20</v>
      </c>
      <c r="P19" s="72">
        <v>11</v>
      </c>
      <c r="Q19" s="156">
        <f t="shared" si="1"/>
        <v>12.72</v>
      </c>
      <c r="R19" s="72">
        <v>12</v>
      </c>
      <c r="S19" s="72">
        <v>13</v>
      </c>
      <c r="T19" s="72">
        <v>14</v>
      </c>
      <c r="U19" s="72">
        <v>12</v>
      </c>
      <c r="V19" s="72">
        <v>12</v>
      </c>
      <c r="W19" s="72">
        <v>13</v>
      </c>
      <c r="X19" s="72">
        <v>20</v>
      </c>
      <c r="Y19" s="208">
        <f t="shared" si="2"/>
        <v>14.200000000000003</v>
      </c>
      <c r="Z19" s="211">
        <f t="shared" si="3"/>
        <v>13.173333333333334</v>
      </c>
    </row>
    <row r="20" spans="1:26" ht="16" thickBot="1">
      <c r="A20" s="63">
        <v>7</v>
      </c>
      <c r="B20" s="321" t="s">
        <v>409</v>
      </c>
      <c r="C20" s="321"/>
      <c r="D20" s="321" t="s">
        <v>410</v>
      </c>
      <c r="E20" s="321"/>
      <c r="F20" s="90" t="s">
        <v>239</v>
      </c>
      <c r="G20" s="72">
        <v>3</v>
      </c>
      <c r="H20" s="72">
        <v>13</v>
      </c>
      <c r="I20" s="72">
        <v>20</v>
      </c>
      <c r="J20" s="72">
        <v>15</v>
      </c>
      <c r="K20" s="116">
        <f t="shared" si="0"/>
        <v>15.35</v>
      </c>
      <c r="L20" s="72">
        <v>15</v>
      </c>
      <c r="M20" s="72">
        <v>15</v>
      </c>
      <c r="N20" s="72">
        <v>14</v>
      </c>
      <c r="O20" s="72">
        <v>20</v>
      </c>
      <c r="P20" s="72">
        <v>13</v>
      </c>
      <c r="Q20" s="156">
        <f t="shared" si="1"/>
        <v>14.64</v>
      </c>
      <c r="R20" s="72">
        <v>12</v>
      </c>
      <c r="S20" s="72">
        <v>13</v>
      </c>
      <c r="T20" s="72">
        <v>15</v>
      </c>
      <c r="U20" s="72">
        <v>15</v>
      </c>
      <c r="V20" s="72">
        <v>15</v>
      </c>
      <c r="W20" s="72">
        <v>16</v>
      </c>
      <c r="X20" s="72">
        <v>20</v>
      </c>
      <c r="Y20" s="208">
        <f t="shared" si="2"/>
        <v>15.8</v>
      </c>
      <c r="Z20" s="211">
        <f t="shared" si="3"/>
        <v>15.263333333333334</v>
      </c>
    </row>
    <row r="21" spans="1:26" ht="16" thickBot="1">
      <c r="A21" s="63">
        <v>8</v>
      </c>
      <c r="B21" s="321" t="s">
        <v>411</v>
      </c>
      <c r="C21" s="321"/>
      <c r="D21" s="321" t="s">
        <v>417</v>
      </c>
      <c r="E21" s="321"/>
      <c r="F21" s="90" t="s">
        <v>43</v>
      </c>
      <c r="G21" s="72"/>
      <c r="H21" s="72">
        <v>12</v>
      </c>
      <c r="I21" s="72">
        <v>20</v>
      </c>
      <c r="J21" s="72">
        <v>12</v>
      </c>
      <c r="K21" s="116">
        <f t="shared" si="0"/>
        <v>11.4</v>
      </c>
      <c r="L21" s="72">
        <v>10</v>
      </c>
      <c r="M21" s="72">
        <v>12</v>
      </c>
      <c r="N21" s="72">
        <v>12</v>
      </c>
      <c r="O21" s="72">
        <v>15</v>
      </c>
      <c r="P21" s="72">
        <v>12</v>
      </c>
      <c r="Q21" s="156">
        <f t="shared" si="1"/>
        <v>12.190000000000001</v>
      </c>
      <c r="R21" s="72">
        <v>12</v>
      </c>
      <c r="S21" s="72">
        <v>16</v>
      </c>
      <c r="T21" s="72">
        <v>17</v>
      </c>
      <c r="U21" s="72">
        <v>12</v>
      </c>
      <c r="V21" s="72">
        <v>12</v>
      </c>
      <c r="W21" s="72">
        <v>12</v>
      </c>
      <c r="X21" s="72">
        <f>22/26*20</f>
        <v>16.923076923076923</v>
      </c>
      <c r="Y21" s="208">
        <f t="shared" si="2"/>
        <v>13.884615384615383</v>
      </c>
      <c r="Z21" s="211">
        <f t="shared" si="3"/>
        <v>12.491538461538461</v>
      </c>
    </row>
    <row r="22" spans="1:26" ht="16" thickBot="1">
      <c r="A22" s="63">
        <v>9</v>
      </c>
      <c r="B22" s="321" t="s">
        <v>418</v>
      </c>
      <c r="C22" s="321"/>
      <c r="D22" s="321" t="s">
        <v>419</v>
      </c>
      <c r="E22" s="321"/>
      <c r="F22" s="90" t="s">
        <v>239</v>
      </c>
      <c r="G22" s="72"/>
      <c r="H22" s="72">
        <v>13</v>
      </c>
      <c r="I22" s="72">
        <v>20</v>
      </c>
      <c r="J22" s="72">
        <v>7</v>
      </c>
      <c r="K22" s="116">
        <f t="shared" si="0"/>
        <v>9.1</v>
      </c>
      <c r="L22" s="72">
        <v>14</v>
      </c>
      <c r="M22" s="72">
        <v>13</v>
      </c>
      <c r="N22" s="72">
        <v>11</v>
      </c>
      <c r="O22" s="72">
        <v>20</v>
      </c>
      <c r="P22" s="72"/>
      <c r="Q22" s="156">
        <f t="shared" si="1"/>
        <v>7.46</v>
      </c>
      <c r="R22" s="72">
        <v>10</v>
      </c>
      <c r="S22" s="72">
        <v>10</v>
      </c>
      <c r="T22" s="72">
        <v>12</v>
      </c>
      <c r="U22" s="72">
        <v>7</v>
      </c>
      <c r="V22" s="72">
        <v>14</v>
      </c>
      <c r="W22" s="72">
        <v>13</v>
      </c>
      <c r="X22" s="72">
        <v>20</v>
      </c>
      <c r="Y22" s="208">
        <f t="shared" si="2"/>
        <v>13.2</v>
      </c>
      <c r="Z22" s="211">
        <f t="shared" si="3"/>
        <v>9.92</v>
      </c>
    </row>
    <row r="23" spans="1:26" ht="16" thickBot="1">
      <c r="A23" s="63">
        <v>10</v>
      </c>
      <c r="B23" s="321" t="s">
        <v>420</v>
      </c>
      <c r="C23" s="321"/>
      <c r="D23" s="321" t="s">
        <v>489</v>
      </c>
      <c r="E23" s="321"/>
      <c r="F23" s="90" t="s">
        <v>460</v>
      </c>
      <c r="G23" s="72"/>
      <c r="H23" s="72">
        <v>11</v>
      </c>
      <c r="I23" s="72">
        <v>20</v>
      </c>
      <c r="J23" s="72">
        <v>11</v>
      </c>
      <c r="K23" s="116">
        <f t="shared" si="0"/>
        <v>10.7</v>
      </c>
      <c r="L23" s="72">
        <v>11</v>
      </c>
      <c r="M23" s="72">
        <v>11</v>
      </c>
      <c r="N23" s="72">
        <v>10</v>
      </c>
      <c r="O23" s="72">
        <v>20</v>
      </c>
      <c r="P23" s="72">
        <v>12</v>
      </c>
      <c r="Q23" s="156">
        <f t="shared" si="1"/>
        <v>12.739999999999998</v>
      </c>
      <c r="R23" s="72">
        <v>12</v>
      </c>
      <c r="S23" s="72">
        <v>13</v>
      </c>
      <c r="T23" s="72">
        <v>14</v>
      </c>
      <c r="U23" s="72">
        <v>12</v>
      </c>
      <c r="V23" s="72">
        <v>12</v>
      </c>
      <c r="W23" s="72">
        <v>12</v>
      </c>
      <c r="X23" s="72">
        <v>20</v>
      </c>
      <c r="Y23" s="208">
        <f t="shared" si="2"/>
        <v>13.900000000000002</v>
      </c>
      <c r="Z23" s="211">
        <f t="shared" si="3"/>
        <v>12.446666666666667</v>
      </c>
    </row>
    <row r="24" spans="1:26" ht="16" thickBot="1">
      <c r="A24" s="63">
        <v>11</v>
      </c>
      <c r="B24" s="321" t="s">
        <v>490</v>
      </c>
      <c r="C24" s="321"/>
      <c r="D24" s="321" t="s">
        <v>18</v>
      </c>
      <c r="E24" s="321"/>
      <c r="F24" s="90" t="s">
        <v>239</v>
      </c>
      <c r="G24" s="72"/>
      <c r="H24" s="72">
        <v>11</v>
      </c>
      <c r="I24" s="72">
        <v>20</v>
      </c>
      <c r="J24" s="72">
        <v>15</v>
      </c>
      <c r="K24" s="116">
        <f t="shared" si="0"/>
        <v>12.7</v>
      </c>
      <c r="L24" s="72">
        <v>9</v>
      </c>
      <c r="M24" s="72">
        <v>10</v>
      </c>
      <c r="N24" s="72">
        <v>11</v>
      </c>
      <c r="O24" s="72">
        <v>20</v>
      </c>
      <c r="P24" s="72">
        <v>12</v>
      </c>
      <c r="Q24" s="156">
        <f t="shared" si="1"/>
        <v>12.48</v>
      </c>
      <c r="R24" s="72">
        <v>11</v>
      </c>
      <c r="S24" s="72">
        <v>12</v>
      </c>
      <c r="T24" s="72">
        <v>13</v>
      </c>
      <c r="U24" s="72">
        <v>7</v>
      </c>
      <c r="V24" s="72">
        <v>11</v>
      </c>
      <c r="W24" s="72">
        <v>14</v>
      </c>
      <c r="X24" s="72">
        <v>20</v>
      </c>
      <c r="Y24" s="208">
        <f t="shared" si="2"/>
        <v>13.6</v>
      </c>
      <c r="Z24" s="211">
        <f t="shared" si="3"/>
        <v>12.926666666666668</v>
      </c>
    </row>
    <row r="25" spans="1:26" ht="16" thickBot="1">
      <c r="A25" s="63">
        <v>12</v>
      </c>
      <c r="B25" s="321" t="s">
        <v>528</v>
      </c>
      <c r="C25" s="321"/>
      <c r="D25" s="321" t="s">
        <v>197</v>
      </c>
      <c r="E25" s="321"/>
      <c r="F25" s="90" t="s">
        <v>439</v>
      </c>
      <c r="G25" s="72">
        <v>1</v>
      </c>
      <c r="H25" s="72">
        <v>13</v>
      </c>
      <c r="I25" s="72">
        <v>20</v>
      </c>
      <c r="J25" s="72">
        <v>9</v>
      </c>
      <c r="K25" s="116">
        <f t="shared" si="0"/>
        <v>10.85</v>
      </c>
      <c r="L25" s="72">
        <v>10</v>
      </c>
      <c r="M25" s="72">
        <v>9</v>
      </c>
      <c r="N25" s="72">
        <v>7</v>
      </c>
      <c r="O25" s="72">
        <v>20</v>
      </c>
      <c r="P25" s="72">
        <v>11</v>
      </c>
      <c r="Q25" s="156">
        <f t="shared" si="1"/>
        <v>11.56</v>
      </c>
      <c r="R25" s="72">
        <v>12</v>
      </c>
      <c r="S25" s="72">
        <v>10</v>
      </c>
      <c r="T25" s="72">
        <v>13</v>
      </c>
      <c r="U25" s="72">
        <v>14</v>
      </c>
      <c r="V25" s="72">
        <v>14</v>
      </c>
      <c r="W25" s="72">
        <v>14</v>
      </c>
      <c r="X25" s="72">
        <v>20</v>
      </c>
      <c r="Y25" s="208">
        <f t="shared" si="2"/>
        <v>14.5</v>
      </c>
      <c r="Z25" s="211">
        <f t="shared" si="3"/>
        <v>12.303333333333335</v>
      </c>
    </row>
    <row r="26" spans="1:26" ht="17" thickTop="1" thickBot="1">
      <c r="A26" s="63"/>
      <c r="B26" s="98"/>
      <c r="C26" s="98"/>
      <c r="D26" s="306" t="s">
        <v>67</v>
      </c>
      <c r="E26" s="307"/>
      <c r="F26" s="90"/>
      <c r="G26" s="72"/>
      <c r="H26" s="72"/>
      <c r="I26" s="72">
        <v>10</v>
      </c>
      <c r="J26" s="72">
        <v>14</v>
      </c>
      <c r="K26" s="116">
        <f t="shared" si="0"/>
        <v>8.5</v>
      </c>
      <c r="L26" s="72">
        <v>14</v>
      </c>
      <c r="M26" s="72">
        <v>12</v>
      </c>
      <c r="N26" s="72">
        <v>11</v>
      </c>
      <c r="O26" s="72">
        <v>15</v>
      </c>
      <c r="P26" s="72">
        <v>11</v>
      </c>
      <c r="Q26" s="156">
        <f t="shared" si="1"/>
        <v>12.100000000000001</v>
      </c>
      <c r="R26" s="72">
        <v>11</v>
      </c>
      <c r="S26" s="72">
        <v>10</v>
      </c>
      <c r="T26" s="72">
        <v>13</v>
      </c>
      <c r="U26" s="72">
        <v>14</v>
      </c>
      <c r="V26" s="72">
        <v>12</v>
      </c>
      <c r="W26" s="72">
        <v>11</v>
      </c>
      <c r="X26" s="72">
        <f>20/26*20</f>
        <v>15.384615384615385</v>
      </c>
      <c r="Y26" s="208">
        <f t="shared" si="2"/>
        <v>12.376923076923077</v>
      </c>
      <c r="Z26" s="211">
        <f t="shared" si="3"/>
        <v>10.992307692307692</v>
      </c>
    </row>
    <row r="27" spans="1:26" ht="16" thickBot="1">
      <c r="A27" s="63">
        <v>13</v>
      </c>
      <c r="B27" s="321" t="s">
        <v>123</v>
      </c>
      <c r="C27" s="321"/>
      <c r="D27" s="321" t="s">
        <v>124</v>
      </c>
      <c r="E27" s="321"/>
      <c r="F27" s="90" t="s">
        <v>239</v>
      </c>
      <c r="G27" s="72"/>
      <c r="H27" s="72">
        <v>13</v>
      </c>
      <c r="I27" s="72">
        <v>20</v>
      </c>
      <c r="J27" s="72">
        <v>11</v>
      </c>
      <c r="K27" s="116">
        <f t="shared" si="0"/>
        <v>11.1</v>
      </c>
      <c r="L27" s="72">
        <v>13</v>
      </c>
      <c r="M27" s="72">
        <v>12</v>
      </c>
      <c r="N27" s="72">
        <v>11</v>
      </c>
      <c r="O27" s="72">
        <v>20</v>
      </c>
      <c r="P27" s="72">
        <v>15</v>
      </c>
      <c r="Q27" s="156">
        <f t="shared" si="1"/>
        <v>14.72</v>
      </c>
      <c r="R27" s="72">
        <v>11</v>
      </c>
      <c r="S27" s="72">
        <v>14</v>
      </c>
      <c r="T27" s="72">
        <v>15</v>
      </c>
      <c r="U27" s="72">
        <v>14</v>
      </c>
      <c r="V27" s="72">
        <v>12</v>
      </c>
      <c r="W27" s="72">
        <v>16</v>
      </c>
      <c r="X27" s="72">
        <f>24/26*20</f>
        <v>18.461538461538463</v>
      </c>
      <c r="Y27" s="208">
        <f t="shared" si="2"/>
        <v>15.092307692307694</v>
      </c>
      <c r="Z27" s="211">
        <f t="shared" si="3"/>
        <v>13.637435897435898</v>
      </c>
    </row>
    <row r="28" spans="1:26" ht="16" thickBot="1">
      <c r="A28" s="63">
        <v>14</v>
      </c>
      <c r="B28" s="321" t="s">
        <v>298</v>
      </c>
      <c r="C28" s="321"/>
      <c r="D28" s="321" t="s">
        <v>299</v>
      </c>
      <c r="E28" s="321"/>
      <c r="F28" s="90" t="s">
        <v>276</v>
      </c>
      <c r="G28" s="72">
        <v>1</v>
      </c>
      <c r="H28" s="72">
        <v>8</v>
      </c>
      <c r="I28" s="72">
        <v>20</v>
      </c>
      <c r="J28" s="72"/>
      <c r="K28" s="116">
        <f t="shared" si="0"/>
        <v>5.35</v>
      </c>
      <c r="L28" s="72">
        <v>5</v>
      </c>
      <c r="M28" s="72">
        <v>5</v>
      </c>
      <c r="N28" s="72">
        <v>12</v>
      </c>
      <c r="O28" s="72">
        <v>17</v>
      </c>
      <c r="P28" s="72"/>
      <c r="Q28" s="156">
        <f t="shared" si="1"/>
        <v>5.07</v>
      </c>
      <c r="R28" s="72">
        <v>6</v>
      </c>
      <c r="S28" s="72">
        <v>6</v>
      </c>
      <c r="T28" s="72">
        <v>12</v>
      </c>
      <c r="U28" s="72">
        <v>6</v>
      </c>
      <c r="V28" s="72">
        <v>11</v>
      </c>
      <c r="W28" s="72">
        <v>14</v>
      </c>
      <c r="X28" s="72">
        <f>20/26*20</f>
        <v>15.384615384615385</v>
      </c>
      <c r="Y28" s="208">
        <f t="shared" si="2"/>
        <v>11.376923076923077</v>
      </c>
      <c r="Z28" s="211">
        <f t="shared" si="3"/>
        <v>7.2656410256410267</v>
      </c>
    </row>
    <row r="29" spans="1:26" ht="16" thickBot="1">
      <c r="A29" s="63">
        <v>15</v>
      </c>
      <c r="B29" s="321" t="s">
        <v>300</v>
      </c>
      <c r="C29" s="321"/>
      <c r="D29" s="321" t="s">
        <v>426</v>
      </c>
      <c r="E29" s="321"/>
      <c r="F29" s="90" t="s">
        <v>239</v>
      </c>
      <c r="G29" s="72"/>
      <c r="H29" s="72">
        <v>7</v>
      </c>
      <c r="I29" s="72">
        <v>20</v>
      </c>
      <c r="J29" s="72">
        <v>7</v>
      </c>
      <c r="K29" s="116">
        <f t="shared" si="0"/>
        <v>7.9</v>
      </c>
      <c r="L29" s="72">
        <v>7</v>
      </c>
      <c r="M29" s="72">
        <v>7</v>
      </c>
      <c r="N29" s="72">
        <v>12</v>
      </c>
      <c r="O29" s="72">
        <v>20</v>
      </c>
      <c r="P29" s="72">
        <v>16</v>
      </c>
      <c r="Q29" s="156">
        <f t="shared" si="1"/>
        <v>14</v>
      </c>
      <c r="R29" s="72">
        <v>12</v>
      </c>
      <c r="S29" s="72">
        <v>13</v>
      </c>
      <c r="T29" s="72">
        <v>14</v>
      </c>
      <c r="U29" s="72">
        <v>15</v>
      </c>
      <c r="V29" s="72">
        <v>8</v>
      </c>
      <c r="W29" s="72">
        <v>14</v>
      </c>
      <c r="X29" s="72">
        <f>24/26*20</f>
        <v>18.461538461538463</v>
      </c>
      <c r="Y29" s="208">
        <f t="shared" si="2"/>
        <v>14.092307692307696</v>
      </c>
      <c r="Z29" s="211">
        <f t="shared" si="3"/>
        <v>11.997435897435899</v>
      </c>
    </row>
    <row r="30" spans="1:26" ht="16" thickBot="1">
      <c r="A30" s="63">
        <v>16</v>
      </c>
      <c r="B30" s="321" t="s">
        <v>261</v>
      </c>
      <c r="C30" s="321"/>
      <c r="D30" s="321" t="s">
        <v>262</v>
      </c>
      <c r="E30" s="321"/>
      <c r="F30" s="90" t="s">
        <v>239</v>
      </c>
      <c r="G30" s="72">
        <v>3</v>
      </c>
      <c r="H30" s="72">
        <v>12</v>
      </c>
      <c r="I30" s="72">
        <v>20</v>
      </c>
      <c r="J30" s="72">
        <v>7</v>
      </c>
      <c r="K30" s="116">
        <f t="shared" si="0"/>
        <v>11.15</v>
      </c>
      <c r="L30" s="72">
        <v>10</v>
      </c>
      <c r="M30" s="72">
        <v>12</v>
      </c>
      <c r="N30" s="72">
        <v>12</v>
      </c>
      <c r="O30" s="72">
        <v>20</v>
      </c>
      <c r="P30" s="72"/>
      <c r="Q30" s="156">
        <f t="shared" si="1"/>
        <v>6.94</v>
      </c>
      <c r="R30" s="72">
        <v>10</v>
      </c>
      <c r="S30" s="72">
        <v>7</v>
      </c>
      <c r="T30" s="72">
        <v>12</v>
      </c>
      <c r="U30" s="72">
        <v>13</v>
      </c>
      <c r="V30" s="72">
        <v>14</v>
      </c>
      <c r="W30" s="72">
        <v>14</v>
      </c>
      <c r="X30" s="72">
        <f>24/26*20</f>
        <v>18.461538461538463</v>
      </c>
      <c r="Y30" s="208">
        <f t="shared" si="2"/>
        <v>13.492307692307694</v>
      </c>
      <c r="Z30" s="211">
        <f t="shared" si="3"/>
        <v>10.527435897435899</v>
      </c>
    </row>
    <row r="31" spans="1:26" ht="16" thickBot="1">
      <c r="A31" s="63">
        <v>17</v>
      </c>
      <c r="B31" s="321" t="s">
        <v>263</v>
      </c>
      <c r="C31" s="321"/>
      <c r="D31" s="321" t="s">
        <v>77</v>
      </c>
      <c r="E31" s="321"/>
      <c r="F31" s="90" t="s">
        <v>239</v>
      </c>
      <c r="G31" s="72"/>
      <c r="H31" s="72">
        <v>8</v>
      </c>
      <c r="I31" s="72">
        <v>20</v>
      </c>
      <c r="J31" s="72">
        <v>9</v>
      </c>
      <c r="K31" s="116">
        <f t="shared" si="0"/>
        <v>9.1</v>
      </c>
      <c r="L31" s="72">
        <v>11</v>
      </c>
      <c r="M31" s="72">
        <v>11</v>
      </c>
      <c r="N31" s="72">
        <v>12</v>
      </c>
      <c r="O31" s="72">
        <v>20</v>
      </c>
      <c r="P31" s="72">
        <v>14</v>
      </c>
      <c r="Q31" s="156">
        <f t="shared" si="1"/>
        <v>13.96</v>
      </c>
      <c r="R31" s="72">
        <v>13</v>
      </c>
      <c r="S31" s="72">
        <v>13</v>
      </c>
      <c r="T31" s="72">
        <v>14</v>
      </c>
      <c r="U31" s="72">
        <v>12</v>
      </c>
      <c r="V31" s="72">
        <v>11</v>
      </c>
      <c r="W31" s="72">
        <v>12</v>
      </c>
      <c r="X31" s="72">
        <v>20</v>
      </c>
      <c r="Y31" s="208">
        <f t="shared" si="2"/>
        <v>13.9</v>
      </c>
      <c r="Z31" s="211">
        <f t="shared" si="3"/>
        <v>12.32</v>
      </c>
    </row>
    <row r="32" spans="1:26" ht="16" thickBot="1">
      <c r="A32" s="63"/>
      <c r="B32" s="98"/>
      <c r="C32" s="98"/>
      <c r="D32" s="308" t="s">
        <v>68</v>
      </c>
      <c r="E32" s="308"/>
      <c r="F32" s="90"/>
      <c r="G32" s="72"/>
      <c r="H32" s="72"/>
      <c r="I32" s="72">
        <v>0</v>
      </c>
      <c r="J32" s="72">
        <v>10</v>
      </c>
      <c r="K32" s="116">
        <f t="shared" si="0"/>
        <v>5</v>
      </c>
      <c r="L32" s="72"/>
      <c r="M32" s="72">
        <v>12</v>
      </c>
      <c r="N32" s="72">
        <v>12</v>
      </c>
      <c r="O32" s="72">
        <v>5</v>
      </c>
      <c r="P32" s="72">
        <v>12</v>
      </c>
      <c r="Q32" s="156">
        <f t="shared" si="1"/>
        <v>9.39</v>
      </c>
      <c r="R32" s="72">
        <v>12</v>
      </c>
      <c r="S32" s="72">
        <v>11</v>
      </c>
      <c r="T32" s="72"/>
      <c r="U32" s="72">
        <v>7</v>
      </c>
      <c r="V32" s="72"/>
      <c r="W32" s="72">
        <v>8</v>
      </c>
      <c r="X32" s="72">
        <f>10/26*20</f>
        <v>7.6923076923076925</v>
      </c>
      <c r="Y32" s="208">
        <f t="shared" si="2"/>
        <v>6.9384615384615396</v>
      </c>
      <c r="Z32" s="211">
        <f t="shared" si="3"/>
        <v>7.1094871794871795</v>
      </c>
    </row>
    <row r="33" spans="1:26" ht="16" thickBot="1">
      <c r="A33" s="63">
        <v>18</v>
      </c>
      <c r="B33" s="321" t="s">
        <v>78</v>
      </c>
      <c r="C33" s="321"/>
      <c r="D33" s="321" t="s">
        <v>79</v>
      </c>
      <c r="E33" s="321"/>
      <c r="F33" s="90" t="s">
        <v>239</v>
      </c>
      <c r="G33" s="72"/>
      <c r="H33" s="72">
        <v>11</v>
      </c>
      <c r="I33" s="72">
        <v>20</v>
      </c>
      <c r="J33" s="72">
        <v>13</v>
      </c>
      <c r="K33" s="116">
        <f t="shared" si="0"/>
        <v>11.7</v>
      </c>
      <c r="L33" s="72">
        <v>16</v>
      </c>
      <c r="M33" s="72"/>
      <c r="N33" s="72">
        <v>12</v>
      </c>
      <c r="O33" s="72">
        <v>20</v>
      </c>
      <c r="P33" s="72">
        <v>10</v>
      </c>
      <c r="Q33" s="156">
        <f t="shared" si="1"/>
        <v>11.4</v>
      </c>
      <c r="R33" s="72">
        <v>13</v>
      </c>
      <c r="S33" s="72">
        <v>13</v>
      </c>
      <c r="T33" s="72">
        <v>14</v>
      </c>
      <c r="U33" s="72">
        <v>14</v>
      </c>
      <c r="V33" s="72">
        <v>15</v>
      </c>
      <c r="W33" s="72">
        <v>15</v>
      </c>
      <c r="X33" s="72">
        <v>20</v>
      </c>
      <c r="Y33" s="208">
        <f t="shared" si="2"/>
        <v>15.400000000000002</v>
      </c>
      <c r="Z33" s="211">
        <f t="shared" si="3"/>
        <v>12.833333333333334</v>
      </c>
    </row>
    <row r="34" spans="1:26" ht="16" thickBot="1">
      <c r="A34" s="63">
        <v>19</v>
      </c>
      <c r="B34" s="321" t="s">
        <v>80</v>
      </c>
      <c r="C34" s="321"/>
      <c r="D34" s="321" t="s">
        <v>199</v>
      </c>
      <c r="E34" s="321"/>
      <c r="F34" s="90" t="s">
        <v>239</v>
      </c>
      <c r="G34" s="72">
        <v>4</v>
      </c>
      <c r="H34" s="72">
        <v>12</v>
      </c>
      <c r="I34" s="72">
        <v>20</v>
      </c>
      <c r="J34" s="72">
        <v>13</v>
      </c>
      <c r="K34" s="116">
        <f t="shared" si="0"/>
        <v>14.9</v>
      </c>
      <c r="L34" s="72">
        <v>14</v>
      </c>
      <c r="M34" s="72">
        <v>15</v>
      </c>
      <c r="N34" s="72">
        <v>13</v>
      </c>
      <c r="O34" s="72">
        <v>20</v>
      </c>
      <c r="P34" s="72">
        <v>12</v>
      </c>
      <c r="Q34" s="156">
        <f t="shared" si="1"/>
        <v>13.9</v>
      </c>
      <c r="R34" s="72">
        <v>14</v>
      </c>
      <c r="S34" s="72">
        <v>14</v>
      </c>
      <c r="T34" s="72">
        <v>15</v>
      </c>
      <c r="U34" s="72">
        <v>12</v>
      </c>
      <c r="V34" s="72">
        <v>14</v>
      </c>
      <c r="W34" s="72">
        <v>14</v>
      </c>
      <c r="X34" s="72">
        <v>18.46153846153846</v>
      </c>
      <c r="Y34" s="208">
        <f t="shared" si="2"/>
        <v>14.792307692307695</v>
      </c>
      <c r="Z34" s="211">
        <f t="shared" si="3"/>
        <v>14.530769230769231</v>
      </c>
    </row>
    <row r="35" spans="1:26" ht="16" thickBot="1">
      <c r="A35" s="63">
        <v>20</v>
      </c>
      <c r="B35" s="321" t="s">
        <v>31</v>
      </c>
      <c r="C35" s="321"/>
      <c r="D35" s="321" t="s">
        <v>32</v>
      </c>
      <c r="E35" s="321"/>
      <c r="F35" s="90" t="s">
        <v>239</v>
      </c>
      <c r="G35" s="72"/>
      <c r="H35" s="72">
        <v>12</v>
      </c>
      <c r="I35" s="72">
        <v>20</v>
      </c>
      <c r="J35" s="72">
        <v>12</v>
      </c>
      <c r="K35" s="116">
        <f t="shared" si="0"/>
        <v>11.4</v>
      </c>
      <c r="L35" s="72">
        <v>9</v>
      </c>
      <c r="M35" s="72">
        <v>10</v>
      </c>
      <c r="N35" s="72">
        <v>10</v>
      </c>
      <c r="O35" s="72">
        <v>20</v>
      </c>
      <c r="P35" s="72">
        <v>10</v>
      </c>
      <c r="Q35" s="156">
        <f t="shared" si="1"/>
        <v>11.37</v>
      </c>
      <c r="R35" s="72">
        <v>10</v>
      </c>
      <c r="S35" s="72">
        <v>12</v>
      </c>
      <c r="T35" s="72">
        <v>13</v>
      </c>
      <c r="U35" s="72">
        <v>11</v>
      </c>
      <c r="V35" s="72">
        <v>11</v>
      </c>
      <c r="W35" s="72">
        <v>11</v>
      </c>
      <c r="X35" s="72">
        <v>20</v>
      </c>
      <c r="Y35" s="208">
        <f t="shared" si="2"/>
        <v>13</v>
      </c>
      <c r="Z35" s="211">
        <f t="shared" si="3"/>
        <v>11.923333333333332</v>
      </c>
    </row>
    <row r="36" spans="1:26" ht="16" thickBot="1">
      <c r="A36" s="63">
        <v>21</v>
      </c>
      <c r="B36" s="321" t="s">
        <v>24</v>
      </c>
      <c r="C36" s="321"/>
      <c r="D36" s="321" t="s">
        <v>25</v>
      </c>
      <c r="E36" s="321"/>
      <c r="F36" s="90" t="s">
        <v>239</v>
      </c>
      <c r="G36" s="72">
        <v>3</v>
      </c>
      <c r="H36" s="72">
        <v>11</v>
      </c>
      <c r="I36" s="72">
        <v>20</v>
      </c>
      <c r="J36" s="72"/>
      <c r="K36" s="116">
        <f t="shared" si="0"/>
        <v>7.45</v>
      </c>
      <c r="L36" s="72">
        <v>14</v>
      </c>
      <c r="M36" s="72">
        <v>11</v>
      </c>
      <c r="N36" s="72">
        <v>12</v>
      </c>
      <c r="O36" s="72">
        <v>20</v>
      </c>
      <c r="P36" s="72">
        <v>12</v>
      </c>
      <c r="Q36" s="156">
        <f t="shared" si="1"/>
        <v>13.350000000000001</v>
      </c>
      <c r="R36" s="72">
        <v>13</v>
      </c>
      <c r="S36" s="72">
        <v>12</v>
      </c>
      <c r="T36" s="72">
        <v>13</v>
      </c>
      <c r="U36" s="72">
        <v>9</v>
      </c>
      <c r="V36" s="72">
        <v>12</v>
      </c>
      <c r="W36" s="72">
        <v>12</v>
      </c>
      <c r="X36" s="72">
        <v>20</v>
      </c>
      <c r="Y36" s="208">
        <f t="shared" si="2"/>
        <v>13.500000000000004</v>
      </c>
      <c r="Z36" s="211">
        <f t="shared" si="3"/>
        <v>11.433333333333335</v>
      </c>
    </row>
    <row r="37" spans="1:26" ht="16" thickBot="1">
      <c r="A37" s="63">
        <v>22</v>
      </c>
      <c r="B37" s="321"/>
      <c r="C37" s="321"/>
      <c r="D37" s="321" t="s">
        <v>508</v>
      </c>
      <c r="E37" s="321"/>
      <c r="F37" s="90" t="s">
        <v>239</v>
      </c>
      <c r="G37" s="72">
        <v>2</v>
      </c>
      <c r="H37" s="72">
        <v>13</v>
      </c>
      <c r="I37" s="72">
        <v>10</v>
      </c>
      <c r="J37" s="72">
        <v>6</v>
      </c>
      <c r="K37" s="116">
        <f t="shared" si="0"/>
        <v>8.6</v>
      </c>
      <c r="L37" s="72">
        <v>12</v>
      </c>
      <c r="M37" s="72">
        <v>12</v>
      </c>
      <c r="N37" s="72">
        <v>13</v>
      </c>
      <c r="O37" s="72">
        <v>15</v>
      </c>
      <c r="P37" s="72">
        <v>10</v>
      </c>
      <c r="Q37" s="156">
        <f t="shared" si="1"/>
        <v>11.56</v>
      </c>
      <c r="R37" s="72">
        <v>10</v>
      </c>
      <c r="S37" s="72">
        <v>8</v>
      </c>
      <c r="T37" s="72">
        <v>12</v>
      </c>
      <c r="U37" s="72">
        <v>13</v>
      </c>
      <c r="V37" s="72">
        <v>10</v>
      </c>
      <c r="W37" s="72">
        <v>15</v>
      </c>
      <c r="X37" s="72">
        <f>16/26*20</f>
        <v>12.307692307692308</v>
      </c>
      <c r="Y37" s="208">
        <f t="shared" si="2"/>
        <v>12.261538461538464</v>
      </c>
      <c r="Z37" s="211">
        <f t="shared" si="3"/>
        <v>10.807179487179489</v>
      </c>
    </row>
    <row r="38" spans="1:26" ht="16" thickBot="1">
      <c r="A38" s="63">
        <v>22</v>
      </c>
      <c r="B38" s="321" t="s">
        <v>76</v>
      </c>
      <c r="C38" s="321"/>
      <c r="D38" s="321" t="s">
        <v>45</v>
      </c>
      <c r="E38" s="321"/>
      <c r="F38" s="90" t="s">
        <v>239</v>
      </c>
      <c r="G38" s="72"/>
      <c r="H38" s="72">
        <v>11</v>
      </c>
      <c r="I38" s="72">
        <v>20</v>
      </c>
      <c r="J38" s="72">
        <v>13</v>
      </c>
      <c r="K38" s="116">
        <f t="shared" si="0"/>
        <v>11.7</v>
      </c>
      <c r="L38" s="72">
        <v>14</v>
      </c>
      <c r="M38" s="72">
        <v>11</v>
      </c>
      <c r="N38" s="72">
        <v>12</v>
      </c>
      <c r="O38" s="72">
        <v>20</v>
      </c>
      <c r="P38" s="72">
        <v>12</v>
      </c>
      <c r="Q38" s="156">
        <f t="shared" si="1"/>
        <v>13.350000000000001</v>
      </c>
      <c r="R38" s="72">
        <v>13</v>
      </c>
      <c r="S38" s="72">
        <v>14</v>
      </c>
      <c r="T38" s="72">
        <v>15</v>
      </c>
      <c r="U38" s="72">
        <v>12</v>
      </c>
      <c r="V38" s="72">
        <v>12</v>
      </c>
      <c r="W38" s="72">
        <v>14</v>
      </c>
      <c r="X38" s="72">
        <v>20</v>
      </c>
      <c r="Y38" s="208">
        <f t="shared" si="2"/>
        <v>14.799999999999999</v>
      </c>
      <c r="Z38" s="211">
        <f t="shared" si="3"/>
        <v>13.283333333333331</v>
      </c>
    </row>
    <row r="39" spans="1:26" ht="16" thickBot="1">
      <c r="A39" s="63">
        <v>23</v>
      </c>
      <c r="B39" s="321" t="s">
        <v>44</v>
      </c>
      <c r="C39" s="321"/>
      <c r="D39" s="321" t="s">
        <v>74</v>
      </c>
      <c r="E39" s="321"/>
      <c r="F39" s="90" t="s">
        <v>239</v>
      </c>
      <c r="G39" s="72"/>
      <c r="H39" s="72">
        <v>8</v>
      </c>
      <c r="I39" s="72">
        <v>15</v>
      </c>
      <c r="J39" s="72"/>
      <c r="K39" s="116">
        <f t="shared" si="0"/>
        <v>3.85</v>
      </c>
      <c r="L39" s="72">
        <v>9</v>
      </c>
      <c r="M39" s="72">
        <v>9</v>
      </c>
      <c r="N39" s="72">
        <v>11</v>
      </c>
      <c r="O39" s="72">
        <v>15</v>
      </c>
      <c r="P39" s="72">
        <v>11</v>
      </c>
      <c r="Q39" s="156">
        <f t="shared" si="1"/>
        <v>11.120000000000001</v>
      </c>
      <c r="R39" s="72"/>
      <c r="S39" s="72"/>
      <c r="T39" s="72"/>
      <c r="U39" s="72"/>
      <c r="V39" s="72"/>
      <c r="W39" s="72"/>
      <c r="X39" s="72">
        <f>12/26*20</f>
        <v>9.2307692307692317</v>
      </c>
      <c r="Y39" s="208">
        <f t="shared" si="2"/>
        <v>1.8461538461538465</v>
      </c>
      <c r="Z39" s="211">
        <f t="shared" si="3"/>
        <v>5.6053846153846161</v>
      </c>
    </row>
    <row r="40" spans="1:26" ht="16" thickBot="1">
      <c r="A40" s="63">
        <v>24</v>
      </c>
      <c r="B40" s="321" t="s">
        <v>75</v>
      </c>
      <c r="C40" s="321"/>
      <c r="D40" s="321" t="s">
        <v>81</v>
      </c>
      <c r="E40" s="321"/>
      <c r="F40" s="90" t="s">
        <v>239</v>
      </c>
      <c r="G40" s="72"/>
      <c r="H40" s="72">
        <v>13</v>
      </c>
      <c r="I40" s="72">
        <v>20</v>
      </c>
      <c r="J40" s="72">
        <v>12</v>
      </c>
      <c r="K40" s="116">
        <f t="shared" si="0"/>
        <v>11.6</v>
      </c>
      <c r="L40" s="72">
        <v>12</v>
      </c>
      <c r="M40" s="72">
        <v>12</v>
      </c>
      <c r="N40" s="72">
        <v>12</v>
      </c>
      <c r="O40" s="72">
        <v>20</v>
      </c>
      <c r="P40" s="72">
        <v>16</v>
      </c>
      <c r="Q40" s="156">
        <f t="shared" si="1"/>
        <v>15.200000000000001</v>
      </c>
      <c r="R40" s="72">
        <v>12</v>
      </c>
      <c r="S40" s="72">
        <v>11</v>
      </c>
      <c r="T40" s="72">
        <v>12</v>
      </c>
      <c r="U40" s="72">
        <v>14</v>
      </c>
      <c r="V40" s="72">
        <v>15</v>
      </c>
      <c r="W40" s="72">
        <v>16</v>
      </c>
      <c r="X40" s="72">
        <v>20</v>
      </c>
      <c r="Y40" s="208">
        <f t="shared" si="2"/>
        <v>15.200000000000003</v>
      </c>
      <c r="Z40" s="211">
        <f t="shared" si="3"/>
        <v>14.000000000000002</v>
      </c>
    </row>
    <row r="41" spans="1:26">
      <c r="G41">
        <v>4</v>
      </c>
      <c r="H41" s="100">
        <v>20</v>
      </c>
      <c r="I41" s="100">
        <v>20</v>
      </c>
      <c r="J41" s="100">
        <v>20</v>
      </c>
      <c r="K41" s="116">
        <f>+J41*0.5+I41*0.15+H41*0.2+G41/4*20*0.15</f>
        <v>20</v>
      </c>
      <c r="L41" s="100">
        <v>20</v>
      </c>
      <c r="M41" s="100">
        <v>20</v>
      </c>
      <c r="N41" s="100">
        <v>20</v>
      </c>
      <c r="O41" s="100">
        <v>20</v>
      </c>
      <c r="P41" s="100">
        <v>20</v>
      </c>
      <c r="Q41" s="156">
        <f t="shared" si="1"/>
        <v>20</v>
      </c>
      <c r="R41" s="72">
        <v>20</v>
      </c>
      <c r="S41" s="72">
        <v>20</v>
      </c>
      <c r="T41" s="72">
        <v>20</v>
      </c>
      <c r="U41" s="72">
        <v>20</v>
      </c>
      <c r="V41" s="72">
        <v>20</v>
      </c>
      <c r="W41" s="72">
        <v>20</v>
      </c>
      <c r="X41" s="72">
        <v>20</v>
      </c>
      <c r="Y41" s="208">
        <f t="shared" si="2"/>
        <v>20</v>
      </c>
    </row>
  </sheetData>
  <sheetCalcPr fullCalcOnLoad="1"/>
  <mergeCells count="66">
    <mergeCell ref="A9:F9"/>
    <mergeCell ref="A10:B10"/>
    <mergeCell ref="A11:B11"/>
    <mergeCell ref="A12:B12"/>
    <mergeCell ref="B3:B7"/>
    <mergeCell ref="C6:F6"/>
    <mergeCell ref="C11:D11"/>
    <mergeCell ref="C12:E12"/>
    <mergeCell ref="D3:F3"/>
    <mergeCell ref="B13:C13"/>
    <mergeCell ref="B14:C14"/>
    <mergeCell ref="B15:C15"/>
    <mergeCell ref="B16:C16"/>
    <mergeCell ref="B17:C17"/>
    <mergeCell ref="B36:C36"/>
    <mergeCell ref="B38:C38"/>
    <mergeCell ref="B39:C39"/>
    <mergeCell ref="B40:C40"/>
    <mergeCell ref="B29:C29"/>
    <mergeCell ref="B30:C30"/>
    <mergeCell ref="B31:C31"/>
    <mergeCell ref="B33:C33"/>
    <mergeCell ref="B34:C34"/>
    <mergeCell ref="B37:C37"/>
    <mergeCell ref="D14:E14"/>
    <mergeCell ref="D15:E15"/>
    <mergeCell ref="D16:E16"/>
    <mergeCell ref="D17:E17"/>
    <mergeCell ref="B35:C35"/>
    <mergeCell ref="B23:C23"/>
    <mergeCell ref="B24:C24"/>
    <mergeCell ref="B25:C25"/>
    <mergeCell ref="B27:C27"/>
    <mergeCell ref="B28:C28"/>
    <mergeCell ref="B18:C18"/>
    <mergeCell ref="B19:C19"/>
    <mergeCell ref="B20:C20"/>
    <mergeCell ref="B21:C21"/>
    <mergeCell ref="B22:C22"/>
    <mergeCell ref="D26:E26"/>
    <mergeCell ref="D38:E38"/>
    <mergeCell ref="D39:E39"/>
    <mergeCell ref="D40:E40"/>
    <mergeCell ref="D29:E29"/>
    <mergeCell ref="D30:E30"/>
    <mergeCell ref="D31:E31"/>
    <mergeCell ref="D33:E33"/>
    <mergeCell ref="D34:E34"/>
    <mergeCell ref="D37:E37"/>
    <mergeCell ref="D32:E32"/>
    <mergeCell ref="E1:F1"/>
    <mergeCell ref="E10:F10"/>
    <mergeCell ref="E4:F4"/>
    <mergeCell ref="D35:E35"/>
    <mergeCell ref="D36:E36"/>
    <mergeCell ref="D23:E23"/>
    <mergeCell ref="D24:E24"/>
    <mergeCell ref="D25:E25"/>
    <mergeCell ref="D27:E27"/>
    <mergeCell ref="D28:E28"/>
    <mergeCell ref="D18:E18"/>
    <mergeCell ref="D19:E19"/>
    <mergeCell ref="D20:E20"/>
    <mergeCell ref="D21:E21"/>
    <mergeCell ref="D22:E22"/>
    <mergeCell ref="D13:E13"/>
  </mergeCells>
  <phoneticPr fontId="23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ED</vt:lpstr>
      <vt:lpstr>ED Lab</vt:lpstr>
      <vt:lpstr>MP</vt:lpstr>
      <vt:lpstr>MF</vt:lpstr>
      <vt:lpstr>MF Lab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Aula L 204</dc:creator>
  <cp:lastModifiedBy>Carlo Corrales</cp:lastModifiedBy>
  <dcterms:created xsi:type="dcterms:W3CDTF">2016-03-21T23:15:57Z</dcterms:created>
  <dcterms:modified xsi:type="dcterms:W3CDTF">2016-08-23T23:24:42Z</dcterms:modified>
</cp:coreProperties>
</file>