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0" yWindow="300" windowWidth="25440" windowHeight="13200" tabRatio="572" activeTab="7"/>
  </bookViews>
  <sheets>
    <sheet name="IIS3" sheetId="4" r:id="rId1"/>
    <sheet name="IIS4" sheetId="5" r:id="rId2"/>
    <sheet name="IIS5" sheetId="8" r:id="rId3"/>
    <sheet name="IIS6" sheetId="9" r:id="rId4"/>
    <sheet name="IIS1" sheetId="11" r:id="rId5"/>
    <sheet name="IIS2" sheetId="12" r:id="rId6"/>
    <sheet name="MP2" sheetId="2" r:id="rId7"/>
    <sheet name="MP3" sheetId="3" r:id="rId8"/>
    <sheet name="MF1" sheetId="6" r:id="rId9"/>
    <sheet name="MF" sheetId="7" r:id="rId10"/>
    <sheet name="ConsolidadoF1" sheetId="10" r:id="rId11"/>
    <sheet name="Sheet1" sheetId="13" r:id="rId1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8" i="10"/>
  <c r="B59"/>
  <c r="B60"/>
  <c r="B61"/>
  <c r="B83"/>
  <c r="B84"/>
  <c r="B85"/>
  <c r="B86"/>
  <c r="B62"/>
  <c r="B87"/>
  <c r="B128"/>
  <c r="B129"/>
  <c r="B130"/>
  <c r="B131"/>
  <c r="B132"/>
  <c r="B109"/>
  <c r="B108"/>
  <c r="B107"/>
  <c r="B106"/>
  <c r="B110"/>
  <c r="B10"/>
  <c r="B11"/>
  <c r="B12"/>
  <c r="B13"/>
  <c r="B14"/>
  <c r="C106"/>
  <c r="C107"/>
  <c r="C108"/>
  <c r="C109"/>
  <c r="C131"/>
  <c r="C130"/>
  <c r="C129"/>
  <c r="C128"/>
  <c r="C86"/>
  <c r="C85"/>
  <c r="C84"/>
  <c r="C83"/>
  <c r="C61"/>
  <c r="C60"/>
  <c r="C59"/>
  <c r="C58"/>
  <c r="C13"/>
  <c r="C12"/>
  <c r="C11"/>
  <c r="C10"/>
  <c r="B36"/>
  <c r="B37"/>
  <c r="B38"/>
  <c r="B39"/>
  <c r="B40"/>
  <c r="C36"/>
  <c r="C37"/>
  <c r="C38"/>
  <c r="C39"/>
  <c r="Q19" i="11"/>
  <c r="Q18"/>
  <c r="Q17"/>
  <c r="Q16"/>
  <c r="Q15"/>
  <c r="Q14"/>
  <c r="Q13"/>
  <c r="Q12"/>
  <c r="Q11"/>
  <c r="Q10"/>
  <c r="Q9"/>
  <c r="Q8"/>
  <c r="Q7"/>
  <c r="Q6"/>
  <c r="Q5"/>
  <c r="Q4"/>
  <c r="L18"/>
  <c r="L17"/>
  <c r="L16"/>
  <c r="L15"/>
  <c r="L14"/>
  <c r="L13"/>
  <c r="L12"/>
  <c r="L11"/>
  <c r="L10"/>
  <c r="L9"/>
  <c r="L8"/>
  <c r="L7"/>
  <c r="L6"/>
  <c r="L5"/>
  <c r="L4"/>
  <c r="L19"/>
  <c r="L20"/>
  <c r="O18"/>
  <c r="O17"/>
  <c r="O16"/>
  <c r="O15"/>
  <c r="O14"/>
  <c r="O13"/>
  <c r="O12"/>
  <c r="O11"/>
  <c r="O10"/>
  <c r="O9"/>
  <c r="O8"/>
  <c r="O7"/>
  <c r="O6"/>
  <c r="O5"/>
  <c r="O4"/>
  <c r="O19"/>
  <c r="O20"/>
  <c r="P18" i="12"/>
  <c r="P17"/>
  <c r="P16"/>
  <c r="P15"/>
  <c r="P14"/>
  <c r="P13"/>
  <c r="P12"/>
  <c r="P11"/>
  <c r="P10"/>
  <c r="P9"/>
  <c r="P8"/>
  <c r="P7"/>
  <c r="P6"/>
  <c r="P5"/>
  <c r="P4"/>
  <c r="K17"/>
  <c r="K16"/>
  <c r="K15"/>
  <c r="K14"/>
  <c r="K13"/>
  <c r="K12"/>
  <c r="K11"/>
  <c r="K10"/>
  <c r="K9"/>
  <c r="K8"/>
  <c r="K7"/>
  <c r="K6"/>
  <c r="K5"/>
  <c r="K4"/>
  <c r="K18"/>
  <c r="K19"/>
  <c r="N19"/>
  <c r="N18"/>
  <c r="N17"/>
  <c r="N16"/>
  <c r="N15"/>
  <c r="N14"/>
  <c r="N13"/>
  <c r="N12"/>
  <c r="N11"/>
  <c r="N10"/>
  <c r="N9"/>
  <c r="N8"/>
  <c r="N7"/>
  <c r="N6"/>
  <c r="N5"/>
  <c r="N4"/>
  <c r="Q3" i="4"/>
  <c r="T3"/>
  <c r="Q4"/>
  <c r="T4"/>
  <c r="Q5"/>
  <c r="T5"/>
  <c r="Q6"/>
  <c r="T6"/>
  <c r="Q7"/>
  <c r="T7"/>
  <c r="Q8"/>
  <c r="T8"/>
  <c r="Q9"/>
  <c r="T9"/>
  <c r="Q10"/>
  <c r="T10"/>
  <c r="Q11"/>
  <c r="T11"/>
  <c r="Q12"/>
  <c r="T12"/>
  <c r="Q13"/>
  <c r="T13"/>
  <c r="Q14"/>
  <c r="T14"/>
  <c r="Q15"/>
  <c r="T15"/>
  <c r="Q16"/>
  <c r="T16"/>
  <c r="Q17"/>
  <c r="T17"/>
  <c r="Q18"/>
  <c r="T18"/>
  <c r="Q3" i="5"/>
  <c r="T3"/>
  <c r="Q4"/>
  <c r="T4"/>
  <c r="Q5"/>
  <c r="T5"/>
  <c r="Q6"/>
  <c r="T6"/>
  <c r="Q7"/>
  <c r="T7"/>
  <c r="Q8"/>
  <c r="T8"/>
  <c r="Q9"/>
  <c r="T9"/>
  <c r="Q10"/>
  <c r="T10"/>
  <c r="Q11"/>
  <c r="T11"/>
  <c r="Q12"/>
  <c r="T12"/>
  <c r="Q13"/>
  <c r="T13"/>
  <c r="Q14"/>
  <c r="T14"/>
  <c r="Q15"/>
  <c r="T15"/>
  <c r="Q16"/>
  <c r="T16"/>
  <c r="Q17"/>
  <c r="T17"/>
  <c r="Q18"/>
  <c r="T18"/>
  <c r="T17" i="8"/>
  <c r="W17"/>
  <c r="T9"/>
  <c r="W9"/>
  <c r="T4"/>
  <c r="W4"/>
  <c r="T3"/>
  <c r="W3"/>
  <c r="T18"/>
  <c r="W18"/>
  <c r="T16"/>
  <c r="W16"/>
  <c r="T15"/>
  <c r="W15"/>
  <c r="T14"/>
  <c r="W14"/>
  <c r="T13"/>
  <c r="W13"/>
  <c r="T12"/>
  <c r="W12"/>
  <c r="T11"/>
  <c r="W11"/>
  <c r="T10"/>
  <c r="W10"/>
  <c r="T8"/>
  <c r="W8"/>
  <c r="T7"/>
  <c r="W7"/>
  <c r="T6"/>
  <c r="W6"/>
  <c r="T5"/>
  <c r="W5"/>
  <c r="T3" i="9"/>
  <c r="W3"/>
  <c r="T16"/>
  <c r="W16"/>
  <c r="T15"/>
  <c r="W15"/>
  <c r="T14"/>
  <c r="W14"/>
  <c r="T13"/>
  <c r="W13"/>
  <c r="T12"/>
  <c r="W12"/>
  <c r="T11"/>
  <c r="W11"/>
  <c r="T10"/>
  <c r="W10"/>
  <c r="T9"/>
  <c r="W9"/>
  <c r="T8"/>
  <c r="W8"/>
  <c r="T7"/>
  <c r="W7"/>
  <c r="T6"/>
  <c r="W6"/>
  <c r="T5"/>
  <c r="W5"/>
  <c r="T4"/>
  <c r="W4"/>
  <c r="J24" i="7"/>
  <c r="R24"/>
  <c r="G24"/>
  <c r="H24"/>
  <c r="E24"/>
  <c r="S24"/>
  <c r="J23"/>
  <c r="R23"/>
  <c r="H23"/>
  <c r="E23"/>
  <c r="S23"/>
  <c r="J22"/>
  <c r="R22"/>
  <c r="G22"/>
  <c r="H22"/>
  <c r="E22"/>
  <c r="S22"/>
  <c r="J21"/>
  <c r="R21"/>
  <c r="G21"/>
  <c r="H21"/>
  <c r="E21"/>
  <c r="S21"/>
  <c r="J20"/>
  <c r="R20"/>
  <c r="H20"/>
  <c r="E20"/>
  <c r="S20"/>
  <c r="J19"/>
  <c r="R19"/>
  <c r="G19"/>
  <c r="H19"/>
  <c r="E19"/>
  <c r="S19"/>
  <c r="J18"/>
  <c r="R18"/>
  <c r="G18"/>
  <c r="H18"/>
  <c r="E18"/>
  <c r="S18"/>
  <c r="J17"/>
  <c r="R17"/>
  <c r="G17"/>
  <c r="H17"/>
  <c r="E17"/>
  <c r="S17"/>
  <c r="J16"/>
  <c r="R16"/>
  <c r="G16"/>
  <c r="H16"/>
  <c r="E16"/>
  <c r="S16"/>
  <c r="J15"/>
  <c r="R15"/>
  <c r="G15"/>
  <c r="H15"/>
  <c r="E15"/>
  <c r="S15"/>
  <c r="J14"/>
  <c r="R14"/>
  <c r="G14"/>
  <c r="H14"/>
  <c r="E14"/>
  <c r="S14"/>
  <c r="J13"/>
  <c r="R13"/>
  <c r="G13"/>
  <c r="H13"/>
  <c r="E13"/>
  <c r="S13"/>
  <c r="J12"/>
  <c r="R12"/>
  <c r="G12"/>
  <c r="H12"/>
  <c r="E12"/>
  <c r="S12"/>
  <c r="J11"/>
  <c r="R11"/>
  <c r="G11"/>
  <c r="H11"/>
  <c r="E11"/>
  <c r="S11"/>
  <c r="J10"/>
  <c r="R10"/>
  <c r="G10"/>
  <c r="H10"/>
  <c r="E10"/>
  <c r="S10"/>
  <c r="J9"/>
  <c r="R9"/>
  <c r="G9"/>
  <c r="H9"/>
  <c r="E9"/>
  <c r="S9"/>
  <c r="J8"/>
  <c r="R8"/>
  <c r="H8"/>
  <c r="E8"/>
  <c r="S8"/>
  <c r="J7"/>
  <c r="R7"/>
  <c r="G7"/>
  <c r="H7"/>
  <c r="E7"/>
  <c r="S7"/>
  <c r="J6"/>
  <c r="R6"/>
  <c r="G6"/>
  <c r="H6"/>
  <c r="E6"/>
  <c r="S6"/>
  <c r="J5"/>
  <c r="R5"/>
  <c r="G5"/>
  <c r="H5"/>
  <c r="E5"/>
  <c r="S5"/>
  <c r="J4"/>
  <c r="R4"/>
  <c r="G4"/>
  <c r="H4"/>
  <c r="E4"/>
  <c r="S4"/>
  <c r="R25"/>
  <c r="H25"/>
  <c r="E25"/>
  <c r="R6" i="6"/>
  <c r="U6"/>
  <c r="R4"/>
  <c r="U4"/>
  <c r="R26"/>
  <c r="U26"/>
  <c r="R25"/>
  <c r="U25"/>
  <c r="R24"/>
  <c r="U24"/>
  <c r="R23"/>
  <c r="U23"/>
  <c r="R22"/>
  <c r="U22"/>
  <c r="R20"/>
  <c r="U20"/>
  <c r="R19"/>
  <c r="U19"/>
  <c r="R18"/>
  <c r="U18"/>
  <c r="R17"/>
  <c r="U17"/>
  <c r="R16"/>
  <c r="U16"/>
  <c r="R15"/>
  <c r="U15"/>
  <c r="R14"/>
  <c r="U14"/>
  <c r="R13"/>
  <c r="U13"/>
  <c r="R12"/>
  <c r="U12"/>
  <c r="R11"/>
  <c r="U11"/>
  <c r="R10"/>
  <c r="U10"/>
  <c r="R9"/>
  <c r="U9"/>
  <c r="R8"/>
  <c r="U8"/>
  <c r="R7"/>
  <c r="U7"/>
  <c r="R5"/>
  <c r="U5"/>
  <c r="J26"/>
  <c r="J25"/>
  <c r="J24"/>
  <c r="J23"/>
  <c r="J22"/>
  <c r="J20"/>
  <c r="J19"/>
  <c r="J18"/>
  <c r="J17"/>
  <c r="J16"/>
  <c r="J15"/>
  <c r="J14"/>
  <c r="J13"/>
  <c r="J12"/>
  <c r="J11"/>
  <c r="J10"/>
  <c r="J9"/>
  <c r="J8"/>
  <c r="J7"/>
  <c r="J6"/>
  <c r="J5"/>
  <c r="J4"/>
  <c r="M26"/>
  <c r="M25"/>
  <c r="M24"/>
  <c r="M23"/>
  <c r="M22"/>
  <c r="M20"/>
  <c r="M19"/>
  <c r="M18"/>
  <c r="M17"/>
  <c r="M16"/>
  <c r="M15"/>
  <c r="M14"/>
  <c r="M13"/>
  <c r="M12"/>
  <c r="M11"/>
  <c r="M10"/>
  <c r="M9"/>
  <c r="M8"/>
  <c r="M7"/>
  <c r="M6"/>
  <c r="M5"/>
  <c r="M4"/>
  <c r="F4"/>
  <c r="F5"/>
  <c r="F6"/>
  <c r="F7"/>
  <c r="F8"/>
  <c r="F9"/>
  <c r="F10"/>
  <c r="F11"/>
  <c r="F12"/>
  <c r="F13"/>
  <c r="F14"/>
  <c r="F15"/>
  <c r="F16"/>
  <c r="F17"/>
  <c r="F18"/>
  <c r="F19"/>
  <c r="F20"/>
  <c r="F22"/>
  <c r="F23"/>
  <c r="F24"/>
  <c r="F25"/>
  <c r="F26"/>
  <c r="BA20" i="2"/>
  <c r="BC20"/>
  <c r="AL20"/>
  <c r="AN20"/>
  <c r="U20"/>
  <c r="W20"/>
  <c r="BD20"/>
  <c r="BA19"/>
  <c r="BC19"/>
  <c r="AL19"/>
  <c r="AN19"/>
  <c r="U19"/>
  <c r="W19"/>
  <c r="BD19"/>
  <c r="BA18"/>
  <c r="BC18"/>
  <c r="AL18"/>
  <c r="AN18"/>
  <c r="U18"/>
  <c r="W18"/>
  <c r="BD18"/>
  <c r="BA17"/>
  <c r="BC17"/>
  <c r="AL17"/>
  <c r="AN17"/>
  <c r="U17"/>
  <c r="W17"/>
  <c r="BD17"/>
  <c r="BA16"/>
  <c r="BC16"/>
  <c r="AL16"/>
  <c r="AN16"/>
  <c r="U16"/>
  <c r="W16"/>
  <c r="BD16"/>
  <c r="BA15"/>
  <c r="BC15"/>
  <c r="AL15"/>
  <c r="AN15"/>
  <c r="U15"/>
  <c r="W15"/>
  <c r="BD15"/>
  <c r="BA14"/>
  <c r="BC14"/>
  <c r="AL14"/>
  <c r="AN14"/>
  <c r="U14"/>
  <c r="W14"/>
  <c r="BD14"/>
  <c r="BA13"/>
  <c r="BC13"/>
  <c r="AL13"/>
  <c r="AN13"/>
  <c r="U13"/>
  <c r="W13"/>
  <c r="BD13"/>
  <c r="BA12"/>
  <c r="BC12"/>
  <c r="AL12"/>
  <c r="AN12"/>
  <c r="U12"/>
  <c r="W12"/>
  <c r="BD12"/>
  <c r="BA11"/>
  <c r="BC11"/>
  <c r="AL11"/>
  <c r="AN11"/>
  <c r="U11"/>
  <c r="W11"/>
  <c r="BD11"/>
  <c r="BA10"/>
  <c r="BC10"/>
  <c r="AL10"/>
  <c r="AN10"/>
  <c r="U10"/>
  <c r="W10"/>
  <c r="BD10"/>
  <c r="BA9"/>
  <c r="BC9"/>
  <c r="AL9"/>
  <c r="AN9"/>
  <c r="U9"/>
  <c r="W9"/>
  <c r="BD9"/>
  <c r="BA8"/>
  <c r="BC8"/>
  <c r="AL8"/>
  <c r="AN8"/>
  <c r="U8"/>
  <c r="W8"/>
  <c r="BD8"/>
  <c r="BA7"/>
  <c r="BC7"/>
  <c r="AL7"/>
  <c r="AN7"/>
  <c r="U7"/>
  <c r="W7"/>
  <c r="BD7"/>
  <c r="BA6"/>
  <c r="BC6"/>
  <c r="AL6"/>
  <c r="AN6"/>
  <c r="U6"/>
  <c r="W6"/>
  <c r="BD6"/>
  <c r="BA5"/>
  <c r="BC5"/>
  <c r="AL5"/>
  <c r="AN5"/>
  <c r="U5"/>
  <c r="W5"/>
  <c r="BD5"/>
  <c r="BA4"/>
  <c r="BC4"/>
  <c r="AL4"/>
  <c r="AN4"/>
  <c r="U4"/>
  <c r="W4"/>
  <c r="BD4"/>
  <c r="BA21"/>
  <c r="U1"/>
  <c r="AX20" i="3"/>
  <c r="AZ20"/>
  <c r="AI20"/>
  <c r="AK20"/>
  <c r="T20"/>
  <c r="V20"/>
  <c r="BA20"/>
  <c r="AX19"/>
  <c r="AZ19"/>
  <c r="AI19"/>
  <c r="AK19"/>
  <c r="T19"/>
  <c r="V19"/>
  <c r="BA19"/>
  <c r="AX18"/>
  <c r="AZ18"/>
  <c r="AI18"/>
  <c r="AK18"/>
  <c r="T18"/>
  <c r="V18"/>
  <c r="BA18"/>
  <c r="AX17"/>
  <c r="AZ17"/>
  <c r="AI17"/>
  <c r="AK17"/>
  <c r="T17"/>
  <c r="V17"/>
  <c r="BA17"/>
  <c r="AX16"/>
  <c r="AZ16"/>
  <c r="AI16"/>
  <c r="AK16"/>
  <c r="T16"/>
  <c r="V16"/>
  <c r="BA16"/>
  <c r="AX15"/>
  <c r="AZ15"/>
  <c r="AI15"/>
  <c r="AK15"/>
  <c r="T15"/>
  <c r="V15"/>
  <c r="BA15"/>
  <c r="AX14"/>
  <c r="AZ14"/>
  <c r="AI14"/>
  <c r="AK14"/>
  <c r="T14"/>
  <c r="V14"/>
  <c r="BA14"/>
  <c r="AX13"/>
  <c r="AZ13"/>
  <c r="AI13"/>
  <c r="AK13"/>
  <c r="T13"/>
  <c r="V13"/>
  <c r="BA13"/>
  <c r="AX12"/>
  <c r="AZ12"/>
  <c r="AI12"/>
  <c r="AK12"/>
  <c r="T12"/>
  <c r="V12"/>
  <c r="BA12"/>
  <c r="AX11"/>
  <c r="AZ11"/>
  <c r="AI11"/>
  <c r="AK11"/>
  <c r="T11"/>
  <c r="V11"/>
  <c r="BA11"/>
  <c r="AX10"/>
  <c r="AZ10"/>
  <c r="AI10"/>
  <c r="AK10"/>
  <c r="T10"/>
  <c r="V10"/>
  <c r="BA10"/>
  <c r="AX9"/>
  <c r="AZ9"/>
  <c r="AI9"/>
  <c r="AK9"/>
  <c r="T9"/>
  <c r="V9"/>
  <c r="BA9"/>
  <c r="AX8"/>
  <c r="AZ8"/>
  <c r="AI8"/>
  <c r="AK8"/>
  <c r="T8"/>
  <c r="V8"/>
  <c r="BA8"/>
  <c r="AX7"/>
  <c r="AZ7"/>
  <c r="AI7"/>
  <c r="AK7"/>
  <c r="T7"/>
  <c r="V7"/>
  <c r="BA7"/>
  <c r="AX6"/>
  <c r="AZ6"/>
  <c r="AI6"/>
  <c r="AK6"/>
  <c r="T6"/>
  <c r="V6"/>
  <c r="BA6"/>
  <c r="AX5"/>
  <c r="AZ5"/>
  <c r="AI5"/>
  <c r="AK5"/>
  <c r="T5"/>
  <c r="V5"/>
  <c r="BA5"/>
  <c r="AX4"/>
  <c r="AZ4"/>
  <c r="AI4"/>
  <c r="AK4"/>
  <c r="T4"/>
  <c r="V4"/>
  <c r="BA4"/>
  <c r="AX21"/>
  <c r="T1"/>
</calcChain>
</file>

<file path=xl/sharedStrings.xml><?xml version="1.0" encoding="utf-8"?>
<sst xmlns="http://schemas.openxmlformats.org/spreadsheetml/2006/main" count="769" uniqueCount="406">
  <si>
    <t>Escuela Profesional de Ing. De Sistemas</t>
    <phoneticPr fontId="6" type="noConversion"/>
  </si>
  <si>
    <t>YATACO T, CHRISTIAN</t>
    <phoneticPr fontId="6" type="noConversion"/>
  </si>
  <si>
    <t>FIGUEROA M, GONZALO</t>
    <phoneticPr fontId="6" type="noConversion"/>
  </si>
  <si>
    <t>HERNANDEZ M, MANUEL</t>
    <phoneticPr fontId="6" type="noConversion"/>
  </si>
  <si>
    <t>Grupo: Laboratorio 02</t>
    <phoneticPr fontId="6" type="noConversion"/>
  </si>
  <si>
    <t>SANTOS PAMO, BRUNO ANDRE</t>
  </si>
  <si>
    <t>S2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</si>
  <si>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</si>
  <si>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</si>
  <si>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</si>
  <si>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</si>
  <si>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PROM</t>
    <phoneticPr fontId="6" type="noConversion"/>
  </si>
  <si>
    <t>P</t>
    <phoneticPr fontId="6" type="noConversion"/>
  </si>
  <si>
    <t>P</t>
    <phoneticPr fontId="6" type="noConversion"/>
  </si>
  <si>
    <t>S2</t>
    <phoneticPr fontId="6" type="noConversion"/>
  </si>
  <si>
    <t>YAGUNO H, ANGEL</t>
    <phoneticPr fontId="6" type="noConversion"/>
  </si>
  <si>
    <t>CHECA C, FABRICIO</t>
    <phoneticPr fontId="6" type="noConversion"/>
  </si>
  <si>
    <t>NuñEZ DELPRADO, MATEO</t>
    <phoneticPr fontId="6" type="noConversion"/>
  </si>
  <si>
    <t>CHURA CH, JOEL</t>
    <phoneticPr fontId="6" type="noConversion"/>
  </si>
  <si>
    <t>Cuestionarios</t>
    <phoneticPr fontId="6" type="noConversion"/>
  </si>
  <si>
    <t>Cuestionarios</t>
    <phoneticPr fontId="6" type="noConversion"/>
  </si>
  <si>
    <t>QS2</t>
    <phoneticPr fontId="6" type="noConversion"/>
  </si>
  <si>
    <t>QS2</t>
    <phoneticPr fontId="6" type="noConversion"/>
  </si>
  <si>
    <t>ALVAREZ VILLAGRA, CRISTIAN DANIEL</t>
  </si>
  <si>
    <t>HUAYTA MERMA, DAVID MIGUEL</t>
  </si>
  <si>
    <t>FUENTES GONZALES, EDWARD FRANCISCO</t>
  </si>
  <si>
    <t>GONZALES VERGARA, JOSE ENRIQUE</t>
  </si>
  <si>
    <t>SUAREZ CABELLO, MAURICIO</t>
    <phoneticPr fontId="6" type="noConversion"/>
  </si>
  <si>
    <t>VELAZCO MEZA, ANA LUCIA</t>
    <phoneticPr fontId="6" type="noConversion"/>
  </si>
  <si>
    <t>S3</t>
    <phoneticPr fontId="6" type="noConversion"/>
  </si>
  <si>
    <t>S4</t>
    <phoneticPr fontId="6" type="noConversion"/>
  </si>
  <si>
    <t>S5</t>
    <phoneticPr fontId="6" type="noConversion"/>
  </si>
  <si>
    <t>S7</t>
    <phoneticPr fontId="6" type="noConversion"/>
  </si>
  <si>
    <t>S7B</t>
  </si>
  <si>
    <t>S7B</t>
    <phoneticPr fontId="6" type="noConversion"/>
  </si>
  <si>
    <t>QS7</t>
    <phoneticPr fontId="6" type="noConversion"/>
  </si>
  <si>
    <t>GAMIO NU—EZ, FABIAN SEBASTIAN</t>
  </si>
  <si>
    <t>GUEVARA FERIA, KEVIN JOEL</t>
  </si>
  <si>
    <t>RODRIGUEZ LOPEZ, FERNANDO JESUS</t>
  </si>
  <si>
    <t>SALAS FLORES, FIDEL KELVIN</t>
  </si>
  <si>
    <t>QS6</t>
    <phoneticPr fontId="6" type="noConversion"/>
  </si>
  <si>
    <t xml:space="preserve"> </t>
    <phoneticPr fontId="6" type="noConversion"/>
  </si>
  <si>
    <t>MONJE, RONALDO</t>
    <phoneticPr fontId="6" type="noConversion"/>
  </si>
  <si>
    <t>S5 Y 6</t>
    <phoneticPr fontId="6" type="noConversion"/>
  </si>
  <si>
    <t>A pedido del Ing Zuñiga</t>
    <phoneticPr fontId="6" type="noConversion"/>
  </si>
  <si>
    <t>Lab7_8</t>
    <phoneticPr fontId="6" type="noConversion"/>
  </si>
  <si>
    <t>Lab9</t>
    <phoneticPr fontId="6" type="noConversion"/>
  </si>
  <si>
    <t>Lab10</t>
    <phoneticPr fontId="6" type="noConversion"/>
  </si>
  <si>
    <t>Warmup-2</t>
    <phoneticPr fontId="6" type="noConversion"/>
  </si>
  <si>
    <t>Logic-1</t>
    <phoneticPr fontId="6" type="noConversion"/>
  </si>
  <si>
    <t>MANOTUPA GIL, JUAN RUBEN</t>
  </si>
  <si>
    <t>MAYTA COA, JUNIOR JAVIER</t>
  </si>
  <si>
    <t>MEDINA HUAMANI, MIGUEL ANGEL</t>
  </si>
  <si>
    <t>VELARDE LIMA DIEGO</t>
  </si>
  <si>
    <t>Asalde Silva Renato Alexander</t>
  </si>
  <si>
    <t>Ptos mas</t>
    <phoneticPr fontId="6" type="noConversion"/>
  </si>
  <si>
    <t>GONZALES DUEÑAS BRYAN EDUARDO</t>
  </si>
  <si>
    <t>LAURA OLIVA ANDREA CAROLINA</t>
  </si>
  <si>
    <t>Horario: Miercoles de 3 a 5pm y Viernes de 3 a 5pm</t>
    <phoneticPr fontId="6" type="noConversion"/>
  </si>
  <si>
    <t>Horario: Lunes de 11 a 1pm y Jueves de 11 a 1pm</t>
    <phoneticPr fontId="6" type="noConversion"/>
  </si>
  <si>
    <t>Grupo: Laboratorio 04</t>
    <phoneticPr fontId="6" type="noConversion"/>
  </si>
  <si>
    <t>Horario: Lunes de 1 a 3pm y Jueves de 1 a 3pm</t>
    <phoneticPr fontId="6" type="noConversion"/>
  </si>
  <si>
    <t>Curso: Metodos Formales en Ing. Software</t>
    <phoneticPr fontId="6" type="noConversion"/>
  </si>
  <si>
    <t>Grupo: Teoria A</t>
    <phoneticPr fontId="6" type="noConversion"/>
  </si>
  <si>
    <t>S3</t>
    <phoneticPr fontId="6" type="noConversion"/>
  </si>
  <si>
    <t>CHACON HUAYTA EDGARD SEBASTIAN</t>
  </si>
  <si>
    <t>QS1</t>
    <phoneticPr fontId="6" type="noConversion"/>
  </si>
  <si>
    <t>QS1</t>
    <phoneticPr fontId="6" type="noConversion"/>
  </si>
  <si>
    <t>Mier y Viern</t>
    <phoneticPr fontId="6" type="noConversion"/>
  </si>
  <si>
    <t>L y J 11am</t>
    <phoneticPr fontId="6" type="noConversion"/>
  </si>
  <si>
    <t>L y J 1pm</t>
    <phoneticPr fontId="6" type="noConversion"/>
  </si>
  <si>
    <t>PENA VELAZCO, ROGER ALEXANDER</t>
    <phoneticPr fontId="6" type="noConversion"/>
  </si>
  <si>
    <t>MUNOZ CALSIN, JIMMY ESTIFER</t>
    <phoneticPr fontId="6" type="noConversion"/>
  </si>
  <si>
    <t>HUALLPA YAURI, MIGUEL ANGEL</t>
    <phoneticPr fontId="6" type="noConversion"/>
  </si>
  <si>
    <t>String-2</t>
    <phoneticPr fontId="6" type="noConversion"/>
  </si>
  <si>
    <t>List-2</t>
    <phoneticPr fontId="6" type="noConversion"/>
  </si>
  <si>
    <t>Trab</t>
    <phoneticPr fontId="6" type="noConversion"/>
  </si>
  <si>
    <t>Pcal</t>
    <phoneticPr fontId="6" type="noConversion"/>
  </si>
  <si>
    <t>PROM</t>
    <phoneticPr fontId="6" type="noConversion"/>
  </si>
  <si>
    <t>HUANCA PAUCAR RENATO</t>
  </si>
  <si>
    <t>PONCE TAPIA ALEXANDER PAUL</t>
  </si>
  <si>
    <t>RAMIREZ MALAGA RENATO FABIAN</t>
  </si>
  <si>
    <t>MANRIQUE MORANTE RODRIGO RICHARD</t>
  </si>
  <si>
    <t>MAYTA ESCOBEDO EDSON DANIEL</t>
  </si>
  <si>
    <t>MINAYA DIAZ DIEGO ALBERTO</t>
  </si>
  <si>
    <t>PEÑA VELAZCO ROGER ALEXANDER</t>
  </si>
  <si>
    <t>VILCA HUAYHUA, BRANDO JESUS ENRIQUE</t>
  </si>
  <si>
    <t>VIZCARRA BENAVIDES, GUSTAVO ALBERTO</t>
  </si>
  <si>
    <t>ZU—IGA MAYTA, JOSE</t>
  </si>
  <si>
    <t>APAZA LUQUE, MARILUNA VENECIA</t>
  </si>
  <si>
    <t>Logic-1</t>
    <phoneticPr fontId="6" type="noConversion"/>
  </si>
  <si>
    <t>S25</t>
    <phoneticPr fontId="6" type="noConversion"/>
  </si>
  <si>
    <t>String-1</t>
    <phoneticPr fontId="6" type="noConversion"/>
  </si>
  <si>
    <t>Pcal</t>
    <phoneticPr fontId="6" type="noConversion"/>
  </si>
  <si>
    <t>PROM</t>
    <phoneticPr fontId="6" type="noConversion"/>
  </si>
  <si>
    <t>QS2</t>
    <phoneticPr fontId="6" type="noConversion"/>
  </si>
  <si>
    <t>QS3</t>
    <phoneticPr fontId="6" type="noConversion"/>
  </si>
  <si>
    <t>QS3</t>
    <phoneticPr fontId="6" type="noConversion"/>
  </si>
  <si>
    <t>algoritmo</t>
    <phoneticPr fontId="6" type="noConversion"/>
  </si>
  <si>
    <t>instruccion de ctrl</t>
    <phoneticPr fontId="6" type="noConversion"/>
  </si>
  <si>
    <t>ESCOBEDO RODRIGUEZ, SERGIO ALBERTO</t>
  </si>
  <si>
    <t>HIHUALLANCA YUPANQUI, NATHALIA MARGIURY</t>
  </si>
  <si>
    <t>LIPA OCHOA, JOSE ENRIQUE</t>
  </si>
  <si>
    <t>S11</t>
    <phoneticPr fontId="6" type="noConversion"/>
  </si>
  <si>
    <t>S15</t>
    <phoneticPr fontId="6" type="noConversion"/>
  </si>
  <si>
    <t>S16</t>
    <phoneticPr fontId="6" type="noConversion"/>
  </si>
  <si>
    <t>S15</t>
    <phoneticPr fontId="6" type="noConversion"/>
  </si>
  <si>
    <t>S16</t>
    <phoneticPr fontId="6" type="noConversion"/>
  </si>
  <si>
    <t>P</t>
    <phoneticPr fontId="6" type="noConversion"/>
  </si>
  <si>
    <t>S5</t>
    <phoneticPr fontId="6" type="noConversion"/>
  </si>
  <si>
    <t>S17</t>
    <phoneticPr fontId="6" type="noConversion"/>
  </si>
  <si>
    <t>S17</t>
    <phoneticPr fontId="6" type="noConversion"/>
  </si>
  <si>
    <t>S1</t>
    <phoneticPr fontId="6" type="noConversion"/>
  </si>
  <si>
    <t>TEJADA GUZMAN, JOSE CARLOS</t>
  </si>
  <si>
    <t>TORRES PUMACAYO, NICOLE MICHELLE</t>
  </si>
  <si>
    <t>BARRERA RODRIGUEZ RODRIGO JOAQUIN</t>
  </si>
  <si>
    <t>DEL CARPIO BERRIO DANIEL SERAFIN</t>
  </si>
  <si>
    <t>LAZO S, LEANDRO</t>
    <phoneticPr fontId="6" type="noConversion"/>
  </si>
  <si>
    <t>ASALDE S, RENATO</t>
    <phoneticPr fontId="6" type="noConversion"/>
  </si>
  <si>
    <t>VARGAS ZEGARRA BETSY KRISTY</t>
  </si>
  <si>
    <t>ALCCA VIZCARRA FERNANDO RENATO</t>
  </si>
  <si>
    <t>VALENCIA QUILLE, JAIME YOVANY</t>
  </si>
  <si>
    <t>CATACORA LL, GABRIEL</t>
    <phoneticPr fontId="6" type="noConversion"/>
  </si>
  <si>
    <t>ROQUE D, EBENEZER</t>
    <phoneticPr fontId="6" type="noConversion"/>
  </si>
  <si>
    <t>AGOSTINELLI R, GIANCARLO</t>
    <phoneticPr fontId="6" type="noConversion"/>
  </si>
  <si>
    <t>MAMANI HOLGUINO, LUIS ANGEL</t>
  </si>
  <si>
    <t>MAYTA ESCOBEDO, EDSON DANIEL</t>
  </si>
  <si>
    <t>MENDOZA PACHECO, JULIO CESAR</t>
  </si>
  <si>
    <t>LUNA FLORES, JULIO PAOLO</t>
  </si>
  <si>
    <t>L7</t>
    <phoneticPr fontId="6" type="noConversion"/>
  </si>
  <si>
    <t>Trab</t>
    <phoneticPr fontId="6" type="noConversion"/>
  </si>
  <si>
    <t>Asist</t>
    <phoneticPr fontId="6" type="noConversion"/>
  </si>
  <si>
    <t>Gamero Calle Sergio Andre Miguel</t>
  </si>
  <si>
    <t>Asist</t>
    <phoneticPr fontId="6" type="noConversion"/>
  </si>
  <si>
    <t>Asist</t>
    <phoneticPr fontId="6" type="noConversion"/>
  </si>
  <si>
    <t>Trab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</si>
  <si>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</si>
  <si>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</si>
  <si>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</si>
  <si>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</si>
  <si>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</si>
  <si>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EXAM</t>
    <phoneticPr fontId="6" type="noConversion"/>
  </si>
  <si>
    <t>Pcal</t>
    <phoneticPr fontId="6" type="noConversion"/>
  </si>
  <si>
    <t xml:space="preserve">SUAREZ CABELLO, MAURICIO JHONATAN </t>
    <phoneticPr fontId="6" type="noConversion"/>
  </si>
  <si>
    <t>LAURA OLIVA, ANDREA CAROLINA</t>
  </si>
  <si>
    <t>MAMANI CRUZ, MARY CARMEN</t>
  </si>
  <si>
    <t>jorgegarba@hotmail.com</t>
  </si>
  <si>
    <t>JULIO PAOLO LUNA FLORES</t>
  </si>
  <si>
    <t>ares_9511@hotmail.com</t>
  </si>
  <si>
    <t>JUAN RUBEN MANOTUPA GIL</t>
  </si>
  <si>
    <t>juan_papita@hotmail.com</t>
  </si>
  <si>
    <t>9,00</t>
  </si>
  <si>
    <t>JUNIOR JAVIER MAYTA COA</t>
  </si>
  <si>
    <t>junior_jmc@hotmail.com</t>
  </si>
  <si>
    <t>MIGUEL ANGEL MEDINA HUAMANI</t>
  </si>
  <si>
    <t>miki_08_15@hotmail.com</t>
  </si>
  <si>
    <t>S9</t>
    <phoneticPr fontId="6" type="noConversion"/>
  </si>
  <si>
    <t>QS7</t>
    <phoneticPr fontId="6" type="noConversion"/>
  </si>
  <si>
    <t>QS8</t>
    <phoneticPr fontId="6" type="noConversion"/>
  </si>
  <si>
    <t>QS9</t>
    <phoneticPr fontId="6" type="noConversion"/>
  </si>
  <si>
    <t>S10</t>
    <phoneticPr fontId="6" type="noConversion"/>
  </si>
  <si>
    <t>PROM</t>
    <phoneticPr fontId="6" type="noConversion"/>
  </si>
  <si>
    <t>PCal</t>
    <phoneticPr fontId="6" type="noConversion"/>
  </si>
  <si>
    <t>SOTO ESPINOZA, CRISTOFER PERCY</t>
  </si>
  <si>
    <t>SOTO HIZO, DIEGO HUMBERTO</t>
  </si>
  <si>
    <t>TARQUI GOMEZ, BRYAN CARLOS</t>
  </si>
  <si>
    <t>P</t>
    <phoneticPr fontId="6" type="noConversion"/>
  </si>
  <si>
    <t>P</t>
    <phoneticPr fontId="6" type="noConversion"/>
  </si>
  <si>
    <t>P</t>
    <phoneticPr fontId="6" type="noConversion"/>
  </si>
  <si>
    <t>Grupo: Laboratorio 03</t>
    <phoneticPr fontId="6" type="noConversion"/>
  </si>
  <si>
    <t>Pcal</t>
    <phoneticPr fontId="6" type="noConversion"/>
  </si>
  <si>
    <t>Trab</t>
    <phoneticPr fontId="6" type="noConversion"/>
  </si>
  <si>
    <t>RAMOS SALAS, BRUNO MICHAEL</t>
  </si>
  <si>
    <t>CUADROS SALAZAR, RENZO MARIO</t>
  </si>
  <si>
    <t>Notas de 09 a 12</t>
    <phoneticPr fontId="6" type="noConversion"/>
  </si>
  <si>
    <t>HEREDIA LAZARO, JAIME MARTIN PRAHLADA</t>
  </si>
  <si>
    <t>HINOJOSA PINTO, VICTOR HUGO</t>
  </si>
  <si>
    <t>S2</t>
    <phoneticPr fontId="6" type="noConversion"/>
  </si>
  <si>
    <t>CORDOVA ANDIA, SHIRLEY GERANYELI</t>
  </si>
  <si>
    <t>Docente: Mgter. Carlo Corrales Delgado</t>
    <phoneticPr fontId="6" type="noConversion"/>
  </si>
  <si>
    <t>Pcal</t>
    <phoneticPr fontId="6" type="noConversion"/>
  </si>
  <si>
    <t>PROM</t>
    <phoneticPr fontId="6" type="noConversion"/>
  </si>
  <si>
    <t>QS7</t>
    <phoneticPr fontId="6" type="noConversion"/>
  </si>
  <si>
    <t>HUERTA FABIAN, GIANCARLO</t>
  </si>
  <si>
    <t>Horario: Lunes de 8 a 9:30pm</t>
    <phoneticPr fontId="6" type="noConversion"/>
  </si>
  <si>
    <t>Grupo: Laboratorios 01</t>
    <phoneticPr fontId="6" type="noConversion"/>
  </si>
  <si>
    <t>PROM2</t>
    <phoneticPr fontId="6" type="noConversion"/>
  </si>
  <si>
    <t>PROM3</t>
    <phoneticPr fontId="6" type="noConversion"/>
  </si>
  <si>
    <t>NS</t>
    <phoneticPr fontId="6" type="noConversion"/>
  </si>
  <si>
    <t>NS</t>
    <phoneticPr fontId="6" type="noConversion"/>
  </si>
  <si>
    <t>VILCA CHURA OSCAR VIDAL</t>
  </si>
  <si>
    <t>MU—OZ MARQUEZ, ALBERTO CESAR</t>
  </si>
  <si>
    <t>QS6</t>
    <phoneticPr fontId="6" type="noConversion"/>
  </si>
  <si>
    <t>S1</t>
    <phoneticPr fontId="6" type="noConversion"/>
  </si>
  <si>
    <t>S8</t>
    <phoneticPr fontId="6" type="noConversion"/>
  </si>
  <si>
    <t>S2</t>
  </si>
  <si>
    <t>Lab4</t>
    <phoneticPr fontId="6" type="noConversion"/>
  </si>
  <si>
    <t>MANRIQUE TEJADA, JESUS</t>
    <phoneticPr fontId="6" type="noConversion"/>
  </si>
  <si>
    <t>Lab4</t>
    <phoneticPr fontId="6" type="noConversion"/>
  </si>
  <si>
    <t>Qs20-QS28</t>
    <phoneticPr fontId="6" type="noConversion"/>
  </si>
  <si>
    <t>QS18-28</t>
    <phoneticPr fontId="6" type="noConversion"/>
  </si>
  <si>
    <t>S24</t>
    <phoneticPr fontId="6" type="noConversion"/>
  </si>
  <si>
    <t>String-1</t>
    <phoneticPr fontId="6" type="noConversion"/>
  </si>
  <si>
    <t>PONCE TAPIA, ALEXANDER PAUL</t>
  </si>
  <si>
    <t>RODRIGUEZ Z, JOSE C</t>
    <phoneticPr fontId="6" type="noConversion"/>
  </si>
  <si>
    <t>CUSACANI CH, JHONNY</t>
    <phoneticPr fontId="6" type="noConversion"/>
  </si>
  <si>
    <t>CALLA G, ALEXANDER</t>
    <phoneticPr fontId="6" type="noConversion"/>
  </si>
  <si>
    <t>TORIBIO OBANDO BRYAN GERALDO</t>
  </si>
  <si>
    <t>Logic-2</t>
    <phoneticPr fontId="6" type="noConversion"/>
  </si>
  <si>
    <t>Logic-2</t>
    <phoneticPr fontId="6" type="noConversion"/>
  </si>
  <si>
    <t>AVENDAñO LLANQUE, CHRISTOPHER BRYAN</t>
    <phoneticPr fontId="6" type="noConversion"/>
  </si>
  <si>
    <t>VIVANCO LOZANO, MAURICIO ALCIDES</t>
  </si>
  <si>
    <t>YUCRA MAMANI, FRANK MANUEL</t>
  </si>
  <si>
    <t>ana_lu_92@hotmail.com</t>
  </si>
  <si>
    <t>MAURICIO ALCIDES VIVANCO LOZANO</t>
  </si>
  <si>
    <t>al_ma_lo_vi_teamo@hotmail.com</t>
  </si>
  <si>
    <t>7,00</t>
  </si>
  <si>
    <t>FRANK MANUEL YUCRA MAMANI</t>
  </si>
  <si>
    <t>KING_ALTRON_074@HOTMAIL.COM</t>
  </si>
  <si>
    <t>Promedio general</t>
  </si>
  <si>
    <t>12,94</t>
  </si>
  <si>
    <t>11,29</t>
  </si>
  <si>
    <t>12,79</t>
  </si>
  <si>
    <t>12,95</t>
  </si>
  <si>
    <t>P10</t>
    <phoneticPr fontId="6" type="noConversion"/>
  </si>
  <si>
    <t>P9</t>
    <phoneticPr fontId="6" type="noConversion"/>
  </si>
  <si>
    <t>P7_8</t>
    <phoneticPr fontId="6" type="noConversion"/>
  </si>
  <si>
    <t>Bejarano</t>
    <phoneticPr fontId="6" type="noConversion"/>
  </si>
  <si>
    <t>TORREBLANCA CORNEJO, JORDAN ANDRE</t>
    <phoneticPr fontId="6" type="noConversion"/>
  </si>
  <si>
    <t>COAGUILA CALAPUJA, GEAMPIER ALBERTO</t>
  </si>
  <si>
    <t>S2</t>
    <phoneticPr fontId="6" type="noConversion"/>
  </si>
  <si>
    <t>Asist</t>
    <phoneticPr fontId="6" type="noConversion"/>
  </si>
  <si>
    <t>Expo</t>
    <phoneticPr fontId="6" type="noConversion"/>
  </si>
  <si>
    <t>EXAM</t>
    <phoneticPr fontId="6" type="noConversion"/>
  </si>
  <si>
    <t>PROM</t>
    <phoneticPr fontId="6" type="noConversion"/>
  </si>
  <si>
    <t>Diapos</t>
    <phoneticPr fontId="6" type="noConversion"/>
  </si>
  <si>
    <t>SOTO ESPINOZA CRISTOFER PERCY</t>
  </si>
  <si>
    <t>ORTIZ RUBIN DE CELIS, SERGIO ELIAS</t>
  </si>
  <si>
    <t>PHOCCO COROPUNA, LUIS ALEJANDRO</t>
  </si>
  <si>
    <t>RAMIREZ MALAGA, RENATO FABIAN</t>
  </si>
  <si>
    <t>RODRIGUEZ ZUÑIGA, JOSE CHRISTIAN</t>
  </si>
  <si>
    <t>TORIBIO OBANDO, BRYAN  GERALDO</t>
  </si>
  <si>
    <t>VERA CORDOVA, RENZO JESUS OMAR</t>
  </si>
  <si>
    <t>S1 Tortuga</t>
    <phoneticPr fontId="6" type="noConversion"/>
  </si>
  <si>
    <t>Martes y Viernes</t>
    <phoneticPr fontId="6" type="noConversion"/>
  </si>
  <si>
    <t xml:space="preserve">Curso: Metodologia de la Programación </t>
    <phoneticPr fontId="6" type="noConversion"/>
  </si>
  <si>
    <t>PROM</t>
    <phoneticPr fontId="6" type="noConversion"/>
  </si>
  <si>
    <t>Fase 3</t>
    <phoneticPr fontId="6" type="noConversion"/>
  </si>
  <si>
    <t>NSP</t>
  </si>
  <si>
    <t>NS</t>
    <phoneticPr fontId="6" type="noConversion"/>
  </si>
  <si>
    <t>Codingbat</t>
    <phoneticPr fontId="6" type="noConversion"/>
  </si>
  <si>
    <t>BERRIOS ZUNIGA, ALVARO DANIEL</t>
  </si>
  <si>
    <t>CHACON HUAYTA, EDGARD SEBASTIAN</t>
  </si>
  <si>
    <t>COAQUIRA PINTO, RAFAEL KEVIN</t>
  </si>
  <si>
    <t>GAMERO CALLE, SERGIO ANDRE MIGUEL</t>
  </si>
  <si>
    <t>QS4</t>
    <phoneticPr fontId="6" type="noConversion"/>
  </si>
  <si>
    <t>QS2voluntario</t>
    <phoneticPr fontId="6" type="noConversion"/>
  </si>
  <si>
    <t>PROM2</t>
    <phoneticPr fontId="6" type="noConversion"/>
  </si>
  <si>
    <t>PROM3</t>
    <phoneticPr fontId="6" type="noConversion"/>
  </si>
  <si>
    <t>NS</t>
    <phoneticPr fontId="6" type="noConversion"/>
  </si>
  <si>
    <t>MANRIQUE CALLATA, DANNY MANUEL</t>
  </si>
  <si>
    <t>MENDOZA PACHECO, JULIO CESAR</t>
  </si>
  <si>
    <t>MENDOZA PINTO, DIEGO GONZALO</t>
  </si>
  <si>
    <t>MIDOLO ORIHUELA, OMAR ALEXANDER</t>
  </si>
  <si>
    <t>QUISPE TACO, GIANCARLO</t>
  </si>
  <si>
    <t>QS3</t>
    <phoneticPr fontId="6" type="noConversion"/>
  </si>
  <si>
    <t>QS3</t>
    <phoneticPr fontId="6" type="noConversion"/>
  </si>
  <si>
    <t>QS4</t>
    <phoneticPr fontId="6" type="noConversion"/>
  </si>
  <si>
    <t>QS5</t>
    <phoneticPr fontId="6" type="noConversion"/>
  </si>
  <si>
    <t>QS6</t>
    <phoneticPr fontId="6" type="noConversion"/>
  </si>
  <si>
    <t>S20-23</t>
    <phoneticPr fontId="6" type="noConversion"/>
  </si>
  <si>
    <t>GONZALES DUEÑAS, BRYAN EDUARDO</t>
  </si>
  <si>
    <t>QS4</t>
    <phoneticPr fontId="6" type="noConversion"/>
  </si>
  <si>
    <t>QS1Voluntario</t>
    <phoneticPr fontId="6" type="noConversion"/>
  </si>
  <si>
    <t>HUILLCA CONDORI, MIGUEL ANGEL</t>
  </si>
  <si>
    <t>LAZO SANCHEZ, LEANDRO ALONSO</t>
  </si>
  <si>
    <t>LIPA OCHOA, JOSE ENRIQUE</t>
  </si>
  <si>
    <t>GARIFA CCAPIRA, ROSARIO BEATRIZ</t>
  </si>
  <si>
    <t>GARNICA BLANCO, JORGE LUIS</t>
  </si>
  <si>
    <t>NUÑEZ CARPIO GONZALO AUGUSTO</t>
  </si>
  <si>
    <t>SANTA CRUZ LEIVA FRANK LUIS</t>
  </si>
  <si>
    <t>Ciclos controlados por centinelas y etc</t>
  </si>
  <si>
    <t>Ciclos controlados por centinelas y etc</t>
    <phoneticPr fontId="6" type="noConversion"/>
  </si>
  <si>
    <t>List-1</t>
    <phoneticPr fontId="6" type="noConversion"/>
  </si>
  <si>
    <t>JORGE LUIS CRUZ LLAYQUE</t>
  </si>
  <si>
    <t>Lily.jljlmc@hotmail.com</t>
  </si>
  <si>
    <t>11,00</t>
  </si>
  <si>
    <t>EDUARDO ANDRES DIAZ RIQUELME</t>
  </si>
  <si>
    <t>eduandr14@hotmail.com</t>
  </si>
  <si>
    <t>ROSARIO BEATRIZ GARIFA CCAPIRA</t>
  </si>
  <si>
    <t>charito.garifa@gmail.com</t>
  </si>
  <si>
    <t>8,00</t>
  </si>
  <si>
    <t>JORGE LUIS GARNICA BLANCO</t>
  </si>
  <si>
    <t>Horario: Martes de 11 a 1pm y Viernes de 1 a 3pm</t>
    <phoneticPr fontId="6" type="noConversion"/>
  </si>
  <si>
    <t>Notas de 00 a 08</t>
  </si>
  <si>
    <t>SEQUEIROS ORTIZ, EDUARDO JAIME</t>
  </si>
  <si>
    <t>TICONA TARIFA, MARCO ANTONIO</t>
  </si>
  <si>
    <t>PHOCCO COROPUNA, LUIS ALEJANDRO</t>
  </si>
  <si>
    <t>RAMOS RAMOS, GRICEL YASMIN</t>
  </si>
  <si>
    <t>VERA CORDOVA, RENZO JESUS OMAR</t>
  </si>
  <si>
    <t>BARRIOS LIPA, LUIS ANGEL</t>
  </si>
  <si>
    <t>CAHUE SALHUA, JOSE GUILLERMO</t>
  </si>
  <si>
    <t>ALBERTO CESAR MUÑOZ MARQUEZ</t>
  </si>
  <si>
    <t>betoshico55@hotmail.com</t>
  </si>
  <si>
    <t>BRUNO MICHAEL RAMOS SALAS</t>
  </si>
  <si>
    <t>bruno_demons_14@hotmail.com</t>
  </si>
  <si>
    <t>FERNANDO JESUS RODRIGUEZ LOPEZ</t>
  </si>
  <si>
    <t>ferjesus44@hotmail.com</t>
  </si>
  <si>
    <t>FIDEL KELVIN SALAS FLORES</t>
  </si>
  <si>
    <t>fk.salasf@gmail.com</t>
  </si>
  <si>
    <t>EDUARDO JAIME SEQUEIROS ORTIZ</t>
  </si>
  <si>
    <t>edus124@gmail.com</t>
  </si>
  <si>
    <t>MAURICIO JHONATAN SUAREZ CABELLO</t>
  </si>
  <si>
    <t>arkngl_12@hotmail.com</t>
  </si>
  <si>
    <t>GAMERO C, SERGIO</t>
    <phoneticPr fontId="6" type="noConversion"/>
  </si>
  <si>
    <t>VALDIVIA V, MARCELO</t>
    <phoneticPr fontId="6" type="noConversion"/>
  </si>
  <si>
    <t>MAMANI H, LUIS</t>
    <phoneticPr fontId="6" type="noConversion"/>
  </si>
  <si>
    <t>QS10</t>
    <phoneticPr fontId="6" type="noConversion"/>
  </si>
  <si>
    <t>QS12</t>
    <phoneticPr fontId="6" type="noConversion"/>
  </si>
  <si>
    <t>QS11</t>
    <phoneticPr fontId="6" type="noConversion"/>
  </si>
  <si>
    <t>S7</t>
    <phoneticPr fontId="6" type="noConversion"/>
  </si>
  <si>
    <t>QS13</t>
    <phoneticPr fontId="6" type="noConversion"/>
  </si>
  <si>
    <t>QS12</t>
    <phoneticPr fontId="6" type="noConversion"/>
  </si>
  <si>
    <t>QS14</t>
    <phoneticPr fontId="6" type="noConversion"/>
  </si>
  <si>
    <t>igual al 13</t>
    <phoneticPr fontId="6" type="noConversion"/>
  </si>
  <si>
    <t>QS15</t>
    <phoneticPr fontId="6" type="noConversion"/>
  </si>
  <si>
    <t>QS16</t>
    <phoneticPr fontId="6" type="noConversion"/>
  </si>
  <si>
    <t>ALVAREZ VILLAGRA CRISTIAN DANIEL</t>
  </si>
  <si>
    <t>AVENDAÑO LLANQUE CHRISTOPHER BRYAN</t>
  </si>
  <si>
    <t>BERRIOS ZUNIGA ALVARO DANIEL</t>
  </si>
  <si>
    <t>CCUNO CARLOS PAUL ARNALDO</t>
  </si>
  <si>
    <t>CHULLO MAMANI FERNANDO MAHILER</t>
  </si>
  <si>
    <t>CANDIA MADERA, YURI</t>
  </si>
  <si>
    <t>HUILLCA C, MIGUEL</t>
    <phoneticPr fontId="6" type="noConversion"/>
  </si>
  <si>
    <t>QS5</t>
    <phoneticPr fontId="6" type="noConversion"/>
  </si>
  <si>
    <t>QS6Voluntario</t>
    <phoneticPr fontId="6" type="noConversion"/>
  </si>
  <si>
    <t>QS7</t>
    <phoneticPr fontId="6" type="noConversion"/>
  </si>
  <si>
    <t>S3</t>
  </si>
  <si>
    <t>S4</t>
  </si>
  <si>
    <t>S5</t>
  </si>
  <si>
    <t>S7</t>
  </si>
  <si>
    <t>Notas de 13 a 15</t>
    <phoneticPr fontId="6" type="noConversion"/>
  </si>
  <si>
    <t>Notas de 16 a 20</t>
    <phoneticPr fontId="6" type="noConversion"/>
  </si>
  <si>
    <t xml:space="preserve">Cantidad </t>
    <phoneticPr fontId="6" type="noConversion"/>
  </si>
  <si>
    <t>TOTAL</t>
    <phoneticPr fontId="6" type="noConversion"/>
  </si>
  <si>
    <t>Porcentaje</t>
    <phoneticPr fontId="6" type="noConversion"/>
  </si>
  <si>
    <t>P</t>
    <phoneticPr fontId="6" type="noConversion"/>
  </si>
  <si>
    <t>NS</t>
    <phoneticPr fontId="6" type="noConversion"/>
  </si>
  <si>
    <t>Aplaz</t>
    <phoneticPr fontId="6" type="noConversion"/>
  </si>
  <si>
    <t>MARCO ANTONIO TICONA TARIFA</t>
  </si>
  <si>
    <t>the_dark-fox@hotmail.com</t>
  </si>
  <si>
    <t>JORDAN ANDRE TORREBLANCA CORNEJO</t>
  </si>
  <si>
    <t>cabejt@hotmail.com</t>
  </si>
  <si>
    <t>JAIME YOVANY VALENCIA QUILLE</t>
  </si>
  <si>
    <t>jaime.valencia.quille@gmail.com</t>
  </si>
  <si>
    <t>ANA LUCIA VELAZCO MEZA</t>
  </si>
  <si>
    <t>QS17</t>
    <phoneticPr fontId="6" type="noConversion"/>
  </si>
  <si>
    <t>QS18</t>
    <phoneticPr fontId="6" type="noConversion"/>
  </si>
  <si>
    <t>QS17</t>
    <phoneticPr fontId="6" type="noConversion"/>
  </si>
  <si>
    <t>HUALLPA YAURI, MIGUEL ANGEL</t>
    <phoneticPr fontId="6" type="noConversion"/>
  </si>
  <si>
    <t>L5</t>
    <phoneticPr fontId="6" type="noConversion"/>
  </si>
  <si>
    <t>L6</t>
    <phoneticPr fontId="6" type="noConversion"/>
  </si>
  <si>
    <t>PROM</t>
    <phoneticPr fontId="6" type="noConversion"/>
  </si>
  <si>
    <t>BOBADILLA CHARA, SEBASTIAN GONZALO</t>
  </si>
  <si>
    <t>BRUNA AGUERO, DAYNA STEPHANIE</t>
  </si>
  <si>
    <t>MONJE BOLIVAR RONALDO ALEJANDRO</t>
  </si>
  <si>
    <t>VALDIVIA N, BENJAMIN</t>
    <phoneticPr fontId="6" type="noConversion"/>
  </si>
  <si>
    <t>CARDENAS R, FABRICIO</t>
    <phoneticPr fontId="6" type="noConversion"/>
  </si>
  <si>
    <t>ARGOTE R, HULMAR</t>
    <phoneticPr fontId="6" type="noConversion"/>
  </si>
  <si>
    <t>ANGULO M, JEFFERSON</t>
    <phoneticPr fontId="6" type="noConversion"/>
  </si>
  <si>
    <t>COAQUIRA P, RAFAEL</t>
    <phoneticPr fontId="6" type="noConversion"/>
  </si>
  <si>
    <t>ORTIZ R, SERGIO</t>
    <phoneticPr fontId="6" type="noConversion"/>
  </si>
  <si>
    <t>RODRIGUEZ N, JUAN</t>
    <phoneticPr fontId="6" type="noConversion"/>
  </si>
  <si>
    <t>RENJIFO Q, DANIEL</t>
    <phoneticPr fontId="6" type="noConversion"/>
  </si>
  <si>
    <t>TARQUI G, BRYAN</t>
    <phoneticPr fontId="6" type="noConversion"/>
  </si>
  <si>
    <t>HUERTA F, GIANCARLO</t>
    <phoneticPr fontId="6" type="noConversion"/>
  </si>
  <si>
    <t>Explicacion</t>
    <phoneticPr fontId="6" type="noConversion"/>
  </si>
  <si>
    <t>Pregs</t>
    <phoneticPr fontId="6" type="noConversion"/>
  </si>
  <si>
    <t>Tiempo</t>
    <phoneticPr fontId="6" type="noConversion"/>
  </si>
  <si>
    <t>Contenido</t>
    <phoneticPr fontId="6" type="noConversion"/>
  </si>
  <si>
    <t>Ejemplos</t>
    <phoneticPr fontId="6" type="noConversion"/>
  </si>
  <si>
    <t>Curso: Introd. a la Ingenieria de Sistemas de Informacion</t>
    <phoneticPr fontId="6" type="noConversion"/>
  </si>
  <si>
    <t>L4B</t>
    <phoneticPr fontId="6" type="noConversion"/>
  </si>
  <si>
    <t>ORTEGA A., ESTRELLA PIERINA</t>
    <phoneticPr fontId="6" type="noConversion"/>
  </si>
  <si>
    <t>BEJARANO PEREZ, BRYAN RENZO</t>
  </si>
  <si>
    <t>CRUZ LLAYQUE, JORGE LUIS</t>
  </si>
  <si>
    <t>DIAZ RIQUELME, EDUARDO ANDRES</t>
  </si>
  <si>
    <t>ptos mas</t>
    <phoneticPr fontId="6" type="noConversion"/>
  </si>
  <si>
    <t>ptos mas</t>
    <phoneticPr fontId="6" type="noConversion"/>
  </si>
  <si>
    <t>PROM</t>
    <phoneticPr fontId="6" type="noConversion"/>
  </si>
  <si>
    <t>MARILUNA VENECIA APAZA LUQUE</t>
  </si>
  <si>
    <t>MARILUNA_LULU@HOTMAIL.COM</t>
  </si>
  <si>
    <t>15,00</t>
  </si>
  <si>
    <t>13,00</t>
  </si>
  <si>
    <t>12,00</t>
  </si>
  <si>
    <t>14,00</t>
  </si>
  <si>
    <t>-</t>
  </si>
  <si>
    <t>necrosabio_escamasangrienta@hotmail.com</t>
  </si>
  <si>
    <t>10,00</t>
  </si>
  <si>
    <t>16,00</t>
  </si>
  <si>
    <t>Horario: Jueves de 3 a 5pm</t>
    <phoneticPr fontId="6" type="noConversion"/>
  </si>
  <si>
    <t>Consolidado de Notas Fase 1 Semestre Impar 2017</t>
    <phoneticPr fontId="6" type="noConversion"/>
  </si>
  <si>
    <t>Docente: Mgter. Carlo Corrales Delgado</t>
  </si>
  <si>
    <t>COAGUILA CALAPUJA, GEAMPIER ALBERTO</t>
  </si>
  <si>
    <t>CUADROS SALAZAR, RENZO MARIO</t>
  </si>
  <si>
    <t>MEZA CARPIO, LUIS ANGEL</t>
  </si>
</sst>
</file>

<file path=xl/styles.xml><?xml version="1.0" encoding="utf-8"?>
<styleSheet xmlns="http://schemas.openxmlformats.org/spreadsheetml/2006/main">
  <numFmts count="1">
    <numFmt numFmtId="164" formatCode="0.0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2"/>
      <color indexed="8"/>
      <name val="Microsoft Sans Serif"/>
    </font>
    <font>
      <sz val="14"/>
      <color indexed="8"/>
      <name val="Times"/>
    </font>
    <font>
      <sz val="12.1"/>
      <color indexed="8"/>
      <name val="Calibri"/>
      <family val="2"/>
    </font>
    <font>
      <sz val="12"/>
      <color indexed="63"/>
      <name val="Tahoma"/>
    </font>
    <font>
      <b/>
      <sz val="10"/>
      <color indexed="54"/>
      <name val="Arial"/>
    </font>
    <font>
      <b/>
      <sz val="10"/>
      <color indexed="62"/>
      <name val="Arial"/>
    </font>
    <font>
      <sz val="10"/>
      <color indexed="30"/>
      <name val="Arial"/>
    </font>
    <font>
      <b/>
      <sz val="10"/>
      <color indexed="1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8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8"/>
      </top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8"/>
      </top>
      <bottom style="medium">
        <color indexed="2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/>
    <xf numFmtId="0" fontId="8" fillId="2" borderId="1" xfId="0" applyFont="1" applyFill="1" applyBorder="1" applyAlignment="1">
      <alignment vertical="top" wrapText="1"/>
    </xf>
    <xf numFmtId="0" fontId="0" fillId="0" borderId="1" xfId="0" applyBorder="1"/>
    <xf numFmtId="164" fontId="7" fillId="2" borderId="1" xfId="0" applyNumberFormat="1" applyFont="1" applyFill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0" fontId="0" fillId="0" borderId="1" xfId="0" applyFill="1" applyBorder="1"/>
    <xf numFmtId="9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0" fontId="7" fillId="2" borderId="1" xfId="0" applyFont="1" applyFill="1" applyBorder="1" applyAlignment="1">
      <alignment horizontal="left" vertical="center"/>
    </xf>
    <xf numFmtId="0" fontId="0" fillId="0" borderId="1" xfId="0" applyBorder="1" applyAlignment="1"/>
    <xf numFmtId="164" fontId="0" fillId="3" borderId="0" xfId="0" applyNumberFormat="1" applyFill="1"/>
    <xf numFmtId="164" fontId="0" fillId="3" borderId="1" xfId="0" applyNumberFormat="1" applyFill="1" applyBorder="1"/>
    <xf numFmtId="164" fontId="0" fillId="3" borderId="0" xfId="0" applyNumberFormat="1" applyFill="1"/>
    <xf numFmtId="164" fontId="0" fillId="3" borderId="1" xfId="0" applyNumberFormat="1" applyFill="1" applyBorder="1"/>
    <xf numFmtId="164" fontId="0" fillId="3" borderId="1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  <xf numFmtId="0" fontId="0" fillId="0" borderId="2" xfId="0" applyBorder="1"/>
    <xf numFmtId="0" fontId="5" fillId="0" borderId="0" xfId="0" applyFont="1"/>
    <xf numFmtId="164" fontId="0" fillId="3" borderId="1" xfId="0" applyNumberFormat="1" applyFill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164" fontId="0" fillId="4" borderId="1" xfId="0" applyNumberFormat="1" applyFill="1" applyBorder="1"/>
    <xf numFmtId="0" fontId="10" fillId="0" borderId="0" xfId="0" applyFont="1" applyAlignment="1">
      <alignment wrapText="1"/>
    </xf>
    <xf numFmtId="164" fontId="0" fillId="3" borderId="0" xfId="0" applyNumberFormat="1" applyFill="1"/>
    <xf numFmtId="1" fontId="0" fillId="0" borderId="0" xfId="0" applyNumberFormat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164" fontId="3" fillId="3" borderId="0" xfId="0" applyNumberFormat="1" applyFont="1" applyFill="1"/>
    <xf numFmtId="164" fontId="3" fillId="4" borderId="1" xfId="0" applyNumberFormat="1" applyFont="1" applyFill="1" applyBorder="1"/>
    <xf numFmtId="164" fontId="3" fillId="3" borderId="1" xfId="0" applyNumberFormat="1" applyFont="1" applyFill="1" applyBorder="1"/>
    <xf numFmtId="1" fontId="0" fillId="0" borderId="0" xfId="0" applyNumberFormat="1" applyFill="1"/>
    <xf numFmtId="164" fontId="0" fillId="0" borderId="0" xfId="0" applyNumberFormat="1" applyFill="1"/>
    <xf numFmtId="0" fontId="9" fillId="0" borderId="1" xfId="0" applyFont="1" applyFill="1" applyBorder="1"/>
    <xf numFmtId="0" fontId="0" fillId="0" borderId="0" xfId="0" applyFill="1"/>
    <xf numFmtId="0" fontId="0" fillId="0" borderId="3" xfId="0" applyFill="1" applyBorder="1"/>
    <xf numFmtId="9" fontId="0" fillId="0" borderId="0" xfId="0" applyNumberFormat="1" applyFill="1"/>
    <xf numFmtId="0" fontId="5" fillId="0" borderId="0" xfId="0" applyFont="1" applyFill="1" applyBorder="1"/>
    <xf numFmtId="0" fontId="5" fillId="0" borderId="0" xfId="0" applyFont="1" applyFill="1"/>
    <xf numFmtId="164" fontId="0" fillId="3" borderId="0" xfId="0" applyNumberFormat="1" applyFill="1"/>
    <xf numFmtId="164" fontId="2" fillId="3" borderId="0" xfId="0" applyNumberFormat="1" applyFont="1" applyFill="1"/>
    <xf numFmtId="164" fontId="0" fillId="3" borderId="1" xfId="0" applyNumberFormat="1" applyFill="1" applyBorder="1"/>
    <xf numFmtId="9" fontId="0" fillId="0" borderId="0" xfId="0" applyNumberFormat="1"/>
    <xf numFmtId="164" fontId="2" fillId="3" borderId="1" xfId="0" applyNumberFormat="1" applyFont="1" applyFill="1" applyBorder="1"/>
    <xf numFmtId="164" fontId="3" fillId="5" borderId="1" xfId="0" applyNumberFormat="1" applyFont="1" applyFill="1" applyBorder="1"/>
    <xf numFmtId="0" fontId="0" fillId="3" borderId="0" xfId="0" applyFill="1" applyBorder="1"/>
    <xf numFmtId="164" fontId="0" fillId="3" borderId="0" xfId="0" applyNumberFormat="1" applyFill="1"/>
    <xf numFmtId="164" fontId="0" fillId="3" borderId="1" xfId="0" applyNumberFormat="1" applyFill="1" applyBorder="1"/>
    <xf numFmtId="0" fontId="0" fillId="0" borderId="0" xfId="0" applyFill="1" applyBorder="1"/>
    <xf numFmtId="0" fontId="1" fillId="0" borderId="0" xfId="0" applyFont="1"/>
    <xf numFmtId="0" fontId="1" fillId="0" borderId="3" xfId="0" applyFont="1" applyFill="1" applyBorder="1"/>
    <xf numFmtId="164" fontId="1" fillId="3" borderId="4" xfId="0" applyNumberFormat="1" applyFont="1" applyFill="1" applyBorder="1"/>
    <xf numFmtId="0" fontId="1" fillId="3" borderId="0" xfId="0" applyFont="1" applyFill="1"/>
    <xf numFmtId="164" fontId="0" fillId="3" borderId="0" xfId="0" applyNumberFormat="1" applyFill="1"/>
    <xf numFmtId="164" fontId="0" fillId="3" borderId="1" xfId="0" applyNumberFormat="1" applyFill="1" applyBorder="1"/>
    <xf numFmtId="0" fontId="1" fillId="0" borderId="5" xfId="0" applyFont="1" applyFill="1" applyBorder="1"/>
    <xf numFmtId="164" fontId="1" fillId="3" borderId="1" xfId="0" applyNumberFormat="1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3" borderId="4" xfId="0" applyFill="1" applyBorder="1"/>
    <xf numFmtId="164" fontId="0" fillId="6" borderId="0" xfId="0" applyNumberFormat="1" applyFill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1" xfId="0" applyNumberFormat="1" applyFill="1" applyBorder="1"/>
    <xf numFmtId="164" fontId="5" fillId="7" borderId="1" xfId="0" applyNumberFormat="1" applyFont="1" applyFill="1" applyBorder="1"/>
    <xf numFmtId="0" fontId="11" fillId="2" borderId="8" xfId="0" applyFont="1" applyFill="1" applyBorder="1" applyAlignment="1">
      <alignment horizontal="left" vertical="top" indent="1"/>
    </xf>
    <xf numFmtId="0" fontId="13" fillId="2" borderId="9" xfId="0" applyFont="1" applyFill="1" applyBorder="1" applyAlignment="1">
      <alignment horizontal="right" vertical="center"/>
    </xf>
    <xf numFmtId="0" fontId="14" fillId="2" borderId="9" xfId="0" applyFont="1" applyFill="1" applyBorder="1" applyAlignment="1">
      <alignment horizontal="right" vertical="center"/>
    </xf>
    <xf numFmtId="0" fontId="12" fillId="2" borderId="6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top" indent="1"/>
    </xf>
    <xf numFmtId="0" fontId="13" fillId="2" borderId="11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left" vertical="center" indent="1"/>
    </xf>
    <xf numFmtId="0" fontId="13" fillId="3" borderId="11" xfId="0" applyFont="1" applyFill="1" applyBorder="1" applyAlignment="1">
      <alignment horizontal="right" vertical="center"/>
    </xf>
    <xf numFmtId="0" fontId="13" fillId="3" borderId="9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top"/>
    </xf>
    <xf numFmtId="0" fontId="11" fillId="2" borderId="12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0.0579710144927536"/>
          <c:y val="0.115702479338843"/>
          <c:w val="0.758219787743923"/>
          <c:h val="0.818181818181818"/>
        </c:manualLayout>
      </c:layout>
      <c:pie3DChart>
        <c:varyColors val="1"/>
        <c:ser>
          <c:idx val="0"/>
          <c:order val="0"/>
          <c:val>
            <c:numRef>
              <c:f>ConsolidadoF1!$C$10:$C$13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rotX val="30"/>
      <c:perspective val="30"/>
    </c:view3D>
    <c:plotArea>
      <c:layout/>
      <c:pie3DChart>
        <c:varyColors val="1"/>
        <c:ser>
          <c:idx val="0"/>
          <c:order val="0"/>
          <c:val>
            <c:numRef>
              <c:f>ConsolidadoF1!$C$36:$C$39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rotX val="30"/>
      <c:perspective val="30"/>
    </c:view3D>
    <c:plotArea>
      <c:layout/>
      <c:pie3DChart>
        <c:varyColors val="1"/>
        <c:ser>
          <c:idx val="0"/>
          <c:order val="0"/>
          <c:val>
            <c:numRef>
              <c:f>ConsolidadoF1!$C$58:$C$61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rotX val="30"/>
      <c:perspective val="30"/>
    </c:view3D>
    <c:plotArea>
      <c:layout/>
      <c:pie3DChart>
        <c:varyColors val="1"/>
        <c:ser>
          <c:idx val="0"/>
          <c:order val="0"/>
          <c:val>
            <c:numRef>
              <c:f>ConsolidadoF1!$C$83:$C$86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rotX val="30"/>
      <c:perspective val="30"/>
    </c:view3D>
    <c:plotArea>
      <c:layout/>
      <c:pie3DChart>
        <c:varyColors val="1"/>
        <c:ser>
          <c:idx val="0"/>
          <c:order val="0"/>
          <c:val>
            <c:numRef>
              <c:f>ConsolidadoF1!$C$106:$C$109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rotX val="30"/>
      <c:perspective val="30"/>
    </c:view3D>
    <c:plotArea>
      <c:layout/>
      <c:pie3DChart>
        <c:varyColors val="1"/>
        <c:ser>
          <c:idx val="0"/>
          <c:order val="0"/>
          <c:val>
            <c:numRef>
              <c:f>ConsolidadoF1!$C$128:$C$131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://aulavirtual.ucsm.edu.pe/epregrado2017I/user/view.php?id=4562&amp;course=702" TargetMode="External"/><Relationship Id="rId20" Type="http://schemas.openxmlformats.org/officeDocument/2006/relationships/hyperlink" Target="http://aulavirtual.ucsm.edu.pe/epregrado2017I/user/view.php?id=17172&amp;course=702" TargetMode="External"/><Relationship Id="rId21" Type="http://schemas.openxmlformats.org/officeDocument/2006/relationships/hyperlink" Target="http://aulavirtual.ucsm.edu.pe/epregrado2017I/user/view.php?id=21010&amp;course=702" TargetMode="External"/><Relationship Id="rId10" Type="http://schemas.openxmlformats.org/officeDocument/2006/relationships/hyperlink" Target="http://aulavirtual.ucsm.edu.pe/epregrado2017I/user/view.php?id=16608&amp;course=702" TargetMode="External"/><Relationship Id="rId11" Type="http://schemas.openxmlformats.org/officeDocument/2006/relationships/hyperlink" Target="http://aulavirtual.ucsm.edu.pe/epregrado2017I/user/view.php?id=4961&amp;course=702" TargetMode="External"/><Relationship Id="rId12" Type="http://schemas.openxmlformats.org/officeDocument/2006/relationships/hyperlink" Target="http://aulavirtual.ucsm.edu.pe/epregrado2017I/user/view.php?id=8218&amp;course=702" TargetMode="External"/><Relationship Id="rId13" Type="http://schemas.openxmlformats.org/officeDocument/2006/relationships/hyperlink" Target="http://aulavirtual.ucsm.edu.pe/epregrado2017I/user/view.php?id=9619&amp;course=702" TargetMode="External"/><Relationship Id="rId14" Type="http://schemas.openxmlformats.org/officeDocument/2006/relationships/hyperlink" Target="http://aulavirtual.ucsm.edu.pe/epregrado2017I/user/view.php?id=8466&amp;course=702" TargetMode="External"/><Relationship Id="rId15" Type="http://schemas.openxmlformats.org/officeDocument/2006/relationships/hyperlink" Target="http://aulavirtual.ucsm.edu.pe/epregrado2017I/user/view.php?id=9675&amp;course=702" TargetMode="External"/><Relationship Id="rId16" Type="http://schemas.openxmlformats.org/officeDocument/2006/relationships/hyperlink" Target="http://aulavirtual.ucsm.edu.pe/epregrado2017I/user/view.php?id=6672&amp;course=702" TargetMode="External"/><Relationship Id="rId17" Type="http://schemas.openxmlformats.org/officeDocument/2006/relationships/hyperlink" Target="http://aulavirtual.ucsm.edu.pe/epregrado2017I/user/view.php?id=3735&amp;course=702" TargetMode="External"/><Relationship Id="rId18" Type="http://schemas.openxmlformats.org/officeDocument/2006/relationships/hyperlink" Target="http://aulavirtual.ucsm.edu.pe/epregrado2017I/user/view.php?id=4459&amp;course=702" TargetMode="External"/><Relationship Id="rId19" Type="http://schemas.openxmlformats.org/officeDocument/2006/relationships/hyperlink" Target="http://aulavirtual.ucsm.edu.pe/epregrado2017I/user/view.php?id=3514&amp;course=702" TargetMode="External"/><Relationship Id="rId1" Type="http://schemas.openxmlformats.org/officeDocument/2006/relationships/hyperlink" Target="http://aulavirtual.ucsm.edu.pe/epregrado2017I/user/view.php?id=849&amp;course=702" TargetMode="External"/><Relationship Id="rId2" Type="http://schemas.openxmlformats.org/officeDocument/2006/relationships/hyperlink" Target="http://aulavirtual.ucsm.edu.pe/epregrado2017I/user/view.php?id=1959&amp;course=702" TargetMode="External"/><Relationship Id="rId3" Type="http://schemas.openxmlformats.org/officeDocument/2006/relationships/hyperlink" Target="http://aulavirtual.ucsm.edu.pe/epregrado2017I/user/view.php?id=16620&amp;course=702" TargetMode="External"/><Relationship Id="rId4" Type="http://schemas.openxmlformats.org/officeDocument/2006/relationships/hyperlink" Target="http://aulavirtual.ucsm.edu.pe/epregrado2017I/user/view.php?id=3902&amp;course=702" TargetMode="External"/><Relationship Id="rId5" Type="http://schemas.openxmlformats.org/officeDocument/2006/relationships/hyperlink" Target="http://aulavirtual.ucsm.edu.pe/epregrado2017I/user/view.php?id=17434&amp;course=702" TargetMode="External"/><Relationship Id="rId6" Type="http://schemas.openxmlformats.org/officeDocument/2006/relationships/hyperlink" Target="http://aulavirtual.ucsm.edu.pe/epregrado2017I/user/view.php?id=7038&amp;course=702" TargetMode="External"/><Relationship Id="rId7" Type="http://schemas.openxmlformats.org/officeDocument/2006/relationships/hyperlink" Target="http://aulavirtual.ucsm.edu.pe/epregrado2017I/user/view.php?id=5454&amp;course=702" TargetMode="External"/><Relationship Id="rId8" Type="http://schemas.openxmlformats.org/officeDocument/2006/relationships/hyperlink" Target="http://aulavirtual.ucsm.edu.pe/epregrado2017I/user/view.php?id=9040&amp;course=702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0" Type="http://schemas.openxmlformats.org/officeDocument/2006/relationships/hyperlink" Target="http://aulavirtual.ucsm.edu.pe/epregrado2017I/grade/report/user/index.php?userid=16608&amp;id=702" TargetMode="External"/><Relationship Id="rId21" Type="http://schemas.openxmlformats.org/officeDocument/2006/relationships/hyperlink" Target="http://aulavirtual.ucsm.edu.pe/epregrado2017I/user/view.php?id=4961&amp;course=702" TargetMode="External"/><Relationship Id="rId22" Type="http://schemas.openxmlformats.org/officeDocument/2006/relationships/hyperlink" Target="http://aulavirtual.ucsm.edu.pe/epregrado2017I/grade/report/user/index.php?userid=4961&amp;id=702" TargetMode="External"/><Relationship Id="rId23" Type="http://schemas.openxmlformats.org/officeDocument/2006/relationships/hyperlink" Target="http://aulavirtual.ucsm.edu.pe/epregrado2017I/user/view.php?id=8218&amp;course=702" TargetMode="External"/><Relationship Id="rId24" Type="http://schemas.openxmlformats.org/officeDocument/2006/relationships/hyperlink" Target="http://aulavirtual.ucsm.edu.pe/epregrado2017I/grade/report/user/index.php?userid=8218&amp;id=702" TargetMode="External"/><Relationship Id="rId25" Type="http://schemas.openxmlformats.org/officeDocument/2006/relationships/hyperlink" Target="http://aulavirtual.ucsm.edu.pe/epregrado2017I/user/view.php?id=9619&amp;course=702" TargetMode="External"/><Relationship Id="rId26" Type="http://schemas.openxmlformats.org/officeDocument/2006/relationships/hyperlink" Target="http://aulavirtual.ucsm.edu.pe/epregrado2017I/grade/report/user/index.php?userid=9619&amp;id=702" TargetMode="External"/><Relationship Id="rId27" Type="http://schemas.openxmlformats.org/officeDocument/2006/relationships/hyperlink" Target="http://aulavirtual.ucsm.edu.pe/epregrado2017I/user/view.php?id=8466&amp;course=702" TargetMode="External"/><Relationship Id="rId28" Type="http://schemas.openxmlformats.org/officeDocument/2006/relationships/hyperlink" Target="http://aulavirtual.ucsm.edu.pe/epregrado2017I/grade/report/user/index.php?userid=8466&amp;id=702" TargetMode="External"/><Relationship Id="rId29" Type="http://schemas.openxmlformats.org/officeDocument/2006/relationships/hyperlink" Target="http://aulavirtual.ucsm.edu.pe/epregrado2017I/user/view.php?id=9675&amp;course=702" TargetMode="External"/><Relationship Id="rId1" Type="http://schemas.openxmlformats.org/officeDocument/2006/relationships/hyperlink" Target="http://aulavirtual.ucsm.edu.pe/epregrado2017I/user/view.php?id=849&amp;course=702" TargetMode="External"/><Relationship Id="rId2" Type="http://schemas.openxmlformats.org/officeDocument/2006/relationships/hyperlink" Target="http://aulavirtual.ucsm.edu.pe/epregrado2017I/grade/report/user/index.php?userid=849&amp;id=702" TargetMode="External"/><Relationship Id="rId3" Type="http://schemas.openxmlformats.org/officeDocument/2006/relationships/hyperlink" Target="http://aulavirtual.ucsm.edu.pe/epregrado2017I/user/view.php?id=1959&amp;course=702" TargetMode="External"/><Relationship Id="rId4" Type="http://schemas.openxmlformats.org/officeDocument/2006/relationships/hyperlink" Target="http://aulavirtual.ucsm.edu.pe/epregrado2017I/grade/report/user/index.php?userid=1959&amp;id=702" TargetMode="External"/><Relationship Id="rId5" Type="http://schemas.openxmlformats.org/officeDocument/2006/relationships/hyperlink" Target="http://aulavirtual.ucsm.edu.pe/epregrado2017I/user/view.php?id=16620&amp;course=702" TargetMode="External"/><Relationship Id="rId30" Type="http://schemas.openxmlformats.org/officeDocument/2006/relationships/hyperlink" Target="http://aulavirtual.ucsm.edu.pe/epregrado2017I/grade/report/user/index.php?userid=9675&amp;id=702" TargetMode="External"/><Relationship Id="rId31" Type="http://schemas.openxmlformats.org/officeDocument/2006/relationships/hyperlink" Target="http://aulavirtual.ucsm.edu.pe/epregrado2017I/user/view.php?id=6672&amp;course=702" TargetMode="External"/><Relationship Id="rId32" Type="http://schemas.openxmlformats.org/officeDocument/2006/relationships/hyperlink" Target="http://aulavirtual.ucsm.edu.pe/epregrado2017I/grade/report/user/index.php?userid=6672&amp;id=702" TargetMode="External"/><Relationship Id="rId9" Type="http://schemas.openxmlformats.org/officeDocument/2006/relationships/hyperlink" Target="http://aulavirtual.ucsm.edu.pe/epregrado2017I/user/view.php?id=17434&amp;course=702" TargetMode="External"/><Relationship Id="rId6" Type="http://schemas.openxmlformats.org/officeDocument/2006/relationships/hyperlink" Target="http://aulavirtual.ucsm.edu.pe/epregrado2017I/grade/report/user/index.php?userid=16620&amp;id=702" TargetMode="External"/><Relationship Id="rId7" Type="http://schemas.openxmlformats.org/officeDocument/2006/relationships/hyperlink" Target="http://aulavirtual.ucsm.edu.pe/epregrado2017I/user/view.php?id=3902&amp;course=702" TargetMode="External"/><Relationship Id="rId8" Type="http://schemas.openxmlformats.org/officeDocument/2006/relationships/hyperlink" Target="http://aulavirtual.ucsm.edu.pe/epregrado2017I/grade/report/user/index.php?userid=3902&amp;id=702" TargetMode="External"/><Relationship Id="rId33" Type="http://schemas.openxmlformats.org/officeDocument/2006/relationships/hyperlink" Target="http://aulavirtual.ucsm.edu.pe/epregrado2017I/user/view.php?id=3735&amp;course=702" TargetMode="External"/><Relationship Id="rId34" Type="http://schemas.openxmlformats.org/officeDocument/2006/relationships/hyperlink" Target="http://aulavirtual.ucsm.edu.pe/epregrado2017I/grade/report/user/index.php?userid=3735&amp;id=702" TargetMode="External"/><Relationship Id="rId35" Type="http://schemas.openxmlformats.org/officeDocument/2006/relationships/hyperlink" Target="http://aulavirtual.ucsm.edu.pe/epregrado2017I/user/view.php?id=4459&amp;course=702" TargetMode="External"/><Relationship Id="rId36" Type="http://schemas.openxmlformats.org/officeDocument/2006/relationships/hyperlink" Target="http://aulavirtual.ucsm.edu.pe/epregrado2017I/grade/report/user/index.php?userid=4459&amp;id=702" TargetMode="External"/><Relationship Id="rId10" Type="http://schemas.openxmlformats.org/officeDocument/2006/relationships/hyperlink" Target="http://aulavirtual.ucsm.edu.pe/epregrado2017I/grade/report/user/index.php?userid=17434&amp;id=702" TargetMode="External"/><Relationship Id="rId11" Type="http://schemas.openxmlformats.org/officeDocument/2006/relationships/hyperlink" Target="http://aulavirtual.ucsm.edu.pe/epregrado2017I/user/view.php?id=7038&amp;course=702" TargetMode="External"/><Relationship Id="rId12" Type="http://schemas.openxmlformats.org/officeDocument/2006/relationships/hyperlink" Target="http://aulavirtual.ucsm.edu.pe/epregrado2017I/grade/report/user/index.php?userid=7038&amp;id=702" TargetMode="External"/><Relationship Id="rId13" Type="http://schemas.openxmlformats.org/officeDocument/2006/relationships/hyperlink" Target="http://aulavirtual.ucsm.edu.pe/epregrado2017I/user/view.php?id=5454&amp;course=702" TargetMode="External"/><Relationship Id="rId14" Type="http://schemas.openxmlformats.org/officeDocument/2006/relationships/hyperlink" Target="http://aulavirtual.ucsm.edu.pe/epregrado2017I/grade/report/user/index.php?userid=5454&amp;id=702" TargetMode="External"/><Relationship Id="rId15" Type="http://schemas.openxmlformats.org/officeDocument/2006/relationships/hyperlink" Target="http://aulavirtual.ucsm.edu.pe/epregrado2017I/user/view.php?id=9040&amp;course=702" TargetMode="External"/><Relationship Id="rId16" Type="http://schemas.openxmlformats.org/officeDocument/2006/relationships/hyperlink" Target="http://aulavirtual.ucsm.edu.pe/epregrado2017I/grade/report/user/index.php?userid=9040&amp;id=702" TargetMode="External"/><Relationship Id="rId17" Type="http://schemas.openxmlformats.org/officeDocument/2006/relationships/hyperlink" Target="http://aulavirtual.ucsm.edu.pe/epregrado2017I/user/view.php?id=4562&amp;course=702" TargetMode="External"/><Relationship Id="rId18" Type="http://schemas.openxmlformats.org/officeDocument/2006/relationships/hyperlink" Target="http://aulavirtual.ucsm.edu.pe/epregrado2017I/grade/report/user/index.php?userid=4562&amp;id=702" TargetMode="External"/><Relationship Id="rId19" Type="http://schemas.openxmlformats.org/officeDocument/2006/relationships/hyperlink" Target="http://aulavirtual.ucsm.edu.pe/epregrado2017I/user/view.php?id=16608&amp;course=702" TargetMode="External"/><Relationship Id="rId37" Type="http://schemas.openxmlformats.org/officeDocument/2006/relationships/hyperlink" Target="http://aulavirtual.ucsm.edu.pe/epregrado2017I/user/view.php?id=3514&amp;course=702" TargetMode="External"/><Relationship Id="rId38" Type="http://schemas.openxmlformats.org/officeDocument/2006/relationships/hyperlink" Target="http://aulavirtual.ucsm.edu.pe/epregrado2017I/grade/report/user/index.php?userid=3514&amp;id=702" TargetMode="External"/><Relationship Id="rId39" Type="http://schemas.openxmlformats.org/officeDocument/2006/relationships/hyperlink" Target="http://aulavirtual.ucsm.edu.pe/epregrado2017I/user/view.php?id=17172&amp;course=702" TargetMode="External"/><Relationship Id="rId40" Type="http://schemas.openxmlformats.org/officeDocument/2006/relationships/hyperlink" Target="http://aulavirtual.ucsm.edu.pe/epregrado2017I/grade/report/user/index.php?userid=17172&amp;id=702" TargetMode="External"/><Relationship Id="rId41" Type="http://schemas.openxmlformats.org/officeDocument/2006/relationships/hyperlink" Target="http://aulavirtual.ucsm.edu.pe/epregrado2017I/user/view.php?id=21010&amp;course=702" TargetMode="External"/><Relationship Id="rId42" Type="http://schemas.openxmlformats.org/officeDocument/2006/relationships/hyperlink" Target="http://aulavirtual.ucsm.edu.pe/epregrado2017I/grade/report/user/index.php?userid=21010&amp;id=702" TargetMode="External"/><Relationship Id="rId43" Type="http://schemas.openxmlformats.org/officeDocument/2006/relationships/hyperlink" Target="http://aulavirtual.ucsm.edu.pe/epregrado2017I/user/view.php?id=9725&amp;course=702" TargetMode="External"/><Relationship Id="rId44" Type="http://schemas.openxmlformats.org/officeDocument/2006/relationships/hyperlink" Target="http://aulavirtual.ucsm.edu.pe/epregrado2017I/grade/report/user/index.php?userid=9725&amp;id=7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3</xdr:row>
      <xdr:rowOff>0</xdr:rowOff>
    </xdr:from>
    <xdr:to>
      <xdr:col>21</xdr:col>
      <xdr:colOff>444500</xdr:colOff>
      <xdr:row>4</xdr:row>
      <xdr:rowOff>180340</xdr:rowOff>
    </xdr:to>
    <xdr:sp macro="" textlink="">
      <xdr:nvSpPr>
        <xdr:cNvPr id="2" name="AutoShape 1" descr="magen de MARILUNA VENECIA APAZA LUQU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44500" y="1778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444500</xdr:colOff>
      <xdr:row>4</xdr:row>
      <xdr:rowOff>180340</xdr:rowOff>
    </xdr:to>
    <xdr:sp macro="" textlink="">
      <xdr:nvSpPr>
        <xdr:cNvPr id="3" name="AutoShape 3" descr="magen de BRYAN RENZO BEJARANO PEREZ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44500" y="1778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444500</xdr:colOff>
      <xdr:row>6</xdr:row>
      <xdr:rowOff>180340</xdr:rowOff>
    </xdr:to>
    <xdr:sp macro="" textlink="">
      <xdr:nvSpPr>
        <xdr:cNvPr id="4" name="AutoShape 5" descr="magen de JORGE LUIS CRUZ LLAYQUE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4500" y="5842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444500</xdr:colOff>
      <xdr:row>7</xdr:row>
      <xdr:rowOff>180340</xdr:rowOff>
    </xdr:to>
    <xdr:sp macro="" textlink="">
      <xdr:nvSpPr>
        <xdr:cNvPr id="5" name="AutoShape 7" descr="magen de EDUARDO ANDRES DIAZ RIQUELME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44500" y="7874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444500</xdr:colOff>
      <xdr:row>8</xdr:row>
      <xdr:rowOff>180340</xdr:rowOff>
    </xdr:to>
    <xdr:sp macro="" textlink="">
      <xdr:nvSpPr>
        <xdr:cNvPr id="6" name="AutoShape 9" descr="magen de ROSARIO BEATRIZ GARIFA CCAPIRA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444500" y="9906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8</xdr:row>
      <xdr:rowOff>0</xdr:rowOff>
    </xdr:from>
    <xdr:to>
      <xdr:col>21</xdr:col>
      <xdr:colOff>444500</xdr:colOff>
      <xdr:row>9</xdr:row>
      <xdr:rowOff>180340</xdr:rowOff>
    </xdr:to>
    <xdr:sp macro="" textlink="">
      <xdr:nvSpPr>
        <xdr:cNvPr id="7" name="AutoShape 11" descr="magen de JORGE LUIS GARNICA BLANC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44500" y="11938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9</xdr:row>
      <xdr:rowOff>0</xdr:rowOff>
    </xdr:from>
    <xdr:to>
      <xdr:col>21</xdr:col>
      <xdr:colOff>444500</xdr:colOff>
      <xdr:row>10</xdr:row>
      <xdr:rowOff>180340</xdr:rowOff>
    </xdr:to>
    <xdr:sp macro="" textlink="">
      <xdr:nvSpPr>
        <xdr:cNvPr id="8" name="AutoShape 13" descr="magen de JULIO PAOLO LUNA FLORES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44500" y="13970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444500</xdr:colOff>
      <xdr:row>11</xdr:row>
      <xdr:rowOff>180340</xdr:rowOff>
    </xdr:to>
    <xdr:sp macro="" textlink="">
      <xdr:nvSpPr>
        <xdr:cNvPr id="9" name="AutoShape 15" descr="magen de JUAN RUBEN MANOTUPA GIL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444500" y="16002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444500</xdr:colOff>
      <xdr:row>12</xdr:row>
      <xdr:rowOff>180340</xdr:rowOff>
    </xdr:to>
    <xdr:sp macro="" textlink="">
      <xdr:nvSpPr>
        <xdr:cNvPr id="10" name="AutoShape 17" descr="magen de JUNIOR JAVIER MAYTA CO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444500" y="18034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444500</xdr:colOff>
      <xdr:row>13</xdr:row>
      <xdr:rowOff>180340</xdr:rowOff>
    </xdr:to>
    <xdr:sp macro="" textlink="">
      <xdr:nvSpPr>
        <xdr:cNvPr id="11" name="AutoShape 19" descr="magen de MIGUEL ANGEL MEDINA HUAMANI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444500" y="20066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13</xdr:row>
      <xdr:rowOff>0</xdr:rowOff>
    </xdr:from>
    <xdr:to>
      <xdr:col>21</xdr:col>
      <xdr:colOff>444500</xdr:colOff>
      <xdr:row>14</xdr:row>
      <xdr:rowOff>180340</xdr:rowOff>
    </xdr:to>
    <xdr:sp macro="" textlink="">
      <xdr:nvSpPr>
        <xdr:cNvPr id="12" name="AutoShape 21" descr="magen de ALBERTO CESAR MUÑOZ MARQUEZ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444500" y="22098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444500</xdr:colOff>
      <xdr:row>15</xdr:row>
      <xdr:rowOff>180340</xdr:rowOff>
    </xdr:to>
    <xdr:sp macro="" textlink="">
      <xdr:nvSpPr>
        <xdr:cNvPr id="13" name="AutoShape 23" descr="magen de BRUNO MICHAEL RAMOS SALAS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444500" y="24130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444500</xdr:colOff>
      <xdr:row>16</xdr:row>
      <xdr:rowOff>180340</xdr:rowOff>
    </xdr:to>
    <xdr:sp macro="" textlink="">
      <xdr:nvSpPr>
        <xdr:cNvPr id="14" name="AutoShape 25" descr="magen de FERNANDO JESUS RODRIGUEZ LOPEZ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444500" y="26162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16</xdr:row>
      <xdr:rowOff>0</xdr:rowOff>
    </xdr:from>
    <xdr:to>
      <xdr:col>21</xdr:col>
      <xdr:colOff>444500</xdr:colOff>
      <xdr:row>17</xdr:row>
      <xdr:rowOff>180340</xdr:rowOff>
    </xdr:to>
    <xdr:sp macro="" textlink="">
      <xdr:nvSpPr>
        <xdr:cNvPr id="15" name="AutoShape 27" descr="magen de FIDEL KELVIN SALAS FLORES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444500" y="28194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17</xdr:row>
      <xdr:rowOff>0</xdr:rowOff>
    </xdr:from>
    <xdr:to>
      <xdr:col>21</xdr:col>
      <xdr:colOff>444500</xdr:colOff>
      <xdr:row>18</xdr:row>
      <xdr:rowOff>180340</xdr:rowOff>
    </xdr:to>
    <xdr:sp macro="" textlink="">
      <xdr:nvSpPr>
        <xdr:cNvPr id="16" name="AutoShape 29" descr="magen de EDUARDO JAIME SEQUEIROS ORTIZ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444500" y="30226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18</xdr:row>
      <xdr:rowOff>0</xdr:rowOff>
    </xdr:from>
    <xdr:to>
      <xdr:col>21</xdr:col>
      <xdr:colOff>444500</xdr:colOff>
      <xdr:row>19</xdr:row>
      <xdr:rowOff>180340</xdr:rowOff>
    </xdr:to>
    <xdr:sp macro="" textlink="">
      <xdr:nvSpPr>
        <xdr:cNvPr id="17" name="AutoShape 31" descr="magen de MAURICIO JHONATAN SUAREZ CABELLO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444500" y="32258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444500</xdr:colOff>
      <xdr:row>20</xdr:row>
      <xdr:rowOff>180340</xdr:rowOff>
    </xdr:to>
    <xdr:sp macro="" textlink="">
      <xdr:nvSpPr>
        <xdr:cNvPr id="18" name="AutoShape 33" descr="magen de MARCO ANTONIO TICONA TARIFA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444500" y="34290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20</xdr:row>
      <xdr:rowOff>0</xdr:rowOff>
    </xdr:from>
    <xdr:to>
      <xdr:col>21</xdr:col>
      <xdr:colOff>444500</xdr:colOff>
      <xdr:row>21</xdr:row>
      <xdr:rowOff>180340</xdr:rowOff>
    </xdr:to>
    <xdr:sp macro="" textlink="">
      <xdr:nvSpPr>
        <xdr:cNvPr id="19" name="AutoShape 35" descr="magen de JORDAN ANDRE TORREBLANCA CORNEJO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444500" y="36322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21</xdr:row>
      <xdr:rowOff>0</xdr:rowOff>
    </xdr:from>
    <xdr:to>
      <xdr:col>21</xdr:col>
      <xdr:colOff>444500</xdr:colOff>
      <xdr:row>22</xdr:row>
      <xdr:rowOff>180340</xdr:rowOff>
    </xdr:to>
    <xdr:sp macro="" textlink="">
      <xdr:nvSpPr>
        <xdr:cNvPr id="20" name="AutoShape 37" descr="magen de JAIME YOVANY VALENCIA QUILLE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444500" y="38354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22</xdr:row>
      <xdr:rowOff>0</xdr:rowOff>
    </xdr:from>
    <xdr:to>
      <xdr:col>21</xdr:col>
      <xdr:colOff>444500</xdr:colOff>
      <xdr:row>23</xdr:row>
      <xdr:rowOff>180340</xdr:rowOff>
    </xdr:to>
    <xdr:sp macro="" textlink="">
      <xdr:nvSpPr>
        <xdr:cNvPr id="21" name="AutoShape 39" descr="magen de ANA LUCIA VELAZCO MEZA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444500" y="40386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0</xdr:colOff>
      <xdr:row>23</xdr:row>
      <xdr:rowOff>0</xdr:rowOff>
    </xdr:from>
    <xdr:to>
      <xdr:col>21</xdr:col>
      <xdr:colOff>444500</xdr:colOff>
      <xdr:row>24</xdr:row>
      <xdr:rowOff>180340</xdr:rowOff>
    </xdr:to>
    <xdr:sp macro="" textlink="">
      <xdr:nvSpPr>
        <xdr:cNvPr id="22" name="AutoShape 41" descr="magen de MAURICIO ALCIDES VIVANCO LOZANO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444500" y="42418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7</xdr:row>
      <xdr:rowOff>50800</xdr:rowOff>
    </xdr:from>
    <xdr:to>
      <xdr:col>5</xdr:col>
      <xdr:colOff>850900</xdr:colOff>
      <xdr:row>15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127000</xdr:colOff>
      <xdr:row>33</xdr:row>
      <xdr:rowOff>50800</xdr:rowOff>
    </xdr:from>
    <xdr:to>
      <xdr:col>5</xdr:col>
      <xdr:colOff>850900</xdr:colOff>
      <xdr:row>41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127000</xdr:colOff>
      <xdr:row>55</xdr:row>
      <xdr:rowOff>50800</xdr:rowOff>
    </xdr:from>
    <xdr:to>
      <xdr:col>5</xdr:col>
      <xdr:colOff>850900</xdr:colOff>
      <xdr:row>63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127000</xdr:colOff>
      <xdr:row>80</xdr:row>
      <xdr:rowOff>50800</xdr:rowOff>
    </xdr:from>
    <xdr:to>
      <xdr:col>5</xdr:col>
      <xdr:colOff>850900</xdr:colOff>
      <xdr:row>88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127000</xdr:colOff>
      <xdr:row>103</xdr:row>
      <xdr:rowOff>50800</xdr:rowOff>
    </xdr:from>
    <xdr:to>
      <xdr:col>5</xdr:col>
      <xdr:colOff>850900</xdr:colOff>
      <xdr:row>111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127000</xdr:colOff>
      <xdr:row>125</xdr:row>
      <xdr:rowOff>50800</xdr:rowOff>
    </xdr:from>
    <xdr:to>
      <xdr:col>5</xdr:col>
      <xdr:colOff>850900</xdr:colOff>
      <xdr:row>133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1</xdr:row>
      <xdr:rowOff>0</xdr:rowOff>
    </xdr:from>
    <xdr:to>
      <xdr:col>0</xdr:col>
      <xdr:colOff>889000</xdr:colOff>
      <xdr:row>3</xdr:row>
      <xdr:rowOff>38100</xdr:rowOff>
    </xdr:to>
    <xdr:sp macro="" textlink="">
      <xdr:nvSpPr>
        <xdr:cNvPr id="1025" name="AutoShape 1" descr="magen de MARILUNA VENECIA APAZA LUQU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44500" y="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1026" name="AutoShape 2" descr="alificaciones de MARILUNA VENECIA APAZA LUQUE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257300" y="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</xdr:row>
      <xdr:rowOff>0</xdr:rowOff>
    </xdr:from>
    <xdr:to>
      <xdr:col>0</xdr:col>
      <xdr:colOff>889000</xdr:colOff>
      <xdr:row>3</xdr:row>
      <xdr:rowOff>38100</xdr:rowOff>
    </xdr:to>
    <xdr:sp macro="" textlink="">
      <xdr:nvSpPr>
        <xdr:cNvPr id="1027" name="AutoShape 3" descr="magen de BRYAN RENZO BEJARANO PEREZ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44500" y="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101600</xdr:rowOff>
    </xdr:to>
    <xdr:sp macro="" textlink="">
      <xdr:nvSpPr>
        <xdr:cNvPr id="1028" name="AutoShape 4" descr="alificaciones de BRYAN RENZO BEJARANO PEREZ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257300" y="177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3</xdr:row>
      <xdr:rowOff>0</xdr:rowOff>
    </xdr:from>
    <xdr:to>
      <xdr:col>0</xdr:col>
      <xdr:colOff>889000</xdr:colOff>
      <xdr:row>5</xdr:row>
      <xdr:rowOff>38100</xdr:rowOff>
    </xdr:to>
    <xdr:sp macro="" textlink="">
      <xdr:nvSpPr>
        <xdr:cNvPr id="1029" name="AutoShape 5" descr="magen de JORGE LUIS CRUZ LLAYQUE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444500" y="3556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101600</xdr:rowOff>
    </xdr:to>
    <xdr:sp macro="" textlink="">
      <xdr:nvSpPr>
        <xdr:cNvPr id="1030" name="AutoShape 6" descr="alificaciones de JORGE LUIS CRUZ LLAYQUE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1257300" y="355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4</xdr:row>
      <xdr:rowOff>0</xdr:rowOff>
    </xdr:from>
    <xdr:to>
      <xdr:col>0</xdr:col>
      <xdr:colOff>889000</xdr:colOff>
      <xdr:row>6</xdr:row>
      <xdr:rowOff>38100</xdr:rowOff>
    </xdr:to>
    <xdr:sp macro="" textlink="">
      <xdr:nvSpPr>
        <xdr:cNvPr id="1031" name="AutoShape 7" descr="magen de EDUARDO ANDRES DIAZ RIQUELME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44500" y="5334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101600</xdr:rowOff>
    </xdr:to>
    <xdr:sp macro="" textlink="">
      <xdr:nvSpPr>
        <xdr:cNvPr id="1032" name="AutoShape 8" descr="alificaciones de EDUARDO ANDRES DIAZ RIQUELME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257300" y="533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5</xdr:row>
      <xdr:rowOff>0</xdr:rowOff>
    </xdr:from>
    <xdr:to>
      <xdr:col>0</xdr:col>
      <xdr:colOff>889000</xdr:colOff>
      <xdr:row>7</xdr:row>
      <xdr:rowOff>38100</xdr:rowOff>
    </xdr:to>
    <xdr:sp macro="" textlink="">
      <xdr:nvSpPr>
        <xdr:cNvPr id="1033" name="AutoShape 9" descr="magen de ROSARIO BEATRIZ GARIFA CCAPIRA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444500" y="7112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101600</xdr:rowOff>
    </xdr:to>
    <xdr:sp macro="" textlink="">
      <xdr:nvSpPr>
        <xdr:cNvPr id="1034" name="AutoShape 10" descr="alificaciones de ROSARIO BEATRIZ GARIFA CCAPIRA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1257300" y="711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6</xdr:row>
      <xdr:rowOff>0</xdr:rowOff>
    </xdr:from>
    <xdr:to>
      <xdr:col>0</xdr:col>
      <xdr:colOff>889000</xdr:colOff>
      <xdr:row>8</xdr:row>
      <xdr:rowOff>38100</xdr:rowOff>
    </xdr:to>
    <xdr:sp macro="" textlink="">
      <xdr:nvSpPr>
        <xdr:cNvPr id="1035" name="AutoShape 11" descr="magen de JORGE LUIS GARNICA BLANC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444500" y="8890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101600</xdr:rowOff>
    </xdr:to>
    <xdr:sp macro="" textlink="">
      <xdr:nvSpPr>
        <xdr:cNvPr id="1036" name="AutoShape 12" descr="alificaciones de JORGE LUIS GARNICA BLANC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1257300" y="889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7</xdr:row>
      <xdr:rowOff>0</xdr:rowOff>
    </xdr:from>
    <xdr:to>
      <xdr:col>0</xdr:col>
      <xdr:colOff>889000</xdr:colOff>
      <xdr:row>9</xdr:row>
      <xdr:rowOff>38100</xdr:rowOff>
    </xdr:to>
    <xdr:sp macro="" textlink="">
      <xdr:nvSpPr>
        <xdr:cNvPr id="1037" name="AutoShape 13" descr="magen de JULIO PAOLO LUNA FLORES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444500" y="10668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101600</xdr:rowOff>
    </xdr:to>
    <xdr:sp macro="" textlink="">
      <xdr:nvSpPr>
        <xdr:cNvPr id="1038" name="AutoShape 14" descr="alificaciones de JULIO PAOLO LUNA FLORES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1257300" y="1066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8</xdr:row>
      <xdr:rowOff>0</xdr:rowOff>
    </xdr:from>
    <xdr:to>
      <xdr:col>0</xdr:col>
      <xdr:colOff>889000</xdr:colOff>
      <xdr:row>10</xdr:row>
      <xdr:rowOff>38100</xdr:rowOff>
    </xdr:to>
    <xdr:sp macro="" textlink="">
      <xdr:nvSpPr>
        <xdr:cNvPr id="1039" name="AutoShape 15" descr="magen de JUAN RUBEN MANOTUPA GIL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444500" y="12446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101600</xdr:rowOff>
    </xdr:to>
    <xdr:sp macro="" textlink="">
      <xdr:nvSpPr>
        <xdr:cNvPr id="1040" name="AutoShape 16" descr="alificaciones de JUAN RUBEN MANOTUPA GIL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1257300" y="1244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9</xdr:row>
      <xdr:rowOff>0</xdr:rowOff>
    </xdr:from>
    <xdr:to>
      <xdr:col>0</xdr:col>
      <xdr:colOff>889000</xdr:colOff>
      <xdr:row>11</xdr:row>
      <xdr:rowOff>38100</xdr:rowOff>
    </xdr:to>
    <xdr:sp macro="" textlink="">
      <xdr:nvSpPr>
        <xdr:cNvPr id="1041" name="AutoShape 17" descr="magen de JUNIOR JAVIER MAYTA COA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444500" y="14224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101600</xdr:rowOff>
    </xdr:to>
    <xdr:sp macro="" textlink="">
      <xdr:nvSpPr>
        <xdr:cNvPr id="1042" name="AutoShape 18" descr="alificaciones de JUNIOR JAVIER MAYTA COA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1257300" y="1422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10</xdr:row>
      <xdr:rowOff>0</xdr:rowOff>
    </xdr:from>
    <xdr:to>
      <xdr:col>0</xdr:col>
      <xdr:colOff>889000</xdr:colOff>
      <xdr:row>12</xdr:row>
      <xdr:rowOff>38100</xdr:rowOff>
    </xdr:to>
    <xdr:sp macro="" textlink="">
      <xdr:nvSpPr>
        <xdr:cNvPr id="1043" name="AutoShape 19" descr="magen de MIGUEL ANGEL MEDINA HUAMANI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444500" y="16002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101600</xdr:rowOff>
    </xdr:to>
    <xdr:sp macro="" textlink="">
      <xdr:nvSpPr>
        <xdr:cNvPr id="1044" name="AutoShape 20" descr="alificaciones de MIGUEL ANGEL MEDINA HUAMANI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1257300" y="1600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11</xdr:row>
      <xdr:rowOff>0</xdr:rowOff>
    </xdr:from>
    <xdr:to>
      <xdr:col>0</xdr:col>
      <xdr:colOff>889000</xdr:colOff>
      <xdr:row>13</xdr:row>
      <xdr:rowOff>38100</xdr:rowOff>
    </xdr:to>
    <xdr:sp macro="" textlink="">
      <xdr:nvSpPr>
        <xdr:cNvPr id="1045" name="AutoShape 21" descr="magen de ALBERTO CESAR MUÑOZ MARQUEZ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444500" y="17780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101600</xdr:rowOff>
    </xdr:to>
    <xdr:sp macro="" textlink="">
      <xdr:nvSpPr>
        <xdr:cNvPr id="1046" name="AutoShape 22" descr="alificaciones de ALBERTO CESAR MUÑOZ MARQUEZ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1257300" y="1778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12</xdr:row>
      <xdr:rowOff>0</xdr:rowOff>
    </xdr:from>
    <xdr:to>
      <xdr:col>0</xdr:col>
      <xdr:colOff>889000</xdr:colOff>
      <xdr:row>14</xdr:row>
      <xdr:rowOff>38100</xdr:rowOff>
    </xdr:to>
    <xdr:sp macro="" textlink="">
      <xdr:nvSpPr>
        <xdr:cNvPr id="1047" name="AutoShape 23" descr="magen de BRUNO MICHAEL RAMOS SALAS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444500" y="19558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101600</xdr:rowOff>
    </xdr:to>
    <xdr:sp macro="" textlink="">
      <xdr:nvSpPr>
        <xdr:cNvPr id="1048" name="AutoShape 24" descr="alificaciones de BRUNO MICHAEL RAMOS SALAS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1257300" y="1955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13</xdr:row>
      <xdr:rowOff>0</xdr:rowOff>
    </xdr:from>
    <xdr:to>
      <xdr:col>0</xdr:col>
      <xdr:colOff>889000</xdr:colOff>
      <xdr:row>15</xdr:row>
      <xdr:rowOff>38100</xdr:rowOff>
    </xdr:to>
    <xdr:sp macro="" textlink="">
      <xdr:nvSpPr>
        <xdr:cNvPr id="1049" name="AutoShape 25" descr="magen de FERNANDO JESUS RODRIGUEZ LOPEZ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444500" y="21336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101600</xdr:rowOff>
    </xdr:to>
    <xdr:sp macro="" textlink="">
      <xdr:nvSpPr>
        <xdr:cNvPr id="1050" name="AutoShape 26" descr="alificaciones de FERNANDO JESUS RODRIGUEZ LOPEZ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1257300" y="2133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14</xdr:row>
      <xdr:rowOff>0</xdr:rowOff>
    </xdr:from>
    <xdr:to>
      <xdr:col>0</xdr:col>
      <xdr:colOff>889000</xdr:colOff>
      <xdr:row>16</xdr:row>
      <xdr:rowOff>38100</xdr:rowOff>
    </xdr:to>
    <xdr:sp macro="" textlink="">
      <xdr:nvSpPr>
        <xdr:cNvPr id="1051" name="AutoShape 27" descr="magen de FIDEL KELVIN SALAS FLORES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444500" y="23114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101600</xdr:rowOff>
    </xdr:to>
    <xdr:sp macro="" textlink="">
      <xdr:nvSpPr>
        <xdr:cNvPr id="1052" name="AutoShape 28" descr="alificaciones de FIDEL KELVIN SALAS FLORES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1257300" y="2311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15</xdr:row>
      <xdr:rowOff>0</xdr:rowOff>
    </xdr:from>
    <xdr:to>
      <xdr:col>0</xdr:col>
      <xdr:colOff>889000</xdr:colOff>
      <xdr:row>17</xdr:row>
      <xdr:rowOff>38100</xdr:rowOff>
    </xdr:to>
    <xdr:sp macro="" textlink="">
      <xdr:nvSpPr>
        <xdr:cNvPr id="1053" name="AutoShape 29" descr="magen de EDUARDO JAIME SEQUEIROS ORTIZ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444500" y="24892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101600</xdr:rowOff>
    </xdr:to>
    <xdr:sp macro="" textlink="">
      <xdr:nvSpPr>
        <xdr:cNvPr id="1054" name="AutoShape 30" descr="alificaciones de EDUARDO JAIME SEQUEIROS ORTIZ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1257300" y="2489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16</xdr:row>
      <xdr:rowOff>0</xdr:rowOff>
    </xdr:from>
    <xdr:to>
      <xdr:col>0</xdr:col>
      <xdr:colOff>889000</xdr:colOff>
      <xdr:row>18</xdr:row>
      <xdr:rowOff>38100</xdr:rowOff>
    </xdr:to>
    <xdr:sp macro="" textlink="">
      <xdr:nvSpPr>
        <xdr:cNvPr id="1055" name="AutoShape 31" descr="magen de MAURICIO JHONATAN SUAREZ CABELLO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444500" y="26670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101600</xdr:rowOff>
    </xdr:to>
    <xdr:sp macro="" textlink="">
      <xdr:nvSpPr>
        <xdr:cNvPr id="1056" name="AutoShape 32" descr="alificaciones de MAURICIO JHONATAN SUAREZ CABELLO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1257300" y="2667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17</xdr:row>
      <xdr:rowOff>0</xdr:rowOff>
    </xdr:from>
    <xdr:to>
      <xdr:col>0</xdr:col>
      <xdr:colOff>889000</xdr:colOff>
      <xdr:row>19</xdr:row>
      <xdr:rowOff>38100</xdr:rowOff>
    </xdr:to>
    <xdr:sp macro="" textlink="">
      <xdr:nvSpPr>
        <xdr:cNvPr id="1057" name="AutoShape 33" descr="magen de MARCO ANTONIO TICONA TARIFA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444500" y="28448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101600</xdr:rowOff>
    </xdr:to>
    <xdr:sp macro="" textlink="">
      <xdr:nvSpPr>
        <xdr:cNvPr id="1058" name="AutoShape 34" descr="alificaciones de MARCO ANTONIO TICONA TARIFA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1257300" y="2844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18</xdr:row>
      <xdr:rowOff>0</xdr:rowOff>
    </xdr:from>
    <xdr:to>
      <xdr:col>0</xdr:col>
      <xdr:colOff>889000</xdr:colOff>
      <xdr:row>20</xdr:row>
      <xdr:rowOff>38100</xdr:rowOff>
    </xdr:to>
    <xdr:sp macro="" textlink="">
      <xdr:nvSpPr>
        <xdr:cNvPr id="1059" name="AutoShape 35" descr="magen de JORDAN ANDRE TORREBLANCA CORNEJO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444500" y="30226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101600</xdr:rowOff>
    </xdr:to>
    <xdr:sp macro="" textlink="">
      <xdr:nvSpPr>
        <xdr:cNvPr id="1060" name="AutoShape 36" descr="alificaciones de JORDAN ANDRE TORREBLANCA CORNEJO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1257300" y="30226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19</xdr:row>
      <xdr:rowOff>0</xdr:rowOff>
    </xdr:from>
    <xdr:to>
      <xdr:col>0</xdr:col>
      <xdr:colOff>889000</xdr:colOff>
      <xdr:row>21</xdr:row>
      <xdr:rowOff>38100</xdr:rowOff>
    </xdr:to>
    <xdr:sp macro="" textlink="">
      <xdr:nvSpPr>
        <xdr:cNvPr id="1061" name="AutoShape 37" descr="magen de JAIME YOVANY VALENCIA QUILLE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444500" y="32004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101600</xdr:rowOff>
    </xdr:to>
    <xdr:sp macro="" textlink="">
      <xdr:nvSpPr>
        <xdr:cNvPr id="1062" name="AutoShape 38" descr="alificaciones de JAIME YOVANY VALENCIA QUILLE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1257300" y="32004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20</xdr:row>
      <xdr:rowOff>0</xdr:rowOff>
    </xdr:from>
    <xdr:to>
      <xdr:col>0</xdr:col>
      <xdr:colOff>889000</xdr:colOff>
      <xdr:row>22</xdr:row>
      <xdr:rowOff>38100</xdr:rowOff>
    </xdr:to>
    <xdr:sp macro="" textlink="">
      <xdr:nvSpPr>
        <xdr:cNvPr id="1063" name="AutoShape 39" descr="magen de ANA LUCIA VELAZCO MEZA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444500" y="33782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101600</xdr:rowOff>
    </xdr:to>
    <xdr:sp macro="" textlink="">
      <xdr:nvSpPr>
        <xdr:cNvPr id="1064" name="AutoShape 40" descr="alificaciones de ANA LUCIA VELAZCO MEZA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1257300" y="33782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21</xdr:row>
      <xdr:rowOff>0</xdr:rowOff>
    </xdr:from>
    <xdr:to>
      <xdr:col>0</xdr:col>
      <xdr:colOff>889000</xdr:colOff>
      <xdr:row>23</xdr:row>
      <xdr:rowOff>38100</xdr:rowOff>
    </xdr:to>
    <xdr:sp macro="" textlink="">
      <xdr:nvSpPr>
        <xdr:cNvPr id="1065" name="AutoShape 41" descr="magen de MAURICIO ALCIDES VIVANCO LOZANO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444500" y="35560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101600</xdr:rowOff>
    </xdr:to>
    <xdr:sp macro="" textlink="">
      <xdr:nvSpPr>
        <xdr:cNvPr id="1066" name="AutoShape 42" descr="alificaciones de MAURICIO ALCIDES VIVANCO LOZANO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1257300" y="35560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444500</xdr:colOff>
      <xdr:row>22</xdr:row>
      <xdr:rowOff>0</xdr:rowOff>
    </xdr:from>
    <xdr:to>
      <xdr:col>0</xdr:col>
      <xdr:colOff>889000</xdr:colOff>
      <xdr:row>24</xdr:row>
      <xdr:rowOff>63500</xdr:rowOff>
    </xdr:to>
    <xdr:sp macro="" textlink="">
      <xdr:nvSpPr>
        <xdr:cNvPr id="1067" name="AutoShape 43" descr="magen de FRANK MANUEL YUCRA MAMANI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444500" y="3733800"/>
          <a:ext cx="444500" cy="4445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101600</xdr:rowOff>
    </xdr:to>
    <xdr:sp macro="" textlink="">
      <xdr:nvSpPr>
        <xdr:cNvPr id="1068" name="AutoShape 44" descr="alificaciones de FRANK MANUEL YUCRA MAMANI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1257300" y="3733800"/>
          <a:ext cx="304800" cy="304800"/>
        </a:xfrm>
        <a:prstGeom prst="rect">
          <a:avLst/>
        </a:prstGeom>
        <a:noFill/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37"/>
  <sheetViews>
    <sheetView workbookViewId="0">
      <selection activeCell="U15" sqref="U15"/>
    </sheetView>
  </sheetViews>
  <sheetFormatPr baseColWidth="10" defaultRowHeight="13"/>
  <cols>
    <col min="1" max="1" width="3" bestFit="1" customWidth="1"/>
    <col min="2" max="2" width="36.42578125" bestFit="1" customWidth="1"/>
    <col min="3" max="16" width="5" customWidth="1"/>
    <col min="17" max="19" width="5.85546875" style="8" customWidth="1"/>
    <col min="20" max="20" width="5.85546875" style="14" customWidth="1"/>
    <col min="21" max="23" width="6.5703125" customWidth="1"/>
  </cols>
  <sheetData>
    <row r="1" spans="1:23">
      <c r="B1" t="s">
        <v>69</v>
      </c>
      <c r="C1">
        <v>1</v>
      </c>
      <c r="E1">
        <v>1</v>
      </c>
      <c r="F1">
        <v>1</v>
      </c>
      <c r="G1">
        <v>1</v>
      </c>
      <c r="H1">
        <v>1</v>
      </c>
      <c r="K1">
        <v>2</v>
      </c>
      <c r="L1">
        <v>2</v>
      </c>
      <c r="M1">
        <v>3</v>
      </c>
      <c r="N1">
        <v>1</v>
      </c>
      <c r="O1">
        <v>2</v>
      </c>
      <c r="P1">
        <v>1</v>
      </c>
      <c r="Q1" s="7">
        <v>0.55000000000000004</v>
      </c>
      <c r="R1" s="7">
        <v>0.2</v>
      </c>
      <c r="S1" s="7">
        <v>0.25</v>
      </c>
    </row>
    <row r="2" spans="1:23">
      <c r="C2" t="s">
        <v>273</v>
      </c>
      <c r="D2" t="s">
        <v>256</v>
      </c>
      <c r="E2" t="s">
        <v>265</v>
      </c>
      <c r="F2" t="s">
        <v>255</v>
      </c>
      <c r="G2" t="s">
        <v>334</v>
      </c>
      <c r="H2" t="s">
        <v>335</v>
      </c>
      <c r="I2" t="s">
        <v>336</v>
      </c>
      <c r="K2" t="s">
        <v>230</v>
      </c>
      <c r="L2" t="s">
        <v>29</v>
      </c>
      <c r="M2" t="s">
        <v>30</v>
      </c>
      <c r="N2" t="s">
        <v>31</v>
      </c>
      <c r="O2" t="s">
        <v>32</v>
      </c>
      <c r="P2" t="s">
        <v>34</v>
      </c>
      <c r="Q2" s="8" t="s">
        <v>171</v>
      </c>
      <c r="R2" s="8" t="s">
        <v>134</v>
      </c>
      <c r="S2" s="8" t="s">
        <v>180</v>
      </c>
      <c r="T2" s="14" t="s">
        <v>181</v>
      </c>
      <c r="U2" s="8" t="s">
        <v>186</v>
      </c>
      <c r="V2" s="8" t="s">
        <v>187</v>
      </c>
      <c r="W2" s="8" t="s">
        <v>387</v>
      </c>
    </row>
    <row r="3" spans="1:23">
      <c r="A3" s="3">
        <v>1</v>
      </c>
      <c r="B3" s="3" t="s">
        <v>363</v>
      </c>
      <c r="C3" s="3">
        <v>1</v>
      </c>
      <c r="D3" s="3"/>
      <c r="E3" s="3">
        <v>1</v>
      </c>
      <c r="F3" s="3">
        <v>1</v>
      </c>
      <c r="G3" s="3">
        <v>1</v>
      </c>
      <c r="H3" s="3"/>
      <c r="I3" s="3">
        <v>1</v>
      </c>
      <c r="J3" s="3"/>
      <c r="K3" s="3">
        <v>2</v>
      </c>
      <c r="L3" s="3">
        <v>5</v>
      </c>
      <c r="M3" s="3">
        <v>4</v>
      </c>
      <c r="N3" s="3">
        <v>1</v>
      </c>
      <c r="O3" s="3">
        <v>2</v>
      </c>
      <c r="P3" s="3">
        <v>3</v>
      </c>
      <c r="Q3" s="18">
        <f>SUM(C3:P3)/16*20</f>
        <v>27.5</v>
      </c>
      <c r="R3" s="10">
        <v>14</v>
      </c>
      <c r="S3" s="10">
        <v>20</v>
      </c>
      <c r="T3" s="15">
        <f>+Q3*0.55+R3/14*20*0.2+S3*0.25</f>
        <v>24.125</v>
      </c>
      <c r="U3" s="3">
        <v>19</v>
      </c>
      <c r="V3" s="3">
        <v>20</v>
      </c>
    </row>
    <row r="4" spans="1:23">
      <c r="A4" s="3">
        <v>2</v>
      </c>
      <c r="B4" s="3" t="s">
        <v>364</v>
      </c>
      <c r="C4" s="3"/>
      <c r="D4" s="3"/>
      <c r="E4" s="3">
        <v>1</v>
      </c>
      <c r="F4" s="3">
        <v>1</v>
      </c>
      <c r="G4" s="3">
        <v>1</v>
      </c>
      <c r="H4" s="3">
        <v>1</v>
      </c>
      <c r="I4" s="3"/>
      <c r="J4" s="3"/>
      <c r="K4" s="3">
        <v>2</v>
      </c>
      <c r="L4" s="3"/>
      <c r="M4" s="3">
        <v>2</v>
      </c>
      <c r="N4" s="3">
        <v>1</v>
      </c>
      <c r="O4" s="3">
        <v>2</v>
      </c>
      <c r="P4" s="3">
        <v>1</v>
      </c>
      <c r="Q4" s="18">
        <f t="shared" ref="Q4:Q18" si="0">SUM(C4:P4)/16*20</f>
        <v>15</v>
      </c>
      <c r="R4" s="10">
        <v>12</v>
      </c>
      <c r="S4" s="10">
        <v>18</v>
      </c>
      <c r="T4" s="17">
        <f t="shared" ref="T4:T18" si="1">+Q4*0.55+R4/14*20*0.2+S4*0.25</f>
        <v>16.178571428571431</v>
      </c>
      <c r="U4" s="3">
        <v>12</v>
      </c>
      <c r="V4" s="3">
        <v>18</v>
      </c>
      <c r="W4">
        <v>1</v>
      </c>
    </row>
    <row r="5" spans="1:23">
      <c r="A5" s="3">
        <v>3</v>
      </c>
      <c r="B5" s="3" t="s">
        <v>229</v>
      </c>
      <c r="C5" s="3"/>
      <c r="D5" s="3"/>
      <c r="E5" s="3"/>
      <c r="F5" s="3"/>
      <c r="G5" s="3"/>
      <c r="H5" s="3"/>
      <c r="I5" s="3"/>
      <c r="J5" s="3"/>
      <c r="K5" s="3"/>
      <c r="L5" s="3">
        <v>1</v>
      </c>
      <c r="M5" s="3"/>
      <c r="N5" s="3"/>
      <c r="O5" s="3"/>
      <c r="P5" s="3"/>
      <c r="Q5" s="18">
        <f t="shared" si="0"/>
        <v>1.25</v>
      </c>
      <c r="R5" s="10">
        <v>2</v>
      </c>
      <c r="S5" s="10"/>
      <c r="T5" s="17">
        <f t="shared" si="1"/>
        <v>1.2589285714285714</v>
      </c>
      <c r="U5" s="3" t="s">
        <v>188</v>
      </c>
      <c r="V5" s="3" t="s">
        <v>249</v>
      </c>
    </row>
    <row r="6" spans="1:23">
      <c r="A6" s="3">
        <v>4</v>
      </c>
      <c r="B6" s="3" t="s">
        <v>178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8">
        <f t="shared" si="0"/>
        <v>0</v>
      </c>
      <c r="R6" s="10"/>
      <c r="S6" s="10"/>
      <c r="T6" s="17">
        <f t="shared" si="1"/>
        <v>0</v>
      </c>
      <c r="U6" s="3" t="s">
        <v>188</v>
      </c>
      <c r="V6" s="3" t="s">
        <v>249</v>
      </c>
    </row>
    <row r="7" spans="1:23">
      <c r="A7" s="3">
        <v>5</v>
      </c>
      <c r="B7" s="3" t="s">
        <v>173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/>
      <c r="I7" s="3"/>
      <c r="J7" s="3"/>
      <c r="K7" s="3">
        <v>2</v>
      </c>
      <c r="L7" s="3">
        <v>1</v>
      </c>
      <c r="M7" s="3">
        <v>4</v>
      </c>
      <c r="N7" s="3">
        <v>1</v>
      </c>
      <c r="O7" s="3">
        <v>2</v>
      </c>
      <c r="P7" s="3">
        <v>1</v>
      </c>
      <c r="Q7" s="18">
        <f t="shared" si="0"/>
        <v>20</v>
      </c>
      <c r="R7" s="10">
        <v>14</v>
      </c>
      <c r="S7" s="10">
        <v>19</v>
      </c>
      <c r="T7" s="17">
        <f t="shared" si="1"/>
        <v>19.75</v>
      </c>
      <c r="U7" s="3">
        <v>14</v>
      </c>
      <c r="V7" s="3">
        <v>17</v>
      </c>
    </row>
    <row r="8" spans="1:23">
      <c r="A8" s="3">
        <v>6</v>
      </c>
      <c r="B8" s="3" t="s">
        <v>100</v>
      </c>
      <c r="C8" s="3"/>
      <c r="D8" s="3"/>
      <c r="E8" s="3"/>
      <c r="F8" s="3"/>
      <c r="G8" s="3"/>
      <c r="H8" s="3"/>
      <c r="I8" s="3"/>
      <c r="J8" s="3"/>
      <c r="K8" s="3">
        <v>2</v>
      </c>
      <c r="L8" s="3"/>
      <c r="M8" s="3">
        <v>2</v>
      </c>
      <c r="N8" s="3">
        <v>1</v>
      </c>
      <c r="O8" s="3">
        <v>2</v>
      </c>
      <c r="P8" s="3"/>
      <c r="Q8" s="18">
        <f t="shared" si="0"/>
        <v>8.75</v>
      </c>
      <c r="R8" s="10">
        <v>14</v>
      </c>
      <c r="S8" s="10">
        <v>17</v>
      </c>
      <c r="T8" s="17">
        <f t="shared" si="1"/>
        <v>13.0625</v>
      </c>
      <c r="U8" s="3">
        <v>12</v>
      </c>
      <c r="V8" s="3">
        <v>14</v>
      </c>
    </row>
    <row r="9" spans="1:23">
      <c r="A9" s="3">
        <v>7</v>
      </c>
      <c r="B9" s="3" t="s">
        <v>37</v>
      </c>
      <c r="C9" s="3">
        <v>1</v>
      </c>
      <c r="D9" s="3">
        <v>1</v>
      </c>
      <c r="E9" s="3"/>
      <c r="F9" s="3">
        <v>1</v>
      </c>
      <c r="G9" s="3">
        <v>1</v>
      </c>
      <c r="H9" s="3"/>
      <c r="I9" s="3"/>
      <c r="J9" s="3"/>
      <c r="K9" s="3">
        <v>2</v>
      </c>
      <c r="L9" s="3"/>
      <c r="M9" s="3">
        <v>3</v>
      </c>
      <c r="N9" s="3">
        <v>1</v>
      </c>
      <c r="O9" s="3">
        <v>2</v>
      </c>
      <c r="P9" s="3"/>
      <c r="Q9" s="18">
        <f t="shared" si="0"/>
        <v>15</v>
      </c>
      <c r="R9" s="10">
        <v>14</v>
      </c>
      <c r="S9" s="10">
        <v>11</v>
      </c>
      <c r="T9" s="17">
        <f t="shared" si="1"/>
        <v>15</v>
      </c>
      <c r="U9" s="3">
        <v>9</v>
      </c>
      <c r="V9" s="3">
        <v>11</v>
      </c>
    </row>
    <row r="10" spans="1:23">
      <c r="A10" s="3">
        <v>8</v>
      </c>
      <c r="B10" s="3" t="s">
        <v>101</v>
      </c>
      <c r="C10" s="3">
        <v>1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/>
      <c r="K10" s="3">
        <v>2</v>
      </c>
      <c r="L10" s="3">
        <v>1</v>
      </c>
      <c r="M10" s="3">
        <v>2</v>
      </c>
      <c r="N10" s="3">
        <v>1</v>
      </c>
      <c r="O10" s="3">
        <v>2</v>
      </c>
      <c r="P10" s="3">
        <v>1</v>
      </c>
      <c r="Q10" s="18">
        <f t="shared" si="0"/>
        <v>18.75</v>
      </c>
      <c r="R10" s="10">
        <v>14</v>
      </c>
      <c r="S10" s="10">
        <v>15</v>
      </c>
      <c r="T10" s="17">
        <f t="shared" si="1"/>
        <v>18.0625</v>
      </c>
      <c r="U10" s="3">
        <v>15</v>
      </c>
      <c r="V10" s="3">
        <v>17</v>
      </c>
      <c r="W10">
        <v>1</v>
      </c>
    </row>
    <row r="11" spans="1:23">
      <c r="A11" s="3">
        <v>9</v>
      </c>
      <c r="B11" s="3" t="s">
        <v>102</v>
      </c>
      <c r="C11" s="3">
        <v>1</v>
      </c>
      <c r="D11" s="3"/>
      <c r="E11" s="3">
        <v>1</v>
      </c>
      <c r="F11" s="3">
        <v>1</v>
      </c>
      <c r="G11" s="3">
        <v>1</v>
      </c>
      <c r="H11" s="3"/>
      <c r="I11" s="3">
        <v>1</v>
      </c>
      <c r="J11" s="3"/>
      <c r="K11" s="3">
        <v>2</v>
      </c>
      <c r="L11" s="3">
        <v>1</v>
      </c>
      <c r="M11" s="3">
        <v>3</v>
      </c>
      <c r="N11" s="3"/>
      <c r="O11" s="3">
        <v>2</v>
      </c>
      <c r="P11" s="3">
        <v>1</v>
      </c>
      <c r="Q11" s="18">
        <f t="shared" si="0"/>
        <v>17.5</v>
      </c>
      <c r="R11" s="10">
        <v>14</v>
      </c>
      <c r="S11" s="10">
        <v>19</v>
      </c>
      <c r="T11" s="17">
        <f t="shared" si="1"/>
        <v>18.375</v>
      </c>
      <c r="U11" s="3">
        <v>12</v>
      </c>
      <c r="V11" s="3">
        <v>14</v>
      </c>
    </row>
    <row r="12" spans="1:23">
      <c r="A12" s="3">
        <v>10</v>
      </c>
      <c r="B12" s="3" t="s">
        <v>260</v>
      </c>
      <c r="C12" s="3">
        <v>1</v>
      </c>
      <c r="D12" s="3"/>
      <c r="E12" s="3">
        <v>1</v>
      </c>
      <c r="F12" s="3">
        <v>1</v>
      </c>
      <c r="G12" s="3">
        <v>1</v>
      </c>
      <c r="H12" s="3"/>
      <c r="I12" s="3"/>
      <c r="J12" s="3"/>
      <c r="K12" s="3">
        <v>2</v>
      </c>
      <c r="L12" s="3">
        <v>2</v>
      </c>
      <c r="M12" s="3">
        <v>4</v>
      </c>
      <c r="N12" s="3">
        <v>2</v>
      </c>
      <c r="O12" s="3">
        <v>2</v>
      </c>
      <c r="P12" s="3">
        <v>1</v>
      </c>
      <c r="Q12" s="18">
        <f t="shared" si="0"/>
        <v>21.25</v>
      </c>
      <c r="R12" s="10">
        <v>14</v>
      </c>
      <c r="S12" s="10">
        <v>20</v>
      </c>
      <c r="T12" s="17">
        <f t="shared" si="1"/>
        <v>20.6875</v>
      </c>
      <c r="U12" s="3">
        <v>17</v>
      </c>
      <c r="V12" s="3">
        <v>15</v>
      </c>
    </row>
    <row r="13" spans="1:23">
      <c r="A13" s="3">
        <v>11</v>
      </c>
      <c r="B13" s="3" t="s">
        <v>261</v>
      </c>
      <c r="C13" s="3"/>
      <c r="D13" s="3"/>
      <c r="E13" s="3"/>
      <c r="F13" s="3">
        <v>1</v>
      </c>
      <c r="G13" s="3"/>
      <c r="H13" s="3"/>
      <c r="I13" s="3"/>
      <c r="J13" s="3"/>
      <c r="K13" s="3"/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18">
        <f t="shared" si="0"/>
        <v>13.75</v>
      </c>
      <c r="R13" s="10">
        <v>8</v>
      </c>
      <c r="S13" s="10">
        <v>19</v>
      </c>
      <c r="T13" s="17">
        <f t="shared" si="1"/>
        <v>14.598214285714286</v>
      </c>
      <c r="U13" s="3" t="s">
        <v>188</v>
      </c>
      <c r="V13" s="3" t="s">
        <v>249</v>
      </c>
    </row>
    <row r="14" spans="1:23">
      <c r="A14" s="3">
        <v>12</v>
      </c>
      <c r="B14" s="3" t="s">
        <v>262</v>
      </c>
      <c r="C14" s="3">
        <v>1</v>
      </c>
      <c r="D14" s="3">
        <v>1</v>
      </c>
      <c r="E14" s="3">
        <v>1</v>
      </c>
      <c r="F14" s="3">
        <v>1</v>
      </c>
      <c r="G14" s="3"/>
      <c r="H14" s="3"/>
      <c r="I14" s="3">
        <v>1</v>
      </c>
      <c r="J14" s="3"/>
      <c r="K14" s="3">
        <v>2</v>
      </c>
      <c r="L14" s="3">
        <v>3</v>
      </c>
      <c r="M14" s="3">
        <v>2</v>
      </c>
      <c r="N14" s="3">
        <v>1</v>
      </c>
      <c r="O14" s="3">
        <v>2</v>
      </c>
      <c r="P14" s="3"/>
      <c r="Q14" s="18">
        <f t="shared" si="0"/>
        <v>18.75</v>
      </c>
      <c r="R14" s="10">
        <v>14</v>
      </c>
      <c r="S14" s="10">
        <v>20</v>
      </c>
      <c r="T14" s="17">
        <f t="shared" si="1"/>
        <v>19.3125</v>
      </c>
      <c r="U14" s="3">
        <v>16</v>
      </c>
      <c r="V14" s="3">
        <v>17</v>
      </c>
      <c r="W14">
        <v>1</v>
      </c>
    </row>
    <row r="15" spans="1:23">
      <c r="A15" s="3">
        <v>13</v>
      </c>
      <c r="B15" s="3" t="s">
        <v>263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8">
        <f t="shared" si="0"/>
        <v>0</v>
      </c>
      <c r="R15" s="10">
        <v>2</v>
      </c>
      <c r="S15" s="10"/>
      <c r="T15" s="17">
        <f t="shared" si="1"/>
        <v>0.5714285714285714</v>
      </c>
      <c r="U15" s="3" t="s">
        <v>189</v>
      </c>
      <c r="V15" s="3">
        <v>12</v>
      </c>
    </row>
    <row r="16" spans="1:23">
      <c r="A16" s="3">
        <v>14</v>
      </c>
      <c r="B16" s="3" t="s">
        <v>297</v>
      </c>
      <c r="C16" s="3">
        <v>1</v>
      </c>
      <c r="D16" s="3"/>
      <c r="E16" s="3">
        <v>1</v>
      </c>
      <c r="F16" s="3">
        <v>1</v>
      </c>
      <c r="G16" s="3"/>
      <c r="H16" s="3">
        <v>1</v>
      </c>
      <c r="I16" s="3">
        <v>1</v>
      </c>
      <c r="J16" s="3"/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18">
        <f t="shared" si="0"/>
        <v>21.25</v>
      </c>
      <c r="R16" s="10">
        <v>10</v>
      </c>
      <c r="S16" s="10">
        <v>18</v>
      </c>
      <c r="T16" s="17">
        <f t="shared" si="1"/>
        <v>19.044642857142861</v>
      </c>
      <c r="U16" s="3">
        <v>12</v>
      </c>
      <c r="V16" s="3">
        <v>15</v>
      </c>
    </row>
    <row r="17" spans="1:22">
      <c r="A17" s="3">
        <v>15</v>
      </c>
      <c r="B17" s="3" t="s">
        <v>298</v>
      </c>
      <c r="C17" s="3">
        <v>1</v>
      </c>
      <c r="D17" s="3"/>
      <c r="E17" s="3">
        <v>1</v>
      </c>
      <c r="F17" s="3">
        <v>1</v>
      </c>
      <c r="G17" s="3">
        <v>1</v>
      </c>
      <c r="H17" s="3"/>
      <c r="I17" s="3">
        <v>1</v>
      </c>
      <c r="J17" s="3"/>
      <c r="K17" s="3">
        <v>2</v>
      </c>
      <c r="L17" s="3">
        <v>1</v>
      </c>
      <c r="M17" s="3">
        <v>3</v>
      </c>
      <c r="N17" s="3">
        <v>1</v>
      </c>
      <c r="O17" s="3">
        <v>2</v>
      </c>
      <c r="P17" s="3"/>
      <c r="Q17" s="18">
        <f t="shared" si="0"/>
        <v>17.5</v>
      </c>
      <c r="R17" s="10">
        <v>14</v>
      </c>
      <c r="S17" s="10">
        <v>20</v>
      </c>
      <c r="T17" s="17">
        <f t="shared" si="1"/>
        <v>18.625</v>
      </c>
      <c r="U17" s="3">
        <v>15</v>
      </c>
      <c r="V17" s="3">
        <v>18</v>
      </c>
    </row>
    <row r="18" spans="1:22">
      <c r="A18" s="3">
        <v>16</v>
      </c>
      <c r="B18" s="3" t="s">
        <v>299</v>
      </c>
      <c r="C18" s="3">
        <v>1</v>
      </c>
      <c r="D18" s="3"/>
      <c r="E18" s="3">
        <v>1</v>
      </c>
      <c r="F18" s="3">
        <v>1</v>
      </c>
      <c r="G18" s="3">
        <v>1</v>
      </c>
      <c r="H18" s="3"/>
      <c r="I18" s="3">
        <v>1</v>
      </c>
      <c r="J18" s="3"/>
      <c r="K18" s="3">
        <v>2</v>
      </c>
      <c r="L18" s="3">
        <v>1</v>
      </c>
      <c r="M18" s="3">
        <v>2</v>
      </c>
      <c r="N18" s="3">
        <v>1</v>
      </c>
      <c r="O18" s="3">
        <v>2</v>
      </c>
      <c r="P18" s="3">
        <v>2</v>
      </c>
      <c r="Q18" s="18">
        <f t="shared" si="0"/>
        <v>18.75</v>
      </c>
      <c r="R18" s="10">
        <v>14</v>
      </c>
      <c r="S18" s="10">
        <v>13</v>
      </c>
      <c r="T18" s="17">
        <f t="shared" si="1"/>
        <v>17.5625</v>
      </c>
      <c r="U18" s="3">
        <v>12</v>
      </c>
      <c r="V18" s="3">
        <v>15</v>
      </c>
    </row>
    <row r="21" spans="1:22">
      <c r="B21" t="s">
        <v>247</v>
      </c>
    </row>
    <row r="22" spans="1:22">
      <c r="B22" t="s">
        <v>363</v>
      </c>
      <c r="C22">
        <v>20</v>
      </c>
    </row>
    <row r="23" spans="1:22">
      <c r="B23" t="s">
        <v>364</v>
      </c>
      <c r="C23">
        <v>18</v>
      </c>
    </row>
    <row r="24" spans="1:22">
      <c r="B24" t="s">
        <v>229</v>
      </c>
      <c r="C24" t="s">
        <v>248</v>
      </c>
    </row>
    <row r="25" spans="1:22">
      <c r="B25" t="s">
        <v>178</v>
      </c>
      <c r="C25" t="s">
        <v>248</v>
      </c>
    </row>
    <row r="26" spans="1:22">
      <c r="B26" t="s">
        <v>173</v>
      </c>
      <c r="C26">
        <v>17</v>
      </c>
    </row>
    <row r="27" spans="1:22">
      <c r="B27" t="s">
        <v>100</v>
      </c>
      <c r="C27">
        <v>14</v>
      </c>
    </row>
    <row r="28" spans="1:22">
      <c r="B28" t="s">
        <v>37</v>
      </c>
      <c r="C28">
        <v>11</v>
      </c>
    </row>
    <row r="29" spans="1:22">
      <c r="B29" t="s">
        <v>101</v>
      </c>
      <c r="C29">
        <v>17</v>
      </c>
    </row>
    <row r="30" spans="1:22">
      <c r="B30" t="s">
        <v>102</v>
      </c>
      <c r="C30">
        <v>14</v>
      </c>
    </row>
    <row r="31" spans="1:22">
      <c r="B31" t="s">
        <v>260</v>
      </c>
      <c r="C31">
        <v>15</v>
      </c>
    </row>
    <row r="32" spans="1:22">
      <c r="B32" t="s">
        <v>261</v>
      </c>
      <c r="C32" t="s">
        <v>248</v>
      </c>
    </row>
    <row r="33" spans="2:3">
      <c r="B33" t="s">
        <v>262</v>
      </c>
      <c r="C33">
        <v>17</v>
      </c>
    </row>
    <row r="34" spans="2:3">
      <c r="B34" t="s">
        <v>263</v>
      </c>
      <c r="C34">
        <v>12</v>
      </c>
    </row>
    <row r="35" spans="2:3">
      <c r="B35" t="s">
        <v>297</v>
      </c>
      <c r="C35">
        <v>15</v>
      </c>
    </row>
    <row r="36" spans="2:3">
      <c r="B36" t="s">
        <v>298</v>
      </c>
      <c r="C36">
        <v>18</v>
      </c>
    </row>
    <row r="37" spans="2:3">
      <c r="B37" t="s">
        <v>299</v>
      </c>
      <c r="C37">
        <v>15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25"/>
  <sheetViews>
    <sheetView zoomScale="125" workbookViewId="0">
      <selection activeCell="T4" sqref="T4"/>
    </sheetView>
  </sheetViews>
  <sheetFormatPr baseColWidth="10" defaultRowHeight="13"/>
  <cols>
    <col min="1" max="1" width="3" customWidth="1"/>
    <col min="2" max="2" width="25.5703125" customWidth="1"/>
    <col min="3" max="4" width="6.140625" style="39" customWidth="1"/>
    <col min="5" max="5" width="6.140625" style="33" customWidth="1"/>
    <col min="6" max="7" width="6.140625" style="39" customWidth="1"/>
    <col min="8" max="8" width="6.140625" style="8" customWidth="1"/>
    <col min="9" max="10" width="7.140625" customWidth="1"/>
    <col min="11" max="16" width="5.42578125" customWidth="1"/>
    <col min="17" max="17" width="6.140625" customWidth="1"/>
    <col min="18" max="18" width="6.140625" style="44" customWidth="1"/>
    <col min="19" max="19" width="6.7109375" style="68" customWidth="1"/>
    <col min="20" max="20" width="5.42578125" customWidth="1"/>
    <col min="21" max="22" width="4" customWidth="1"/>
  </cols>
  <sheetData>
    <row r="1" spans="1:20">
      <c r="C1" s="39">
        <v>8</v>
      </c>
      <c r="F1" s="39">
        <v>14</v>
      </c>
      <c r="I1">
        <v>24</v>
      </c>
    </row>
    <row r="2" spans="1:20">
      <c r="D2" s="41">
        <v>0.75</v>
      </c>
      <c r="G2" s="41">
        <v>0.75</v>
      </c>
      <c r="I2" s="47">
        <v>0.1</v>
      </c>
      <c r="J2" s="47">
        <v>0.45</v>
      </c>
      <c r="K2" s="29">
        <v>3</v>
      </c>
      <c r="L2" s="29">
        <v>6</v>
      </c>
      <c r="M2" s="29">
        <v>3</v>
      </c>
      <c r="N2" s="29">
        <v>3</v>
      </c>
      <c r="O2">
        <v>2</v>
      </c>
      <c r="P2">
        <v>3</v>
      </c>
      <c r="Q2" s="47">
        <v>0.45</v>
      </c>
    </row>
    <row r="3" spans="1:20">
      <c r="C3" s="39" t="s">
        <v>133</v>
      </c>
      <c r="D3" s="39" t="s">
        <v>141</v>
      </c>
      <c r="E3" s="33" t="s">
        <v>11</v>
      </c>
      <c r="F3" s="39" t="s">
        <v>133</v>
      </c>
      <c r="G3" s="39" t="s">
        <v>141</v>
      </c>
      <c r="H3" s="33" t="s">
        <v>11</v>
      </c>
      <c r="I3" s="39" t="s">
        <v>231</v>
      </c>
      <c r="J3" s="39" t="s">
        <v>232</v>
      </c>
      <c r="K3" s="39" t="s">
        <v>235</v>
      </c>
      <c r="L3" s="39" t="s">
        <v>376</v>
      </c>
      <c r="M3" s="39" t="s">
        <v>379</v>
      </c>
      <c r="N3" s="39" t="s">
        <v>380</v>
      </c>
      <c r="O3" s="39" t="s">
        <v>378</v>
      </c>
      <c r="P3" s="39" t="s">
        <v>377</v>
      </c>
      <c r="Q3" s="39" t="s">
        <v>233</v>
      </c>
      <c r="R3" s="45" t="s">
        <v>234</v>
      </c>
      <c r="S3" s="68" t="s">
        <v>389</v>
      </c>
      <c r="T3" s="39" t="s">
        <v>348</v>
      </c>
    </row>
    <row r="4" spans="1:20">
      <c r="A4" s="3">
        <v>1</v>
      </c>
      <c r="B4" s="3" t="s">
        <v>89</v>
      </c>
      <c r="C4" s="6">
        <v>8</v>
      </c>
      <c r="D4" s="6">
        <v>11</v>
      </c>
      <c r="E4" s="34">
        <f>+D4*0.75+C4/8*20*0.25+1</f>
        <v>14.25</v>
      </c>
      <c r="F4" s="6">
        <v>14</v>
      </c>
      <c r="G4" s="6">
        <f>12+2.5</f>
        <v>14.5</v>
      </c>
      <c r="H4" s="49">
        <f>+G4*0.75+F4/14*20*0.25+2</f>
        <v>17.875</v>
      </c>
      <c r="I4" s="3">
        <v>24</v>
      </c>
      <c r="J4" s="3">
        <f t="shared" ref="J4" si="0">SUM(K4:P4)</f>
        <v>16</v>
      </c>
      <c r="K4">
        <v>2</v>
      </c>
      <c r="L4">
        <v>4.5</v>
      </c>
      <c r="M4">
        <v>3</v>
      </c>
      <c r="N4">
        <v>3</v>
      </c>
      <c r="O4">
        <v>1.5</v>
      </c>
      <c r="P4">
        <v>2</v>
      </c>
      <c r="Q4" s="3">
        <v>6.5</v>
      </c>
      <c r="R4" s="59">
        <f t="shared" ref="R4:R10" si="1">+Q4/15*20*0.45+J4*0.45+I4/24*20*0.1</f>
        <v>13.100000000000001</v>
      </c>
      <c r="S4" s="69">
        <f>+(R4+H4+E4)/3</f>
        <v>15.075000000000001</v>
      </c>
    </row>
    <row r="5" spans="1:20">
      <c r="A5" s="3">
        <v>2</v>
      </c>
      <c r="B5" s="3" t="s">
        <v>384</v>
      </c>
      <c r="C5" s="6">
        <v>8</v>
      </c>
      <c r="D5" s="6">
        <v>11</v>
      </c>
      <c r="E5" s="35">
        <f t="shared" ref="E5:E25" si="2">+D5*0.75+C5/8*20*0.25</f>
        <v>13.25</v>
      </c>
      <c r="F5" s="6">
        <v>14</v>
      </c>
      <c r="G5" s="6">
        <f>11+5.5</f>
        <v>16.5</v>
      </c>
      <c r="H5" s="35">
        <f t="shared" ref="H5:H25" si="3">+G5*0.75+F5/14*20*0.25</f>
        <v>17.375</v>
      </c>
      <c r="I5" s="3">
        <v>22</v>
      </c>
      <c r="J5" s="3">
        <f>SUM(K5:P5)</f>
        <v>15</v>
      </c>
      <c r="K5">
        <v>2</v>
      </c>
      <c r="L5">
        <v>4.5</v>
      </c>
      <c r="M5">
        <v>3</v>
      </c>
      <c r="N5">
        <v>2</v>
      </c>
      <c r="O5">
        <v>2</v>
      </c>
      <c r="P5">
        <v>1.5</v>
      </c>
      <c r="Q5" s="3">
        <v>10</v>
      </c>
      <c r="R5" s="59">
        <f t="shared" si="1"/>
        <v>14.583333333333334</v>
      </c>
      <c r="S5" s="69">
        <f t="shared" ref="S5:S24" si="4">+(R5+H5+E5)/3</f>
        <v>15.069444444444445</v>
      </c>
    </row>
    <row r="6" spans="1:20">
      <c r="A6" s="3">
        <v>3</v>
      </c>
      <c r="B6" s="3" t="s">
        <v>385</v>
      </c>
      <c r="C6" s="6">
        <v>8</v>
      </c>
      <c r="D6" s="6">
        <v>4</v>
      </c>
      <c r="E6" s="35">
        <f t="shared" si="2"/>
        <v>8</v>
      </c>
      <c r="F6" s="6">
        <v>12</v>
      </c>
      <c r="G6" s="6">
        <f>6+5.5</f>
        <v>11.5</v>
      </c>
      <c r="H6" s="34">
        <f>+G6*0.75+F6/14*20*0.25+1</f>
        <v>13.910714285714285</v>
      </c>
      <c r="I6" s="3">
        <v>22</v>
      </c>
      <c r="J6" s="3">
        <f t="shared" ref="J6:J24" si="5">SUM(K6:P6)</f>
        <v>10.5</v>
      </c>
      <c r="K6">
        <v>2</v>
      </c>
      <c r="L6">
        <v>2</v>
      </c>
      <c r="M6">
        <v>3</v>
      </c>
      <c r="N6">
        <v>1</v>
      </c>
      <c r="O6">
        <v>2</v>
      </c>
      <c r="P6">
        <v>0.5</v>
      </c>
      <c r="Q6" s="3">
        <v>7.5</v>
      </c>
      <c r="R6" s="59">
        <f t="shared" si="1"/>
        <v>11.058333333333335</v>
      </c>
      <c r="S6" s="69">
        <f t="shared" si="4"/>
        <v>10.989682539682541</v>
      </c>
    </row>
    <row r="7" spans="1:20">
      <c r="A7" s="3">
        <v>4</v>
      </c>
      <c r="B7" s="3" t="s">
        <v>386</v>
      </c>
      <c r="C7" s="6">
        <v>8</v>
      </c>
      <c r="D7" s="6">
        <v>4</v>
      </c>
      <c r="E7" s="35">
        <f t="shared" si="2"/>
        <v>8</v>
      </c>
      <c r="F7" s="6">
        <v>12</v>
      </c>
      <c r="G7" s="6">
        <f>15+2</f>
        <v>17</v>
      </c>
      <c r="H7" s="34">
        <f>+G7*0.75+F7/14*20*0.25+1</f>
        <v>18.035714285714285</v>
      </c>
      <c r="I7" s="3">
        <v>20</v>
      </c>
      <c r="J7" s="3">
        <f t="shared" si="5"/>
        <v>18</v>
      </c>
      <c r="K7">
        <v>2.5</v>
      </c>
      <c r="L7">
        <v>5</v>
      </c>
      <c r="M7">
        <v>3</v>
      </c>
      <c r="N7">
        <v>3</v>
      </c>
      <c r="O7">
        <v>2</v>
      </c>
      <c r="P7">
        <v>2.5</v>
      </c>
      <c r="Q7" s="3">
        <v>6</v>
      </c>
      <c r="R7" s="59">
        <f t="shared" si="1"/>
        <v>13.366666666666667</v>
      </c>
      <c r="S7" s="69">
        <f t="shared" si="4"/>
        <v>13.134126984126985</v>
      </c>
    </row>
    <row r="8" spans="1:20">
      <c r="A8" s="3">
        <v>5</v>
      </c>
      <c r="B8" s="3" t="s">
        <v>277</v>
      </c>
      <c r="C8" s="6">
        <v>2</v>
      </c>
      <c r="D8" s="6">
        <v>3</v>
      </c>
      <c r="E8" s="35">
        <f t="shared" si="2"/>
        <v>3.5</v>
      </c>
      <c r="F8" s="6">
        <v>4</v>
      </c>
      <c r="G8" s="6"/>
      <c r="H8" s="35">
        <f t="shared" si="3"/>
        <v>1.4285714285714284</v>
      </c>
      <c r="I8" s="3">
        <v>6</v>
      </c>
      <c r="J8" s="3">
        <f t="shared" si="5"/>
        <v>12</v>
      </c>
      <c r="K8">
        <v>2</v>
      </c>
      <c r="L8">
        <v>4</v>
      </c>
      <c r="M8">
        <v>2</v>
      </c>
      <c r="N8">
        <v>1.5</v>
      </c>
      <c r="O8">
        <v>1</v>
      </c>
      <c r="P8">
        <v>1.5</v>
      </c>
      <c r="Q8" s="3"/>
      <c r="R8" s="59">
        <f t="shared" si="1"/>
        <v>5.9</v>
      </c>
      <c r="S8" s="69">
        <f t="shared" si="4"/>
        <v>3.6095238095238096</v>
      </c>
    </row>
    <row r="9" spans="1:20">
      <c r="A9" s="3">
        <v>6</v>
      </c>
      <c r="B9" s="3" t="s">
        <v>278</v>
      </c>
      <c r="C9" s="6">
        <v>6</v>
      </c>
      <c r="D9" s="6">
        <v>6</v>
      </c>
      <c r="E9" s="35">
        <f t="shared" si="2"/>
        <v>8.25</v>
      </c>
      <c r="F9" s="6">
        <v>12</v>
      </c>
      <c r="G9" s="6">
        <f>7+4.5</f>
        <v>11.5</v>
      </c>
      <c r="H9" s="35">
        <f t="shared" si="3"/>
        <v>12.910714285714285</v>
      </c>
      <c r="I9" s="3">
        <v>22</v>
      </c>
      <c r="J9" s="3">
        <f t="shared" si="5"/>
        <v>15</v>
      </c>
      <c r="K9">
        <v>2</v>
      </c>
      <c r="L9">
        <v>4.5</v>
      </c>
      <c r="M9">
        <v>3</v>
      </c>
      <c r="N9">
        <v>2</v>
      </c>
      <c r="O9">
        <v>2</v>
      </c>
      <c r="P9">
        <v>1.5</v>
      </c>
      <c r="Q9" s="3">
        <v>7.5</v>
      </c>
      <c r="R9" s="59">
        <f t="shared" si="1"/>
        <v>13.083333333333334</v>
      </c>
      <c r="S9" s="69">
        <f t="shared" si="4"/>
        <v>11.41468253968254</v>
      </c>
    </row>
    <row r="10" spans="1:20">
      <c r="A10" s="3">
        <v>7</v>
      </c>
      <c r="B10" s="3" t="s">
        <v>128</v>
      </c>
      <c r="C10" s="6">
        <v>8</v>
      </c>
      <c r="D10" s="6">
        <v>16</v>
      </c>
      <c r="E10" s="35">
        <f t="shared" si="2"/>
        <v>17</v>
      </c>
      <c r="F10" s="6">
        <v>12</v>
      </c>
      <c r="G10" s="6">
        <f>5+2.5</f>
        <v>7.5</v>
      </c>
      <c r="H10" s="35">
        <f t="shared" si="3"/>
        <v>9.9107142857142847</v>
      </c>
      <c r="I10" s="3">
        <v>22</v>
      </c>
      <c r="J10" s="3">
        <f t="shared" si="5"/>
        <v>18</v>
      </c>
      <c r="K10">
        <v>3</v>
      </c>
      <c r="L10">
        <v>5</v>
      </c>
      <c r="M10">
        <v>3</v>
      </c>
      <c r="N10">
        <v>3</v>
      </c>
      <c r="O10">
        <v>1</v>
      </c>
      <c r="P10">
        <v>3</v>
      </c>
      <c r="Q10" s="3">
        <v>7.5</v>
      </c>
      <c r="R10" s="59">
        <f t="shared" si="1"/>
        <v>14.433333333333334</v>
      </c>
      <c r="S10" s="69">
        <f t="shared" si="4"/>
        <v>13.781349206349205</v>
      </c>
    </row>
    <row r="11" spans="1:20">
      <c r="A11" s="3">
        <v>8</v>
      </c>
      <c r="B11" s="3" t="s">
        <v>50</v>
      </c>
      <c r="C11" s="6">
        <v>8</v>
      </c>
      <c r="D11" s="6">
        <v>5</v>
      </c>
      <c r="E11" s="35">
        <f t="shared" si="2"/>
        <v>8.75</v>
      </c>
      <c r="F11" s="6">
        <v>14</v>
      </c>
      <c r="G11" s="6">
        <f>9+3</f>
        <v>12</v>
      </c>
      <c r="H11" s="49">
        <f>+G11*0.75+F11/14*20*0.25+2</f>
        <v>16</v>
      </c>
      <c r="I11" s="3">
        <v>24</v>
      </c>
      <c r="J11" s="3">
        <f t="shared" si="5"/>
        <v>13</v>
      </c>
      <c r="K11">
        <v>2</v>
      </c>
      <c r="L11">
        <v>3</v>
      </c>
      <c r="M11">
        <v>3</v>
      </c>
      <c r="N11">
        <v>3</v>
      </c>
      <c r="O11">
        <v>2</v>
      </c>
      <c r="P11">
        <v>0</v>
      </c>
      <c r="Q11" s="3">
        <v>8.5</v>
      </c>
      <c r="R11" s="26">
        <f>+Q11/15*20*0.45+J11*0.45+I11/24*20*0.1+1</f>
        <v>13.95</v>
      </c>
      <c r="S11" s="69">
        <f t="shared" si="4"/>
        <v>12.9</v>
      </c>
    </row>
    <row r="12" spans="1:20">
      <c r="A12" s="3">
        <v>9</v>
      </c>
      <c r="B12" s="3" t="s">
        <v>51</v>
      </c>
      <c r="C12" s="6">
        <v>6</v>
      </c>
      <c r="D12" s="6">
        <v>7</v>
      </c>
      <c r="E12" s="35">
        <f t="shared" si="2"/>
        <v>9</v>
      </c>
      <c r="F12" s="6">
        <v>8</v>
      </c>
      <c r="G12" s="6">
        <f>3+2</f>
        <v>5</v>
      </c>
      <c r="H12" s="35">
        <f t="shared" si="3"/>
        <v>6.6071428571428568</v>
      </c>
      <c r="I12" s="3">
        <v>18</v>
      </c>
      <c r="J12" s="3">
        <f t="shared" si="5"/>
        <v>11.5</v>
      </c>
      <c r="K12">
        <v>2</v>
      </c>
      <c r="L12">
        <v>2.5</v>
      </c>
      <c r="M12">
        <v>2</v>
      </c>
      <c r="N12">
        <v>1</v>
      </c>
      <c r="O12">
        <v>2</v>
      </c>
      <c r="P12">
        <v>2</v>
      </c>
      <c r="Q12" s="3">
        <v>3.5</v>
      </c>
      <c r="R12" s="59">
        <f>+Q12/15*20*0.45+J12*0.45+I12/24*20*0.1</f>
        <v>8.7750000000000004</v>
      </c>
      <c r="S12" s="69">
        <f t="shared" si="4"/>
        <v>8.1273809523809515</v>
      </c>
      <c r="T12" s="53">
        <v>6.5</v>
      </c>
    </row>
    <row r="13" spans="1:20">
      <c r="A13" s="3">
        <v>10</v>
      </c>
      <c r="B13" s="3" t="s">
        <v>52</v>
      </c>
      <c r="C13" s="6">
        <v>4</v>
      </c>
      <c r="D13" s="6">
        <v>9</v>
      </c>
      <c r="E13" s="35">
        <f t="shared" si="2"/>
        <v>9.25</v>
      </c>
      <c r="F13" s="6">
        <v>6</v>
      </c>
      <c r="G13" s="6">
        <f>1+1.5</f>
        <v>2.5</v>
      </c>
      <c r="H13" s="35">
        <f t="shared" si="3"/>
        <v>4.0178571428571423</v>
      </c>
      <c r="I13" s="3">
        <v>14</v>
      </c>
      <c r="J13" s="3">
        <f t="shared" si="5"/>
        <v>18</v>
      </c>
      <c r="K13">
        <v>3</v>
      </c>
      <c r="L13">
        <v>5</v>
      </c>
      <c r="M13">
        <v>3</v>
      </c>
      <c r="N13">
        <v>3</v>
      </c>
      <c r="O13">
        <v>1</v>
      </c>
      <c r="P13">
        <v>3</v>
      </c>
      <c r="Q13" s="3">
        <v>4</v>
      </c>
      <c r="R13" s="59">
        <f>+Q13/15*20*0.45+J13*0.45+I13/24*20*0.1</f>
        <v>11.666666666666666</v>
      </c>
      <c r="S13" s="69">
        <f t="shared" si="4"/>
        <v>8.3115079365079367</v>
      </c>
      <c r="T13" s="53">
        <v>11</v>
      </c>
    </row>
    <row r="14" spans="1:20">
      <c r="A14" s="3">
        <v>11</v>
      </c>
      <c r="B14" s="3" t="s">
        <v>191</v>
      </c>
      <c r="C14" s="6">
        <v>6</v>
      </c>
      <c r="D14" s="6">
        <v>6</v>
      </c>
      <c r="E14" s="34">
        <f>+D14*0.75+C14/8*20*0.25+1</f>
        <v>9.25</v>
      </c>
      <c r="F14" s="6">
        <v>12</v>
      </c>
      <c r="G14" s="6">
        <f>4+3</f>
        <v>7</v>
      </c>
      <c r="H14" s="49">
        <f>+G14*0.75+F14/14*20*0.25+2</f>
        <v>11.535714285714285</v>
      </c>
      <c r="I14" s="3">
        <v>20</v>
      </c>
      <c r="J14" s="3">
        <f t="shared" si="5"/>
        <v>14</v>
      </c>
      <c r="K14">
        <v>2</v>
      </c>
      <c r="L14">
        <v>4.5</v>
      </c>
      <c r="M14">
        <v>2</v>
      </c>
      <c r="N14">
        <v>2</v>
      </c>
      <c r="O14">
        <v>1.5</v>
      </c>
      <c r="P14">
        <v>2</v>
      </c>
      <c r="Q14" s="3">
        <v>7</v>
      </c>
      <c r="R14" s="26">
        <f>+Q14/15*20*0.45+J14*0.45+I14/24*20*0.1+1</f>
        <v>13.166666666666668</v>
      </c>
      <c r="S14" s="69">
        <f t="shared" si="4"/>
        <v>11.317460317460316</v>
      </c>
    </row>
    <row r="15" spans="1:20">
      <c r="A15" s="3">
        <v>12</v>
      </c>
      <c r="B15" s="3" t="s">
        <v>172</v>
      </c>
      <c r="C15" s="6">
        <v>8</v>
      </c>
      <c r="D15" s="6">
        <v>6</v>
      </c>
      <c r="E15" s="35">
        <f t="shared" si="2"/>
        <v>9.5</v>
      </c>
      <c r="F15" s="6">
        <v>12</v>
      </c>
      <c r="G15" s="6">
        <f>8+3</f>
        <v>11</v>
      </c>
      <c r="H15" s="35">
        <f t="shared" si="3"/>
        <v>12.535714285714285</v>
      </c>
      <c r="I15" s="3">
        <v>20</v>
      </c>
      <c r="J15" s="3">
        <f t="shared" si="5"/>
        <v>11.5</v>
      </c>
      <c r="K15">
        <v>2</v>
      </c>
      <c r="L15">
        <v>3</v>
      </c>
      <c r="M15">
        <v>2</v>
      </c>
      <c r="N15">
        <v>1.5</v>
      </c>
      <c r="O15">
        <v>1</v>
      </c>
      <c r="P15">
        <v>2</v>
      </c>
      <c r="Q15" s="3">
        <v>10</v>
      </c>
      <c r="R15" s="59">
        <f>+Q15/15*20*0.45+J15*0.45+I15/24*20*0.1</f>
        <v>12.841666666666669</v>
      </c>
      <c r="S15" s="69">
        <f t="shared" si="4"/>
        <v>11.625793650793652</v>
      </c>
    </row>
    <row r="16" spans="1:20">
      <c r="A16" s="3">
        <v>13</v>
      </c>
      <c r="B16" s="3" t="s">
        <v>38</v>
      </c>
      <c r="C16" s="6">
        <v>6</v>
      </c>
      <c r="D16" s="6">
        <v>7</v>
      </c>
      <c r="E16" s="35">
        <f t="shared" si="2"/>
        <v>9</v>
      </c>
      <c r="F16" s="6">
        <v>12</v>
      </c>
      <c r="G16" s="6">
        <f>8+5.5</f>
        <v>13.5</v>
      </c>
      <c r="H16" s="35">
        <f t="shared" si="3"/>
        <v>14.410714285714285</v>
      </c>
      <c r="I16" s="3">
        <v>22</v>
      </c>
      <c r="J16" s="3">
        <f t="shared" si="5"/>
        <v>14</v>
      </c>
      <c r="K16">
        <v>2.5</v>
      </c>
      <c r="L16">
        <v>4</v>
      </c>
      <c r="M16">
        <v>2</v>
      </c>
      <c r="N16">
        <v>2</v>
      </c>
      <c r="O16">
        <v>1.5</v>
      </c>
      <c r="P16">
        <v>2</v>
      </c>
      <c r="Q16" s="3">
        <v>6.5</v>
      </c>
      <c r="R16" s="67">
        <f>+Q16/15*20*0.45+J16*0.45+I16/24*20*0.1+2</f>
        <v>14.033333333333335</v>
      </c>
      <c r="S16" s="69">
        <f t="shared" si="4"/>
        <v>12.481349206349208</v>
      </c>
    </row>
    <row r="17" spans="1:19">
      <c r="A17" s="3">
        <v>14</v>
      </c>
      <c r="B17" s="3" t="s">
        <v>39</v>
      </c>
      <c r="C17" s="6">
        <v>6</v>
      </c>
      <c r="D17" s="6">
        <v>4</v>
      </c>
      <c r="E17" s="35">
        <f t="shared" si="2"/>
        <v>6.75</v>
      </c>
      <c r="F17" s="6">
        <v>12</v>
      </c>
      <c r="G17" s="6">
        <f>7+5</f>
        <v>12</v>
      </c>
      <c r="H17" s="49">
        <f>+G17*0.75+F17/14*20*0.25+2</f>
        <v>15.285714285714285</v>
      </c>
      <c r="I17" s="3">
        <v>22</v>
      </c>
      <c r="J17" s="3">
        <f t="shared" si="5"/>
        <v>14</v>
      </c>
      <c r="K17">
        <v>2</v>
      </c>
      <c r="L17">
        <v>3</v>
      </c>
      <c r="M17">
        <v>3</v>
      </c>
      <c r="N17">
        <v>3</v>
      </c>
      <c r="O17">
        <v>2</v>
      </c>
      <c r="P17">
        <v>1</v>
      </c>
      <c r="Q17" s="3">
        <v>5</v>
      </c>
      <c r="R17" s="59">
        <f>+Q17/15*20*0.45+J17*0.45+I17/24*20*0.1</f>
        <v>11.133333333333335</v>
      </c>
      <c r="S17" s="69">
        <f t="shared" si="4"/>
        <v>11.056349206349205</v>
      </c>
    </row>
    <row r="18" spans="1:19">
      <c r="A18" s="3">
        <v>15</v>
      </c>
      <c r="B18" s="3" t="s">
        <v>295</v>
      </c>
      <c r="C18" s="6">
        <v>8</v>
      </c>
      <c r="D18" s="6">
        <v>13</v>
      </c>
      <c r="E18" s="35">
        <f t="shared" si="2"/>
        <v>14.75</v>
      </c>
      <c r="F18" s="6">
        <v>12</v>
      </c>
      <c r="G18" s="6">
        <f>14+1</f>
        <v>15</v>
      </c>
      <c r="H18" s="35">
        <f t="shared" si="3"/>
        <v>15.535714285714285</v>
      </c>
      <c r="I18" s="3">
        <v>20</v>
      </c>
      <c r="J18" s="3">
        <f t="shared" si="5"/>
        <v>18</v>
      </c>
      <c r="K18">
        <v>2.5</v>
      </c>
      <c r="L18">
        <v>5</v>
      </c>
      <c r="M18">
        <v>3</v>
      </c>
      <c r="N18">
        <v>3</v>
      </c>
      <c r="O18">
        <v>2</v>
      </c>
      <c r="P18">
        <v>2.5</v>
      </c>
      <c r="Q18" s="3">
        <v>5.5</v>
      </c>
      <c r="R18" s="26">
        <f>+Q18/15*20*0.45+J18*0.45+I18/24*20*0.1+1</f>
        <v>14.066666666666666</v>
      </c>
      <c r="S18" s="69">
        <f t="shared" si="4"/>
        <v>14.784126984126985</v>
      </c>
    </row>
    <row r="19" spans="1:19">
      <c r="A19" s="3">
        <v>16</v>
      </c>
      <c r="B19" s="6" t="s">
        <v>27</v>
      </c>
      <c r="C19" s="6">
        <v>8</v>
      </c>
      <c r="D19" s="6">
        <v>11</v>
      </c>
      <c r="E19" s="35">
        <f t="shared" si="2"/>
        <v>13.25</v>
      </c>
      <c r="F19" s="6">
        <v>10</v>
      </c>
      <c r="G19" s="6">
        <f>7+1</f>
        <v>8</v>
      </c>
      <c r="H19" s="35">
        <f t="shared" si="3"/>
        <v>9.5714285714285712</v>
      </c>
      <c r="I19" s="3">
        <v>18</v>
      </c>
      <c r="J19" s="3">
        <f t="shared" si="5"/>
        <v>15</v>
      </c>
      <c r="K19">
        <v>3</v>
      </c>
      <c r="L19">
        <v>4</v>
      </c>
      <c r="M19">
        <v>2</v>
      </c>
      <c r="N19">
        <v>3</v>
      </c>
      <c r="O19">
        <v>1</v>
      </c>
      <c r="P19">
        <v>2</v>
      </c>
      <c r="Q19" s="3">
        <v>8</v>
      </c>
      <c r="R19" s="59">
        <f t="shared" ref="R19:R23" si="6">+Q19/15*20*0.45+J19*0.45+I19/24*20*0.1</f>
        <v>13.05</v>
      </c>
      <c r="S19" s="69">
        <f t="shared" si="4"/>
        <v>11.957142857142857</v>
      </c>
    </row>
    <row r="20" spans="1:19">
      <c r="A20" s="3">
        <v>17</v>
      </c>
      <c r="B20" s="3" t="s">
        <v>296</v>
      </c>
      <c r="C20" s="6">
        <v>4</v>
      </c>
      <c r="D20" s="6">
        <v>3</v>
      </c>
      <c r="E20" s="35">
        <f t="shared" si="2"/>
        <v>4.75</v>
      </c>
      <c r="F20" s="6">
        <v>10</v>
      </c>
      <c r="G20" s="6">
        <v>5</v>
      </c>
      <c r="H20" s="35">
        <f t="shared" si="3"/>
        <v>7.3214285714285712</v>
      </c>
      <c r="I20" s="3">
        <v>20</v>
      </c>
      <c r="J20" s="3">
        <f t="shared" si="5"/>
        <v>13</v>
      </c>
      <c r="K20">
        <v>2</v>
      </c>
      <c r="L20">
        <v>4.5</v>
      </c>
      <c r="M20">
        <v>2</v>
      </c>
      <c r="N20">
        <v>2</v>
      </c>
      <c r="O20">
        <v>1.5</v>
      </c>
      <c r="P20">
        <v>1</v>
      </c>
      <c r="Q20" s="3">
        <v>3.5</v>
      </c>
      <c r="R20" s="59">
        <f>+Q20/15*20*0.45+J20*0.45+I20/24*20*0.1</f>
        <v>9.6166666666666671</v>
      </c>
      <c r="S20" s="69">
        <f t="shared" si="4"/>
        <v>7.2293650793650786</v>
      </c>
    </row>
    <row r="21" spans="1:19">
      <c r="A21" s="3">
        <v>18</v>
      </c>
      <c r="B21" s="3" t="s">
        <v>121</v>
      </c>
      <c r="C21" s="6">
        <v>8</v>
      </c>
      <c r="D21" s="6">
        <v>9</v>
      </c>
      <c r="E21" s="35">
        <f t="shared" si="2"/>
        <v>11.75</v>
      </c>
      <c r="F21" s="6">
        <v>14</v>
      </c>
      <c r="G21" s="6">
        <f>8+4</f>
        <v>12</v>
      </c>
      <c r="H21" s="35">
        <f t="shared" si="3"/>
        <v>14</v>
      </c>
      <c r="I21" s="3">
        <v>12</v>
      </c>
      <c r="J21" s="3">
        <f t="shared" si="5"/>
        <v>12</v>
      </c>
      <c r="K21">
        <v>2</v>
      </c>
      <c r="L21">
        <v>4</v>
      </c>
      <c r="M21">
        <v>2</v>
      </c>
      <c r="N21">
        <v>1.5</v>
      </c>
      <c r="O21">
        <v>1</v>
      </c>
      <c r="P21">
        <v>1.5</v>
      </c>
      <c r="Q21" s="3">
        <v>10</v>
      </c>
      <c r="R21" s="59">
        <f t="shared" si="6"/>
        <v>12.4</v>
      </c>
      <c r="S21" s="69">
        <f t="shared" si="4"/>
        <v>12.716666666666667</v>
      </c>
    </row>
    <row r="22" spans="1:19">
      <c r="A22" s="3">
        <v>19</v>
      </c>
      <c r="B22" s="6" t="s">
        <v>28</v>
      </c>
      <c r="C22" s="6">
        <v>4</v>
      </c>
      <c r="D22" s="6">
        <v>13</v>
      </c>
      <c r="E22" s="35">
        <f t="shared" si="2"/>
        <v>12.25</v>
      </c>
      <c r="F22" s="6">
        <v>8</v>
      </c>
      <c r="G22" s="6">
        <f>9+5</f>
        <v>14</v>
      </c>
      <c r="H22" s="35">
        <f t="shared" si="3"/>
        <v>13.357142857142858</v>
      </c>
      <c r="I22" s="3">
        <v>12</v>
      </c>
      <c r="J22" s="3">
        <f t="shared" si="5"/>
        <v>16</v>
      </c>
      <c r="K22">
        <v>3</v>
      </c>
      <c r="L22">
        <v>4</v>
      </c>
      <c r="M22">
        <v>2</v>
      </c>
      <c r="N22">
        <v>3</v>
      </c>
      <c r="O22">
        <v>1</v>
      </c>
      <c r="P22">
        <v>3</v>
      </c>
      <c r="Q22" s="3">
        <v>3.5</v>
      </c>
      <c r="R22" s="59">
        <f t="shared" si="6"/>
        <v>10.3</v>
      </c>
      <c r="S22" s="69">
        <f t="shared" si="4"/>
        <v>11.96904761904762</v>
      </c>
    </row>
    <row r="23" spans="1:19">
      <c r="A23" s="3">
        <v>20</v>
      </c>
      <c r="B23" s="3" t="s">
        <v>211</v>
      </c>
      <c r="C23" s="6">
        <v>2</v>
      </c>
      <c r="D23" s="6">
        <v>6</v>
      </c>
      <c r="E23" s="35">
        <f t="shared" si="2"/>
        <v>5.75</v>
      </c>
      <c r="F23" s="6">
        <v>2</v>
      </c>
      <c r="G23" s="6">
        <v>2</v>
      </c>
      <c r="H23" s="35">
        <f t="shared" si="3"/>
        <v>2.2142857142857144</v>
      </c>
      <c r="I23" s="3">
        <v>4</v>
      </c>
      <c r="J23" s="3">
        <f t="shared" si="5"/>
        <v>11</v>
      </c>
      <c r="K23">
        <v>2</v>
      </c>
      <c r="L23">
        <v>3</v>
      </c>
      <c r="M23">
        <v>2</v>
      </c>
      <c r="N23">
        <v>1.5</v>
      </c>
      <c r="O23">
        <v>1</v>
      </c>
      <c r="P23">
        <v>1.5</v>
      </c>
      <c r="Q23" s="3"/>
      <c r="R23" s="59">
        <f t="shared" si="6"/>
        <v>5.2833333333333332</v>
      </c>
      <c r="S23" s="69">
        <f t="shared" si="4"/>
        <v>4.4158730158730153</v>
      </c>
    </row>
    <row r="24" spans="1:19">
      <c r="A24" s="3">
        <v>21</v>
      </c>
      <c r="B24" s="3" t="s">
        <v>212</v>
      </c>
      <c r="C24" s="6">
        <v>8</v>
      </c>
      <c r="D24" s="6">
        <v>13</v>
      </c>
      <c r="E24" s="35">
        <f t="shared" si="2"/>
        <v>14.75</v>
      </c>
      <c r="F24" s="6">
        <v>14</v>
      </c>
      <c r="G24" s="6">
        <f>6+5.5</f>
        <v>11.5</v>
      </c>
      <c r="H24" s="35">
        <f t="shared" si="3"/>
        <v>13.625</v>
      </c>
      <c r="I24" s="3">
        <v>22</v>
      </c>
      <c r="J24" s="3">
        <f t="shared" si="5"/>
        <v>13</v>
      </c>
      <c r="K24">
        <v>2.5</v>
      </c>
      <c r="L24">
        <v>4</v>
      </c>
      <c r="M24">
        <v>2</v>
      </c>
      <c r="N24">
        <v>2</v>
      </c>
      <c r="O24">
        <v>1.5</v>
      </c>
      <c r="P24">
        <v>1</v>
      </c>
      <c r="Q24" s="3">
        <v>5.5</v>
      </c>
      <c r="R24" s="46">
        <f>+Q24/15*20*0.45+J24*0.45+I24/24*20*0.1</f>
        <v>10.983333333333334</v>
      </c>
      <c r="S24" s="69">
        <f t="shared" si="4"/>
        <v>13.119444444444445</v>
      </c>
    </row>
    <row r="25" spans="1:19" s="22" customFormat="1">
      <c r="C25" s="42">
        <v>8</v>
      </c>
      <c r="D25" s="42">
        <v>20</v>
      </c>
      <c r="E25" s="35">
        <f t="shared" si="2"/>
        <v>20</v>
      </c>
      <c r="F25" s="43">
        <v>14</v>
      </c>
      <c r="G25" s="43">
        <v>20</v>
      </c>
      <c r="H25" s="35">
        <f t="shared" si="3"/>
        <v>20</v>
      </c>
      <c r="I25" s="22">
        <v>24</v>
      </c>
      <c r="J25" s="22">
        <v>20</v>
      </c>
      <c r="Q25" s="22">
        <v>15</v>
      </c>
      <c r="R25" s="48">
        <f>+Q25/15*20*0.45+J25*0.45+I25/24*20*0.1</f>
        <v>20</v>
      </c>
      <c r="S25" s="70"/>
    </row>
  </sheetData>
  <sheetCalcPr fullCalcOnLoad="1"/>
  <sortState ref="B3:K23">
    <sortCondition ref="B3:B23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32"/>
  <sheetViews>
    <sheetView view="pageLayout" workbookViewId="0">
      <selection activeCell="A15" sqref="A15"/>
    </sheetView>
  </sheetViews>
  <sheetFormatPr baseColWidth="10" defaultRowHeight="13"/>
  <cols>
    <col min="1" max="1" width="20.42578125" customWidth="1"/>
    <col min="2" max="2" width="8" bestFit="1" customWidth="1"/>
    <col min="3" max="3" width="8.7109375" style="30" bestFit="1" customWidth="1"/>
  </cols>
  <sheetData>
    <row r="1" spans="1:3">
      <c r="A1" s="31" t="s">
        <v>401</v>
      </c>
    </row>
    <row r="2" spans="1:3">
      <c r="A2" t="s">
        <v>0</v>
      </c>
    </row>
    <row r="3" spans="1:3">
      <c r="A3" t="s">
        <v>245</v>
      </c>
    </row>
    <row r="4" spans="1:3">
      <c r="A4" t="s">
        <v>4</v>
      </c>
    </row>
    <row r="5" spans="1:3">
      <c r="A5" t="s">
        <v>293</v>
      </c>
    </row>
    <row r="6" spans="1:3">
      <c r="A6" t="s">
        <v>179</v>
      </c>
    </row>
    <row r="9" spans="1:3">
      <c r="B9" s="31" t="s">
        <v>343</v>
      </c>
      <c r="C9" s="32" t="s">
        <v>345</v>
      </c>
    </row>
    <row r="10" spans="1:3" ht="15">
      <c r="A10" s="27" t="s">
        <v>294</v>
      </c>
      <c r="B10" s="29" t="e">
        <f>+'MP2'!#REF!</f>
        <v>#REF!</v>
      </c>
      <c r="C10" s="30" t="e">
        <f>+B10/B$14*100</f>
        <v>#REF!</v>
      </c>
    </row>
    <row r="11" spans="1:3" ht="15">
      <c r="A11" s="27" t="s">
        <v>174</v>
      </c>
      <c r="B11" s="29" t="e">
        <f>+'MP2'!#REF!</f>
        <v>#REF!</v>
      </c>
      <c r="C11" s="30" t="e">
        <f t="shared" ref="C11:C13" si="0">+B11/B$14*100</f>
        <v>#REF!</v>
      </c>
    </row>
    <row r="12" spans="1:3" ht="15">
      <c r="A12" s="27" t="s">
        <v>341</v>
      </c>
      <c r="B12" s="29" t="e">
        <f>+'MP2'!#REF!</f>
        <v>#REF!</v>
      </c>
      <c r="C12" s="30" t="e">
        <f t="shared" si="0"/>
        <v>#REF!</v>
      </c>
    </row>
    <row r="13" spans="1:3" ht="15">
      <c r="A13" s="27" t="s">
        <v>342</v>
      </c>
      <c r="B13" s="29" t="e">
        <f>+'MP2'!#REF!</f>
        <v>#REF!</v>
      </c>
      <c r="C13" s="30" t="e">
        <f t="shared" si="0"/>
        <v>#REF!</v>
      </c>
    </row>
    <row r="14" spans="1:3" ht="15">
      <c r="A14" s="27" t="s">
        <v>344</v>
      </c>
      <c r="B14" s="29" t="e">
        <f>SUM(B10:B13)</f>
        <v>#REF!</v>
      </c>
      <c r="C14" s="30">
        <v>100</v>
      </c>
    </row>
    <row r="27" spans="1:1">
      <c r="A27" s="31" t="s">
        <v>401</v>
      </c>
    </row>
    <row r="28" spans="1:1">
      <c r="A28" t="s">
        <v>0</v>
      </c>
    </row>
    <row r="29" spans="1:1">
      <c r="A29" t="s">
        <v>245</v>
      </c>
    </row>
    <row r="30" spans="1:1">
      <c r="A30" t="s">
        <v>169</v>
      </c>
    </row>
    <row r="31" spans="1:1">
      <c r="A31" t="s">
        <v>58</v>
      </c>
    </row>
    <row r="32" spans="1:1">
      <c r="A32" t="s">
        <v>179</v>
      </c>
    </row>
    <row r="35" spans="1:3">
      <c r="B35" s="31" t="s">
        <v>343</v>
      </c>
      <c r="C35" s="32" t="s">
        <v>345</v>
      </c>
    </row>
    <row r="36" spans="1:3" ht="15">
      <c r="A36" s="27" t="s">
        <v>294</v>
      </c>
      <c r="B36" s="29" t="e">
        <f>+'MP3'!#REF!</f>
        <v>#REF!</v>
      </c>
      <c r="C36" s="30" t="e">
        <f>+B36/B$14*100</f>
        <v>#REF!</v>
      </c>
    </row>
    <row r="37" spans="1:3" ht="15">
      <c r="A37" s="27" t="s">
        <v>174</v>
      </c>
      <c r="B37" s="29" t="e">
        <f>+'MP3'!#REF!</f>
        <v>#REF!</v>
      </c>
      <c r="C37" s="30" t="e">
        <f t="shared" ref="C37:C39" si="1">+B37/B$14*100</f>
        <v>#REF!</v>
      </c>
    </row>
    <row r="38" spans="1:3" ht="15">
      <c r="A38" s="27" t="s">
        <v>341</v>
      </c>
      <c r="B38" s="29" t="e">
        <f>+'MP3'!#REF!</f>
        <v>#REF!</v>
      </c>
      <c r="C38" s="30" t="e">
        <f t="shared" si="1"/>
        <v>#REF!</v>
      </c>
    </row>
    <row r="39" spans="1:3" ht="15">
      <c r="A39" s="27" t="s">
        <v>342</v>
      </c>
      <c r="B39" s="29" t="e">
        <f>+'MP3'!#REF!</f>
        <v>#REF!</v>
      </c>
      <c r="C39" s="30" t="e">
        <f t="shared" si="1"/>
        <v>#REF!</v>
      </c>
    </row>
    <row r="40" spans="1:3" ht="15">
      <c r="A40" s="27" t="s">
        <v>344</v>
      </c>
      <c r="B40" s="29" t="e">
        <f>SUM(B36:B39)</f>
        <v>#REF!</v>
      </c>
      <c r="C40" s="30">
        <v>100</v>
      </c>
    </row>
    <row r="49" spans="1:3">
      <c r="A49" s="31" t="s">
        <v>401</v>
      </c>
    </row>
    <row r="50" spans="1:3">
      <c r="A50" t="s">
        <v>0</v>
      </c>
    </row>
    <row r="51" spans="1:3">
      <c r="A51" t="s">
        <v>381</v>
      </c>
    </row>
    <row r="52" spans="1:3">
      <c r="A52" t="s">
        <v>169</v>
      </c>
    </row>
    <row r="53" spans="1:3">
      <c r="A53" t="s">
        <v>59</v>
      </c>
    </row>
    <row r="54" spans="1:3">
      <c r="A54" t="s">
        <v>179</v>
      </c>
    </row>
    <row r="57" spans="1:3">
      <c r="B57" s="31" t="s">
        <v>343</v>
      </c>
      <c r="C57" s="32" t="s">
        <v>345</v>
      </c>
    </row>
    <row r="58" spans="1:3" ht="15">
      <c r="A58" s="27" t="s">
        <v>294</v>
      </c>
      <c r="B58" s="29" t="e">
        <f>+'IIS3'!#REF!</f>
        <v>#REF!</v>
      </c>
      <c r="C58" s="30" t="e">
        <f>+B58/B$14*100</f>
        <v>#REF!</v>
      </c>
    </row>
    <row r="59" spans="1:3" ht="15">
      <c r="A59" s="27" t="s">
        <v>174</v>
      </c>
      <c r="B59" s="29" t="e">
        <f>+'IIS3'!#REF!</f>
        <v>#REF!</v>
      </c>
      <c r="C59" s="30" t="e">
        <f t="shared" ref="C59:C61" si="2">+B59/B$14*100</f>
        <v>#REF!</v>
      </c>
    </row>
    <row r="60" spans="1:3" ht="15">
      <c r="A60" s="27" t="s">
        <v>341</v>
      </c>
      <c r="B60" s="29" t="e">
        <f>+'IIS3'!#REF!</f>
        <v>#REF!</v>
      </c>
      <c r="C60" s="30" t="e">
        <f t="shared" si="2"/>
        <v>#REF!</v>
      </c>
    </row>
    <row r="61" spans="1:3" ht="15">
      <c r="A61" s="27" t="s">
        <v>342</v>
      </c>
      <c r="B61" s="29" t="e">
        <f>+'IIS3'!#REF!</f>
        <v>#REF!</v>
      </c>
      <c r="C61" s="30" t="e">
        <f t="shared" si="2"/>
        <v>#REF!</v>
      </c>
    </row>
    <row r="62" spans="1:3" ht="15">
      <c r="A62" s="27" t="s">
        <v>344</v>
      </c>
      <c r="B62" s="29" t="e">
        <f>SUM(B58:B61)</f>
        <v>#REF!</v>
      </c>
      <c r="C62" s="30">
        <v>100</v>
      </c>
    </row>
    <row r="74" spans="1:1">
      <c r="A74" s="31" t="s">
        <v>401</v>
      </c>
    </row>
    <row r="75" spans="1:1">
      <c r="A75" t="s">
        <v>0</v>
      </c>
    </row>
    <row r="76" spans="1:1">
      <c r="A76" t="s">
        <v>381</v>
      </c>
    </row>
    <row r="77" spans="1:1">
      <c r="A77" t="s">
        <v>60</v>
      </c>
    </row>
    <row r="78" spans="1:1">
      <c r="A78" t="s">
        <v>61</v>
      </c>
    </row>
    <row r="79" spans="1:1">
      <c r="A79" t="s">
        <v>402</v>
      </c>
    </row>
    <row r="82" spans="1:3">
      <c r="B82" s="31" t="s">
        <v>343</v>
      </c>
      <c r="C82" s="32" t="s">
        <v>345</v>
      </c>
    </row>
    <row r="83" spans="1:3" ht="15">
      <c r="A83" s="27" t="s">
        <v>294</v>
      </c>
      <c r="B83" s="29" t="e">
        <f>+'IIS4'!#REF!</f>
        <v>#REF!</v>
      </c>
      <c r="C83" s="30" t="e">
        <f>+B83/B$14*100</f>
        <v>#REF!</v>
      </c>
    </row>
    <row r="84" spans="1:3" ht="15">
      <c r="A84" s="27" t="s">
        <v>174</v>
      </c>
      <c r="B84" s="29" t="e">
        <f>+'IIS4'!#REF!</f>
        <v>#REF!</v>
      </c>
      <c r="C84" s="30" t="e">
        <f t="shared" ref="C84:C86" si="3">+B84/B$14*100</f>
        <v>#REF!</v>
      </c>
    </row>
    <row r="85" spans="1:3" ht="15">
      <c r="A85" s="27" t="s">
        <v>341</v>
      </c>
      <c r="B85" s="29" t="e">
        <f>+'IIS4'!#REF!</f>
        <v>#REF!</v>
      </c>
      <c r="C85" s="30" t="e">
        <f t="shared" si="3"/>
        <v>#REF!</v>
      </c>
    </row>
    <row r="86" spans="1:3" ht="15">
      <c r="A86" s="27" t="s">
        <v>342</v>
      </c>
      <c r="B86" s="29" t="e">
        <f>+'IIS4'!#REF!</f>
        <v>#REF!</v>
      </c>
      <c r="C86" s="30" t="e">
        <f t="shared" si="3"/>
        <v>#REF!</v>
      </c>
    </row>
    <row r="87" spans="1:3" ht="15">
      <c r="A87" s="27" t="s">
        <v>344</v>
      </c>
      <c r="B87" s="29" t="e">
        <f>SUM(B83:B86)</f>
        <v>#REF!</v>
      </c>
      <c r="C87" s="30">
        <v>100</v>
      </c>
    </row>
    <row r="97" spans="1:3">
      <c r="A97" s="31" t="s">
        <v>401</v>
      </c>
    </row>
    <row r="98" spans="1:3">
      <c r="A98" t="s">
        <v>0</v>
      </c>
    </row>
    <row r="99" spans="1:3">
      <c r="A99" t="s">
        <v>62</v>
      </c>
    </row>
    <row r="100" spans="1:3">
      <c r="A100" t="s">
        <v>63</v>
      </c>
    </row>
    <row r="101" spans="1:3">
      <c r="A101" t="s">
        <v>184</v>
      </c>
    </row>
    <row r="102" spans="1:3">
      <c r="A102" t="s">
        <v>402</v>
      </c>
    </row>
    <row r="105" spans="1:3">
      <c r="B105" s="31" t="s">
        <v>343</v>
      </c>
      <c r="C105" s="32" t="s">
        <v>345</v>
      </c>
    </row>
    <row r="106" spans="1:3" ht="15">
      <c r="A106" s="27" t="s">
        <v>294</v>
      </c>
      <c r="B106" s="29" t="e">
        <f>+MF!#REF!</f>
        <v>#REF!</v>
      </c>
      <c r="C106" s="30" t="e">
        <f>+B106/B$14*100</f>
        <v>#REF!</v>
      </c>
    </row>
    <row r="107" spans="1:3" ht="15">
      <c r="A107" s="27" t="s">
        <v>174</v>
      </c>
      <c r="B107" s="29" t="e">
        <f>+MF!#REF!</f>
        <v>#REF!</v>
      </c>
      <c r="C107" s="30" t="e">
        <f t="shared" ref="C107:C109" si="4">+B107/B$14*100</f>
        <v>#REF!</v>
      </c>
    </row>
    <row r="108" spans="1:3" ht="15">
      <c r="A108" s="27" t="s">
        <v>341</v>
      </c>
      <c r="B108" s="29" t="e">
        <f>+MF!#REF!</f>
        <v>#REF!</v>
      </c>
      <c r="C108" s="30" t="e">
        <f t="shared" si="4"/>
        <v>#REF!</v>
      </c>
    </row>
    <row r="109" spans="1:3" ht="15">
      <c r="A109" s="27" t="s">
        <v>342</v>
      </c>
      <c r="B109" s="29" t="e">
        <f>+MF!#REF!</f>
        <v>#REF!</v>
      </c>
      <c r="C109" s="30" t="e">
        <f t="shared" si="4"/>
        <v>#REF!</v>
      </c>
    </row>
    <row r="110" spans="1:3" ht="15">
      <c r="A110" s="27" t="s">
        <v>344</v>
      </c>
      <c r="B110" s="29" t="e">
        <f>SUM(B106:B109)</f>
        <v>#REF!</v>
      </c>
      <c r="C110" s="30">
        <v>100</v>
      </c>
    </row>
    <row r="119" spans="1:3">
      <c r="A119" s="31" t="s">
        <v>401</v>
      </c>
    </row>
    <row r="120" spans="1:3">
      <c r="A120" t="s">
        <v>0</v>
      </c>
    </row>
    <row r="121" spans="1:3">
      <c r="A121" t="s">
        <v>62</v>
      </c>
    </row>
    <row r="122" spans="1:3">
      <c r="A122" t="s">
        <v>185</v>
      </c>
    </row>
    <row r="123" spans="1:3">
      <c r="A123" t="s">
        <v>400</v>
      </c>
    </row>
    <row r="124" spans="1:3">
      <c r="A124" t="s">
        <v>402</v>
      </c>
    </row>
    <row r="127" spans="1:3">
      <c r="B127" s="31" t="s">
        <v>343</v>
      </c>
      <c r="C127" s="32" t="s">
        <v>345</v>
      </c>
    </row>
    <row r="128" spans="1:3" ht="15">
      <c r="A128" s="27" t="s">
        <v>294</v>
      </c>
      <c r="B128" s="29" t="e">
        <f>+'MF1'!#REF!</f>
        <v>#REF!</v>
      </c>
      <c r="C128" s="30" t="e">
        <f>+B128/B$14*100</f>
        <v>#REF!</v>
      </c>
    </row>
    <row r="129" spans="1:3" ht="15">
      <c r="A129" s="27" t="s">
        <v>174</v>
      </c>
      <c r="B129" s="29" t="e">
        <f>+'MF1'!#REF!</f>
        <v>#REF!</v>
      </c>
      <c r="C129" s="30" t="e">
        <f t="shared" ref="C129:C131" si="5">+B129/B$14*100</f>
        <v>#REF!</v>
      </c>
    </row>
    <row r="130" spans="1:3" ht="15">
      <c r="A130" s="27" t="s">
        <v>341</v>
      </c>
      <c r="B130" s="29" t="e">
        <f>+'MF1'!#REF!</f>
        <v>#REF!</v>
      </c>
      <c r="C130" s="30" t="e">
        <f t="shared" si="5"/>
        <v>#REF!</v>
      </c>
    </row>
    <row r="131" spans="1:3" ht="15">
      <c r="A131" s="27" t="s">
        <v>342</v>
      </c>
      <c r="B131" s="29" t="e">
        <f>+'MF1'!#REF!</f>
        <v>#REF!</v>
      </c>
      <c r="C131" s="30" t="e">
        <f t="shared" si="5"/>
        <v>#REF!</v>
      </c>
    </row>
    <row r="132" spans="1:3" ht="15">
      <c r="A132" s="27" t="s">
        <v>344</v>
      </c>
      <c r="B132" s="29" t="e">
        <f>SUM(B128:B131)</f>
        <v>#REF!</v>
      </c>
      <c r="C132" s="30">
        <v>100</v>
      </c>
    </row>
  </sheetData>
  <sheetCalcPr fullCalcOnLoad="1"/>
  <phoneticPr fontId="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4"/>
  <sheetViews>
    <sheetView workbookViewId="0">
      <selection activeCell="F2" sqref="F2:F23"/>
    </sheetView>
  </sheetViews>
  <sheetFormatPr baseColWidth="10" defaultRowHeight="13"/>
  <cols>
    <col min="1" max="1" width="33.5703125" customWidth="1"/>
  </cols>
  <sheetData>
    <row r="1" spans="1:6" ht="14" thickBot="1">
      <c r="C1" t="s">
        <v>226</v>
      </c>
      <c r="D1" t="s">
        <v>225</v>
      </c>
      <c r="E1" t="s">
        <v>224</v>
      </c>
      <c r="F1" t="s">
        <v>142</v>
      </c>
    </row>
    <row r="2" spans="1:6" ht="14" thickBot="1">
      <c r="A2" s="74" t="s">
        <v>390</v>
      </c>
      <c r="B2" s="75" t="s">
        <v>391</v>
      </c>
      <c r="C2" s="76" t="s">
        <v>395</v>
      </c>
      <c r="D2" s="76" t="s">
        <v>393</v>
      </c>
      <c r="E2" s="76" t="s">
        <v>396</v>
      </c>
      <c r="F2" s="76" t="s">
        <v>392</v>
      </c>
    </row>
    <row r="3" spans="1:6" ht="14" thickBot="1">
      <c r="A3" s="77" t="s">
        <v>227</v>
      </c>
      <c r="B3" s="71" t="s">
        <v>397</v>
      </c>
      <c r="C3" s="72" t="s">
        <v>396</v>
      </c>
      <c r="D3" s="72" t="s">
        <v>393</v>
      </c>
      <c r="E3" s="72" t="s">
        <v>395</v>
      </c>
      <c r="F3" s="72" t="s">
        <v>399</v>
      </c>
    </row>
    <row r="4" spans="1:6" ht="14" thickBot="1">
      <c r="A4" s="77" t="s">
        <v>284</v>
      </c>
      <c r="B4" s="71" t="s">
        <v>285</v>
      </c>
      <c r="C4" s="72" t="s">
        <v>392</v>
      </c>
      <c r="D4" s="72" t="s">
        <v>394</v>
      </c>
      <c r="E4" s="72" t="s">
        <v>395</v>
      </c>
      <c r="F4" s="72" t="s">
        <v>394</v>
      </c>
    </row>
    <row r="5" spans="1:6" ht="14" thickBot="1">
      <c r="A5" s="77" t="s">
        <v>287</v>
      </c>
      <c r="B5" s="71" t="s">
        <v>288</v>
      </c>
      <c r="C5" s="72" t="s">
        <v>396</v>
      </c>
      <c r="D5" s="72" t="s">
        <v>286</v>
      </c>
      <c r="E5" s="72" t="s">
        <v>394</v>
      </c>
      <c r="F5" s="72" t="s">
        <v>394</v>
      </c>
    </row>
    <row r="6" spans="1:6" ht="14" thickBot="1">
      <c r="A6" s="77" t="s">
        <v>289</v>
      </c>
      <c r="B6" s="71" t="s">
        <v>290</v>
      </c>
      <c r="C6" s="72" t="s">
        <v>396</v>
      </c>
      <c r="D6" s="72" t="s">
        <v>398</v>
      </c>
      <c r="E6" s="72" t="s">
        <v>393</v>
      </c>
      <c r="F6" s="72" t="s">
        <v>396</v>
      </c>
    </row>
    <row r="7" spans="1:6" ht="14" thickBot="1">
      <c r="A7" s="77" t="s">
        <v>292</v>
      </c>
      <c r="B7" s="71" t="s">
        <v>146</v>
      </c>
      <c r="C7" s="72" t="s">
        <v>394</v>
      </c>
      <c r="D7" s="72" t="s">
        <v>393</v>
      </c>
      <c r="E7" s="72" t="s">
        <v>392</v>
      </c>
      <c r="F7" s="72" t="s">
        <v>393</v>
      </c>
    </row>
    <row r="8" spans="1:6" ht="14" thickBot="1">
      <c r="A8" s="77" t="s">
        <v>147</v>
      </c>
      <c r="B8" s="71" t="s">
        <v>148</v>
      </c>
      <c r="C8" s="72" t="s">
        <v>286</v>
      </c>
      <c r="D8" s="72" t="s">
        <v>286</v>
      </c>
      <c r="E8" s="72" t="s">
        <v>396</v>
      </c>
      <c r="F8" s="72" t="s">
        <v>395</v>
      </c>
    </row>
    <row r="9" spans="1:6" ht="14" thickBot="1">
      <c r="A9" s="77" t="s">
        <v>149</v>
      </c>
      <c r="B9" s="71" t="s">
        <v>150</v>
      </c>
      <c r="C9" s="72" t="s">
        <v>393</v>
      </c>
      <c r="D9" s="72" t="s">
        <v>151</v>
      </c>
      <c r="E9" s="72" t="s">
        <v>286</v>
      </c>
      <c r="F9" s="72" t="s">
        <v>394</v>
      </c>
    </row>
    <row r="10" spans="1:6" ht="14" thickBot="1">
      <c r="A10" s="77" t="s">
        <v>152</v>
      </c>
      <c r="B10" s="71" t="s">
        <v>153</v>
      </c>
      <c r="C10" s="72" t="s">
        <v>395</v>
      </c>
      <c r="D10" s="72" t="s">
        <v>398</v>
      </c>
      <c r="E10" s="72" t="s">
        <v>396</v>
      </c>
      <c r="F10" s="72" t="s">
        <v>394</v>
      </c>
    </row>
    <row r="11" spans="1:6" ht="14" thickBot="1">
      <c r="A11" s="77" t="s">
        <v>154</v>
      </c>
      <c r="B11" s="71" t="s">
        <v>155</v>
      </c>
      <c r="C11" s="72" t="s">
        <v>393</v>
      </c>
      <c r="D11" s="72" t="s">
        <v>393</v>
      </c>
      <c r="E11" s="72" t="s">
        <v>396</v>
      </c>
      <c r="F11" s="72" t="s">
        <v>395</v>
      </c>
    </row>
    <row r="12" spans="1:6" ht="14" thickBot="1">
      <c r="A12" s="77" t="s">
        <v>302</v>
      </c>
      <c r="B12" s="71" t="s">
        <v>303</v>
      </c>
      <c r="C12" s="72" t="s">
        <v>395</v>
      </c>
      <c r="D12" s="72" t="s">
        <v>394</v>
      </c>
      <c r="E12" s="72" t="s">
        <v>396</v>
      </c>
      <c r="F12" s="72" t="s">
        <v>398</v>
      </c>
    </row>
    <row r="13" spans="1:6" ht="14" thickBot="1">
      <c r="A13" s="77" t="s">
        <v>304</v>
      </c>
      <c r="B13" s="71" t="s">
        <v>305</v>
      </c>
      <c r="C13" s="72" t="s">
        <v>151</v>
      </c>
      <c r="D13" s="72" t="s">
        <v>394</v>
      </c>
      <c r="E13" s="72" t="s">
        <v>393</v>
      </c>
      <c r="F13" s="72" t="s">
        <v>394</v>
      </c>
    </row>
    <row r="14" spans="1:6" ht="14" thickBot="1">
      <c r="A14" s="77" t="s">
        <v>306</v>
      </c>
      <c r="B14" s="71" t="s">
        <v>307</v>
      </c>
      <c r="C14" s="72" t="s">
        <v>395</v>
      </c>
      <c r="D14" s="72" t="s">
        <v>394</v>
      </c>
      <c r="E14" s="72" t="s">
        <v>393</v>
      </c>
      <c r="F14" s="72" t="s">
        <v>394</v>
      </c>
    </row>
    <row r="15" spans="1:6" ht="14" thickBot="1">
      <c r="A15" s="77" t="s">
        <v>308</v>
      </c>
      <c r="B15" s="71" t="s">
        <v>309</v>
      </c>
      <c r="C15" s="72" t="s">
        <v>291</v>
      </c>
      <c r="D15" s="72" t="s">
        <v>151</v>
      </c>
      <c r="E15" s="72" t="s">
        <v>396</v>
      </c>
      <c r="F15" s="72" t="s">
        <v>395</v>
      </c>
    </row>
    <row r="16" spans="1:6" ht="14" thickBot="1">
      <c r="A16" s="77" t="s">
        <v>310</v>
      </c>
      <c r="B16" s="71" t="s">
        <v>311</v>
      </c>
      <c r="C16" s="72" t="s">
        <v>395</v>
      </c>
      <c r="D16" s="72" t="s">
        <v>393</v>
      </c>
      <c r="E16" s="72" t="s">
        <v>393</v>
      </c>
      <c r="F16" s="72" t="s">
        <v>393</v>
      </c>
    </row>
    <row r="17" spans="1:6" ht="14" thickBot="1">
      <c r="A17" s="77" t="s">
        <v>312</v>
      </c>
      <c r="B17" s="71" t="s">
        <v>313</v>
      </c>
      <c r="C17" s="72" t="s">
        <v>393</v>
      </c>
      <c r="D17" s="72" t="s">
        <v>151</v>
      </c>
      <c r="E17" s="72" t="s">
        <v>286</v>
      </c>
      <c r="F17" s="72" t="s">
        <v>394</v>
      </c>
    </row>
    <row r="18" spans="1:6" ht="14" thickBot="1">
      <c r="A18" s="77" t="s">
        <v>349</v>
      </c>
      <c r="B18" s="71" t="s">
        <v>350</v>
      </c>
      <c r="C18" s="72" t="s">
        <v>392</v>
      </c>
      <c r="D18" s="72" t="s">
        <v>398</v>
      </c>
      <c r="E18" s="72" t="s">
        <v>395</v>
      </c>
      <c r="F18" s="72" t="s">
        <v>393</v>
      </c>
    </row>
    <row r="19" spans="1:6" ht="14" thickBot="1">
      <c r="A19" s="77" t="s">
        <v>351</v>
      </c>
      <c r="B19" s="71" t="s">
        <v>352</v>
      </c>
      <c r="C19" s="72" t="s">
        <v>396</v>
      </c>
      <c r="D19" s="72" t="s">
        <v>396</v>
      </c>
      <c r="E19" s="72" t="s">
        <v>396</v>
      </c>
      <c r="F19" s="72" t="s">
        <v>396</v>
      </c>
    </row>
    <row r="20" spans="1:6" ht="14" thickBot="1">
      <c r="A20" s="77" t="s">
        <v>353</v>
      </c>
      <c r="B20" s="71" t="s">
        <v>354</v>
      </c>
      <c r="C20" s="72" t="s">
        <v>394</v>
      </c>
      <c r="D20" s="72" t="s">
        <v>394</v>
      </c>
      <c r="E20" s="72" t="s">
        <v>286</v>
      </c>
      <c r="F20" s="72" t="s">
        <v>399</v>
      </c>
    </row>
    <row r="21" spans="1:6" ht="14" thickBot="1">
      <c r="A21" s="77" t="s">
        <v>355</v>
      </c>
      <c r="B21" s="71" t="s">
        <v>213</v>
      </c>
      <c r="C21" s="72" t="s">
        <v>396</v>
      </c>
      <c r="D21" s="72" t="s">
        <v>393</v>
      </c>
      <c r="E21" s="72" t="s">
        <v>393</v>
      </c>
      <c r="F21" s="72" t="s">
        <v>393</v>
      </c>
    </row>
    <row r="22" spans="1:6" ht="14" thickBot="1">
      <c r="A22" s="77" t="s">
        <v>214</v>
      </c>
      <c r="B22" s="71" t="s">
        <v>215</v>
      </c>
      <c r="C22" s="72" t="s">
        <v>395</v>
      </c>
      <c r="D22" s="72" t="s">
        <v>216</v>
      </c>
      <c r="E22" s="72" t="s">
        <v>396</v>
      </c>
      <c r="F22" s="72" t="s">
        <v>396</v>
      </c>
    </row>
    <row r="23" spans="1:6" ht="14" thickBot="1">
      <c r="A23" s="77" t="s">
        <v>217</v>
      </c>
      <c r="B23" s="71" t="s">
        <v>218</v>
      </c>
      <c r="C23" s="72" t="s">
        <v>392</v>
      </c>
      <c r="D23" s="72" t="s">
        <v>393</v>
      </c>
      <c r="E23" s="72" t="s">
        <v>394</v>
      </c>
      <c r="F23" s="72" t="s">
        <v>286</v>
      </c>
    </row>
    <row r="24" spans="1:6" ht="14" thickBot="1">
      <c r="A24" s="80" t="s">
        <v>219</v>
      </c>
      <c r="B24" s="81"/>
      <c r="C24" s="73" t="s">
        <v>220</v>
      </c>
      <c r="D24" s="73" t="s">
        <v>221</v>
      </c>
      <c r="E24" s="73" t="s">
        <v>222</v>
      </c>
      <c r="F24" s="73" t="s">
        <v>223</v>
      </c>
    </row>
  </sheetData>
  <sheetCalcPr fullCalcOnLoad="1"/>
  <mergeCells count="1">
    <mergeCell ref="A24:B24"/>
  </mergeCells>
  <phoneticPr fontId="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38"/>
  <sheetViews>
    <sheetView workbookViewId="0">
      <selection activeCell="V16" sqref="V16"/>
    </sheetView>
  </sheetViews>
  <sheetFormatPr baseColWidth="10" defaultRowHeight="13"/>
  <cols>
    <col min="1" max="1" width="3" bestFit="1" customWidth="1"/>
    <col min="2" max="2" width="34" bestFit="1" customWidth="1"/>
    <col min="3" max="16" width="4.42578125" customWidth="1"/>
    <col min="17" max="19" width="6" style="8" customWidth="1"/>
    <col min="20" max="20" width="6" style="16" customWidth="1"/>
    <col min="21" max="22" width="5.42578125" customWidth="1"/>
    <col min="23" max="41" width="4.140625" customWidth="1"/>
  </cols>
  <sheetData>
    <row r="1" spans="1:24">
      <c r="B1" t="s">
        <v>70</v>
      </c>
      <c r="C1">
        <v>1</v>
      </c>
      <c r="E1">
        <v>1</v>
      </c>
      <c r="F1">
        <v>1</v>
      </c>
      <c r="G1">
        <v>1</v>
      </c>
      <c r="K1">
        <v>2</v>
      </c>
      <c r="L1">
        <v>1</v>
      </c>
      <c r="M1">
        <v>2</v>
      </c>
      <c r="N1">
        <v>1</v>
      </c>
      <c r="O1">
        <v>2</v>
      </c>
      <c r="P1">
        <v>1</v>
      </c>
      <c r="Q1" s="7">
        <v>0.55000000000000004</v>
      </c>
      <c r="R1" s="7">
        <v>0.2</v>
      </c>
      <c r="S1" s="7">
        <v>0.25</v>
      </c>
    </row>
    <row r="2" spans="1:24">
      <c r="C2" t="s">
        <v>273</v>
      </c>
      <c r="D2" t="s">
        <v>95</v>
      </c>
      <c r="E2" t="s">
        <v>266</v>
      </c>
      <c r="F2" t="s">
        <v>255</v>
      </c>
      <c r="G2" t="s">
        <v>334</v>
      </c>
      <c r="H2" t="s">
        <v>192</v>
      </c>
      <c r="I2" t="s">
        <v>182</v>
      </c>
      <c r="K2" s="3" t="s">
        <v>195</v>
      </c>
      <c r="L2" s="3" t="s">
        <v>337</v>
      </c>
      <c r="M2" s="3" t="s">
        <v>338</v>
      </c>
      <c r="N2" s="3" t="s">
        <v>339</v>
      </c>
      <c r="O2" s="3" t="s">
        <v>340</v>
      </c>
      <c r="P2" s="3" t="s">
        <v>33</v>
      </c>
      <c r="Q2" s="8" t="s">
        <v>171</v>
      </c>
      <c r="R2" s="8" t="s">
        <v>133</v>
      </c>
      <c r="S2" s="8" t="s">
        <v>180</v>
      </c>
      <c r="T2" s="16" t="s">
        <v>181</v>
      </c>
      <c r="U2" s="50" t="s">
        <v>257</v>
      </c>
      <c r="V2" s="50" t="s">
        <v>258</v>
      </c>
      <c r="W2" s="50" t="s">
        <v>388</v>
      </c>
    </row>
    <row r="3" spans="1:24">
      <c r="A3" s="3">
        <v>1</v>
      </c>
      <c r="B3" s="3" t="s">
        <v>300</v>
      </c>
      <c r="C3" s="3">
        <v>1</v>
      </c>
      <c r="D3" s="3"/>
      <c r="E3" s="3">
        <v>1</v>
      </c>
      <c r="F3" s="3">
        <v>1</v>
      </c>
      <c r="G3" s="3"/>
      <c r="H3" s="3"/>
      <c r="I3" s="3"/>
      <c r="J3" s="3"/>
      <c r="K3" s="3">
        <v>2</v>
      </c>
      <c r="L3" s="3"/>
      <c r="M3" s="3">
        <v>1</v>
      </c>
      <c r="N3" s="3">
        <v>2</v>
      </c>
      <c r="O3" s="3">
        <v>2</v>
      </c>
      <c r="P3" s="3"/>
      <c r="Q3" s="19">
        <f>SUM(C3:P3)/13*20</f>
        <v>15.384615384615385</v>
      </c>
      <c r="R3" s="10">
        <v>12</v>
      </c>
      <c r="S3" s="10">
        <v>19</v>
      </c>
      <c r="T3" s="17">
        <f>+Q3*0.55+R3/16*20*0.2+S3*0.25</f>
        <v>16.21153846153846</v>
      </c>
      <c r="U3" s="3">
        <v>15</v>
      </c>
      <c r="V3" s="3">
        <v>15</v>
      </c>
      <c r="W3" s="3"/>
      <c r="X3" s="3"/>
    </row>
    <row r="4" spans="1:24">
      <c r="A4" s="3">
        <v>2</v>
      </c>
      <c r="B4" s="3" t="s">
        <v>301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9">
        <f t="shared" ref="Q4:Q18" si="0">SUM(C4:P4)/13*20</f>
        <v>0</v>
      </c>
      <c r="R4" s="10">
        <v>4</v>
      </c>
      <c r="S4" s="10"/>
      <c r="T4" s="17">
        <f t="shared" ref="T4:T18" si="1">+Q4*0.55+R4/16*20*0.2+S4*0.25</f>
        <v>1</v>
      </c>
      <c r="U4" s="3" t="s">
        <v>259</v>
      </c>
      <c r="V4" s="3" t="s">
        <v>249</v>
      </c>
      <c r="W4" s="3"/>
      <c r="X4" s="3"/>
    </row>
    <row r="5" spans="1:24">
      <c r="A5" s="3">
        <v>3</v>
      </c>
      <c r="B5" s="3" t="s">
        <v>332</v>
      </c>
      <c r="C5" s="3"/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/>
      <c r="P5" s="3">
        <v>1</v>
      </c>
      <c r="Q5" s="19">
        <f t="shared" si="0"/>
        <v>4.6153846153846159</v>
      </c>
      <c r="R5" s="10">
        <v>6</v>
      </c>
      <c r="S5" s="10"/>
      <c r="T5" s="17">
        <f t="shared" si="1"/>
        <v>4.0384615384615383</v>
      </c>
      <c r="U5" s="3" t="s">
        <v>259</v>
      </c>
      <c r="V5" s="3" t="s">
        <v>249</v>
      </c>
      <c r="W5" s="3"/>
      <c r="X5" s="3"/>
    </row>
    <row r="6" spans="1:24">
      <c r="A6" s="3">
        <v>4</v>
      </c>
      <c r="B6" s="3" t="s">
        <v>25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/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4</v>
      </c>
      <c r="Q6" s="19">
        <f t="shared" si="0"/>
        <v>32.307692307692307</v>
      </c>
      <c r="R6" s="10">
        <v>14</v>
      </c>
      <c r="S6" s="10">
        <v>20</v>
      </c>
      <c r="T6" s="17">
        <f t="shared" si="1"/>
        <v>26.26923076923077</v>
      </c>
      <c r="U6" s="3">
        <v>14</v>
      </c>
      <c r="V6" s="3">
        <v>20</v>
      </c>
      <c r="W6" s="3"/>
      <c r="X6" s="3"/>
    </row>
    <row r="7" spans="1:24">
      <c r="A7" s="3">
        <v>5</v>
      </c>
      <c r="B7" s="3" t="s">
        <v>26</v>
      </c>
      <c r="C7" s="3">
        <v>1</v>
      </c>
      <c r="D7" s="3"/>
      <c r="E7" s="3"/>
      <c r="F7" s="3"/>
      <c r="G7" s="3"/>
      <c r="H7" s="3"/>
      <c r="I7" s="3"/>
      <c r="J7" s="3"/>
      <c r="K7" s="3">
        <v>2</v>
      </c>
      <c r="L7" s="3"/>
      <c r="M7" s="3"/>
      <c r="N7" s="3"/>
      <c r="O7" s="3"/>
      <c r="P7" s="3"/>
      <c r="Q7" s="19">
        <f t="shared" si="0"/>
        <v>4.6153846153846159</v>
      </c>
      <c r="R7" s="10">
        <v>6</v>
      </c>
      <c r="S7" s="10"/>
      <c r="T7" s="17">
        <f t="shared" si="1"/>
        <v>4.0384615384615383</v>
      </c>
      <c r="U7" s="3" t="s">
        <v>259</v>
      </c>
      <c r="V7" s="3" t="s">
        <v>249</v>
      </c>
      <c r="W7" s="3"/>
      <c r="X7" s="3"/>
    </row>
    <row r="8" spans="1:24">
      <c r="A8" s="3">
        <v>6</v>
      </c>
      <c r="B8" s="3" t="s">
        <v>175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/>
      <c r="K8" s="3">
        <v>2</v>
      </c>
      <c r="L8" s="3"/>
      <c r="M8" s="3">
        <v>2</v>
      </c>
      <c r="N8" s="3">
        <v>2</v>
      </c>
      <c r="O8" s="3">
        <v>2</v>
      </c>
      <c r="P8" s="3">
        <v>1</v>
      </c>
      <c r="Q8" s="19">
        <f t="shared" si="0"/>
        <v>24.615384615384617</v>
      </c>
      <c r="R8" s="10">
        <v>16</v>
      </c>
      <c r="S8" s="10">
        <v>16</v>
      </c>
      <c r="T8" s="17">
        <f t="shared" si="1"/>
        <v>21.53846153846154</v>
      </c>
      <c r="U8" s="3">
        <v>13</v>
      </c>
      <c r="V8" s="3">
        <v>14</v>
      </c>
      <c r="W8" s="3"/>
      <c r="X8" s="3"/>
    </row>
    <row r="9" spans="1:24">
      <c r="A9" s="3">
        <v>7</v>
      </c>
      <c r="B9" s="3" t="s">
        <v>176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/>
      <c r="K9" s="3">
        <v>2</v>
      </c>
      <c r="L9" s="3"/>
      <c r="M9" s="3">
        <v>2</v>
      </c>
      <c r="N9" s="3">
        <v>2</v>
      </c>
      <c r="O9" s="3">
        <v>2</v>
      </c>
      <c r="P9" s="3">
        <v>2</v>
      </c>
      <c r="Q9" s="19">
        <f t="shared" si="0"/>
        <v>26.153846153846153</v>
      </c>
      <c r="R9" s="10">
        <v>14</v>
      </c>
      <c r="S9" s="10">
        <v>13</v>
      </c>
      <c r="T9" s="17">
        <f t="shared" si="1"/>
        <v>21.134615384615387</v>
      </c>
      <c r="U9" s="3">
        <v>15</v>
      </c>
      <c r="V9" s="3">
        <v>14</v>
      </c>
      <c r="W9" s="3"/>
      <c r="X9" s="3"/>
    </row>
    <row r="10" spans="1:24">
      <c r="A10" s="3">
        <v>8</v>
      </c>
      <c r="B10" s="3" t="s">
        <v>24</v>
      </c>
      <c r="C10" s="3"/>
      <c r="D10" s="3"/>
      <c r="E10" s="3"/>
      <c r="F10" s="3">
        <v>1</v>
      </c>
      <c r="G10" s="3">
        <v>1</v>
      </c>
      <c r="H10" s="3"/>
      <c r="I10" s="3"/>
      <c r="J10" s="3"/>
      <c r="K10" s="3">
        <v>2</v>
      </c>
      <c r="L10" s="3"/>
      <c r="M10" s="3">
        <v>1</v>
      </c>
      <c r="N10" s="3">
        <v>1</v>
      </c>
      <c r="O10" s="3">
        <v>2</v>
      </c>
      <c r="P10" s="3">
        <v>1</v>
      </c>
      <c r="Q10" s="19">
        <f t="shared" si="0"/>
        <v>13.846153846153847</v>
      </c>
      <c r="R10" s="10">
        <v>16</v>
      </c>
      <c r="S10" s="10">
        <v>15</v>
      </c>
      <c r="T10" s="17">
        <f t="shared" si="1"/>
        <v>15.365384615384617</v>
      </c>
      <c r="U10" s="3">
        <v>8</v>
      </c>
      <c r="V10" s="3">
        <v>14</v>
      </c>
      <c r="W10" s="3">
        <v>1</v>
      </c>
      <c r="X10" s="3"/>
    </row>
    <row r="11" spans="1:24">
      <c r="A11" s="3">
        <v>9</v>
      </c>
      <c r="B11" s="3" t="s">
        <v>405</v>
      </c>
      <c r="C11" s="3">
        <v>1</v>
      </c>
      <c r="D11" s="3"/>
      <c r="E11" s="3">
        <v>1</v>
      </c>
      <c r="F11" s="3">
        <v>1</v>
      </c>
      <c r="G11" s="3">
        <v>1</v>
      </c>
      <c r="H11" s="3"/>
      <c r="I11" s="3"/>
      <c r="J11" s="3"/>
      <c r="K11" s="3">
        <v>2</v>
      </c>
      <c r="L11" s="3"/>
      <c r="M11" s="3">
        <v>1</v>
      </c>
      <c r="N11" s="3">
        <v>1</v>
      </c>
      <c r="O11" s="3">
        <v>2</v>
      </c>
      <c r="P11" s="3">
        <v>1</v>
      </c>
      <c r="Q11" s="19">
        <f t="shared" si="0"/>
        <v>16.923076923076923</v>
      </c>
      <c r="R11" s="10">
        <v>16</v>
      </c>
      <c r="S11" s="10">
        <v>15</v>
      </c>
      <c r="T11" s="17">
        <f t="shared" si="1"/>
        <v>17.057692307692307</v>
      </c>
      <c r="U11" s="3">
        <v>12</v>
      </c>
      <c r="V11" s="3">
        <v>15</v>
      </c>
      <c r="W11" s="3"/>
      <c r="X11" s="3"/>
    </row>
    <row r="12" spans="1:24">
      <c r="A12" s="3">
        <v>10</v>
      </c>
      <c r="B12" s="3" t="s">
        <v>264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/>
      <c r="I12" s="3"/>
      <c r="J12" s="3"/>
      <c r="K12" s="3">
        <v>2</v>
      </c>
      <c r="L12" s="3"/>
      <c r="M12" s="3">
        <v>2</v>
      </c>
      <c r="N12" s="3">
        <v>1</v>
      </c>
      <c r="O12" s="3">
        <v>2</v>
      </c>
      <c r="P12" s="3">
        <v>2</v>
      </c>
      <c r="Q12" s="19">
        <f t="shared" si="0"/>
        <v>21.538461538461537</v>
      </c>
      <c r="R12" s="10">
        <v>14</v>
      </c>
      <c r="S12" s="10">
        <v>13</v>
      </c>
      <c r="T12" s="17">
        <f t="shared" si="1"/>
        <v>18.596153846153847</v>
      </c>
      <c r="U12" s="3">
        <v>14</v>
      </c>
      <c r="V12" s="3">
        <v>5</v>
      </c>
      <c r="W12" s="3"/>
      <c r="X12" s="3"/>
    </row>
    <row r="13" spans="1:24">
      <c r="A13" s="3">
        <v>11</v>
      </c>
      <c r="B13" s="3" t="s">
        <v>5</v>
      </c>
      <c r="C13" s="3">
        <v>1</v>
      </c>
      <c r="D13" s="3"/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/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3</v>
      </c>
      <c r="Q13" s="19">
        <f t="shared" si="0"/>
        <v>29.23076923076923</v>
      </c>
      <c r="R13" s="10">
        <v>16</v>
      </c>
      <c r="S13" s="10">
        <v>16</v>
      </c>
      <c r="T13" s="17">
        <f t="shared" si="1"/>
        <v>24.076923076923077</v>
      </c>
      <c r="U13" s="3">
        <v>16</v>
      </c>
      <c r="V13" s="3">
        <v>19</v>
      </c>
      <c r="W13" s="3"/>
      <c r="X13" s="3"/>
    </row>
    <row r="14" spans="1:24">
      <c r="A14" s="3">
        <v>12</v>
      </c>
      <c r="B14" s="3" t="s">
        <v>113</v>
      </c>
      <c r="C14" s="3">
        <v>1</v>
      </c>
      <c r="D14" s="3"/>
      <c r="E14" s="3">
        <v>1</v>
      </c>
      <c r="F14" s="3">
        <v>1</v>
      </c>
      <c r="G14" s="3">
        <v>1</v>
      </c>
      <c r="H14" s="3">
        <v>1</v>
      </c>
      <c r="I14" s="3"/>
      <c r="J14" s="3"/>
      <c r="K14" s="3">
        <v>2</v>
      </c>
      <c r="L14" s="3"/>
      <c r="M14" s="3">
        <v>1</v>
      </c>
      <c r="N14" s="3">
        <v>1</v>
      </c>
      <c r="O14" s="3">
        <v>2</v>
      </c>
      <c r="P14" s="3">
        <v>1</v>
      </c>
      <c r="Q14" s="19">
        <f t="shared" si="0"/>
        <v>18.461538461538463</v>
      </c>
      <c r="R14" s="10">
        <v>16</v>
      </c>
      <c r="S14" s="10">
        <v>18</v>
      </c>
      <c r="T14" s="17">
        <f t="shared" si="1"/>
        <v>18.653846153846153</v>
      </c>
      <c r="U14" s="3">
        <v>9</v>
      </c>
      <c r="V14" s="3">
        <v>16</v>
      </c>
      <c r="W14" s="3"/>
      <c r="X14" s="3"/>
    </row>
    <row r="15" spans="1:24">
      <c r="A15" s="3">
        <v>13</v>
      </c>
      <c r="B15" s="3" t="s">
        <v>114</v>
      </c>
      <c r="C15" s="3"/>
      <c r="D15" s="3"/>
      <c r="E15" s="3"/>
      <c r="F15" s="3"/>
      <c r="G15" s="3"/>
      <c r="H15" s="3"/>
      <c r="I15" s="3"/>
      <c r="J15" s="3"/>
      <c r="K15" s="3">
        <v>2</v>
      </c>
      <c r="L15" s="3"/>
      <c r="M15" s="3"/>
      <c r="N15" s="3">
        <v>2</v>
      </c>
      <c r="O15" s="3">
        <v>2</v>
      </c>
      <c r="P15" s="3"/>
      <c r="Q15" s="19">
        <f t="shared" si="0"/>
        <v>9.2307692307692317</v>
      </c>
      <c r="R15" s="10">
        <v>14</v>
      </c>
      <c r="S15" s="10"/>
      <c r="T15" s="17">
        <f t="shared" si="1"/>
        <v>8.5769230769230766</v>
      </c>
      <c r="U15" s="3">
        <v>8</v>
      </c>
      <c r="V15" s="3">
        <v>15</v>
      </c>
      <c r="W15" s="3"/>
      <c r="X15" s="3"/>
    </row>
    <row r="16" spans="1:24">
      <c r="A16" s="3">
        <v>14</v>
      </c>
      <c r="B16" s="3" t="s">
        <v>86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9">
        <f t="shared" si="0"/>
        <v>0</v>
      </c>
      <c r="R16" s="10">
        <v>4</v>
      </c>
      <c r="S16" s="10"/>
      <c r="T16" s="17">
        <f t="shared" si="1"/>
        <v>1</v>
      </c>
      <c r="U16" s="3">
        <v>12</v>
      </c>
      <c r="V16" s="3" t="s">
        <v>347</v>
      </c>
      <c r="W16" s="3"/>
      <c r="X16" s="3"/>
    </row>
    <row r="17" spans="1:24">
      <c r="A17" s="3">
        <v>15</v>
      </c>
      <c r="B17" s="3" t="s">
        <v>87</v>
      </c>
      <c r="C17" s="3">
        <v>1</v>
      </c>
      <c r="D17" s="3"/>
      <c r="E17" s="3">
        <v>1</v>
      </c>
      <c r="F17" s="3">
        <v>1</v>
      </c>
      <c r="G17" s="3"/>
      <c r="H17" s="3"/>
      <c r="I17" s="3"/>
      <c r="J17" s="3"/>
      <c r="K17" s="3">
        <v>2</v>
      </c>
      <c r="L17" s="3">
        <v>1</v>
      </c>
      <c r="M17" s="3">
        <v>1</v>
      </c>
      <c r="N17" s="3"/>
      <c r="O17" s="3">
        <v>2</v>
      </c>
      <c r="P17" s="3">
        <v>1</v>
      </c>
      <c r="Q17" s="19">
        <f t="shared" si="0"/>
        <v>15.384615384615385</v>
      </c>
      <c r="R17" s="10">
        <v>16</v>
      </c>
      <c r="S17" s="10">
        <v>13</v>
      </c>
      <c r="T17" s="17">
        <f t="shared" si="1"/>
        <v>15.711538461538462</v>
      </c>
      <c r="U17" s="3">
        <v>12</v>
      </c>
      <c r="V17" s="3">
        <v>14</v>
      </c>
      <c r="W17" s="3"/>
      <c r="X17" s="3"/>
    </row>
    <row r="18" spans="1:24">
      <c r="A18" s="3">
        <v>16</v>
      </c>
      <c r="B18" s="3" t="s">
        <v>88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v>1</v>
      </c>
      <c r="N18" s="3">
        <v>2</v>
      </c>
      <c r="O18" s="3">
        <v>1</v>
      </c>
      <c r="P18" s="3"/>
      <c r="Q18" s="19">
        <f t="shared" si="0"/>
        <v>6.1538461538461542</v>
      </c>
      <c r="R18" s="10">
        <v>8</v>
      </c>
      <c r="S18" s="10">
        <v>18</v>
      </c>
      <c r="T18" s="17">
        <f t="shared" si="1"/>
        <v>9.884615384615385</v>
      </c>
      <c r="U18" s="3">
        <v>12</v>
      </c>
      <c r="V18" s="3">
        <v>12</v>
      </c>
      <c r="W18" s="3"/>
      <c r="X18" s="3"/>
    </row>
    <row r="22" spans="1:24">
      <c r="B22" t="s">
        <v>247</v>
      </c>
    </row>
    <row r="23" spans="1:24">
      <c r="B23" t="s">
        <v>300</v>
      </c>
      <c r="C23">
        <v>15</v>
      </c>
    </row>
    <row r="24" spans="1:24">
      <c r="B24" t="s">
        <v>301</v>
      </c>
      <c r="C24" t="s">
        <v>248</v>
      </c>
    </row>
    <row r="25" spans="1:24">
      <c r="B25" t="s">
        <v>332</v>
      </c>
      <c r="C25" t="s">
        <v>248</v>
      </c>
    </row>
    <row r="26" spans="1:24">
      <c r="B26" t="s">
        <v>25</v>
      </c>
      <c r="C26">
        <v>20</v>
      </c>
    </row>
    <row r="27" spans="1:24">
      <c r="B27" t="s">
        <v>26</v>
      </c>
      <c r="C27" t="s">
        <v>248</v>
      </c>
    </row>
    <row r="28" spans="1:24">
      <c r="B28" t="s">
        <v>175</v>
      </c>
      <c r="C28">
        <v>14</v>
      </c>
    </row>
    <row r="29" spans="1:24">
      <c r="B29" t="s">
        <v>176</v>
      </c>
      <c r="C29">
        <v>14</v>
      </c>
    </row>
    <row r="30" spans="1:24">
      <c r="B30" t="s">
        <v>24</v>
      </c>
      <c r="C30">
        <v>14</v>
      </c>
    </row>
    <row r="31" spans="1:24">
      <c r="B31" t="s">
        <v>405</v>
      </c>
      <c r="C31">
        <v>15</v>
      </c>
    </row>
    <row r="32" spans="1:24">
      <c r="B32" t="s">
        <v>264</v>
      </c>
      <c r="C32" t="s">
        <v>248</v>
      </c>
    </row>
    <row r="33" spans="2:3">
      <c r="B33" t="s">
        <v>5</v>
      </c>
      <c r="C33">
        <v>19</v>
      </c>
    </row>
    <row r="34" spans="2:3">
      <c r="B34" t="s">
        <v>113</v>
      </c>
      <c r="C34">
        <v>16</v>
      </c>
    </row>
    <row r="35" spans="2:3">
      <c r="B35" t="s">
        <v>114</v>
      </c>
      <c r="C35">
        <v>15</v>
      </c>
    </row>
    <row r="36" spans="2:3">
      <c r="B36" t="s">
        <v>86</v>
      </c>
      <c r="C36" t="s">
        <v>248</v>
      </c>
    </row>
    <row r="37" spans="2:3">
      <c r="B37" t="s">
        <v>87</v>
      </c>
      <c r="C37">
        <v>14</v>
      </c>
    </row>
    <row r="38" spans="2:3">
      <c r="B38" t="s">
        <v>88</v>
      </c>
      <c r="C38">
        <v>12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8"/>
  <sheetViews>
    <sheetView workbookViewId="0">
      <selection activeCell="W17" sqref="W17"/>
    </sheetView>
  </sheetViews>
  <sheetFormatPr baseColWidth="10" defaultRowHeight="13"/>
  <cols>
    <col min="1" max="1" width="3" bestFit="1" customWidth="1"/>
    <col min="2" max="2" width="37.28515625" bestFit="1" customWidth="1"/>
    <col min="3" max="12" width="5" customWidth="1"/>
    <col min="13" max="19" width="4.85546875" customWidth="1"/>
    <col min="20" max="23" width="4.85546875" style="8" customWidth="1"/>
    <col min="24" max="67" width="4.85546875" customWidth="1"/>
  </cols>
  <sheetData>
    <row r="1" spans="1:23">
      <c r="B1" t="s">
        <v>69</v>
      </c>
      <c r="H1">
        <v>2</v>
      </c>
      <c r="I1">
        <v>2</v>
      </c>
      <c r="J1">
        <v>2</v>
      </c>
      <c r="K1">
        <v>3</v>
      </c>
      <c r="L1">
        <v>1</v>
      </c>
      <c r="M1">
        <v>1</v>
      </c>
      <c r="O1">
        <v>1</v>
      </c>
      <c r="P1">
        <v>1</v>
      </c>
      <c r="Q1">
        <v>1</v>
      </c>
      <c r="R1">
        <v>1</v>
      </c>
      <c r="T1" s="7">
        <v>0.55000000000000004</v>
      </c>
      <c r="U1" s="7">
        <v>0.2</v>
      </c>
      <c r="V1" s="7">
        <v>0.25</v>
      </c>
      <c r="W1" s="28"/>
    </row>
    <row r="2" spans="1:23">
      <c r="H2" t="s">
        <v>193</v>
      </c>
      <c r="I2" t="s">
        <v>6</v>
      </c>
      <c r="J2" t="s">
        <v>64</v>
      </c>
      <c r="K2" t="s">
        <v>109</v>
      </c>
      <c r="L2" t="s">
        <v>320</v>
      </c>
      <c r="M2" t="s">
        <v>273</v>
      </c>
      <c r="N2" t="s">
        <v>256</v>
      </c>
      <c r="O2" t="s">
        <v>265</v>
      </c>
      <c r="P2" t="s">
        <v>255</v>
      </c>
      <c r="Q2" t="s">
        <v>334</v>
      </c>
      <c r="R2" t="s">
        <v>335</v>
      </c>
      <c r="S2" t="s">
        <v>336</v>
      </c>
      <c r="T2" s="8" t="s">
        <v>135</v>
      </c>
      <c r="U2" s="8" t="s">
        <v>133</v>
      </c>
      <c r="V2" s="8" t="s">
        <v>180</v>
      </c>
      <c r="W2" s="28" t="s">
        <v>181</v>
      </c>
    </row>
    <row r="3" spans="1:23" ht="16">
      <c r="A3" s="3">
        <v>1</v>
      </c>
      <c r="B3" s="24" t="s">
        <v>327</v>
      </c>
      <c r="C3" s="24"/>
      <c r="D3" s="24" t="s">
        <v>346</v>
      </c>
      <c r="E3" s="24"/>
      <c r="F3" s="24" t="s">
        <v>167</v>
      </c>
      <c r="G3" s="24"/>
      <c r="H3" s="24"/>
      <c r="I3" s="24"/>
      <c r="J3" s="24"/>
      <c r="K3" s="24"/>
      <c r="L3" s="24"/>
      <c r="M3" s="3"/>
      <c r="N3" s="3"/>
      <c r="O3" s="3"/>
      <c r="P3" s="3"/>
      <c r="Q3" s="3"/>
      <c r="R3" s="3"/>
      <c r="S3" s="3"/>
      <c r="T3" s="23">
        <f t="shared" ref="T3:T4" si="0">SUM(H3:S3)/15*20</f>
        <v>0</v>
      </c>
      <c r="U3" s="10">
        <v>8</v>
      </c>
      <c r="V3" s="10"/>
      <c r="W3" s="23">
        <f>+T3*0.55+U3/14*20*0.2+V3*0.25</f>
        <v>2.2857142857142856</v>
      </c>
    </row>
    <row r="4" spans="1:23" ht="16">
      <c r="A4" s="3">
        <v>2</v>
      </c>
      <c r="B4" s="24" t="s">
        <v>328</v>
      </c>
      <c r="C4" s="24" t="s">
        <v>346</v>
      </c>
      <c r="D4" s="24" t="s">
        <v>346</v>
      </c>
      <c r="E4" s="24" t="s">
        <v>7</v>
      </c>
      <c r="F4" s="24" t="s">
        <v>166</v>
      </c>
      <c r="G4" s="24" t="s">
        <v>167</v>
      </c>
      <c r="H4" s="24">
        <v>4</v>
      </c>
      <c r="I4" s="24">
        <v>1</v>
      </c>
      <c r="J4" s="24">
        <v>2</v>
      </c>
      <c r="K4" s="24">
        <v>2</v>
      </c>
      <c r="L4" s="24">
        <v>2</v>
      </c>
      <c r="M4" s="3"/>
      <c r="N4" s="3"/>
      <c r="O4" s="3"/>
      <c r="P4" s="3">
        <v>1</v>
      </c>
      <c r="Q4" s="3"/>
      <c r="R4" s="3"/>
      <c r="S4" s="3"/>
      <c r="T4" s="23">
        <f t="shared" si="0"/>
        <v>16</v>
      </c>
      <c r="U4" s="10">
        <v>20</v>
      </c>
      <c r="V4" s="10">
        <v>10</v>
      </c>
      <c r="W4" s="26">
        <f>+T4*0.55+U4/14*20*0.2+V4*0.25+1</f>
        <v>18.014285714285716</v>
      </c>
    </row>
    <row r="5" spans="1:23" ht="16">
      <c r="A5" s="3">
        <v>3</v>
      </c>
      <c r="B5" s="24" t="s">
        <v>329</v>
      </c>
      <c r="C5" s="24" t="s">
        <v>137</v>
      </c>
      <c r="D5" s="24" t="s">
        <v>137</v>
      </c>
      <c r="E5" s="24" t="s">
        <v>7</v>
      </c>
      <c r="F5" s="24" t="s">
        <v>168</v>
      </c>
      <c r="G5" s="24" t="s">
        <v>108</v>
      </c>
      <c r="H5" s="24">
        <v>1</v>
      </c>
      <c r="I5" s="24">
        <v>3</v>
      </c>
      <c r="J5" s="24"/>
      <c r="K5" s="24">
        <v>2</v>
      </c>
      <c r="L5" s="24">
        <v>3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/>
      <c r="T5" s="23">
        <f>SUM(H5:S5)/15*20</f>
        <v>20</v>
      </c>
      <c r="U5" s="10">
        <v>20</v>
      </c>
      <c r="V5" s="10">
        <v>12</v>
      </c>
      <c r="W5" s="23">
        <f t="shared" ref="W5:W18" si="1">+T5*0.55+U5/14*20*0.2+V5*0.25</f>
        <v>19.714285714285715</v>
      </c>
    </row>
    <row r="6" spans="1:23" ht="16">
      <c r="A6" s="3">
        <v>4</v>
      </c>
      <c r="B6" s="24" t="s">
        <v>330</v>
      </c>
      <c r="C6" s="24" t="s">
        <v>346</v>
      </c>
      <c r="D6" s="24" t="s">
        <v>346</v>
      </c>
      <c r="E6" s="24" t="s">
        <v>10</v>
      </c>
      <c r="F6" s="24" t="s">
        <v>167</v>
      </c>
      <c r="G6" s="24" t="s">
        <v>167</v>
      </c>
      <c r="H6" s="24">
        <v>2</v>
      </c>
      <c r="I6" s="24">
        <v>1</v>
      </c>
      <c r="J6" s="24"/>
      <c r="K6" s="24">
        <v>2</v>
      </c>
      <c r="L6" s="24">
        <v>1</v>
      </c>
      <c r="M6" s="3"/>
      <c r="N6" s="3"/>
      <c r="O6" s="3"/>
      <c r="P6" s="3">
        <v>1</v>
      </c>
      <c r="Q6" s="3"/>
      <c r="R6" s="3"/>
      <c r="S6" s="3"/>
      <c r="T6" s="23">
        <f t="shared" ref="T6:T18" si="2">SUM(H6:S6)/15*20</f>
        <v>9.3333333333333339</v>
      </c>
      <c r="U6" s="10">
        <v>20</v>
      </c>
      <c r="V6" s="10">
        <v>16</v>
      </c>
      <c r="W6" s="23">
        <f t="shared" si="1"/>
        <v>14.847619047619048</v>
      </c>
    </row>
    <row r="7" spans="1:23" ht="16">
      <c r="A7" s="3">
        <v>5</v>
      </c>
      <c r="B7" s="24" t="s">
        <v>65</v>
      </c>
      <c r="C7" s="24" t="s">
        <v>346</v>
      </c>
      <c r="D7" s="24" t="s">
        <v>346</v>
      </c>
      <c r="E7" s="24" t="s">
        <v>7</v>
      </c>
      <c r="F7" s="24" t="s">
        <v>167</v>
      </c>
      <c r="G7" s="24"/>
      <c r="H7" s="24">
        <v>4</v>
      </c>
      <c r="I7" s="24">
        <v>4</v>
      </c>
      <c r="J7" s="24">
        <v>1</v>
      </c>
      <c r="K7" s="24"/>
      <c r="L7" s="24">
        <v>3</v>
      </c>
      <c r="M7" s="3"/>
      <c r="N7" s="3"/>
      <c r="O7" s="3"/>
      <c r="P7" s="3"/>
      <c r="Q7" s="3"/>
      <c r="R7" s="3"/>
      <c r="S7" s="3"/>
      <c r="T7" s="23">
        <f t="shared" si="2"/>
        <v>16</v>
      </c>
      <c r="U7" s="10">
        <v>16</v>
      </c>
      <c r="V7" s="10">
        <v>12</v>
      </c>
      <c r="W7" s="23">
        <f t="shared" si="1"/>
        <v>16.371428571428574</v>
      </c>
    </row>
    <row r="8" spans="1:23" ht="16">
      <c r="A8" s="3">
        <v>6</v>
      </c>
      <c r="B8" s="24" t="s">
        <v>56</v>
      </c>
      <c r="C8" s="24"/>
      <c r="D8" s="24"/>
      <c r="E8" s="24"/>
      <c r="F8" s="24" t="s">
        <v>167</v>
      </c>
      <c r="G8" s="24"/>
      <c r="H8" s="24"/>
      <c r="I8" s="24"/>
      <c r="J8" s="24"/>
      <c r="K8" s="24"/>
      <c r="L8" s="24"/>
      <c r="M8" s="3"/>
      <c r="N8" s="3"/>
      <c r="O8" s="3"/>
      <c r="P8" s="3"/>
      <c r="Q8" s="3"/>
      <c r="R8" s="3"/>
      <c r="S8" s="3"/>
      <c r="T8" s="23">
        <f t="shared" si="2"/>
        <v>0</v>
      </c>
      <c r="U8" s="10">
        <v>4</v>
      </c>
      <c r="V8" s="10"/>
      <c r="W8" s="23">
        <f t="shared" si="1"/>
        <v>1.1428571428571428</v>
      </c>
    </row>
    <row r="9" spans="1:23" ht="16">
      <c r="A9" s="3">
        <v>7</v>
      </c>
      <c r="B9" s="24" t="s">
        <v>57</v>
      </c>
      <c r="C9" s="24" t="s">
        <v>138</v>
      </c>
      <c r="D9" s="24"/>
      <c r="E9" s="24" t="s">
        <v>9</v>
      </c>
      <c r="F9" s="24" t="s">
        <v>167</v>
      </c>
      <c r="G9" s="24" t="s">
        <v>167</v>
      </c>
      <c r="H9" s="24">
        <v>2</v>
      </c>
      <c r="I9" s="24">
        <v>3</v>
      </c>
      <c r="J9" s="24">
        <v>1</v>
      </c>
      <c r="K9" s="24">
        <v>1</v>
      </c>
      <c r="L9" s="24">
        <v>3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23">
        <f t="shared" si="2"/>
        <v>22.666666666666664</v>
      </c>
      <c r="U9" s="10">
        <v>16</v>
      </c>
      <c r="V9" s="10">
        <v>12</v>
      </c>
      <c r="W9" s="26">
        <f>+T9*0.55+U9/14*20*0.2+V9*0.25+1</f>
        <v>21.038095238095238</v>
      </c>
    </row>
    <row r="10" spans="1:23" ht="16">
      <c r="A10" s="3">
        <v>8</v>
      </c>
      <c r="B10" s="24" t="s">
        <v>82</v>
      </c>
      <c r="C10" s="24" t="s">
        <v>346</v>
      </c>
      <c r="D10" s="24"/>
      <c r="E10" s="24"/>
      <c r="F10" s="24"/>
      <c r="G10" s="24"/>
      <c r="H10" s="24"/>
      <c r="I10" s="24"/>
      <c r="J10" s="24"/>
      <c r="K10" s="24"/>
      <c r="L10" s="24"/>
      <c r="M10" s="3"/>
      <c r="N10" s="3"/>
      <c r="O10" s="3"/>
      <c r="P10" s="3"/>
      <c r="Q10" s="3"/>
      <c r="R10" s="3"/>
      <c r="S10" s="3"/>
      <c r="T10" s="23">
        <f t="shared" si="2"/>
        <v>0</v>
      </c>
      <c r="U10" s="10">
        <v>4</v>
      </c>
      <c r="V10" s="10">
        <v>10</v>
      </c>
      <c r="W10" s="23">
        <f t="shared" si="1"/>
        <v>3.6428571428571428</v>
      </c>
    </row>
    <row r="11" spans="1:23" ht="16">
      <c r="A11" s="3">
        <v>9</v>
      </c>
      <c r="B11" s="24" t="s">
        <v>83</v>
      </c>
      <c r="C11" s="24" t="s">
        <v>346</v>
      </c>
      <c r="D11" s="24"/>
      <c r="E11" s="24" t="s">
        <v>8</v>
      </c>
      <c r="F11" s="24" t="s">
        <v>167</v>
      </c>
      <c r="G11" s="24" t="s">
        <v>167</v>
      </c>
      <c r="H11" s="24">
        <v>4</v>
      </c>
      <c r="I11" s="24">
        <v>1</v>
      </c>
      <c r="J11" s="24">
        <v>2</v>
      </c>
      <c r="K11" s="24">
        <v>2</v>
      </c>
      <c r="L11" s="24">
        <v>2</v>
      </c>
      <c r="M11" s="3"/>
      <c r="N11" s="3"/>
      <c r="O11" s="38">
        <v>1</v>
      </c>
      <c r="P11" s="3">
        <v>1</v>
      </c>
      <c r="Q11" s="3">
        <v>1</v>
      </c>
      <c r="R11" s="3"/>
      <c r="S11" s="3"/>
      <c r="T11" s="23">
        <f t="shared" si="2"/>
        <v>18.666666666666668</v>
      </c>
      <c r="U11" s="10">
        <v>16</v>
      </c>
      <c r="V11" s="10">
        <v>12</v>
      </c>
      <c r="W11" s="23">
        <f t="shared" si="1"/>
        <v>17.838095238095239</v>
      </c>
    </row>
    <row r="12" spans="1:23" ht="16">
      <c r="A12" s="3">
        <v>10</v>
      </c>
      <c r="B12" s="24" t="s">
        <v>84</v>
      </c>
      <c r="C12" s="24" t="s">
        <v>139</v>
      </c>
      <c r="D12" s="24" t="s">
        <v>346</v>
      </c>
      <c r="E12" s="24" t="s">
        <v>7</v>
      </c>
      <c r="F12" s="24" t="s">
        <v>167</v>
      </c>
      <c r="G12" s="24" t="s">
        <v>167</v>
      </c>
      <c r="H12" s="24">
        <v>4</v>
      </c>
      <c r="I12" s="24">
        <v>1</v>
      </c>
      <c r="J12" s="24"/>
      <c r="K12" s="24">
        <v>2</v>
      </c>
      <c r="L12" s="24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23">
        <f t="shared" si="2"/>
        <v>20</v>
      </c>
      <c r="U12" s="10">
        <v>20</v>
      </c>
      <c r="V12" s="10">
        <v>10</v>
      </c>
      <c r="W12" s="23">
        <f t="shared" si="1"/>
        <v>19.214285714285715</v>
      </c>
    </row>
    <row r="13" spans="1:23" ht="16">
      <c r="A13" s="3">
        <v>11</v>
      </c>
      <c r="B13" s="24" t="s">
        <v>85</v>
      </c>
      <c r="C13" s="24" t="s">
        <v>136</v>
      </c>
      <c r="D13" s="24"/>
      <c r="E13" s="24" t="s">
        <v>7</v>
      </c>
      <c r="F13" s="24" t="s">
        <v>167</v>
      </c>
      <c r="G13" s="24"/>
      <c r="H13" s="24">
        <v>2</v>
      </c>
      <c r="I13" s="24">
        <v>3</v>
      </c>
      <c r="J13" s="24">
        <v>1</v>
      </c>
      <c r="K13" s="24">
        <v>1.5</v>
      </c>
      <c r="L13" s="24"/>
      <c r="M13" s="3"/>
      <c r="N13" s="3"/>
      <c r="O13" s="3"/>
      <c r="P13" s="3"/>
      <c r="Q13" s="3"/>
      <c r="R13" s="3"/>
      <c r="S13" s="3"/>
      <c r="T13" s="23">
        <f t="shared" si="2"/>
        <v>10</v>
      </c>
      <c r="U13" s="10">
        <v>12</v>
      </c>
      <c r="V13" s="10">
        <v>8</v>
      </c>
      <c r="W13" s="23">
        <f t="shared" si="1"/>
        <v>10.928571428571429</v>
      </c>
    </row>
    <row r="14" spans="1:23" ht="16">
      <c r="A14" s="3">
        <v>12</v>
      </c>
      <c r="B14" s="24" t="s">
        <v>80</v>
      </c>
      <c r="C14" s="24"/>
      <c r="D14" s="24" t="s">
        <v>346</v>
      </c>
      <c r="E14" s="24"/>
      <c r="F14" s="24"/>
      <c r="G14" s="24"/>
      <c r="H14" s="24">
        <v>2</v>
      </c>
      <c r="I14" s="24"/>
      <c r="J14" s="24"/>
      <c r="K14" s="24"/>
      <c r="L14" s="24"/>
      <c r="M14" s="3"/>
      <c r="N14" s="3"/>
      <c r="O14" s="3"/>
      <c r="P14" s="3"/>
      <c r="Q14" s="3"/>
      <c r="R14" s="3"/>
      <c r="S14" s="3"/>
      <c r="T14" s="23">
        <f t="shared" si="2"/>
        <v>2.6666666666666665</v>
      </c>
      <c r="U14" s="10">
        <v>4</v>
      </c>
      <c r="V14" s="10">
        <v>8</v>
      </c>
      <c r="W14" s="23">
        <f t="shared" si="1"/>
        <v>4.6095238095238091</v>
      </c>
    </row>
    <row r="15" spans="1:23" ht="16">
      <c r="A15" s="3">
        <v>13</v>
      </c>
      <c r="B15" s="24" t="s">
        <v>81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3"/>
      <c r="N15" s="3"/>
      <c r="O15" s="3"/>
      <c r="P15" s="3"/>
      <c r="Q15" s="3"/>
      <c r="R15" s="3"/>
      <c r="S15" s="3"/>
      <c r="T15" s="23">
        <f t="shared" si="2"/>
        <v>0</v>
      </c>
      <c r="U15" s="10">
        <v>0</v>
      </c>
      <c r="V15" s="10"/>
      <c r="W15" s="23">
        <f t="shared" si="1"/>
        <v>0</v>
      </c>
    </row>
    <row r="16" spans="1:23" ht="16">
      <c r="A16" s="3">
        <v>14</v>
      </c>
      <c r="B16" s="24" t="s">
        <v>236</v>
      </c>
      <c r="C16" s="24" t="s">
        <v>346</v>
      </c>
      <c r="D16" s="24" t="s">
        <v>137</v>
      </c>
      <c r="E16" s="24" t="s">
        <v>7</v>
      </c>
      <c r="F16" s="24"/>
      <c r="G16" s="24" t="s">
        <v>167</v>
      </c>
      <c r="H16" s="24"/>
      <c r="I16" s="24">
        <v>1</v>
      </c>
      <c r="J16" s="24"/>
      <c r="K16" s="24"/>
      <c r="L16" s="24"/>
      <c r="M16" s="3"/>
      <c r="N16" s="3"/>
      <c r="O16" s="3"/>
      <c r="P16" s="3"/>
      <c r="Q16" s="3"/>
      <c r="R16" s="3"/>
      <c r="S16" s="3"/>
      <c r="T16" s="23">
        <f t="shared" si="2"/>
        <v>1.3333333333333333</v>
      </c>
      <c r="U16" s="10">
        <v>16</v>
      </c>
      <c r="V16" s="10">
        <v>6</v>
      </c>
      <c r="W16" s="23">
        <f t="shared" si="1"/>
        <v>6.8047619047619046</v>
      </c>
    </row>
    <row r="17" spans="1:23" ht="16">
      <c r="A17" s="3">
        <v>15</v>
      </c>
      <c r="B17" s="24" t="s">
        <v>207</v>
      </c>
      <c r="C17" s="24" t="s">
        <v>346</v>
      </c>
      <c r="D17" s="24"/>
      <c r="E17" s="24" t="s">
        <v>7</v>
      </c>
      <c r="F17" s="24" t="s">
        <v>167</v>
      </c>
      <c r="G17" s="24" t="s">
        <v>167</v>
      </c>
      <c r="H17" s="24">
        <v>4</v>
      </c>
      <c r="I17" s="24">
        <v>3</v>
      </c>
      <c r="J17" s="24">
        <v>2</v>
      </c>
      <c r="K17" s="24">
        <v>1</v>
      </c>
      <c r="L17" s="24">
        <v>3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/>
      <c r="S17" s="3"/>
      <c r="T17" s="23">
        <f t="shared" si="2"/>
        <v>24</v>
      </c>
      <c r="U17" s="10">
        <v>16</v>
      </c>
      <c r="V17" s="10">
        <v>16</v>
      </c>
      <c r="W17" s="26">
        <f>+T17*0.55+U17/14*20*0.2+V17*0.25+1</f>
        <v>22.771428571428572</v>
      </c>
    </row>
    <row r="18" spans="1:23" ht="16">
      <c r="A18" s="3">
        <v>16</v>
      </c>
      <c r="B18" s="24" t="s">
        <v>119</v>
      </c>
      <c r="C18" s="24"/>
      <c r="D18" s="24"/>
      <c r="E18" s="24" t="s">
        <v>7</v>
      </c>
      <c r="F18" s="24" t="s">
        <v>167</v>
      </c>
      <c r="G18" s="24"/>
      <c r="H18" s="24"/>
      <c r="I18" s="24">
        <v>3</v>
      </c>
      <c r="J18" s="24">
        <v>1</v>
      </c>
      <c r="K18" s="24">
        <v>1</v>
      </c>
      <c r="L18" s="24"/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/>
      <c r="S18" s="3"/>
      <c r="T18" s="23">
        <f t="shared" si="2"/>
        <v>13.333333333333332</v>
      </c>
      <c r="U18" s="10">
        <v>8</v>
      </c>
      <c r="V18" s="10">
        <v>8</v>
      </c>
      <c r="W18" s="23">
        <f t="shared" si="1"/>
        <v>11.619047619047619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16"/>
  <sheetViews>
    <sheetView workbookViewId="0">
      <selection activeCell="T1" sqref="T1:W3"/>
    </sheetView>
  </sheetViews>
  <sheetFormatPr baseColWidth="10" defaultRowHeight="13"/>
  <cols>
    <col min="1" max="1" width="3" bestFit="1" customWidth="1"/>
    <col min="2" max="2" width="34.42578125" bestFit="1" customWidth="1"/>
    <col min="3" max="7" width="3.85546875" customWidth="1"/>
    <col min="8" max="12" width="3.5703125" customWidth="1"/>
    <col min="13" max="19" width="4.7109375" customWidth="1"/>
    <col min="20" max="23" width="4.7109375" style="8" customWidth="1"/>
    <col min="24" max="26" width="4.7109375" customWidth="1"/>
  </cols>
  <sheetData>
    <row r="1" spans="1:23">
      <c r="B1" t="s">
        <v>69</v>
      </c>
      <c r="H1">
        <v>2</v>
      </c>
      <c r="I1">
        <v>2</v>
      </c>
      <c r="J1">
        <v>1</v>
      </c>
      <c r="K1">
        <v>3</v>
      </c>
      <c r="L1">
        <v>1</v>
      </c>
      <c r="M1">
        <v>1</v>
      </c>
      <c r="O1">
        <v>1</v>
      </c>
      <c r="P1">
        <v>1</v>
      </c>
      <c r="Q1">
        <v>1</v>
      </c>
      <c r="R1">
        <v>1</v>
      </c>
      <c r="T1" s="7">
        <v>0.55000000000000004</v>
      </c>
      <c r="U1" s="7">
        <v>0.2</v>
      </c>
      <c r="V1" s="7">
        <v>0.25</v>
      </c>
      <c r="W1" s="28"/>
    </row>
    <row r="2" spans="1:23">
      <c r="H2" t="s">
        <v>112</v>
      </c>
      <c r="I2" t="s">
        <v>14</v>
      </c>
      <c r="J2" t="s">
        <v>64</v>
      </c>
      <c r="K2" t="s">
        <v>109</v>
      </c>
      <c r="L2" t="s">
        <v>320</v>
      </c>
      <c r="M2" t="s">
        <v>273</v>
      </c>
      <c r="N2" t="s">
        <v>256</v>
      </c>
      <c r="O2" t="s">
        <v>265</v>
      </c>
      <c r="P2" t="s">
        <v>255</v>
      </c>
      <c r="Q2" t="s">
        <v>334</v>
      </c>
      <c r="R2" t="s">
        <v>335</v>
      </c>
      <c r="S2" t="s">
        <v>336</v>
      </c>
      <c r="T2" s="8" t="s">
        <v>135</v>
      </c>
      <c r="U2" s="8" t="s">
        <v>133</v>
      </c>
      <c r="V2" s="8" t="s">
        <v>180</v>
      </c>
      <c r="W2" s="28" t="s">
        <v>181</v>
      </c>
    </row>
    <row r="3" spans="1:23" ht="16">
      <c r="A3" s="3">
        <v>1</v>
      </c>
      <c r="B3" s="24" t="s">
        <v>120</v>
      </c>
      <c r="C3" s="24" t="s">
        <v>346</v>
      </c>
      <c r="D3" s="24" t="s">
        <v>346</v>
      </c>
      <c r="E3" s="24" t="s">
        <v>13</v>
      </c>
      <c r="F3" s="24" t="s">
        <v>167</v>
      </c>
      <c r="G3" s="24" t="s">
        <v>167</v>
      </c>
      <c r="H3" s="24">
        <v>1</v>
      </c>
      <c r="I3" s="24"/>
      <c r="J3" s="24">
        <v>1</v>
      </c>
      <c r="K3" s="24">
        <v>1</v>
      </c>
      <c r="L3" s="24">
        <v>2</v>
      </c>
      <c r="M3" s="3"/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23">
        <f t="shared" ref="T3:T13" si="0">SUM(H3:S3)/13*20</f>
        <v>16.923076923076923</v>
      </c>
      <c r="U3" s="10">
        <v>20</v>
      </c>
      <c r="V3" s="10">
        <v>6</v>
      </c>
      <c r="W3" s="23">
        <f>+T3*0.55+U3/14*20*0.2+V3*0.25</f>
        <v>16.521978021978022</v>
      </c>
    </row>
    <row r="4" spans="1:23" ht="16">
      <c r="A4" s="3">
        <v>2</v>
      </c>
      <c r="B4" s="24" t="s">
        <v>115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3"/>
      <c r="N4" s="3"/>
      <c r="O4" s="3"/>
      <c r="P4" s="3"/>
      <c r="Q4" s="3"/>
      <c r="R4" s="3"/>
      <c r="S4" s="3"/>
      <c r="T4" s="23">
        <f t="shared" si="0"/>
        <v>0</v>
      </c>
      <c r="U4" s="10">
        <v>0</v>
      </c>
      <c r="V4" s="10"/>
      <c r="W4" s="23">
        <f t="shared" ref="W4:W16" si="1">+T4*0.55+U4/14*20*0.2+V4*0.25</f>
        <v>0</v>
      </c>
    </row>
    <row r="5" spans="1:23" ht="16">
      <c r="A5" s="3">
        <v>3</v>
      </c>
      <c r="B5" s="24" t="s">
        <v>331</v>
      </c>
      <c r="C5" s="24" t="s">
        <v>140</v>
      </c>
      <c r="D5" s="24" t="s">
        <v>346</v>
      </c>
      <c r="E5" s="24" t="s">
        <v>13</v>
      </c>
      <c r="F5" s="24" t="s">
        <v>167</v>
      </c>
      <c r="G5" s="24" t="s">
        <v>167</v>
      </c>
      <c r="H5" s="24">
        <v>3</v>
      </c>
      <c r="I5" s="24"/>
      <c r="J5" s="24">
        <v>1</v>
      </c>
      <c r="K5" s="24">
        <v>1</v>
      </c>
      <c r="L5" s="24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/>
      <c r="T5" s="23">
        <f t="shared" si="0"/>
        <v>18.461538461538463</v>
      </c>
      <c r="U5" s="10">
        <v>20</v>
      </c>
      <c r="V5" s="10">
        <v>7</v>
      </c>
      <c r="W5" s="23">
        <f t="shared" si="1"/>
        <v>17.618131868131869</v>
      </c>
    </row>
    <row r="6" spans="1:23" ht="16">
      <c r="A6" s="3">
        <v>4</v>
      </c>
      <c r="B6" s="24" t="s">
        <v>116</v>
      </c>
      <c r="C6" s="24" t="s">
        <v>140</v>
      </c>
      <c r="D6" s="24" t="s">
        <v>346</v>
      </c>
      <c r="E6" s="24"/>
      <c r="F6" s="24" t="s">
        <v>167</v>
      </c>
      <c r="G6" s="24" t="s">
        <v>167</v>
      </c>
      <c r="H6" s="24">
        <v>1</v>
      </c>
      <c r="I6" s="24"/>
      <c r="J6" s="24">
        <v>1</v>
      </c>
      <c r="K6" s="24">
        <v>1</v>
      </c>
      <c r="L6" s="24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/>
      <c r="T6" s="23">
        <f t="shared" si="0"/>
        <v>15.384615384615385</v>
      </c>
      <c r="U6" s="10">
        <v>16</v>
      </c>
      <c r="V6" s="10">
        <v>5</v>
      </c>
      <c r="W6" s="23">
        <f t="shared" si="1"/>
        <v>14.282967032967033</v>
      </c>
    </row>
    <row r="7" spans="1:23" ht="16">
      <c r="A7" s="3">
        <v>5</v>
      </c>
      <c r="B7" s="25" t="s">
        <v>73</v>
      </c>
      <c r="C7" s="25"/>
      <c r="D7" s="25"/>
      <c r="E7" s="25"/>
      <c r="F7" s="25" t="s">
        <v>167</v>
      </c>
      <c r="G7" s="25" t="s">
        <v>167</v>
      </c>
      <c r="H7" s="25"/>
      <c r="I7" s="25"/>
      <c r="J7" s="25"/>
      <c r="K7" s="25"/>
      <c r="L7" s="25"/>
      <c r="M7" s="3"/>
      <c r="N7" s="3"/>
      <c r="O7" s="3"/>
      <c r="P7" s="3"/>
      <c r="Q7" s="3"/>
      <c r="R7" s="3"/>
      <c r="S7" s="3"/>
      <c r="T7" s="23">
        <f t="shared" si="0"/>
        <v>0</v>
      </c>
      <c r="U7" s="10">
        <v>8</v>
      </c>
      <c r="V7" s="10">
        <v>5</v>
      </c>
      <c r="W7" s="23">
        <f t="shared" si="1"/>
        <v>3.5357142857142856</v>
      </c>
    </row>
    <row r="8" spans="1:23" ht="16">
      <c r="A8" s="3">
        <v>6</v>
      </c>
      <c r="B8" s="24" t="s">
        <v>79</v>
      </c>
      <c r="C8" s="24" t="s">
        <v>346</v>
      </c>
      <c r="D8" s="24" t="s">
        <v>346</v>
      </c>
      <c r="E8" s="24" t="s">
        <v>13</v>
      </c>
      <c r="F8" s="24" t="s">
        <v>167</v>
      </c>
      <c r="G8" s="24"/>
      <c r="H8" s="24"/>
      <c r="I8" s="24">
        <v>1</v>
      </c>
      <c r="J8" s="24">
        <v>1</v>
      </c>
      <c r="K8" s="24">
        <v>1</v>
      </c>
      <c r="L8" s="24">
        <v>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/>
      <c r="T8" s="23">
        <f t="shared" si="0"/>
        <v>16.923076923076923</v>
      </c>
      <c r="U8" s="10">
        <v>16</v>
      </c>
      <c r="V8" s="10">
        <v>11</v>
      </c>
      <c r="W8" s="23">
        <f t="shared" si="1"/>
        <v>16.62912087912088</v>
      </c>
    </row>
    <row r="9" spans="1:23" ht="16">
      <c r="A9" s="3">
        <v>7</v>
      </c>
      <c r="B9" s="24" t="s">
        <v>365</v>
      </c>
      <c r="C9" s="24" t="s">
        <v>346</v>
      </c>
      <c r="D9" s="24" t="s">
        <v>346</v>
      </c>
      <c r="E9" s="24" t="s">
        <v>13</v>
      </c>
      <c r="F9" s="24" t="s">
        <v>167</v>
      </c>
      <c r="G9" s="24" t="s">
        <v>167</v>
      </c>
      <c r="H9" s="24">
        <v>2</v>
      </c>
      <c r="I9" s="24">
        <v>1</v>
      </c>
      <c r="J9" s="24">
        <v>2</v>
      </c>
      <c r="K9" s="24">
        <v>1</v>
      </c>
      <c r="L9" s="24">
        <v>2</v>
      </c>
      <c r="M9" s="3">
        <v>1</v>
      </c>
      <c r="N9" s="3">
        <v>1</v>
      </c>
      <c r="O9" s="3"/>
      <c r="P9" s="3"/>
      <c r="Q9" s="3"/>
      <c r="R9" s="3"/>
      <c r="S9" s="3"/>
      <c r="T9" s="23">
        <f t="shared" si="0"/>
        <v>15.384615384615385</v>
      </c>
      <c r="U9" s="10">
        <v>20</v>
      </c>
      <c r="V9" s="10">
        <v>20</v>
      </c>
      <c r="W9" s="23">
        <f t="shared" si="1"/>
        <v>19.175824175824175</v>
      </c>
    </row>
    <row r="10" spans="1:23" ht="16">
      <c r="A10" s="3">
        <v>8</v>
      </c>
      <c r="B10" s="24" t="s">
        <v>279</v>
      </c>
      <c r="C10" s="24" t="s">
        <v>140</v>
      </c>
      <c r="D10" s="24"/>
      <c r="E10" s="24" t="s">
        <v>12</v>
      </c>
      <c r="F10" s="24" t="s">
        <v>167</v>
      </c>
      <c r="G10" s="24" t="s">
        <v>167</v>
      </c>
      <c r="H10" s="24"/>
      <c r="I10" s="24">
        <v>1</v>
      </c>
      <c r="J10" s="24"/>
      <c r="K10" s="24">
        <v>1</v>
      </c>
      <c r="L10" s="24">
        <v>2</v>
      </c>
      <c r="M10" s="3">
        <v>1</v>
      </c>
      <c r="N10" s="3"/>
      <c r="O10" s="3">
        <v>1</v>
      </c>
      <c r="P10" s="3">
        <v>1</v>
      </c>
      <c r="Q10" s="3">
        <v>1</v>
      </c>
      <c r="R10" s="3"/>
      <c r="S10" s="3"/>
      <c r="T10" s="23">
        <f t="shared" si="0"/>
        <v>12.307692307692308</v>
      </c>
      <c r="U10" s="10">
        <v>16</v>
      </c>
      <c r="V10" s="10">
        <v>5</v>
      </c>
      <c r="W10" s="23">
        <f t="shared" si="1"/>
        <v>12.590659340659341</v>
      </c>
    </row>
    <row r="11" spans="1:23" ht="16">
      <c r="A11" s="3">
        <v>9</v>
      </c>
      <c r="B11" s="24" t="s">
        <v>280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"/>
      <c r="N11" s="3"/>
      <c r="O11" s="3"/>
      <c r="P11" s="3"/>
      <c r="Q11" s="3"/>
      <c r="R11" s="3"/>
      <c r="S11" s="3"/>
      <c r="T11" s="23">
        <f t="shared" si="0"/>
        <v>0</v>
      </c>
      <c r="U11" s="10">
        <v>0</v>
      </c>
      <c r="V11" s="10"/>
      <c r="W11" s="23">
        <f t="shared" si="1"/>
        <v>0</v>
      </c>
    </row>
    <row r="12" spans="1:23" ht="16">
      <c r="A12" s="3">
        <v>10</v>
      </c>
      <c r="B12" s="24" t="s">
        <v>53</v>
      </c>
      <c r="C12" s="24" t="s">
        <v>137</v>
      </c>
      <c r="D12" s="24"/>
      <c r="E12" s="24"/>
      <c r="F12" s="24"/>
      <c r="G12" s="24"/>
      <c r="H12" s="24"/>
      <c r="I12" s="24"/>
      <c r="J12" s="24"/>
      <c r="K12" s="24"/>
      <c r="L12" s="24"/>
      <c r="M12" s="3"/>
      <c r="N12" s="3"/>
      <c r="O12" s="3"/>
      <c r="P12" s="3"/>
      <c r="Q12" s="3"/>
      <c r="R12" s="3"/>
      <c r="S12" s="3"/>
      <c r="T12" s="23">
        <f t="shared" si="0"/>
        <v>0</v>
      </c>
      <c r="U12" s="10">
        <v>4</v>
      </c>
      <c r="V12" s="10"/>
      <c r="W12" s="23">
        <f t="shared" si="1"/>
        <v>1.1428571428571428</v>
      </c>
    </row>
    <row r="13" spans="1:23" ht="16">
      <c r="A13" s="3">
        <v>11</v>
      </c>
      <c r="B13" s="24" t="s">
        <v>190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"/>
      <c r="N13" s="3"/>
      <c r="O13" s="3"/>
      <c r="P13" s="3"/>
      <c r="Q13" s="3"/>
      <c r="R13" s="3"/>
      <c r="S13" s="3"/>
      <c r="T13" s="23">
        <f t="shared" si="0"/>
        <v>0</v>
      </c>
      <c r="U13" s="10">
        <v>0</v>
      </c>
      <c r="V13" s="10"/>
      <c r="W13" s="23">
        <f t="shared" si="1"/>
        <v>0</v>
      </c>
    </row>
    <row r="14" spans="1:23" ht="16">
      <c r="A14" s="3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"/>
      <c r="N14" s="3"/>
      <c r="O14" s="3"/>
      <c r="P14" s="3"/>
      <c r="Q14" s="3"/>
      <c r="R14" s="3"/>
      <c r="S14" s="3"/>
      <c r="T14" s="23">
        <f t="shared" ref="T14:T16" si="2">SUM(H14:S14)/13*20</f>
        <v>0</v>
      </c>
      <c r="U14" s="10"/>
      <c r="V14" s="10"/>
      <c r="W14" s="23">
        <f t="shared" si="1"/>
        <v>0</v>
      </c>
    </row>
    <row r="15" spans="1:23" ht="16">
      <c r="A15" s="3">
        <v>12</v>
      </c>
      <c r="B15" s="24" t="s">
        <v>54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3"/>
      <c r="N15" s="3"/>
      <c r="O15" s="3"/>
      <c r="P15" s="3"/>
      <c r="Q15" s="3"/>
      <c r="R15" s="3"/>
      <c r="S15" s="3"/>
      <c r="T15" s="23">
        <f t="shared" si="2"/>
        <v>0</v>
      </c>
      <c r="U15" s="10">
        <v>0</v>
      </c>
      <c r="V15" s="10"/>
      <c r="W15" s="23">
        <f t="shared" si="1"/>
        <v>0</v>
      </c>
    </row>
    <row r="16" spans="1:23" ht="16">
      <c r="A16" s="3">
        <v>13</v>
      </c>
      <c r="B16" s="24" t="s">
        <v>132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3"/>
      <c r="N16" s="3"/>
      <c r="O16" s="3"/>
      <c r="P16" s="3"/>
      <c r="Q16" s="3"/>
      <c r="R16" s="3"/>
      <c r="S16" s="3"/>
      <c r="T16" s="23">
        <f t="shared" si="2"/>
        <v>0</v>
      </c>
      <c r="U16" s="10">
        <v>0</v>
      </c>
      <c r="V16" s="10"/>
      <c r="W16" s="23">
        <f t="shared" si="1"/>
        <v>0</v>
      </c>
    </row>
  </sheetData>
  <sheetCalcPr fullCalcOnLoad="1"/>
  <sortState ref="B3:U13">
    <sortCondition ref="B3:B13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Q20"/>
  <sheetViews>
    <sheetView workbookViewId="0">
      <selection activeCell="F25" sqref="F25"/>
    </sheetView>
  </sheetViews>
  <sheetFormatPr baseColWidth="10" defaultRowHeight="13"/>
  <cols>
    <col min="1" max="1" width="3" bestFit="1" customWidth="1"/>
    <col min="2" max="2" width="22.28515625" bestFit="1" customWidth="1"/>
    <col min="3" max="5" width="3.5703125" customWidth="1"/>
    <col min="6" max="6" width="4.5703125" bestFit="1" customWidth="1"/>
    <col min="7" max="8" width="3.5703125" customWidth="1"/>
    <col min="9" max="10" width="4.42578125" customWidth="1"/>
    <col min="11" max="11" width="5.85546875" customWidth="1"/>
    <col min="12" max="14" width="8" style="8" customWidth="1"/>
    <col min="15" max="15" width="8" style="58" customWidth="1"/>
  </cols>
  <sheetData>
    <row r="2" spans="1:17">
      <c r="L2" s="7">
        <v>0.55000000000000004</v>
      </c>
      <c r="M2" s="7">
        <v>0.2</v>
      </c>
      <c r="N2" s="7">
        <v>0.25</v>
      </c>
    </row>
    <row r="3" spans="1:17">
      <c r="F3" t="s">
        <v>196</v>
      </c>
      <c r="G3" t="s">
        <v>382</v>
      </c>
      <c r="K3" t="s">
        <v>20</v>
      </c>
      <c r="L3" s="8" t="s">
        <v>135</v>
      </c>
      <c r="M3" s="8" t="s">
        <v>133</v>
      </c>
      <c r="N3" s="8" t="s">
        <v>180</v>
      </c>
      <c r="O3" s="58" t="s">
        <v>181</v>
      </c>
      <c r="P3" s="8" t="s">
        <v>246</v>
      </c>
      <c r="Q3" s="8" t="s">
        <v>246</v>
      </c>
    </row>
    <row r="4" spans="1:17">
      <c r="A4" s="3">
        <v>1</v>
      </c>
      <c r="B4" s="3" t="s">
        <v>124</v>
      </c>
      <c r="C4" s="3"/>
      <c r="D4" s="3">
        <v>1</v>
      </c>
      <c r="E4" s="3">
        <v>2</v>
      </c>
      <c r="F4" s="3">
        <v>2</v>
      </c>
      <c r="G4" s="3">
        <v>3</v>
      </c>
      <c r="H4" s="3">
        <v>2</v>
      </c>
      <c r="I4" s="3"/>
      <c r="J4" s="3">
        <v>1</v>
      </c>
      <c r="K4" s="3">
        <v>5</v>
      </c>
      <c r="L4" s="59">
        <f t="shared" ref="L4:L18" si="0">SUM(C4:K4)/21*20</f>
        <v>15.238095238095237</v>
      </c>
      <c r="M4" s="10">
        <v>5</v>
      </c>
      <c r="N4" s="10">
        <v>10.5</v>
      </c>
      <c r="O4" s="59">
        <f t="shared" ref="O4:O18" si="1">+L4*0.55+M4/6*20*0.2+N4*0.25</f>
        <v>14.339285714285715</v>
      </c>
      <c r="P4">
        <v>14.339285714285715</v>
      </c>
      <c r="Q4">
        <f>ROUND(P4,0)</f>
        <v>14</v>
      </c>
    </row>
    <row r="5" spans="1:17">
      <c r="A5" s="3">
        <v>2</v>
      </c>
      <c r="B5" s="3" t="s">
        <v>118</v>
      </c>
      <c r="C5" s="3">
        <v>1</v>
      </c>
      <c r="D5" s="3">
        <v>1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1.5</v>
      </c>
      <c r="K5" s="3">
        <v>4</v>
      </c>
      <c r="L5" s="59">
        <f t="shared" si="0"/>
        <v>16.666666666666668</v>
      </c>
      <c r="M5" s="10">
        <v>6</v>
      </c>
      <c r="N5" s="10">
        <v>8</v>
      </c>
      <c r="O5" s="59">
        <f t="shared" si="1"/>
        <v>15.166666666666668</v>
      </c>
      <c r="P5">
        <v>15.166666666666668</v>
      </c>
      <c r="Q5">
        <f t="shared" ref="Q5:Q19" si="2">ROUND(P5,0)</f>
        <v>15</v>
      </c>
    </row>
    <row r="6" spans="1:17">
      <c r="A6" s="3">
        <v>3</v>
      </c>
      <c r="B6" s="3" t="s">
        <v>122</v>
      </c>
      <c r="C6" s="3"/>
      <c r="D6" s="3">
        <v>2</v>
      </c>
      <c r="E6" s="3">
        <v>2</v>
      </c>
      <c r="F6" s="3">
        <v>0</v>
      </c>
      <c r="G6" s="3">
        <v>2</v>
      </c>
      <c r="H6" s="3">
        <v>2</v>
      </c>
      <c r="I6" s="3">
        <v>2</v>
      </c>
      <c r="J6" s="3">
        <v>2</v>
      </c>
      <c r="K6" s="3">
        <v>6</v>
      </c>
      <c r="L6" s="59">
        <f t="shared" si="0"/>
        <v>17.142857142857142</v>
      </c>
      <c r="M6" s="10">
        <v>3</v>
      </c>
      <c r="N6" s="10">
        <v>14.5</v>
      </c>
      <c r="O6" s="59">
        <f t="shared" si="1"/>
        <v>15.053571428571429</v>
      </c>
      <c r="P6">
        <v>15.053571428571429</v>
      </c>
      <c r="Q6">
        <f t="shared" si="2"/>
        <v>15</v>
      </c>
    </row>
    <row r="7" spans="1:17">
      <c r="A7" s="3">
        <v>4</v>
      </c>
      <c r="B7" s="3" t="s">
        <v>16</v>
      </c>
      <c r="C7" s="3"/>
      <c r="D7" s="3"/>
      <c r="E7" s="3">
        <v>1</v>
      </c>
      <c r="F7" s="3"/>
      <c r="G7" s="3">
        <v>3</v>
      </c>
      <c r="H7" s="3"/>
      <c r="I7" s="3"/>
      <c r="J7" s="3">
        <v>1</v>
      </c>
      <c r="K7" s="3">
        <v>2</v>
      </c>
      <c r="L7" s="59">
        <f t="shared" si="0"/>
        <v>6.6666666666666661</v>
      </c>
      <c r="M7" s="10">
        <v>2</v>
      </c>
      <c r="N7" s="10">
        <v>10</v>
      </c>
      <c r="O7" s="59">
        <f t="shared" si="1"/>
        <v>7.5</v>
      </c>
      <c r="P7">
        <v>7.5</v>
      </c>
      <c r="Q7">
        <f t="shared" si="2"/>
        <v>8</v>
      </c>
    </row>
    <row r="8" spans="1:17">
      <c r="A8" s="3">
        <v>5</v>
      </c>
      <c r="B8" s="3" t="s">
        <v>2</v>
      </c>
      <c r="C8" s="3"/>
      <c r="D8" s="3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1</v>
      </c>
      <c r="K8" s="3">
        <v>6</v>
      </c>
      <c r="L8" s="59">
        <f t="shared" si="0"/>
        <v>17.142857142857142</v>
      </c>
      <c r="M8" s="10">
        <v>5</v>
      </c>
      <c r="N8" s="10">
        <v>13</v>
      </c>
      <c r="O8" s="59">
        <f t="shared" si="1"/>
        <v>16.011904761904763</v>
      </c>
      <c r="P8">
        <v>16.011904761904763</v>
      </c>
      <c r="Q8">
        <f t="shared" si="2"/>
        <v>16</v>
      </c>
    </row>
    <row r="9" spans="1:17">
      <c r="A9" s="3">
        <v>6</v>
      </c>
      <c r="B9" s="3" t="s">
        <v>314</v>
      </c>
      <c r="C9" s="3">
        <v>1</v>
      </c>
      <c r="D9" s="3">
        <v>2</v>
      </c>
      <c r="E9" s="3">
        <v>2</v>
      </c>
      <c r="F9" s="3">
        <v>2</v>
      </c>
      <c r="G9" s="3">
        <v>2</v>
      </c>
      <c r="H9" s="3">
        <v>3</v>
      </c>
      <c r="I9" s="3"/>
      <c r="J9" s="3">
        <v>2</v>
      </c>
      <c r="K9" s="3">
        <v>7</v>
      </c>
      <c r="L9" s="59">
        <f t="shared" si="0"/>
        <v>20</v>
      </c>
      <c r="M9" s="10">
        <v>6</v>
      </c>
      <c r="N9" s="10">
        <v>12</v>
      </c>
      <c r="O9" s="59">
        <f t="shared" si="1"/>
        <v>18</v>
      </c>
      <c r="P9">
        <v>18</v>
      </c>
      <c r="Q9">
        <f t="shared" si="2"/>
        <v>18</v>
      </c>
    </row>
    <row r="10" spans="1:17">
      <c r="A10" s="3">
        <v>7</v>
      </c>
      <c r="B10" s="3" t="s">
        <v>3</v>
      </c>
      <c r="C10" s="3"/>
      <c r="D10" s="3">
        <v>2</v>
      </c>
      <c r="E10" s="3">
        <v>1</v>
      </c>
      <c r="F10" s="3">
        <v>2</v>
      </c>
      <c r="G10" s="3">
        <v>2</v>
      </c>
      <c r="H10" s="3">
        <v>3</v>
      </c>
      <c r="I10" s="3"/>
      <c r="J10" s="3">
        <v>1</v>
      </c>
      <c r="K10" s="3">
        <v>6</v>
      </c>
      <c r="L10" s="59">
        <f t="shared" si="0"/>
        <v>16.19047619047619</v>
      </c>
      <c r="M10" s="10">
        <v>5</v>
      </c>
      <c r="N10" s="10">
        <v>10</v>
      </c>
      <c r="O10" s="59">
        <f t="shared" si="1"/>
        <v>14.738095238095239</v>
      </c>
      <c r="P10">
        <v>14.738095238095239</v>
      </c>
      <c r="Q10">
        <f t="shared" si="2"/>
        <v>15</v>
      </c>
    </row>
    <row r="11" spans="1:17">
      <c r="A11" s="3">
        <v>8</v>
      </c>
      <c r="B11" s="3" t="s">
        <v>117</v>
      </c>
      <c r="C11" s="3">
        <v>1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/>
      <c r="J11" s="3">
        <v>1</v>
      </c>
      <c r="K11" s="3">
        <v>4</v>
      </c>
      <c r="L11" s="59">
        <f t="shared" si="0"/>
        <v>15.238095238095237</v>
      </c>
      <c r="M11" s="10">
        <v>6</v>
      </c>
      <c r="N11" s="10">
        <v>17</v>
      </c>
      <c r="O11" s="59">
        <f t="shared" si="1"/>
        <v>16.63095238095238</v>
      </c>
      <c r="P11">
        <v>16.63095238095238</v>
      </c>
      <c r="Q11">
        <f t="shared" si="2"/>
        <v>17</v>
      </c>
    </row>
    <row r="12" spans="1:17">
      <c r="A12" s="3">
        <v>9</v>
      </c>
      <c r="B12" s="3" t="s">
        <v>316</v>
      </c>
      <c r="C12" s="3">
        <v>2</v>
      </c>
      <c r="D12" s="3">
        <v>1</v>
      </c>
      <c r="E12" s="3">
        <v>1</v>
      </c>
      <c r="F12" s="3">
        <v>1</v>
      </c>
      <c r="G12" s="3">
        <v>1</v>
      </c>
      <c r="H12" s="3">
        <v>2</v>
      </c>
      <c r="I12" s="3"/>
      <c r="J12" s="3"/>
      <c r="K12" s="3">
        <v>6</v>
      </c>
      <c r="L12" s="59">
        <f t="shared" si="0"/>
        <v>13.333333333333332</v>
      </c>
      <c r="M12" s="10">
        <v>6</v>
      </c>
      <c r="N12" s="10">
        <v>10</v>
      </c>
      <c r="O12" s="59">
        <f t="shared" si="1"/>
        <v>13.833333333333332</v>
      </c>
      <c r="P12">
        <v>13.833333333333332</v>
      </c>
      <c r="Q12">
        <f t="shared" si="2"/>
        <v>14</v>
      </c>
    </row>
    <row r="13" spans="1:17">
      <c r="A13" s="3">
        <v>10</v>
      </c>
      <c r="B13" s="3" t="s">
        <v>197</v>
      </c>
      <c r="C13" s="3"/>
      <c r="D13" s="3"/>
      <c r="E13" s="3"/>
      <c r="F13" s="3">
        <v>0</v>
      </c>
      <c r="G13" s="3"/>
      <c r="H13" s="3"/>
      <c r="I13" s="3"/>
      <c r="J13" s="3">
        <v>1</v>
      </c>
      <c r="K13" s="3"/>
      <c r="L13" s="59">
        <f t="shared" si="0"/>
        <v>0.95238095238095233</v>
      </c>
      <c r="M13" s="10">
        <v>0</v>
      </c>
      <c r="N13" s="10">
        <v>11</v>
      </c>
      <c r="O13" s="59">
        <f t="shared" si="1"/>
        <v>3.2738095238095237</v>
      </c>
      <c r="P13">
        <v>3.2738095238095237</v>
      </c>
      <c r="Q13">
        <f t="shared" si="2"/>
        <v>3</v>
      </c>
    </row>
    <row r="14" spans="1:17">
      <c r="A14" s="3">
        <v>11</v>
      </c>
      <c r="B14" s="3" t="s">
        <v>17</v>
      </c>
      <c r="C14" s="3"/>
      <c r="D14" s="3"/>
      <c r="E14" s="3">
        <v>1</v>
      </c>
      <c r="F14" s="3">
        <v>1</v>
      </c>
      <c r="G14" s="3">
        <v>1</v>
      </c>
      <c r="H14" s="3"/>
      <c r="I14" s="3">
        <v>1</v>
      </c>
      <c r="J14" s="3">
        <v>1</v>
      </c>
      <c r="K14" s="3">
        <v>6</v>
      </c>
      <c r="L14" s="59">
        <f t="shared" si="0"/>
        <v>10.476190476190476</v>
      </c>
      <c r="M14" s="10">
        <v>2</v>
      </c>
      <c r="N14" s="10">
        <v>13</v>
      </c>
      <c r="O14" s="59">
        <f t="shared" si="1"/>
        <v>10.345238095238095</v>
      </c>
      <c r="P14">
        <v>10.345238095238095</v>
      </c>
      <c r="Q14">
        <f t="shared" si="2"/>
        <v>10</v>
      </c>
    </row>
    <row r="15" spans="1:17">
      <c r="A15" s="3">
        <v>12</v>
      </c>
      <c r="B15" s="3" t="s">
        <v>123</v>
      </c>
      <c r="C15" s="3"/>
      <c r="D15" s="3">
        <v>1</v>
      </c>
      <c r="E15" s="3"/>
      <c r="F15" s="3">
        <v>1</v>
      </c>
      <c r="G15" s="3">
        <v>3</v>
      </c>
      <c r="H15" s="3"/>
      <c r="I15" s="3"/>
      <c r="J15" s="3">
        <v>1</v>
      </c>
      <c r="K15" s="3">
        <v>5</v>
      </c>
      <c r="L15" s="59">
        <f t="shared" si="0"/>
        <v>10.476190476190476</v>
      </c>
      <c r="M15" s="10">
        <v>3</v>
      </c>
      <c r="N15" s="10">
        <v>13.5</v>
      </c>
      <c r="O15" s="59">
        <f t="shared" si="1"/>
        <v>11.136904761904763</v>
      </c>
      <c r="P15">
        <v>11.136904761904763</v>
      </c>
      <c r="Q15">
        <f t="shared" si="2"/>
        <v>11</v>
      </c>
    </row>
    <row r="16" spans="1:17">
      <c r="A16" s="3">
        <v>13</v>
      </c>
      <c r="B16" s="3" t="s">
        <v>315</v>
      </c>
      <c r="C16" s="3">
        <v>2</v>
      </c>
      <c r="D16" s="3"/>
      <c r="E16" s="3">
        <v>2</v>
      </c>
      <c r="F16" s="3">
        <v>1</v>
      </c>
      <c r="G16" s="3">
        <v>2</v>
      </c>
      <c r="H16" s="3">
        <v>3</v>
      </c>
      <c r="I16" s="3">
        <v>2</v>
      </c>
      <c r="J16" s="3">
        <v>1.5</v>
      </c>
      <c r="K16" s="3">
        <v>6</v>
      </c>
      <c r="L16" s="59">
        <f t="shared" si="0"/>
        <v>18.571428571428573</v>
      </c>
      <c r="M16" s="10">
        <v>4</v>
      </c>
      <c r="N16" s="10">
        <v>8</v>
      </c>
      <c r="O16" s="59">
        <f t="shared" si="1"/>
        <v>14.880952380952381</v>
      </c>
      <c r="P16">
        <v>14.880952380952381</v>
      </c>
      <c r="Q16">
        <f t="shared" si="2"/>
        <v>15</v>
      </c>
    </row>
    <row r="17" spans="1:17">
      <c r="A17" s="3">
        <v>14</v>
      </c>
      <c r="B17" s="3" t="s">
        <v>15</v>
      </c>
      <c r="C17" s="3"/>
      <c r="D17" s="3">
        <v>2</v>
      </c>
      <c r="E17" s="3">
        <v>2</v>
      </c>
      <c r="F17" s="3">
        <v>1</v>
      </c>
      <c r="G17" s="3">
        <v>3</v>
      </c>
      <c r="H17" s="3">
        <v>2</v>
      </c>
      <c r="I17" s="3"/>
      <c r="J17" s="3">
        <v>2</v>
      </c>
      <c r="K17" s="3">
        <v>4</v>
      </c>
      <c r="L17" s="59">
        <f t="shared" si="0"/>
        <v>15.238095238095237</v>
      </c>
      <c r="M17" s="10">
        <v>4</v>
      </c>
      <c r="N17" s="10">
        <v>11.5</v>
      </c>
      <c r="O17" s="59">
        <f t="shared" si="1"/>
        <v>13.922619047619047</v>
      </c>
      <c r="P17">
        <v>13.922619047619047</v>
      </c>
      <c r="Q17">
        <f t="shared" si="2"/>
        <v>14</v>
      </c>
    </row>
    <row r="18" spans="1:17">
      <c r="A18" s="3">
        <v>15</v>
      </c>
      <c r="B18" s="3" t="s">
        <v>1</v>
      </c>
      <c r="C18" s="3">
        <v>1</v>
      </c>
      <c r="D18" s="3">
        <v>4</v>
      </c>
      <c r="E18" s="3">
        <v>2</v>
      </c>
      <c r="F18" s="3">
        <v>2</v>
      </c>
      <c r="G18" s="3">
        <v>2</v>
      </c>
      <c r="H18" s="3">
        <v>3</v>
      </c>
      <c r="I18" s="3">
        <v>2</v>
      </c>
      <c r="J18" s="3">
        <v>1.5</v>
      </c>
      <c r="K18" s="3">
        <v>6</v>
      </c>
      <c r="L18" s="59">
        <f t="shared" si="0"/>
        <v>22.38095238095238</v>
      </c>
      <c r="M18" s="10">
        <v>6</v>
      </c>
      <c r="N18" s="10">
        <v>13.5</v>
      </c>
      <c r="O18" s="59">
        <f t="shared" si="1"/>
        <v>19.68452380952381</v>
      </c>
      <c r="P18">
        <v>19.68452380952381</v>
      </c>
      <c r="Q18">
        <f t="shared" si="2"/>
        <v>20</v>
      </c>
    </row>
    <row r="19" spans="1:17">
      <c r="A19" s="3"/>
      <c r="B19" s="6" t="s">
        <v>333</v>
      </c>
      <c r="C19" s="3"/>
      <c r="D19" s="3"/>
      <c r="E19" s="3"/>
      <c r="F19" s="6">
        <v>1</v>
      </c>
      <c r="G19" s="3"/>
      <c r="H19" s="3"/>
      <c r="I19" s="3"/>
      <c r="J19" s="3"/>
      <c r="K19" s="3"/>
      <c r="L19" s="52">
        <f>SUM(C19:K19)/21*20</f>
        <v>0.95238095238095233</v>
      </c>
      <c r="M19" s="10">
        <v>1</v>
      </c>
      <c r="N19" s="10"/>
      <c r="O19" s="59">
        <f>+L19*0.55+M19/6*20*0.2+N19*0.25</f>
        <v>1.1904761904761905</v>
      </c>
      <c r="P19">
        <v>1.1904761904761905</v>
      </c>
      <c r="Q19">
        <f t="shared" si="2"/>
        <v>1</v>
      </c>
    </row>
    <row r="20" spans="1:17" s="54" customFormat="1">
      <c r="C20" s="54">
        <v>1</v>
      </c>
      <c r="D20" s="55">
        <v>2</v>
      </c>
      <c r="E20" s="55">
        <v>2</v>
      </c>
      <c r="F20" s="55">
        <v>2</v>
      </c>
      <c r="G20" s="55">
        <v>2</v>
      </c>
      <c r="H20" s="55">
        <v>2</v>
      </c>
      <c r="I20" s="55">
        <v>2</v>
      </c>
      <c r="J20" s="55">
        <v>1</v>
      </c>
      <c r="K20" s="55">
        <v>7</v>
      </c>
      <c r="L20" s="56">
        <f>SUM(C20:K20)/21*20</f>
        <v>20</v>
      </c>
      <c r="M20" s="57">
        <v>6</v>
      </c>
      <c r="N20" s="57">
        <v>20</v>
      </c>
      <c r="O20" s="63">
        <f>+L20*0.55+M20/6*20*0.2+N20*0.25</f>
        <v>20</v>
      </c>
      <c r="P20" s="54">
        <v>20</v>
      </c>
    </row>
  </sheetData>
  <sheetCalcPr fullCalcOnLoad="1"/>
  <sortState ref="B4:F18">
    <sortCondition ref="B4:B18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P19"/>
  <sheetViews>
    <sheetView workbookViewId="0">
      <selection activeCell="O13" sqref="O13"/>
    </sheetView>
  </sheetViews>
  <sheetFormatPr baseColWidth="10" defaultRowHeight="13"/>
  <cols>
    <col min="1" max="1" width="3" bestFit="1" customWidth="1"/>
    <col min="2" max="2" width="18.7109375" bestFit="1" customWidth="1"/>
    <col min="3" max="9" width="4.7109375" customWidth="1"/>
    <col min="10" max="10" width="6.85546875" customWidth="1"/>
    <col min="11" max="13" width="8" style="8" customWidth="1"/>
    <col min="14" max="14" width="8" style="58" customWidth="1"/>
  </cols>
  <sheetData>
    <row r="2" spans="1:16">
      <c r="K2" s="7">
        <v>0.55000000000000004</v>
      </c>
      <c r="L2" s="7">
        <v>0.2</v>
      </c>
      <c r="M2" s="7">
        <v>0.25</v>
      </c>
    </row>
    <row r="3" spans="1:16">
      <c r="E3" t="s">
        <v>198</v>
      </c>
      <c r="F3" t="s">
        <v>382</v>
      </c>
      <c r="J3" t="s">
        <v>19</v>
      </c>
      <c r="K3" s="8" t="s">
        <v>135</v>
      </c>
      <c r="L3" s="8" t="s">
        <v>133</v>
      </c>
      <c r="M3" s="8" t="s">
        <v>180</v>
      </c>
      <c r="N3" s="58" t="s">
        <v>181</v>
      </c>
      <c r="O3" s="8" t="s">
        <v>246</v>
      </c>
      <c r="P3" s="8" t="s">
        <v>246</v>
      </c>
    </row>
    <row r="4" spans="1:16">
      <c r="A4" s="3">
        <v>1</v>
      </c>
      <c r="B4" s="3" t="s">
        <v>369</v>
      </c>
      <c r="C4" s="3">
        <v>3</v>
      </c>
      <c r="D4" s="3">
        <v>1</v>
      </c>
      <c r="E4" s="3">
        <v>1.5</v>
      </c>
      <c r="F4" s="3"/>
      <c r="G4" s="3">
        <v>3</v>
      </c>
      <c r="H4" s="3">
        <v>2</v>
      </c>
      <c r="I4" s="3"/>
      <c r="J4" s="3">
        <v>6</v>
      </c>
      <c r="K4" s="59">
        <f t="shared" ref="K4:K17" si="0">SUM(C4:J4)/21*20</f>
        <v>15.714285714285714</v>
      </c>
      <c r="L4" s="10">
        <v>4</v>
      </c>
      <c r="M4" s="10">
        <v>14</v>
      </c>
      <c r="N4" s="59">
        <f>+K4*0.55+L4/6*20*0.2+M4*0.25</f>
        <v>14.809523809523808</v>
      </c>
      <c r="O4">
        <v>14.809523809523808</v>
      </c>
      <c r="P4">
        <f>ROUND(O4,0)</f>
        <v>15</v>
      </c>
    </row>
    <row r="5" spans="1:16">
      <c r="A5" s="3">
        <v>2</v>
      </c>
      <c r="B5" s="3" t="s">
        <v>368</v>
      </c>
      <c r="C5" s="3">
        <v>3</v>
      </c>
      <c r="D5" s="3">
        <v>1</v>
      </c>
      <c r="E5" s="3">
        <v>1</v>
      </c>
      <c r="F5" s="3">
        <v>2</v>
      </c>
      <c r="G5" s="3"/>
      <c r="H5" s="3">
        <v>1</v>
      </c>
      <c r="I5" s="3"/>
      <c r="J5" s="3">
        <v>4</v>
      </c>
      <c r="K5" s="59">
        <f t="shared" si="0"/>
        <v>11.428571428571427</v>
      </c>
      <c r="L5" s="10">
        <v>5</v>
      </c>
      <c r="M5" s="10">
        <v>13</v>
      </c>
      <c r="N5" s="59">
        <f t="shared" ref="N5:N19" si="1">+K5*0.55+L5/6*20*0.2+M5*0.25</f>
        <v>12.86904761904762</v>
      </c>
      <c r="O5">
        <v>12.86904761904762</v>
      </c>
      <c r="P5">
        <f t="shared" ref="P5:P18" si="2">ROUND(O5,0)</f>
        <v>13</v>
      </c>
    </row>
    <row r="6" spans="1:16">
      <c r="A6" s="3">
        <v>3</v>
      </c>
      <c r="B6" s="3" t="s">
        <v>206</v>
      </c>
      <c r="C6" s="3"/>
      <c r="D6" s="3">
        <v>2</v>
      </c>
      <c r="E6" s="3">
        <v>1</v>
      </c>
      <c r="F6" s="3">
        <v>2</v>
      </c>
      <c r="G6" s="3">
        <v>3</v>
      </c>
      <c r="H6" s="3">
        <v>1</v>
      </c>
      <c r="I6" s="3"/>
      <c r="J6" s="3">
        <v>7</v>
      </c>
      <c r="K6" s="59">
        <f t="shared" si="0"/>
        <v>15.238095238095237</v>
      </c>
      <c r="L6" s="10">
        <v>3</v>
      </c>
      <c r="M6" s="10">
        <v>13.5</v>
      </c>
      <c r="N6" s="59">
        <f t="shared" si="1"/>
        <v>13.755952380952381</v>
      </c>
      <c r="O6">
        <v>13.755952380952381</v>
      </c>
      <c r="P6">
        <f t="shared" si="2"/>
        <v>14</v>
      </c>
    </row>
    <row r="7" spans="1:16">
      <c r="A7" s="3">
        <v>4</v>
      </c>
      <c r="B7" s="3" t="s">
        <v>367</v>
      </c>
      <c r="C7" s="3">
        <v>3</v>
      </c>
      <c r="D7" s="3">
        <v>6</v>
      </c>
      <c r="E7" s="3">
        <v>2</v>
      </c>
      <c r="F7" s="3">
        <v>3</v>
      </c>
      <c r="G7" s="3">
        <v>3</v>
      </c>
      <c r="H7" s="3">
        <v>2</v>
      </c>
      <c r="I7" s="3">
        <v>2.5</v>
      </c>
      <c r="J7" s="3">
        <v>2</v>
      </c>
      <c r="K7" s="59">
        <f t="shared" si="0"/>
        <v>22.38095238095238</v>
      </c>
      <c r="L7" s="10">
        <v>6</v>
      </c>
      <c r="M7" s="10">
        <v>13.5</v>
      </c>
      <c r="N7" s="59">
        <f t="shared" si="1"/>
        <v>19.68452380952381</v>
      </c>
      <c r="O7">
        <v>19.68452380952381</v>
      </c>
      <c r="P7">
        <f t="shared" si="2"/>
        <v>20</v>
      </c>
    </row>
    <row r="8" spans="1:16">
      <c r="A8" s="3">
        <v>5</v>
      </c>
      <c r="B8" s="3" t="s">
        <v>18</v>
      </c>
      <c r="C8" s="3">
        <v>2</v>
      </c>
      <c r="D8" s="3">
        <v>4</v>
      </c>
      <c r="E8" s="3">
        <v>2</v>
      </c>
      <c r="F8" s="3">
        <v>2.5</v>
      </c>
      <c r="G8" s="3">
        <v>3</v>
      </c>
      <c r="H8" s="3"/>
      <c r="I8" s="3"/>
      <c r="J8" s="3">
        <v>7</v>
      </c>
      <c r="K8" s="59">
        <f t="shared" si="0"/>
        <v>19.523809523809522</v>
      </c>
      <c r="L8" s="10">
        <v>6</v>
      </c>
      <c r="M8" s="10">
        <v>11</v>
      </c>
      <c r="N8" s="59">
        <f t="shared" si="1"/>
        <v>17.488095238095237</v>
      </c>
      <c r="O8">
        <v>17.488095238095237</v>
      </c>
      <c r="P8">
        <f t="shared" si="2"/>
        <v>17</v>
      </c>
    </row>
    <row r="9" spans="1:16">
      <c r="A9" s="3">
        <v>6</v>
      </c>
      <c r="B9" s="3" t="s">
        <v>370</v>
      </c>
      <c r="C9" s="3">
        <v>3</v>
      </c>
      <c r="D9" s="3">
        <v>1</v>
      </c>
      <c r="E9" s="3">
        <v>1</v>
      </c>
      <c r="F9" s="3">
        <v>2</v>
      </c>
      <c r="G9" s="3"/>
      <c r="H9" s="3"/>
      <c r="I9" s="3"/>
      <c r="J9" s="3">
        <v>7</v>
      </c>
      <c r="K9" s="59">
        <f t="shared" si="0"/>
        <v>13.333333333333332</v>
      </c>
      <c r="L9" s="10">
        <v>3</v>
      </c>
      <c r="M9" s="10">
        <v>7</v>
      </c>
      <c r="N9" s="59">
        <f t="shared" si="1"/>
        <v>11.083333333333332</v>
      </c>
      <c r="O9">
        <v>11.083333333333332</v>
      </c>
      <c r="P9">
        <f t="shared" si="2"/>
        <v>11</v>
      </c>
    </row>
    <row r="10" spans="1:16">
      <c r="A10" s="3">
        <v>7</v>
      </c>
      <c r="B10" s="3" t="s">
        <v>205</v>
      </c>
      <c r="C10" s="3">
        <v>3</v>
      </c>
      <c r="D10" s="3"/>
      <c r="E10" s="3">
        <v>1.5</v>
      </c>
      <c r="F10" s="3">
        <v>1</v>
      </c>
      <c r="G10" s="3"/>
      <c r="H10" s="3"/>
      <c r="I10" s="3"/>
      <c r="J10" s="3">
        <v>7</v>
      </c>
      <c r="K10" s="59">
        <f t="shared" si="0"/>
        <v>11.904761904761905</v>
      </c>
      <c r="L10" s="10">
        <v>1</v>
      </c>
      <c r="M10" s="10">
        <v>5</v>
      </c>
      <c r="N10" s="59">
        <f t="shared" si="1"/>
        <v>8.4642857142857153</v>
      </c>
      <c r="O10">
        <v>8.4642857142857153</v>
      </c>
      <c r="P10">
        <f t="shared" si="2"/>
        <v>8</v>
      </c>
    </row>
    <row r="11" spans="1:16">
      <c r="A11" s="3">
        <v>8</v>
      </c>
      <c r="B11" s="3" t="s">
        <v>375</v>
      </c>
      <c r="C11" s="3">
        <v>3</v>
      </c>
      <c r="D11" s="3">
        <v>3</v>
      </c>
      <c r="E11" s="3">
        <v>1</v>
      </c>
      <c r="F11" s="3"/>
      <c r="G11" s="3">
        <v>1</v>
      </c>
      <c r="H11" s="3">
        <v>2</v>
      </c>
      <c r="I11" s="3"/>
      <c r="J11" s="3">
        <v>7</v>
      </c>
      <c r="K11" s="59">
        <f t="shared" si="0"/>
        <v>16.19047619047619</v>
      </c>
      <c r="L11" s="10">
        <v>4</v>
      </c>
      <c r="M11" s="10">
        <v>10</v>
      </c>
      <c r="N11" s="59">
        <f t="shared" si="1"/>
        <v>14.071428571428571</v>
      </c>
      <c r="O11">
        <v>14.071428571428571</v>
      </c>
      <c r="P11">
        <f t="shared" si="2"/>
        <v>14</v>
      </c>
    </row>
    <row r="12" spans="1:16">
      <c r="A12" s="3">
        <v>9</v>
      </c>
      <c r="B12" s="3" t="s">
        <v>371</v>
      </c>
      <c r="C12" s="3">
        <v>3</v>
      </c>
      <c r="D12" s="3">
        <v>4</v>
      </c>
      <c r="E12" s="3">
        <v>2</v>
      </c>
      <c r="F12" s="3">
        <v>3</v>
      </c>
      <c r="G12" s="3">
        <v>3</v>
      </c>
      <c r="H12" s="3"/>
      <c r="I12" s="3"/>
      <c r="J12" s="3"/>
      <c r="K12" s="59">
        <f t="shared" si="0"/>
        <v>14.285714285714286</v>
      </c>
      <c r="L12" s="10">
        <v>6</v>
      </c>
      <c r="M12" s="10">
        <v>7</v>
      </c>
      <c r="N12" s="59">
        <f t="shared" si="1"/>
        <v>13.607142857142858</v>
      </c>
      <c r="O12">
        <v>13.607142857142858</v>
      </c>
      <c r="P12">
        <f t="shared" si="2"/>
        <v>14</v>
      </c>
    </row>
    <row r="13" spans="1:16">
      <c r="A13" s="3">
        <v>10</v>
      </c>
      <c r="B13" s="3" t="s">
        <v>373</v>
      </c>
      <c r="C13" s="3">
        <v>3</v>
      </c>
      <c r="D13" s="3">
        <v>3</v>
      </c>
      <c r="E13" s="3">
        <v>1.5</v>
      </c>
      <c r="F13" s="3">
        <v>3</v>
      </c>
      <c r="G13" s="3">
        <v>3</v>
      </c>
      <c r="H13" s="3">
        <v>2</v>
      </c>
      <c r="I13" s="3"/>
      <c r="J13" s="3">
        <v>7</v>
      </c>
      <c r="K13" s="59">
        <f t="shared" si="0"/>
        <v>21.428571428571427</v>
      </c>
      <c r="L13" s="10">
        <v>6</v>
      </c>
      <c r="M13" s="10">
        <v>13.5</v>
      </c>
      <c r="N13" s="59">
        <f t="shared" si="1"/>
        <v>19.160714285714285</v>
      </c>
      <c r="O13">
        <v>19.160714285714285</v>
      </c>
      <c r="P13">
        <f t="shared" si="2"/>
        <v>19</v>
      </c>
    </row>
    <row r="14" spans="1:16">
      <c r="A14" s="3">
        <v>11</v>
      </c>
      <c r="B14" s="3" t="s">
        <v>372</v>
      </c>
      <c r="C14" s="3">
        <v>3</v>
      </c>
      <c r="D14" s="3">
        <v>1</v>
      </c>
      <c r="E14" s="3">
        <v>2</v>
      </c>
      <c r="F14" s="3">
        <v>3</v>
      </c>
      <c r="G14" s="3"/>
      <c r="H14" s="3">
        <v>2</v>
      </c>
      <c r="I14" s="3">
        <v>2</v>
      </c>
      <c r="J14" s="3">
        <v>7</v>
      </c>
      <c r="K14" s="59">
        <f t="shared" si="0"/>
        <v>19.047619047619047</v>
      </c>
      <c r="L14" s="10">
        <v>5</v>
      </c>
      <c r="M14" s="10">
        <v>13</v>
      </c>
      <c r="N14" s="59">
        <f t="shared" si="1"/>
        <v>17.05952380952381</v>
      </c>
      <c r="O14">
        <v>17.05952380952381</v>
      </c>
      <c r="P14">
        <f t="shared" si="2"/>
        <v>17</v>
      </c>
    </row>
    <row r="15" spans="1:16">
      <c r="A15" s="3">
        <v>12</v>
      </c>
      <c r="B15" s="3" t="s">
        <v>204</v>
      </c>
      <c r="C15" s="3">
        <v>3</v>
      </c>
      <c r="D15" s="3">
        <v>3</v>
      </c>
      <c r="E15" s="3">
        <v>1</v>
      </c>
      <c r="F15" s="3">
        <v>1</v>
      </c>
      <c r="G15" s="3">
        <v>2</v>
      </c>
      <c r="H15" s="3">
        <v>1</v>
      </c>
      <c r="I15" s="3">
        <v>1.5</v>
      </c>
      <c r="J15" s="3">
        <v>6</v>
      </c>
      <c r="K15" s="59">
        <f t="shared" si="0"/>
        <v>17.61904761904762</v>
      </c>
      <c r="L15" s="10">
        <v>4</v>
      </c>
      <c r="M15" s="10"/>
      <c r="N15" s="59">
        <f t="shared" si="1"/>
        <v>12.357142857142858</v>
      </c>
      <c r="O15">
        <v>12.357142857142858</v>
      </c>
      <c r="P15">
        <f t="shared" si="2"/>
        <v>12</v>
      </c>
    </row>
    <row r="16" spans="1:16">
      <c r="A16" s="3">
        <v>13</v>
      </c>
      <c r="B16" s="3" t="s">
        <v>374</v>
      </c>
      <c r="C16" s="3">
        <v>1</v>
      </c>
      <c r="D16" s="3"/>
      <c r="E16" s="3">
        <v>1</v>
      </c>
      <c r="F16" s="3">
        <v>1</v>
      </c>
      <c r="G16" s="3"/>
      <c r="H16" s="3"/>
      <c r="I16" s="3"/>
      <c r="J16" s="3"/>
      <c r="K16" s="59">
        <f t="shared" si="0"/>
        <v>2.8571428571428568</v>
      </c>
      <c r="L16" s="10">
        <v>4</v>
      </c>
      <c r="M16" s="10">
        <v>5</v>
      </c>
      <c r="N16" s="59">
        <f t="shared" si="1"/>
        <v>5.4880952380952381</v>
      </c>
      <c r="O16">
        <v>5.4880952380952381</v>
      </c>
      <c r="P16">
        <f t="shared" si="2"/>
        <v>5</v>
      </c>
    </row>
    <row r="17" spans="1:16">
      <c r="A17" s="3">
        <v>14</v>
      </c>
      <c r="B17" s="3" t="s">
        <v>366</v>
      </c>
      <c r="C17" s="3">
        <v>3</v>
      </c>
      <c r="D17" s="3">
        <v>4</v>
      </c>
      <c r="E17" s="3">
        <v>2</v>
      </c>
      <c r="F17" s="3">
        <v>3</v>
      </c>
      <c r="G17" s="3">
        <v>3</v>
      </c>
      <c r="H17" s="3">
        <v>2</v>
      </c>
      <c r="I17" s="3"/>
      <c r="J17" s="3">
        <v>7</v>
      </c>
      <c r="K17" s="59">
        <f t="shared" si="0"/>
        <v>22.857142857142854</v>
      </c>
      <c r="L17" s="10">
        <v>6</v>
      </c>
      <c r="M17" s="10">
        <v>15</v>
      </c>
      <c r="N17" s="59">
        <f t="shared" si="1"/>
        <v>20.321428571428569</v>
      </c>
      <c r="O17">
        <v>20.321428571428569</v>
      </c>
      <c r="P17">
        <f t="shared" si="2"/>
        <v>20</v>
      </c>
    </row>
    <row r="18" spans="1:16">
      <c r="A18" s="3">
        <v>15</v>
      </c>
      <c r="B18" s="6" t="s">
        <v>383</v>
      </c>
      <c r="C18" s="3"/>
      <c r="D18" s="3"/>
      <c r="E18" s="3"/>
      <c r="F18" s="3">
        <v>2</v>
      </c>
      <c r="G18" s="3"/>
      <c r="H18" s="3"/>
      <c r="I18" s="3"/>
      <c r="J18" s="3"/>
      <c r="K18" s="52">
        <f>SUM(C18:J18)/21*20</f>
        <v>1.9047619047619047</v>
      </c>
      <c r="L18" s="10">
        <v>0</v>
      </c>
      <c r="M18" s="10"/>
      <c r="N18" s="59">
        <f t="shared" si="1"/>
        <v>1.0476190476190477</v>
      </c>
      <c r="O18">
        <v>1.0476190476190477</v>
      </c>
      <c r="P18">
        <f t="shared" si="2"/>
        <v>1</v>
      </c>
    </row>
    <row r="19" spans="1:16" s="54" customFormat="1">
      <c r="C19" s="55">
        <v>2</v>
      </c>
      <c r="D19" s="55">
        <v>3</v>
      </c>
      <c r="E19" s="55">
        <v>2</v>
      </c>
      <c r="F19" s="55">
        <v>2</v>
      </c>
      <c r="G19" s="60">
        <v>2</v>
      </c>
      <c r="H19" s="55">
        <v>2</v>
      </c>
      <c r="I19" s="54">
        <v>1</v>
      </c>
      <c r="J19" s="54">
        <v>7</v>
      </c>
      <c r="K19" s="61">
        <f>SUM(C19:J19)/21*20</f>
        <v>20</v>
      </c>
      <c r="L19" s="62">
        <v>6</v>
      </c>
      <c r="M19" s="62">
        <v>20</v>
      </c>
      <c r="N19" s="63">
        <f t="shared" si="1"/>
        <v>20</v>
      </c>
      <c r="O19" s="54">
        <v>20</v>
      </c>
    </row>
  </sheetData>
  <sheetCalcPr fullCalcOnLoad="1"/>
  <sortState ref="B4:D17">
    <sortCondition ref="B4:B17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D21"/>
  <sheetViews>
    <sheetView zoomScale="97" workbookViewId="0">
      <selection activeCell="AY12" sqref="AY12"/>
    </sheetView>
  </sheetViews>
  <sheetFormatPr baseColWidth="10" defaultRowHeight="13"/>
  <cols>
    <col min="1" max="1" width="2.5703125" customWidth="1"/>
    <col min="2" max="2" width="24.5703125" style="1" customWidth="1"/>
    <col min="3" max="3" width="1.85546875" style="1" customWidth="1"/>
    <col min="4" max="20" width="1.85546875" customWidth="1"/>
    <col min="21" max="22" width="4.42578125" style="8" customWidth="1"/>
    <col min="23" max="23" width="4.7109375" style="9" customWidth="1"/>
    <col min="24" max="37" width="2" customWidth="1"/>
    <col min="38" max="38" width="4.140625" style="8" customWidth="1"/>
    <col min="39" max="39" width="3.85546875" style="8" customWidth="1"/>
    <col min="40" max="40" width="4.140625" style="8" customWidth="1"/>
    <col min="41" max="41" width="2.28515625" customWidth="1"/>
    <col min="42" max="42" width="3.5703125" customWidth="1"/>
    <col min="43" max="43" width="3.42578125" customWidth="1"/>
    <col min="44" max="52" width="4" customWidth="1"/>
    <col min="53" max="55" width="4.28515625" style="8" customWidth="1"/>
    <col min="56" max="56" width="5.28515625" style="65" bestFit="1" customWidth="1"/>
  </cols>
  <sheetData>
    <row r="1" spans="1:56">
      <c r="C1" s="1">
        <v>2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M1">
        <v>3</v>
      </c>
      <c r="N1">
        <v>4</v>
      </c>
      <c r="O1">
        <v>10</v>
      </c>
      <c r="P1">
        <v>1</v>
      </c>
      <c r="Q1">
        <v>4</v>
      </c>
      <c r="S1">
        <v>2</v>
      </c>
      <c r="T1">
        <v>2</v>
      </c>
      <c r="U1" s="8">
        <f>SUM(C1:T1)</f>
        <v>36</v>
      </c>
      <c r="W1" s="16"/>
      <c r="AC1">
        <v>1</v>
      </c>
      <c r="AE1">
        <v>1</v>
      </c>
      <c r="AF1">
        <v>1</v>
      </c>
      <c r="AG1">
        <v>1</v>
      </c>
      <c r="AI1">
        <v>1</v>
      </c>
    </row>
    <row r="2" spans="1:56">
      <c r="B2" s="1" t="s">
        <v>244</v>
      </c>
      <c r="E2" t="s">
        <v>99</v>
      </c>
      <c r="F2" t="s">
        <v>98</v>
      </c>
      <c r="U2" s="7">
        <v>0.65</v>
      </c>
      <c r="V2" s="7">
        <v>0.35</v>
      </c>
      <c r="X2">
        <v>1</v>
      </c>
      <c r="Y2">
        <v>1</v>
      </c>
      <c r="Z2">
        <v>5</v>
      </c>
      <c r="AA2">
        <v>8</v>
      </c>
      <c r="AB2">
        <v>1</v>
      </c>
      <c r="AC2">
        <v>1</v>
      </c>
      <c r="AE2">
        <v>1</v>
      </c>
      <c r="AF2">
        <v>1</v>
      </c>
      <c r="AG2">
        <v>1</v>
      </c>
      <c r="AH2" t="s">
        <v>324</v>
      </c>
      <c r="AI2">
        <v>1</v>
      </c>
      <c r="AJ2">
        <v>1</v>
      </c>
      <c r="AK2">
        <v>1</v>
      </c>
      <c r="AL2" s="7">
        <v>0.65</v>
      </c>
      <c r="AM2" s="7">
        <v>0.35</v>
      </c>
      <c r="AN2" s="28"/>
      <c r="AO2">
        <v>4</v>
      </c>
      <c r="AP2">
        <v>1</v>
      </c>
      <c r="AQ2">
        <v>12</v>
      </c>
      <c r="AR2">
        <v>3</v>
      </c>
      <c r="AS2">
        <v>9</v>
      </c>
      <c r="AT2">
        <v>9</v>
      </c>
      <c r="AU2">
        <v>5</v>
      </c>
      <c r="AV2">
        <v>11</v>
      </c>
      <c r="AW2">
        <v>7</v>
      </c>
      <c r="AX2">
        <v>12</v>
      </c>
      <c r="AY2">
        <v>6</v>
      </c>
      <c r="AZ2">
        <v>6</v>
      </c>
      <c r="BA2" s="7">
        <v>0.65</v>
      </c>
      <c r="BB2" s="7">
        <v>0.35</v>
      </c>
    </row>
    <row r="3" spans="1:56">
      <c r="C3" s="1" t="s">
        <v>243</v>
      </c>
      <c r="D3" t="s">
        <v>66</v>
      </c>
      <c r="E3" t="s">
        <v>21</v>
      </c>
      <c r="F3" t="s">
        <v>97</v>
      </c>
      <c r="G3" t="s">
        <v>272</v>
      </c>
      <c r="H3" t="s">
        <v>268</v>
      </c>
      <c r="I3" t="s">
        <v>269</v>
      </c>
      <c r="J3" t="s">
        <v>157</v>
      </c>
      <c r="K3" t="s">
        <v>158</v>
      </c>
      <c r="L3" t="s">
        <v>159</v>
      </c>
      <c r="M3" t="s">
        <v>193</v>
      </c>
      <c r="N3" t="s">
        <v>177</v>
      </c>
      <c r="O3" t="s">
        <v>337</v>
      </c>
      <c r="P3" t="s">
        <v>338</v>
      </c>
      <c r="Q3" t="s">
        <v>43</v>
      </c>
      <c r="R3" t="s">
        <v>340</v>
      </c>
      <c r="S3" t="s">
        <v>194</v>
      </c>
      <c r="T3" t="s">
        <v>156</v>
      </c>
      <c r="U3" s="8" t="s">
        <v>171</v>
      </c>
      <c r="V3" s="8" t="s">
        <v>162</v>
      </c>
      <c r="W3" s="9" t="s">
        <v>161</v>
      </c>
      <c r="X3" t="s">
        <v>160</v>
      </c>
      <c r="Y3" s="36" t="s">
        <v>103</v>
      </c>
      <c r="Z3" s="36" t="s">
        <v>104</v>
      </c>
      <c r="AA3" s="36" t="s">
        <v>105</v>
      </c>
      <c r="AB3" s="36" t="s">
        <v>110</v>
      </c>
      <c r="AC3" t="s">
        <v>317</v>
      </c>
      <c r="AD3" t="s">
        <v>319</v>
      </c>
      <c r="AE3" t="s">
        <v>318</v>
      </c>
      <c r="AF3" t="s">
        <v>322</v>
      </c>
      <c r="AG3" t="s">
        <v>321</v>
      </c>
      <c r="AH3" t="s">
        <v>323</v>
      </c>
      <c r="AI3" t="s">
        <v>325</v>
      </c>
      <c r="AJ3" t="s">
        <v>326</v>
      </c>
      <c r="AK3" t="s">
        <v>358</v>
      </c>
      <c r="AL3" s="8" t="s">
        <v>171</v>
      </c>
      <c r="AM3" s="8" t="s">
        <v>162</v>
      </c>
      <c r="AN3" s="28" t="s">
        <v>161</v>
      </c>
      <c r="AO3" t="s">
        <v>270</v>
      </c>
      <c r="AP3" t="s">
        <v>201</v>
      </c>
      <c r="AQ3" t="s">
        <v>91</v>
      </c>
      <c r="AR3" t="s">
        <v>282</v>
      </c>
      <c r="AS3" t="s">
        <v>48</v>
      </c>
      <c r="AT3" t="s">
        <v>90</v>
      </c>
      <c r="AU3" t="s">
        <v>200</v>
      </c>
      <c r="AV3" t="s">
        <v>202</v>
      </c>
      <c r="AW3" t="s">
        <v>208</v>
      </c>
      <c r="AX3" t="s">
        <v>283</v>
      </c>
      <c r="AY3" t="s">
        <v>74</v>
      </c>
      <c r="AZ3" t="s">
        <v>75</v>
      </c>
      <c r="BA3" s="8" t="s">
        <v>76</v>
      </c>
      <c r="BB3" s="8" t="s">
        <v>77</v>
      </c>
      <c r="BC3" s="8" t="s">
        <v>78</v>
      </c>
      <c r="BD3" s="65" t="s">
        <v>362</v>
      </c>
    </row>
    <row r="4" spans="1:56" ht="15">
      <c r="A4" s="2">
        <v>1</v>
      </c>
      <c r="B4" s="12" t="s">
        <v>403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3</v>
      </c>
      <c r="R4" s="3"/>
      <c r="S4" s="3"/>
      <c r="T4" s="3"/>
      <c r="U4" s="10">
        <f>SUM(C4:T4)/36*20</f>
        <v>1.6666666666666665</v>
      </c>
      <c r="V4" s="10"/>
      <c r="W4" s="17">
        <f t="shared" ref="W4:W5" si="0">+U4*0.65+V4*0.35</f>
        <v>1.0833333333333333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10">
        <f>SUM(X4:AK4)/23*20</f>
        <v>0</v>
      </c>
      <c r="AM4" s="10"/>
      <c r="AN4" s="23">
        <f>+AL4*0.65+AM4*0.35</f>
        <v>0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52">
        <f t="shared" ref="BA4:BA20" si="1">SUM(AO4:AZ4)/85*20</f>
        <v>0</v>
      </c>
      <c r="BB4" s="10"/>
      <c r="BC4" s="46">
        <f t="shared" ref="BC4:BC20" si="2">+BA4*0.65+BB4*0.35</f>
        <v>0</v>
      </c>
      <c r="BD4" s="66">
        <f>+(BC4+AN4+W4)/3</f>
        <v>0.3611111111111111</v>
      </c>
    </row>
    <row r="5" spans="1:56" ht="15">
      <c r="A5" s="2">
        <v>2</v>
      </c>
      <c r="B5" s="12" t="s">
        <v>23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</v>
      </c>
      <c r="Q5" s="3">
        <v>5</v>
      </c>
      <c r="R5" s="3"/>
      <c r="S5" s="3"/>
      <c r="T5" s="3">
        <v>2</v>
      </c>
      <c r="U5" s="10">
        <f t="shared" ref="U5:U20" si="3">SUM(C5:T5)/36*20</f>
        <v>4.4444444444444446</v>
      </c>
      <c r="V5" s="10">
        <v>10</v>
      </c>
      <c r="W5" s="17">
        <f t="shared" si="0"/>
        <v>6.3888888888888893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10">
        <f t="shared" ref="AL5:AL20" si="4">SUM(X5:AK5)/23*20</f>
        <v>0</v>
      </c>
      <c r="AM5" s="10">
        <v>10</v>
      </c>
      <c r="AN5" s="23">
        <f t="shared" ref="AN5:AN20" si="5">+AL5*0.65+AM5*0.35</f>
        <v>3.5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52">
        <f t="shared" si="1"/>
        <v>0</v>
      </c>
      <c r="BB5" s="10"/>
      <c r="BC5" s="46">
        <f>+BA5*0.65+BB5*0.35</f>
        <v>0</v>
      </c>
      <c r="BD5" s="66">
        <f t="shared" ref="BD5:BD20" si="6">+(BC5+AN5+W5)/3</f>
        <v>3.2962962962962963</v>
      </c>
    </row>
    <row r="6" spans="1:56" ht="15">
      <c r="A6" s="2">
        <v>3</v>
      </c>
      <c r="B6" s="12" t="s">
        <v>404</v>
      </c>
      <c r="C6" s="4">
        <v>3</v>
      </c>
      <c r="D6" s="3">
        <v>0.5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6">
        <v>1</v>
      </c>
      <c r="L6" s="6">
        <v>1</v>
      </c>
      <c r="M6" s="3">
        <v>3</v>
      </c>
      <c r="N6" s="3">
        <v>4</v>
      </c>
      <c r="O6" s="3">
        <v>5</v>
      </c>
      <c r="P6" s="3"/>
      <c r="Q6" s="3">
        <v>3</v>
      </c>
      <c r="R6" s="3"/>
      <c r="S6" s="3">
        <v>1</v>
      </c>
      <c r="T6" s="3">
        <v>2</v>
      </c>
      <c r="U6" s="10">
        <f t="shared" si="3"/>
        <v>16.388888888888889</v>
      </c>
      <c r="V6" s="10">
        <v>6</v>
      </c>
      <c r="W6" s="11">
        <f>+U6*0.65+V6*0.35</f>
        <v>12.752777777777778</v>
      </c>
      <c r="X6" s="3"/>
      <c r="Y6" s="3"/>
      <c r="Z6" s="3">
        <v>5</v>
      </c>
      <c r="AA6" s="3">
        <v>8</v>
      </c>
      <c r="AB6" s="3">
        <v>1</v>
      </c>
      <c r="AC6" s="3">
        <v>1</v>
      </c>
      <c r="AD6" s="3"/>
      <c r="AE6" s="3"/>
      <c r="AF6" s="3"/>
      <c r="AG6" s="3">
        <v>1</v>
      </c>
      <c r="AH6" s="3"/>
      <c r="AI6" s="3">
        <v>1</v>
      </c>
      <c r="AJ6" s="3">
        <v>1</v>
      </c>
      <c r="AK6" s="3">
        <v>1</v>
      </c>
      <c r="AL6" s="10">
        <f t="shared" si="4"/>
        <v>16.521739130434781</v>
      </c>
      <c r="AM6" s="10">
        <v>11</v>
      </c>
      <c r="AN6" s="23">
        <f t="shared" si="5"/>
        <v>14.589130434782607</v>
      </c>
      <c r="AO6" s="3"/>
      <c r="AP6" s="3"/>
      <c r="AQ6" s="3">
        <v>12</v>
      </c>
      <c r="AR6" s="3">
        <v>2.2999999999999998</v>
      </c>
      <c r="AS6" s="3">
        <v>8</v>
      </c>
      <c r="AT6" s="3">
        <v>9</v>
      </c>
      <c r="AU6" s="3">
        <v>5</v>
      </c>
      <c r="AV6" s="3">
        <v>2</v>
      </c>
      <c r="AW6" s="3">
        <v>2</v>
      </c>
      <c r="AX6" s="3">
        <v>8</v>
      </c>
      <c r="AY6" s="3">
        <v>3</v>
      </c>
      <c r="AZ6" s="3">
        <v>4</v>
      </c>
      <c r="BA6" s="52">
        <f t="shared" si="1"/>
        <v>13.011764705882351</v>
      </c>
      <c r="BB6" s="10">
        <v>4</v>
      </c>
      <c r="BC6" s="46">
        <f t="shared" si="2"/>
        <v>9.8576470588235292</v>
      </c>
      <c r="BD6" s="66">
        <f t="shared" si="6"/>
        <v>12.399851757127971</v>
      </c>
    </row>
    <row r="7" spans="1:56" ht="15">
      <c r="A7" s="2">
        <v>4</v>
      </c>
      <c r="B7" s="12" t="s">
        <v>271</v>
      </c>
      <c r="C7" s="4"/>
      <c r="D7" s="3">
        <v>1</v>
      </c>
      <c r="E7" s="3"/>
      <c r="F7" s="3"/>
      <c r="G7" s="3"/>
      <c r="H7" s="3"/>
      <c r="I7" s="3"/>
      <c r="J7" s="3"/>
      <c r="K7" s="3"/>
      <c r="L7" s="3"/>
      <c r="M7" s="3"/>
      <c r="N7" s="3"/>
      <c r="O7" s="3">
        <v>2</v>
      </c>
      <c r="P7" s="3"/>
      <c r="Q7" s="3">
        <v>1</v>
      </c>
      <c r="R7" s="3"/>
      <c r="S7" s="3">
        <v>2</v>
      </c>
      <c r="T7" s="3"/>
      <c r="U7" s="10">
        <f t="shared" si="3"/>
        <v>3.333333333333333</v>
      </c>
      <c r="V7" s="10">
        <v>5</v>
      </c>
      <c r="W7" s="17">
        <f t="shared" ref="W7:W20" si="7">+U7*0.65+V7*0.35</f>
        <v>3.9166666666666665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10">
        <f t="shared" si="4"/>
        <v>0</v>
      </c>
      <c r="AM7" s="10"/>
      <c r="AN7" s="23">
        <f t="shared" si="5"/>
        <v>0</v>
      </c>
      <c r="AO7" s="3"/>
      <c r="AP7" s="3"/>
      <c r="AQ7" s="3"/>
      <c r="AR7" s="3"/>
      <c r="AS7" s="3"/>
      <c r="AT7" s="3">
        <v>4</v>
      </c>
      <c r="AU7" s="3"/>
      <c r="AV7" s="3"/>
      <c r="AW7" s="3"/>
      <c r="AX7" s="3"/>
      <c r="AY7" s="3"/>
      <c r="AZ7" s="3"/>
      <c r="BA7" s="52">
        <f t="shared" si="1"/>
        <v>0.94117647058823528</v>
      </c>
      <c r="BB7" s="10">
        <v>0</v>
      </c>
      <c r="BC7" s="46">
        <f t="shared" si="2"/>
        <v>0.61176470588235299</v>
      </c>
      <c r="BD7" s="66">
        <f t="shared" si="6"/>
        <v>1.5094771241830065</v>
      </c>
    </row>
    <row r="8" spans="1:56" ht="15">
      <c r="A8" s="2">
        <v>5</v>
      </c>
      <c r="B8" s="12" t="s">
        <v>274</v>
      </c>
      <c r="C8" s="4">
        <v>2</v>
      </c>
      <c r="D8" s="3"/>
      <c r="E8" s="3"/>
      <c r="F8" s="3"/>
      <c r="G8" s="3"/>
      <c r="H8" s="3"/>
      <c r="I8" s="3"/>
      <c r="J8" s="3"/>
      <c r="K8" s="3"/>
      <c r="L8" s="3"/>
      <c r="M8" s="3">
        <v>2</v>
      </c>
      <c r="N8" s="3">
        <v>3</v>
      </c>
      <c r="O8" s="3">
        <v>4</v>
      </c>
      <c r="P8" s="3"/>
      <c r="Q8" s="3"/>
      <c r="R8" s="3"/>
      <c r="S8" s="3"/>
      <c r="T8" s="3">
        <v>2</v>
      </c>
      <c r="U8" s="10">
        <f t="shared" si="3"/>
        <v>7.2222222222222223</v>
      </c>
      <c r="V8" s="10">
        <v>11</v>
      </c>
      <c r="W8" s="17">
        <f t="shared" si="7"/>
        <v>8.5444444444444443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10">
        <f t="shared" si="4"/>
        <v>0</v>
      </c>
      <c r="AM8" s="10">
        <v>9</v>
      </c>
      <c r="AN8" s="23">
        <f t="shared" si="5"/>
        <v>3.15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52">
        <f t="shared" si="1"/>
        <v>0</v>
      </c>
      <c r="BB8" s="10"/>
      <c r="BC8" s="46">
        <f t="shared" si="2"/>
        <v>0</v>
      </c>
      <c r="BD8" s="66">
        <f t="shared" si="6"/>
        <v>3.8981481481481484</v>
      </c>
    </row>
    <row r="9" spans="1:56" ht="15">
      <c r="A9" s="2">
        <v>6</v>
      </c>
      <c r="B9" s="12" t="s">
        <v>275</v>
      </c>
      <c r="C9" s="4">
        <v>2</v>
      </c>
      <c r="D9" s="3">
        <v>1</v>
      </c>
      <c r="E9" s="3"/>
      <c r="F9" s="3">
        <v>1</v>
      </c>
      <c r="G9" s="3">
        <v>1</v>
      </c>
      <c r="H9" s="3">
        <v>1</v>
      </c>
      <c r="I9" s="3">
        <v>1</v>
      </c>
      <c r="J9" s="3">
        <v>1</v>
      </c>
      <c r="K9" s="6">
        <v>1</v>
      </c>
      <c r="L9" s="3"/>
      <c r="M9" s="3">
        <v>2</v>
      </c>
      <c r="N9" s="3">
        <v>2</v>
      </c>
      <c r="O9" s="3">
        <v>10</v>
      </c>
      <c r="P9" s="3">
        <v>1</v>
      </c>
      <c r="Q9" s="3">
        <v>1</v>
      </c>
      <c r="R9" s="3"/>
      <c r="S9" s="3">
        <v>2</v>
      </c>
      <c r="T9" s="3">
        <v>2</v>
      </c>
      <c r="U9" s="10">
        <f t="shared" si="3"/>
        <v>16.111111111111111</v>
      </c>
      <c r="V9" s="10">
        <v>15.5</v>
      </c>
      <c r="W9" s="17">
        <f t="shared" si="7"/>
        <v>15.897222222222222</v>
      </c>
      <c r="X9" s="3"/>
      <c r="Y9" s="3"/>
      <c r="Z9" s="3">
        <v>5</v>
      </c>
      <c r="AA9" s="3">
        <v>8</v>
      </c>
      <c r="AB9" s="3">
        <v>1</v>
      </c>
      <c r="AC9" s="3">
        <v>1</v>
      </c>
      <c r="AD9" s="3">
        <v>1</v>
      </c>
      <c r="AE9" s="3">
        <v>1</v>
      </c>
      <c r="AF9" s="3"/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10">
        <f t="shared" si="4"/>
        <v>19.130434782608695</v>
      </c>
      <c r="AM9" s="10">
        <v>10</v>
      </c>
      <c r="AN9" s="23">
        <f t="shared" si="5"/>
        <v>15.934782608695652</v>
      </c>
      <c r="AO9" s="3"/>
      <c r="AP9" s="3"/>
      <c r="AQ9" s="3">
        <v>6</v>
      </c>
      <c r="AR9" s="3">
        <v>2</v>
      </c>
      <c r="AS9" s="3">
        <v>9</v>
      </c>
      <c r="AT9" s="3">
        <v>9</v>
      </c>
      <c r="AU9" s="3">
        <v>4</v>
      </c>
      <c r="AV9" s="3">
        <v>11</v>
      </c>
      <c r="AW9" s="3">
        <v>2</v>
      </c>
      <c r="AX9" s="3">
        <v>12</v>
      </c>
      <c r="AY9" s="3">
        <v>3</v>
      </c>
      <c r="AZ9" s="3">
        <v>2</v>
      </c>
      <c r="BA9" s="52">
        <f t="shared" si="1"/>
        <v>14.117647058823531</v>
      </c>
      <c r="BB9" s="10">
        <v>9</v>
      </c>
      <c r="BC9" s="46">
        <f t="shared" si="2"/>
        <v>12.326470588235296</v>
      </c>
      <c r="BD9" s="66">
        <f t="shared" si="6"/>
        <v>14.71949180638439</v>
      </c>
    </row>
    <row r="10" spans="1:56" ht="15">
      <c r="A10" s="2">
        <v>7</v>
      </c>
      <c r="B10" s="12" t="s">
        <v>276</v>
      </c>
      <c r="C10" s="4">
        <v>1.5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6">
        <v>1</v>
      </c>
      <c r="L10" s="3"/>
      <c r="M10" s="3">
        <v>4</v>
      </c>
      <c r="N10" s="3">
        <v>5</v>
      </c>
      <c r="O10" s="3">
        <v>10</v>
      </c>
      <c r="P10" s="3">
        <v>1</v>
      </c>
      <c r="Q10" s="3">
        <v>5</v>
      </c>
      <c r="R10" s="3"/>
      <c r="S10" s="3">
        <v>3</v>
      </c>
      <c r="T10" s="3">
        <v>2</v>
      </c>
      <c r="U10" s="10">
        <f t="shared" si="3"/>
        <v>21.944444444444446</v>
      </c>
      <c r="V10" s="10">
        <v>17</v>
      </c>
      <c r="W10" s="17">
        <f t="shared" si="7"/>
        <v>20.213888888888889</v>
      </c>
      <c r="X10" s="3"/>
      <c r="Y10" s="3">
        <v>2</v>
      </c>
      <c r="Z10" s="3">
        <v>5</v>
      </c>
      <c r="AA10" s="3">
        <v>8</v>
      </c>
      <c r="AB10" s="3">
        <v>3</v>
      </c>
      <c r="AC10" s="3">
        <v>1</v>
      </c>
      <c r="AD10" s="3"/>
      <c r="AE10" s="3"/>
      <c r="AF10" s="3"/>
      <c r="AG10" s="3">
        <v>1</v>
      </c>
      <c r="AH10" s="3"/>
      <c r="AI10" s="3">
        <v>1</v>
      </c>
      <c r="AJ10" s="3">
        <v>1</v>
      </c>
      <c r="AK10" s="3">
        <v>1</v>
      </c>
      <c r="AL10" s="10">
        <f t="shared" si="4"/>
        <v>20</v>
      </c>
      <c r="AM10" s="10">
        <v>20</v>
      </c>
      <c r="AN10" s="23">
        <f t="shared" si="5"/>
        <v>20</v>
      </c>
      <c r="AO10" s="3"/>
      <c r="AP10" s="3">
        <v>1</v>
      </c>
      <c r="AQ10" s="3">
        <v>12</v>
      </c>
      <c r="AR10" s="3">
        <v>3</v>
      </c>
      <c r="AS10" s="3">
        <v>9</v>
      </c>
      <c r="AT10" s="3">
        <v>9</v>
      </c>
      <c r="AU10" s="3">
        <v>6</v>
      </c>
      <c r="AV10" s="3">
        <v>11</v>
      </c>
      <c r="AW10" s="3">
        <v>7</v>
      </c>
      <c r="AX10" s="3">
        <v>12</v>
      </c>
      <c r="AY10" s="3">
        <v>6</v>
      </c>
      <c r="AZ10" s="3">
        <v>6</v>
      </c>
      <c r="BA10" s="52">
        <f t="shared" si="1"/>
        <v>19.294117647058822</v>
      </c>
      <c r="BB10" s="10">
        <v>20</v>
      </c>
      <c r="BC10" s="46">
        <f t="shared" si="2"/>
        <v>19.541176470588233</v>
      </c>
      <c r="BD10" s="66">
        <f t="shared" si="6"/>
        <v>19.918355119825708</v>
      </c>
    </row>
    <row r="11" spans="1:56" ht="15">
      <c r="A11" s="2">
        <v>8</v>
      </c>
      <c r="B11" s="12" t="s">
        <v>125</v>
      </c>
      <c r="C11" s="4">
        <v>1</v>
      </c>
      <c r="D11" s="3">
        <v>0.5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/>
      <c r="L11" s="3"/>
      <c r="M11" s="3">
        <v>1</v>
      </c>
      <c r="N11" s="3">
        <v>4</v>
      </c>
      <c r="O11" s="3">
        <v>10</v>
      </c>
      <c r="P11" s="3">
        <v>1</v>
      </c>
      <c r="Q11" s="3"/>
      <c r="R11" s="3"/>
      <c r="S11" s="3">
        <v>1</v>
      </c>
      <c r="T11" s="3">
        <v>2</v>
      </c>
      <c r="U11" s="10">
        <f t="shared" si="3"/>
        <v>14.722222222222223</v>
      </c>
      <c r="V11" s="10">
        <v>11</v>
      </c>
      <c r="W11" s="17">
        <f t="shared" si="7"/>
        <v>13.419444444444444</v>
      </c>
      <c r="X11" s="3"/>
      <c r="Y11" s="3"/>
      <c r="Z11" s="3">
        <v>7</v>
      </c>
      <c r="AA11" s="3">
        <v>8</v>
      </c>
      <c r="AB11" s="3">
        <v>1</v>
      </c>
      <c r="AC11" s="3"/>
      <c r="AD11" s="3">
        <v>1</v>
      </c>
      <c r="AE11" s="3">
        <v>1</v>
      </c>
      <c r="AF11" s="3"/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10">
        <f t="shared" si="4"/>
        <v>20</v>
      </c>
      <c r="AM11" s="10">
        <v>12</v>
      </c>
      <c r="AN11" s="23">
        <f t="shared" si="5"/>
        <v>17.2</v>
      </c>
      <c r="AO11" s="3"/>
      <c r="AP11" s="3"/>
      <c r="AQ11" s="3"/>
      <c r="AR11" s="3"/>
      <c r="AS11" s="3">
        <v>1</v>
      </c>
      <c r="AT11" s="3">
        <v>9</v>
      </c>
      <c r="AU11" s="3">
        <v>6</v>
      </c>
      <c r="AV11" s="3">
        <v>11</v>
      </c>
      <c r="AW11" s="3"/>
      <c r="AX11" s="3">
        <v>12</v>
      </c>
      <c r="AY11" s="3">
        <v>3</v>
      </c>
      <c r="AZ11" s="3">
        <v>0</v>
      </c>
      <c r="BA11" s="52">
        <f t="shared" si="1"/>
        <v>9.882352941176471</v>
      </c>
      <c r="BB11" s="10">
        <v>6</v>
      </c>
      <c r="BC11" s="46">
        <f t="shared" si="2"/>
        <v>8.5235294117647058</v>
      </c>
      <c r="BD11" s="66">
        <f t="shared" si="6"/>
        <v>13.047657952069718</v>
      </c>
    </row>
    <row r="12" spans="1:56" ht="15">
      <c r="A12" s="2">
        <v>9</v>
      </c>
      <c r="B12" s="12" t="s">
        <v>126</v>
      </c>
      <c r="C12" s="4">
        <v>1.5</v>
      </c>
      <c r="D12" s="3"/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0.5</v>
      </c>
      <c r="K12" s="6">
        <v>1</v>
      </c>
      <c r="L12" s="3"/>
      <c r="M12" s="3">
        <v>4</v>
      </c>
      <c r="N12" s="3">
        <v>3</v>
      </c>
      <c r="O12" s="3">
        <v>2</v>
      </c>
      <c r="P12" s="3">
        <v>1</v>
      </c>
      <c r="Q12" s="3">
        <v>5</v>
      </c>
      <c r="R12" s="3">
        <v>2</v>
      </c>
      <c r="S12" s="3">
        <v>2</v>
      </c>
      <c r="T12" s="3">
        <v>2</v>
      </c>
      <c r="U12" s="10">
        <f t="shared" si="3"/>
        <v>16.111111111111111</v>
      </c>
      <c r="V12" s="10">
        <v>18</v>
      </c>
      <c r="W12" s="17">
        <f t="shared" si="7"/>
        <v>16.772222222222222</v>
      </c>
      <c r="X12" s="3"/>
      <c r="Y12" s="3"/>
      <c r="Z12" s="3">
        <v>5</v>
      </c>
      <c r="AA12" s="3">
        <v>9</v>
      </c>
      <c r="AB12" s="3">
        <v>1</v>
      </c>
      <c r="AC12" s="3">
        <v>1</v>
      </c>
      <c r="AD12" s="3"/>
      <c r="AE12" s="3"/>
      <c r="AF12" s="3">
        <v>1</v>
      </c>
      <c r="AG12" s="3">
        <v>1</v>
      </c>
      <c r="AH12" s="3"/>
      <c r="AI12" s="3"/>
      <c r="AJ12" s="3">
        <v>1</v>
      </c>
      <c r="AK12" s="3">
        <v>1</v>
      </c>
      <c r="AL12" s="10">
        <f t="shared" si="4"/>
        <v>17.391304347826086</v>
      </c>
      <c r="AM12" s="10">
        <v>17</v>
      </c>
      <c r="AN12" s="23">
        <f t="shared" si="5"/>
        <v>17.254347826086956</v>
      </c>
      <c r="AO12" s="3"/>
      <c r="AP12" s="3">
        <v>1</v>
      </c>
      <c r="AQ12" s="3">
        <v>12</v>
      </c>
      <c r="AR12" s="3">
        <v>2.2999999999999998</v>
      </c>
      <c r="AS12" s="3">
        <v>8</v>
      </c>
      <c r="AT12" s="3">
        <v>9</v>
      </c>
      <c r="AU12" s="3">
        <v>10</v>
      </c>
      <c r="AV12" s="3">
        <v>11</v>
      </c>
      <c r="AW12" s="3">
        <v>2</v>
      </c>
      <c r="AX12" s="3">
        <v>12</v>
      </c>
      <c r="AY12" s="3">
        <v>6</v>
      </c>
      <c r="AZ12" s="3">
        <v>6</v>
      </c>
      <c r="BA12" s="52">
        <f t="shared" si="1"/>
        <v>18.658823529411762</v>
      </c>
      <c r="BB12" s="10">
        <v>20</v>
      </c>
      <c r="BC12" s="46">
        <f t="shared" si="2"/>
        <v>19.128235294117644</v>
      </c>
      <c r="BD12" s="66">
        <f t="shared" si="6"/>
        <v>17.718268447475609</v>
      </c>
    </row>
    <row r="13" spans="1:56" ht="15">
      <c r="A13" s="2">
        <v>10</v>
      </c>
      <c r="B13" s="12" t="s">
        <v>127</v>
      </c>
      <c r="C13" s="4">
        <v>3</v>
      </c>
      <c r="D13" s="3"/>
      <c r="E13" s="3"/>
      <c r="F13" s="3"/>
      <c r="G13" s="3"/>
      <c r="H13" s="3"/>
      <c r="I13" s="3"/>
      <c r="J13" s="3"/>
      <c r="K13" s="3"/>
      <c r="L13" s="3"/>
      <c r="M13" s="3">
        <v>3</v>
      </c>
      <c r="N13" s="3"/>
      <c r="O13" s="3"/>
      <c r="P13" s="3"/>
      <c r="Q13" s="3">
        <v>1</v>
      </c>
      <c r="R13" s="3"/>
      <c r="S13" s="3">
        <v>2</v>
      </c>
      <c r="T13" s="3"/>
      <c r="U13" s="10">
        <f t="shared" si="3"/>
        <v>5</v>
      </c>
      <c r="V13" s="10">
        <v>13</v>
      </c>
      <c r="W13" s="17">
        <f t="shared" si="7"/>
        <v>7.8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10">
        <f t="shared" si="4"/>
        <v>0</v>
      </c>
      <c r="AM13" s="10"/>
      <c r="AN13" s="23">
        <f t="shared" si="5"/>
        <v>0</v>
      </c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52">
        <f t="shared" si="1"/>
        <v>0</v>
      </c>
      <c r="BB13" s="10"/>
      <c r="BC13" s="46">
        <f t="shared" si="2"/>
        <v>0</v>
      </c>
      <c r="BD13" s="66">
        <f t="shared" si="6"/>
        <v>2.6</v>
      </c>
    </row>
    <row r="14" spans="1:56" ht="15">
      <c r="A14" s="2">
        <v>11</v>
      </c>
      <c r="B14" s="12" t="s">
        <v>237</v>
      </c>
      <c r="C14" s="4">
        <v>1.5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/>
      <c r="J14" s="3"/>
      <c r="K14" s="3"/>
      <c r="L14" s="3"/>
      <c r="M14" s="3">
        <v>1.5</v>
      </c>
      <c r="N14" s="3">
        <v>5</v>
      </c>
      <c r="O14" s="3">
        <v>5</v>
      </c>
      <c r="P14" s="3">
        <v>1</v>
      </c>
      <c r="Q14" s="3">
        <v>4</v>
      </c>
      <c r="R14" s="3">
        <v>2</v>
      </c>
      <c r="S14" s="3">
        <v>2</v>
      </c>
      <c r="T14" s="3">
        <v>2</v>
      </c>
      <c r="U14" s="10">
        <f t="shared" si="3"/>
        <v>16.111111111111111</v>
      </c>
      <c r="V14" s="10">
        <v>13</v>
      </c>
      <c r="W14" s="17">
        <f t="shared" si="7"/>
        <v>15.022222222222222</v>
      </c>
      <c r="X14" s="3"/>
      <c r="Y14" s="3"/>
      <c r="Z14" s="3">
        <v>5</v>
      </c>
      <c r="AA14" s="3">
        <v>8</v>
      </c>
      <c r="AB14" s="3">
        <v>1</v>
      </c>
      <c r="AC14" s="3">
        <v>1</v>
      </c>
      <c r="AD14" s="3"/>
      <c r="AE14" s="3"/>
      <c r="AF14" s="3"/>
      <c r="AG14" s="3"/>
      <c r="AH14" s="3"/>
      <c r="AI14" s="3"/>
      <c r="AJ14" s="3"/>
      <c r="AK14" s="3"/>
      <c r="AL14" s="10">
        <f t="shared" si="4"/>
        <v>13.043478260869566</v>
      </c>
      <c r="AM14" s="10">
        <v>20</v>
      </c>
      <c r="AN14" s="23">
        <f t="shared" si="5"/>
        <v>15.478260869565219</v>
      </c>
      <c r="AO14" s="3"/>
      <c r="AP14" s="3"/>
      <c r="AQ14" s="3">
        <v>9</v>
      </c>
      <c r="AR14" s="3">
        <v>3</v>
      </c>
      <c r="AS14" s="3">
        <v>5</v>
      </c>
      <c r="AT14" s="3">
        <v>9</v>
      </c>
      <c r="AU14" s="3">
        <v>5</v>
      </c>
      <c r="AV14" s="3">
        <v>11</v>
      </c>
      <c r="AW14" s="3">
        <v>4</v>
      </c>
      <c r="AX14" s="3">
        <v>12</v>
      </c>
      <c r="AY14" s="3">
        <v>5</v>
      </c>
      <c r="AZ14" s="3">
        <v>5</v>
      </c>
      <c r="BA14" s="52">
        <f t="shared" si="1"/>
        <v>16</v>
      </c>
      <c r="BB14" s="10">
        <v>20</v>
      </c>
      <c r="BC14" s="46">
        <f t="shared" si="2"/>
        <v>17.399999999999999</v>
      </c>
      <c r="BD14" s="66">
        <f t="shared" si="6"/>
        <v>15.966827697262479</v>
      </c>
    </row>
    <row r="15" spans="1:56" ht="15">
      <c r="A15" s="2">
        <v>12</v>
      </c>
      <c r="B15" s="12" t="s">
        <v>238</v>
      </c>
      <c r="C15" s="4">
        <v>3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6">
        <v>1</v>
      </c>
      <c r="L15" s="3"/>
      <c r="M15" s="3">
        <v>4</v>
      </c>
      <c r="N15" s="3">
        <v>4</v>
      </c>
      <c r="O15" s="3">
        <v>4</v>
      </c>
      <c r="P15" s="3">
        <v>1</v>
      </c>
      <c r="Q15" s="3">
        <v>5</v>
      </c>
      <c r="R15" s="3" t="s">
        <v>41</v>
      </c>
      <c r="S15" s="3">
        <v>2</v>
      </c>
      <c r="T15" s="3">
        <v>2</v>
      </c>
      <c r="U15" s="10">
        <f t="shared" si="3"/>
        <v>18.333333333333332</v>
      </c>
      <c r="V15" s="10">
        <v>15.5</v>
      </c>
      <c r="W15" s="17">
        <f t="shared" si="7"/>
        <v>17.341666666666665</v>
      </c>
      <c r="X15" s="3"/>
      <c r="Y15" s="3">
        <v>1</v>
      </c>
      <c r="Z15" s="3">
        <v>5</v>
      </c>
      <c r="AA15" s="3">
        <v>6</v>
      </c>
      <c r="AB15" s="3">
        <v>1</v>
      </c>
      <c r="AC15" s="3">
        <v>1</v>
      </c>
      <c r="AD15" s="3"/>
      <c r="AE15" s="3"/>
      <c r="AF15" s="3"/>
      <c r="AG15" s="3">
        <v>1</v>
      </c>
      <c r="AH15" s="3"/>
      <c r="AI15" s="3">
        <v>1</v>
      </c>
      <c r="AJ15" s="3">
        <v>1</v>
      </c>
      <c r="AK15" s="3">
        <v>1</v>
      </c>
      <c r="AL15" s="10">
        <f t="shared" si="4"/>
        <v>15.652173913043478</v>
      </c>
      <c r="AM15" s="10">
        <v>10</v>
      </c>
      <c r="AN15" s="23">
        <f t="shared" si="5"/>
        <v>13.673913043478262</v>
      </c>
      <c r="AO15" s="3"/>
      <c r="AP15" s="3">
        <v>1</v>
      </c>
      <c r="AQ15" s="3">
        <v>12</v>
      </c>
      <c r="AR15" s="3">
        <v>2</v>
      </c>
      <c r="AS15" s="3">
        <v>5</v>
      </c>
      <c r="AT15" s="3">
        <v>9</v>
      </c>
      <c r="AU15" s="3">
        <v>2</v>
      </c>
      <c r="AV15" s="3">
        <v>11</v>
      </c>
      <c r="AW15" s="3">
        <v>4</v>
      </c>
      <c r="AX15" s="3">
        <v>12</v>
      </c>
      <c r="AY15" s="3">
        <v>5</v>
      </c>
      <c r="AZ15" s="3">
        <v>5</v>
      </c>
      <c r="BA15" s="52">
        <f t="shared" si="1"/>
        <v>16</v>
      </c>
      <c r="BB15" s="10">
        <v>20</v>
      </c>
      <c r="BC15" s="46">
        <f t="shared" si="2"/>
        <v>17.399999999999999</v>
      </c>
      <c r="BD15" s="66">
        <f t="shared" si="6"/>
        <v>16.13852657004831</v>
      </c>
    </row>
    <row r="16" spans="1:56" ht="15">
      <c r="A16" s="2">
        <v>13</v>
      </c>
      <c r="B16" s="12" t="s">
        <v>239</v>
      </c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0">
        <f t="shared" si="3"/>
        <v>0</v>
      </c>
      <c r="V16" s="10"/>
      <c r="W16" s="17">
        <f t="shared" si="7"/>
        <v>0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10">
        <f t="shared" si="4"/>
        <v>0</v>
      </c>
      <c r="AM16" s="10"/>
      <c r="AN16" s="23">
        <f t="shared" si="5"/>
        <v>0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52">
        <f t="shared" si="1"/>
        <v>0</v>
      </c>
      <c r="BB16" s="10"/>
      <c r="BC16" s="46">
        <f t="shared" si="2"/>
        <v>0</v>
      </c>
      <c r="BD16" s="66">
        <f t="shared" si="6"/>
        <v>0</v>
      </c>
    </row>
    <row r="17" spans="1:56" ht="15">
      <c r="A17" s="2">
        <v>14</v>
      </c>
      <c r="B17" s="12" t="s">
        <v>240</v>
      </c>
      <c r="C17" s="4">
        <v>3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/>
      <c r="K17" s="3"/>
      <c r="L17" s="3"/>
      <c r="M17" s="3">
        <v>3</v>
      </c>
      <c r="N17" s="3">
        <v>3</v>
      </c>
      <c r="O17" s="3">
        <v>3</v>
      </c>
      <c r="P17" s="3">
        <v>1</v>
      </c>
      <c r="Q17" s="3"/>
      <c r="R17" s="3" t="s">
        <v>41</v>
      </c>
      <c r="S17" s="3">
        <v>2</v>
      </c>
      <c r="T17" s="3"/>
      <c r="U17" s="10">
        <f t="shared" si="3"/>
        <v>11.666666666666668</v>
      </c>
      <c r="V17" s="10">
        <v>9</v>
      </c>
      <c r="W17" s="17">
        <f t="shared" si="7"/>
        <v>10.733333333333334</v>
      </c>
      <c r="X17" s="3"/>
      <c r="Y17" s="3"/>
      <c r="Z17" s="3"/>
      <c r="AA17" s="3">
        <v>8</v>
      </c>
      <c r="AB17" s="3">
        <v>1</v>
      </c>
      <c r="AC17" s="3"/>
      <c r="AD17" s="3"/>
      <c r="AE17" s="3">
        <v>1</v>
      </c>
      <c r="AF17" s="3"/>
      <c r="AG17" s="3"/>
      <c r="AH17" s="3"/>
      <c r="AI17" s="3">
        <v>1</v>
      </c>
      <c r="AJ17" s="3">
        <v>1</v>
      </c>
      <c r="AK17" s="3">
        <v>1</v>
      </c>
      <c r="AL17" s="10">
        <f t="shared" si="4"/>
        <v>11.304347826086955</v>
      </c>
      <c r="AM17" s="10">
        <v>11</v>
      </c>
      <c r="AN17" s="23">
        <f t="shared" si="5"/>
        <v>11.197826086956521</v>
      </c>
      <c r="AO17" s="3"/>
      <c r="AP17" s="3"/>
      <c r="AQ17" s="3"/>
      <c r="AR17" s="3"/>
      <c r="AS17" s="3">
        <v>0</v>
      </c>
      <c r="AT17" s="3">
        <v>5</v>
      </c>
      <c r="AU17" s="3">
        <v>7</v>
      </c>
      <c r="AV17" s="3">
        <v>9</v>
      </c>
      <c r="AW17" s="3"/>
      <c r="AX17" s="3">
        <v>12</v>
      </c>
      <c r="AY17" s="3">
        <v>6</v>
      </c>
      <c r="AZ17" s="3">
        <v>6</v>
      </c>
      <c r="BA17" s="52">
        <f t="shared" si="1"/>
        <v>10.588235294117647</v>
      </c>
      <c r="BB17" s="10">
        <v>5</v>
      </c>
      <c r="BC17" s="46">
        <f t="shared" si="2"/>
        <v>8.632352941176471</v>
      </c>
      <c r="BD17" s="66">
        <f t="shared" si="6"/>
        <v>10.187837453822109</v>
      </c>
    </row>
    <row r="18" spans="1:56" ht="15">
      <c r="A18" s="2">
        <v>15</v>
      </c>
      <c r="B18" s="12" t="s">
        <v>241</v>
      </c>
      <c r="C18" s="4">
        <v>2.5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6">
        <v>1</v>
      </c>
      <c r="L18" s="3"/>
      <c r="M18" s="3">
        <v>4</v>
      </c>
      <c r="N18" s="3">
        <v>5</v>
      </c>
      <c r="O18" s="3">
        <v>10</v>
      </c>
      <c r="P18" s="3">
        <v>1</v>
      </c>
      <c r="Q18" s="3">
        <v>6</v>
      </c>
      <c r="R18" s="3">
        <v>2</v>
      </c>
      <c r="S18" s="3">
        <v>2</v>
      </c>
      <c r="T18" s="3">
        <v>2</v>
      </c>
      <c r="U18" s="10">
        <f t="shared" si="3"/>
        <v>23.611111111111111</v>
      </c>
      <c r="V18" s="10">
        <v>14.5</v>
      </c>
      <c r="W18" s="17">
        <f t="shared" si="7"/>
        <v>20.422222222222224</v>
      </c>
      <c r="X18" s="3"/>
      <c r="Y18" s="3">
        <v>2</v>
      </c>
      <c r="Z18" s="3">
        <v>5</v>
      </c>
      <c r="AA18" s="3">
        <v>8</v>
      </c>
      <c r="AB18" s="3">
        <v>1</v>
      </c>
      <c r="AC18" s="3">
        <v>1</v>
      </c>
      <c r="AD18" s="3"/>
      <c r="AE18" s="3">
        <v>1</v>
      </c>
      <c r="AF18" s="3"/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10">
        <f t="shared" si="4"/>
        <v>20</v>
      </c>
      <c r="AM18" s="10">
        <v>20</v>
      </c>
      <c r="AN18" s="26">
        <f>+AL18*0.65+AM18*0.35+1</f>
        <v>21</v>
      </c>
      <c r="AO18" s="3"/>
      <c r="AP18" s="3">
        <v>2</v>
      </c>
      <c r="AQ18" s="3">
        <v>12</v>
      </c>
      <c r="AR18" s="3">
        <v>3</v>
      </c>
      <c r="AS18" s="3">
        <v>9</v>
      </c>
      <c r="AT18" s="3">
        <v>9</v>
      </c>
      <c r="AU18" s="3">
        <v>10</v>
      </c>
      <c r="AV18" s="3">
        <v>11</v>
      </c>
      <c r="AW18" s="3">
        <v>7</v>
      </c>
      <c r="AX18" s="3">
        <v>12</v>
      </c>
      <c r="AY18" s="3">
        <v>6</v>
      </c>
      <c r="AZ18" s="3">
        <v>6</v>
      </c>
      <c r="BA18" s="52">
        <f t="shared" si="1"/>
        <v>20.470588235294116</v>
      </c>
      <c r="BB18" s="10">
        <v>12</v>
      </c>
      <c r="BC18" s="46">
        <f t="shared" si="2"/>
        <v>17.505882352941175</v>
      </c>
      <c r="BD18" s="66">
        <f t="shared" si="6"/>
        <v>19.642701525054466</v>
      </c>
    </row>
    <row r="19" spans="1:56" ht="15">
      <c r="A19" s="2">
        <v>16</v>
      </c>
      <c r="B19" s="12" t="s">
        <v>242</v>
      </c>
      <c r="C19" s="4">
        <v>1.5</v>
      </c>
      <c r="D19" s="3">
        <v>1</v>
      </c>
      <c r="E19" s="3"/>
      <c r="F19" s="3">
        <v>1</v>
      </c>
      <c r="G19" s="3">
        <v>1</v>
      </c>
      <c r="H19" s="3">
        <v>1</v>
      </c>
      <c r="I19" s="3">
        <v>1</v>
      </c>
      <c r="J19" s="3"/>
      <c r="K19" s="3"/>
      <c r="L19" s="3"/>
      <c r="M19" s="3">
        <v>1.5</v>
      </c>
      <c r="N19" s="3">
        <v>2</v>
      </c>
      <c r="O19" s="3">
        <v>7</v>
      </c>
      <c r="P19" s="3">
        <v>1</v>
      </c>
      <c r="Q19" s="3">
        <v>3</v>
      </c>
      <c r="R19" s="3"/>
      <c r="S19" s="3">
        <v>1</v>
      </c>
      <c r="T19" s="3">
        <v>2</v>
      </c>
      <c r="U19" s="10">
        <f t="shared" si="3"/>
        <v>13.333333333333332</v>
      </c>
      <c r="V19" s="10">
        <v>11.5</v>
      </c>
      <c r="W19" s="17">
        <f t="shared" si="7"/>
        <v>12.691666666666666</v>
      </c>
      <c r="X19" s="3"/>
      <c r="Y19" s="3"/>
      <c r="Z19" s="3">
        <v>8</v>
      </c>
      <c r="AA19" s="3">
        <v>8</v>
      </c>
      <c r="AB19" s="3">
        <v>1</v>
      </c>
      <c r="AC19" s="3">
        <v>1</v>
      </c>
      <c r="AD19" s="3"/>
      <c r="AE19" s="3"/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10">
        <f t="shared" si="4"/>
        <v>20.869565217391305</v>
      </c>
      <c r="AM19" s="10">
        <v>15</v>
      </c>
      <c r="AN19" s="23">
        <f t="shared" si="5"/>
        <v>18.815217391304348</v>
      </c>
      <c r="AO19" s="3"/>
      <c r="AP19" s="3"/>
      <c r="AQ19" s="3">
        <v>10</v>
      </c>
      <c r="AR19" s="3">
        <v>2.2999999999999998</v>
      </c>
      <c r="AS19" s="3">
        <v>4</v>
      </c>
      <c r="AT19" s="3">
        <v>5</v>
      </c>
      <c r="AU19" s="3">
        <v>5</v>
      </c>
      <c r="AV19" s="3">
        <v>11</v>
      </c>
      <c r="AW19" s="3">
        <v>5</v>
      </c>
      <c r="AX19" s="3">
        <v>12</v>
      </c>
      <c r="AY19" s="3">
        <v>6</v>
      </c>
      <c r="AZ19" s="3">
        <v>4</v>
      </c>
      <c r="BA19" s="52">
        <f t="shared" si="1"/>
        <v>15.129411764705882</v>
      </c>
      <c r="BB19" s="10">
        <v>7</v>
      </c>
      <c r="BC19" s="46">
        <f t="shared" si="2"/>
        <v>12.284117647058823</v>
      </c>
      <c r="BD19" s="66">
        <f t="shared" si="6"/>
        <v>14.597000568343281</v>
      </c>
    </row>
    <row r="20" spans="1:56">
      <c r="A20" s="3"/>
      <c r="B20" s="13" t="s">
        <v>42</v>
      </c>
      <c r="C20" s="5">
        <v>2</v>
      </c>
      <c r="D20" s="3"/>
      <c r="E20" s="3"/>
      <c r="F20" s="3"/>
      <c r="G20" s="3"/>
      <c r="H20" s="3"/>
      <c r="I20" s="3"/>
      <c r="J20" s="3"/>
      <c r="K20" s="3"/>
      <c r="L20" s="3"/>
      <c r="M20" s="3">
        <v>2</v>
      </c>
      <c r="N20" s="3"/>
      <c r="O20" s="3"/>
      <c r="P20" s="3"/>
      <c r="Q20" s="3"/>
      <c r="R20" s="3"/>
      <c r="S20" s="3"/>
      <c r="T20" s="3"/>
      <c r="U20" s="10">
        <f t="shared" si="3"/>
        <v>2.2222222222222223</v>
      </c>
      <c r="V20" s="10"/>
      <c r="W20" s="17">
        <f t="shared" si="7"/>
        <v>1.4444444444444446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10">
        <f t="shared" si="4"/>
        <v>0</v>
      </c>
      <c r="AM20" s="10"/>
      <c r="AN20" s="23">
        <f t="shared" si="5"/>
        <v>0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52">
        <f t="shared" si="1"/>
        <v>0</v>
      </c>
      <c r="BB20" s="10"/>
      <c r="BC20" s="46">
        <f t="shared" si="2"/>
        <v>0</v>
      </c>
      <c r="BD20" s="66">
        <f t="shared" si="6"/>
        <v>0.48148148148148157</v>
      </c>
    </row>
    <row r="21" spans="1:56">
      <c r="AO21">
        <v>4</v>
      </c>
      <c r="AP21">
        <v>1</v>
      </c>
      <c r="AQ21">
        <v>12</v>
      </c>
      <c r="AR21">
        <v>3</v>
      </c>
      <c r="AS21" s="40">
        <v>9</v>
      </c>
      <c r="AT21" s="40">
        <v>9</v>
      </c>
      <c r="AU21" s="53">
        <v>5</v>
      </c>
      <c r="AV21" s="40">
        <v>11</v>
      </c>
      <c r="AW21" s="53">
        <v>7</v>
      </c>
      <c r="AX21" s="53">
        <v>12</v>
      </c>
      <c r="AY21" s="53">
        <v>6</v>
      </c>
      <c r="AZ21" s="53">
        <v>6</v>
      </c>
      <c r="BA21" s="52">
        <f>SUM(AO21:AZ21)/85*20</f>
        <v>20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D21"/>
  <sheetViews>
    <sheetView tabSelected="1" topLeftCell="C1" zoomScale="97" workbookViewId="0">
      <selection activeCell="BB4" sqref="BB4"/>
    </sheetView>
  </sheetViews>
  <sheetFormatPr baseColWidth="10" defaultRowHeight="13"/>
  <cols>
    <col min="1" max="1" width="3.140625" bestFit="1" customWidth="1"/>
    <col min="2" max="2" width="19.85546875" customWidth="1"/>
    <col min="3" max="19" width="2" customWidth="1"/>
    <col min="20" max="20" width="3.85546875" style="8" customWidth="1"/>
    <col min="21" max="21" width="4" style="8" customWidth="1"/>
    <col min="22" max="22" width="5.42578125" style="9" bestFit="1" customWidth="1"/>
    <col min="23" max="23" width="2.42578125" customWidth="1"/>
    <col min="24" max="34" width="2.140625" customWidth="1"/>
    <col min="35" max="35" width="5.5703125" style="8" customWidth="1"/>
    <col min="36" max="36" width="4" style="8" customWidth="1"/>
    <col min="37" max="37" width="4.5703125" style="8" customWidth="1"/>
    <col min="38" max="38" width="3.42578125" customWidth="1"/>
    <col min="39" max="39" width="4.140625" customWidth="1"/>
    <col min="40" max="40" width="3.85546875" customWidth="1"/>
    <col min="41" max="49" width="4.140625" customWidth="1"/>
    <col min="50" max="50" width="5.28515625" style="51" customWidth="1"/>
    <col min="51" max="51" width="4.42578125" style="8" customWidth="1"/>
    <col min="52" max="52" width="5.28515625" style="8" bestFit="1" customWidth="1"/>
    <col min="53" max="53" width="5.28515625" style="65" bestFit="1" customWidth="1"/>
    <col min="54" max="56" width="3.7109375" customWidth="1"/>
  </cols>
  <sheetData>
    <row r="1" spans="1:56"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L1">
        <v>3</v>
      </c>
      <c r="M1">
        <v>5</v>
      </c>
      <c r="N1">
        <v>10</v>
      </c>
      <c r="O1">
        <v>2</v>
      </c>
      <c r="P1">
        <v>4</v>
      </c>
      <c r="R1">
        <v>2</v>
      </c>
      <c r="S1">
        <v>2</v>
      </c>
      <c r="T1" s="8">
        <f>SUM(C1:S1)</f>
        <v>35</v>
      </c>
      <c r="V1" s="16"/>
      <c r="AN1" t="s">
        <v>250</v>
      </c>
    </row>
    <row r="2" spans="1:56">
      <c r="B2" t="s">
        <v>68</v>
      </c>
      <c r="T2" s="7">
        <v>0.65</v>
      </c>
      <c r="U2" s="7">
        <v>0.35</v>
      </c>
      <c r="W2">
        <v>1</v>
      </c>
      <c r="X2">
        <v>1</v>
      </c>
      <c r="Y2">
        <v>5</v>
      </c>
      <c r="Z2">
        <v>8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7">
        <v>0.65</v>
      </c>
      <c r="AJ2" s="7">
        <v>0.35</v>
      </c>
      <c r="AK2" s="28"/>
      <c r="AL2">
        <v>4</v>
      </c>
      <c r="AM2">
        <v>1</v>
      </c>
      <c r="AN2">
        <v>12</v>
      </c>
      <c r="AO2">
        <v>3</v>
      </c>
      <c r="AP2">
        <v>9</v>
      </c>
      <c r="AQ2">
        <v>9</v>
      </c>
      <c r="AR2">
        <v>5</v>
      </c>
      <c r="AS2">
        <v>11</v>
      </c>
      <c r="AT2">
        <v>7</v>
      </c>
      <c r="AU2">
        <v>12</v>
      </c>
      <c r="AV2">
        <v>6</v>
      </c>
      <c r="AW2">
        <v>6</v>
      </c>
      <c r="AX2" s="7">
        <v>0.65</v>
      </c>
      <c r="AY2" s="7">
        <v>0.35</v>
      </c>
    </row>
    <row r="3" spans="1:56">
      <c r="C3" t="s">
        <v>67</v>
      </c>
      <c r="D3" t="s">
        <v>22</v>
      </c>
      <c r="E3" t="s">
        <v>96</v>
      </c>
      <c r="F3" t="s">
        <v>267</v>
      </c>
      <c r="G3" t="s">
        <v>268</v>
      </c>
      <c r="H3" t="s">
        <v>40</v>
      </c>
      <c r="I3" t="s">
        <v>35</v>
      </c>
      <c r="J3" t="s">
        <v>158</v>
      </c>
      <c r="K3" t="s">
        <v>159</v>
      </c>
      <c r="L3" t="s">
        <v>193</v>
      </c>
      <c r="M3" t="s">
        <v>177</v>
      </c>
      <c r="N3" t="s">
        <v>337</v>
      </c>
      <c r="O3" t="s">
        <v>338</v>
      </c>
      <c r="P3" t="s">
        <v>43</v>
      </c>
      <c r="Q3" t="s">
        <v>340</v>
      </c>
      <c r="R3" t="s">
        <v>194</v>
      </c>
      <c r="S3" t="s">
        <v>156</v>
      </c>
      <c r="T3" s="8" t="s">
        <v>171</v>
      </c>
      <c r="U3" s="8" t="s">
        <v>170</v>
      </c>
      <c r="V3" s="9" t="s">
        <v>161</v>
      </c>
      <c r="W3" t="s">
        <v>160</v>
      </c>
      <c r="X3" s="37" t="s">
        <v>103</v>
      </c>
      <c r="Y3" s="37" t="s">
        <v>106</v>
      </c>
      <c r="Z3" s="37" t="s">
        <v>107</v>
      </c>
      <c r="AA3" s="37" t="s">
        <v>111</v>
      </c>
      <c r="AB3" t="s">
        <v>317</v>
      </c>
      <c r="AC3" t="s">
        <v>318</v>
      </c>
      <c r="AD3" t="s">
        <v>321</v>
      </c>
      <c r="AE3" t="s">
        <v>325</v>
      </c>
      <c r="AF3" t="s">
        <v>326</v>
      </c>
      <c r="AG3" t="s">
        <v>356</v>
      </c>
      <c r="AH3" t="s">
        <v>357</v>
      </c>
      <c r="AI3" s="8" t="s">
        <v>171</v>
      </c>
      <c r="AJ3" s="8" t="s">
        <v>170</v>
      </c>
      <c r="AK3" s="28" t="s">
        <v>161</v>
      </c>
      <c r="AL3" t="s">
        <v>270</v>
      </c>
      <c r="AM3" t="s">
        <v>201</v>
      </c>
      <c r="AN3" t="s">
        <v>91</v>
      </c>
      <c r="AO3" t="s">
        <v>281</v>
      </c>
      <c r="AP3" t="s">
        <v>48</v>
      </c>
      <c r="AQ3" t="s">
        <v>49</v>
      </c>
      <c r="AR3" t="s">
        <v>199</v>
      </c>
      <c r="AS3" t="s">
        <v>92</v>
      </c>
      <c r="AT3" t="s">
        <v>209</v>
      </c>
      <c r="AU3" t="s">
        <v>283</v>
      </c>
      <c r="AV3" t="s">
        <v>74</v>
      </c>
      <c r="AW3" t="s">
        <v>75</v>
      </c>
      <c r="AX3" s="51" t="s">
        <v>76</v>
      </c>
      <c r="AY3" s="8" t="s">
        <v>77</v>
      </c>
      <c r="AZ3" s="8" t="s">
        <v>78</v>
      </c>
      <c r="BA3" s="65" t="s">
        <v>362</v>
      </c>
      <c r="BB3" t="s">
        <v>44</v>
      </c>
    </row>
    <row r="4" spans="1:56">
      <c r="A4" s="3">
        <v>1</v>
      </c>
      <c r="B4" s="3" t="s">
        <v>210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/>
      <c r="I4" s="6">
        <v>1</v>
      </c>
      <c r="J4" s="3"/>
      <c r="K4" s="3"/>
      <c r="L4" s="3">
        <v>4</v>
      </c>
      <c r="M4" s="3">
        <v>5</v>
      </c>
      <c r="N4" s="3">
        <v>10</v>
      </c>
      <c r="O4" s="3">
        <v>2</v>
      </c>
      <c r="P4" s="3">
        <v>6</v>
      </c>
      <c r="Q4" s="3">
        <v>1</v>
      </c>
      <c r="R4" s="3">
        <v>4</v>
      </c>
      <c r="S4" s="3">
        <v>2</v>
      </c>
      <c r="T4" s="10">
        <f>SUM(C4:S4)/35*20</f>
        <v>22.857142857142854</v>
      </c>
      <c r="U4" s="10">
        <v>19</v>
      </c>
      <c r="V4" s="11">
        <f>+T4*0.65+U4*0.35</f>
        <v>21.507142857142856</v>
      </c>
      <c r="W4" s="3">
        <v>2</v>
      </c>
      <c r="X4" s="3"/>
      <c r="Y4" s="3">
        <v>5</v>
      </c>
      <c r="Z4" s="3">
        <v>10</v>
      </c>
      <c r="AA4" s="3">
        <v>1</v>
      </c>
      <c r="AB4" s="3">
        <v>1</v>
      </c>
      <c r="AC4" s="3"/>
      <c r="AD4" s="3">
        <v>1</v>
      </c>
      <c r="AE4" s="3">
        <v>1</v>
      </c>
      <c r="AF4" s="3"/>
      <c r="AG4" s="3"/>
      <c r="AH4" s="3"/>
      <c r="AI4" s="10">
        <f>SUM(W4:AH4)/23*20</f>
        <v>18.260869565217391</v>
      </c>
      <c r="AJ4" s="10">
        <v>18</v>
      </c>
      <c r="AK4" s="26">
        <f>+AI4*0.65+AJ4*0.35+1</f>
        <v>19.169565217391305</v>
      </c>
      <c r="AL4" s="3">
        <v>9</v>
      </c>
      <c r="AM4" s="3">
        <v>1</v>
      </c>
      <c r="AN4" s="3">
        <v>12</v>
      </c>
      <c r="AO4" s="3">
        <v>3</v>
      </c>
      <c r="AP4" s="3">
        <v>8</v>
      </c>
      <c r="AQ4" s="3">
        <v>9</v>
      </c>
      <c r="AR4" s="3"/>
      <c r="AS4" s="3">
        <v>11</v>
      </c>
      <c r="AT4" s="3">
        <v>6</v>
      </c>
      <c r="AU4" s="3">
        <v>12</v>
      </c>
      <c r="AV4" s="3">
        <v>6</v>
      </c>
      <c r="AW4" s="3">
        <v>6</v>
      </c>
      <c r="AX4" s="52">
        <f t="shared" ref="AX4:AX20" si="0">SUM(AL4:AW4)/85*20</f>
        <v>19.52941176470588</v>
      </c>
      <c r="AY4" s="10">
        <v>20</v>
      </c>
      <c r="AZ4" s="46">
        <f t="shared" ref="AZ4:AZ20" si="1">+AX4*0.65+AY4*0.35</f>
        <v>19.694117647058825</v>
      </c>
      <c r="BA4" s="66">
        <f>+(AZ4+AK4+V4)/3</f>
        <v>20.123608573864328</v>
      </c>
    </row>
    <row r="5" spans="1:56">
      <c r="A5" s="3">
        <v>2</v>
      </c>
      <c r="B5" s="3" t="s">
        <v>251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6">
        <v>1</v>
      </c>
      <c r="J5" s="3"/>
      <c r="K5" s="3"/>
      <c r="L5" s="6">
        <v>1.5</v>
      </c>
      <c r="M5" s="6">
        <v>5</v>
      </c>
      <c r="N5" s="6">
        <v>10</v>
      </c>
      <c r="O5" s="6">
        <v>2</v>
      </c>
      <c r="P5" s="6">
        <v>3</v>
      </c>
      <c r="Q5" s="3"/>
      <c r="R5" s="3"/>
      <c r="S5" s="3">
        <v>2</v>
      </c>
      <c r="T5" s="10">
        <f t="shared" ref="T5:T20" si="2">SUM(C5:S5)/35*20</f>
        <v>17.428571428571431</v>
      </c>
      <c r="U5" s="10">
        <v>12</v>
      </c>
      <c r="V5" s="17">
        <f t="shared" ref="V5:V20" si="3">+T5*0.65+U5*0.35</f>
        <v>15.52857142857143</v>
      </c>
      <c r="W5" s="3"/>
      <c r="X5" s="3"/>
      <c r="Y5" s="3"/>
      <c r="Z5" s="3">
        <v>8</v>
      </c>
      <c r="AA5" s="3">
        <v>0.5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10">
        <f t="shared" ref="AI5:AI20" si="4">SUM(W5:AH5)/23*20</f>
        <v>13.478260869565217</v>
      </c>
      <c r="AJ5" s="10">
        <v>10</v>
      </c>
      <c r="AK5" s="23">
        <f t="shared" ref="AK5:AK20" si="5">+AI5*0.65+AJ5*0.35</f>
        <v>12.260869565217391</v>
      </c>
      <c r="AL5" s="3"/>
      <c r="AM5" s="3">
        <v>1</v>
      </c>
      <c r="AN5" s="3">
        <v>13</v>
      </c>
      <c r="AO5" s="3">
        <v>2.2999999999999998</v>
      </c>
      <c r="AP5" s="3">
        <v>9</v>
      </c>
      <c r="AQ5" s="3"/>
      <c r="AR5" s="3">
        <v>5</v>
      </c>
      <c r="AS5" s="3">
        <v>11</v>
      </c>
      <c r="AT5" s="3"/>
      <c r="AU5" s="3">
        <v>12</v>
      </c>
      <c r="AV5" s="3"/>
      <c r="AW5" s="3"/>
      <c r="AX5" s="52">
        <f t="shared" si="0"/>
        <v>12.541176470588235</v>
      </c>
      <c r="AY5" s="10">
        <v>3</v>
      </c>
      <c r="AZ5" s="46">
        <f>+AX5*0.65+AY5*0.35</f>
        <v>9.2017647058823542</v>
      </c>
      <c r="BA5" s="66">
        <f t="shared" ref="BA5:BA20" si="6">+(AZ5+AK5+V5)/3</f>
        <v>12.330401899890392</v>
      </c>
    </row>
    <row r="6" spans="1:56">
      <c r="A6" s="3">
        <v>3</v>
      </c>
      <c r="B6" s="3" t="s">
        <v>252</v>
      </c>
      <c r="C6" s="3"/>
      <c r="D6" s="3"/>
      <c r="E6" s="3"/>
      <c r="F6" s="3"/>
      <c r="G6" s="3"/>
      <c r="H6" s="3"/>
      <c r="I6" s="3"/>
      <c r="J6" s="3"/>
      <c r="K6" s="3"/>
      <c r="L6" s="3">
        <v>4</v>
      </c>
      <c r="M6" s="3"/>
      <c r="N6" s="3">
        <v>10</v>
      </c>
      <c r="O6" s="3">
        <v>2</v>
      </c>
      <c r="P6" s="3">
        <v>5</v>
      </c>
      <c r="Q6" s="3"/>
      <c r="R6" s="3"/>
      <c r="S6" s="3"/>
      <c r="T6" s="10">
        <f t="shared" si="2"/>
        <v>12</v>
      </c>
      <c r="U6" s="10">
        <v>3</v>
      </c>
      <c r="V6" s="17">
        <f t="shared" si="3"/>
        <v>8.8500000000000014</v>
      </c>
      <c r="W6" s="3">
        <v>2</v>
      </c>
      <c r="X6" s="3"/>
      <c r="Y6" s="3"/>
      <c r="Z6" s="3"/>
      <c r="AA6" s="3">
        <v>1</v>
      </c>
      <c r="AB6" s="3"/>
      <c r="AC6" s="3"/>
      <c r="AD6" s="3"/>
      <c r="AE6" s="3"/>
      <c r="AF6" s="3"/>
      <c r="AG6" s="3"/>
      <c r="AH6" s="3"/>
      <c r="AI6" s="10">
        <f t="shared" si="4"/>
        <v>2.6086956521739131</v>
      </c>
      <c r="AJ6" s="10">
        <v>16</v>
      </c>
      <c r="AK6" s="23">
        <f t="shared" si="5"/>
        <v>7.2956521739130427</v>
      </c>
      <c r="AL6" s="3"/>
      <c r="AM6" s="3"/>
      <c r="AN6" s="3"/>
      <c r="AO6" s="3">
        <v>2</v>
      </c>
      <c r="AP6" s="3"/>
      <c r="AQ6" s="3"/>
      <c r="AR6" s="3"/>
      <c r="AS6" s="3">
        <v>9</v>
      </c>
      <c r="AT6" s="3"/>
      <c r="AU6" s="3"/>
      <c r="AV6" s="3">
        <v>6</v>
      </c>
      <c r="AW6" s="3">
        <v>0</v>
      </c>
      <c r="AX6" s="52">
        <f t="shared" si="0"/>
        <v>4</v>
      </c>
      <c r="AY6" s="10">
        <v>2</v>
      </c>
      <c r="AZ6" s="46">
        <f t="shared" si="1"/>
        <v>3.3</v>
      </c>
      <c r="BA6" s="66">
        <f t="shared" si="6"/>
        <v>6.4818840579710146</v>
      </c>
    </row>
    <row r="7" spans="1:56">
      <c r="A7" s="3">
        <v>4</v>
      </c>
      <c r="B7" s="3" t="s">
        <v>253</v>
      </c>
      <c r="C7" s="3"/>
      <c r="D7" s="3"/>
      <c r="E7" s="3"/>
      <c r="F7" s="3">
        <v>1</v>
      </c>
      <c r="G7" s="3">
        <v>1</v>
      </c>
      <c r="H7" s="3">
        <v>1</v>
      </c>
      <c r="I7" s="3">
        <v>1</v>
      </c>
      <c r="J7" s="3"/>
      <c r="K7" s="3"/>
      <c r="L7" s="6">
        <v>2.5</v>
      </c>
      <c r="M7" s="6">
        <v>2</v>
      </c>
      <c r="N7" s="6">
        <v>10</v>
      </c>
      <c r="O7" s="6">
        <v>2</v>
      </c>
      <c r="P7" s="6">
        <v>3</v>
      </c>
      <c r="Q7" s="3"/>
      <c r="R7" s="3">
        <v>1</v>
      </c>
      <c r="S7" s="3"/>
      <c r="T7" s="10">
        <f t="shared" si="2"/>
        <v>14</v>
      </c>
      <c r="U7" s="10">
        <v>11</v>
      </c>
      <c r="V7" s="17">
        <f t="shared" si="3"/>
        <v>12.95</v>
      </c>
      <c r="W7" s="3">
        <v>1</v>
      </c>
      <c r="X7" s="3"/>
      <c r="Y7" s="3"/>
      <c r="Z7" s="3"/>
      <c r="AA7" s="3">
        <v>1</v>
      </c>
      <c r="AB7" s="3">
        <v>1</v>
      </c>
      <c r="AC7" s="3"/>
      <c r="AD7" s="3"/>
      <c r="AE7" s="3"/>
      <c r="AF7" s="3"/>
      <c r="AG7" s="3"/>
      <c r="AH7" s="3"/>
      <c r="AI7" s="10">
        <f t="shared" si="4"/>
        <v>2.6086956521739131</v>
      </c>
      <c r="AJ7" s="10">
        <v>10</v>
      </c>
      <c r="AK7" s="23">
        <f t="shared" si="5"/>
        <v>5.195652173913043</v>
      </c>
      <c r="AL7" s="3"/>
      <c r="AM7" s="3"/>
      <c r="AN7" s="3">
        <v>4</v>
      </c>
      <c r="AO7" s="3">
        <v>2</v>
      </c>
      <c r="AP7" s="3"/>
      <c r="AQ7" s="3">
        <v>4</v>
      </c>
      <c r="AR7" s="3"/>
      <c r="AS7" s="3"/>
      <c r="AT7" s="3"/>
      <c r="AU7" s="3"/>
      <c r="AV7" s="3"/>
      <c r="AW7" s="3"/>
      <c r="AX7" s="52">
        <f t="shared" si="0"/>
        <v>2.3529411764705883</v>
      </c>
      <c r="AY7" s="10">
        <v>3</v>
      </c>
      <c r="AZ7" s="46">
        <f t="shared" si="1"/>
        <v>2.5794117647058821</v>
      </c>
      <c r="BA7" s="66">
        <f t="shared" si="6"/>
        <v>6.9083546462063081</v>
      </c>
    </row>
    <row r="8" spans="1:56">
      <c r="A8" s="3">
        <v>5</v>
      </c>
      <c r="B8" s="3" t="s">
        <v>254</v>
      </c>
      <c r="C8" s="3">
        <v>0.5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6">
        <v>1</v>
      </c>
      <c r="J8" s="3"/>
      <c r="K8" s="3"/>
      <c r="L8" s="3"/>
      <c r="M8" s="6">
        <v>4</v>
      </c>
      <c r="N8" s="6">
        <v>10</v>
      </c>
      <c r="O8" s="6">
        <v>2</v>
      </c>
      <c r="P8" s="6">
        <v>4</v>
      </c>
      <c r="Q8" s="3"/>
      <c r="R8" s="3">
        <v>2</v>
      </c>
      <c r="S8" s="3">
        <v>1</v>
      </c>
      <c r="T8" s="10">
        <f t="shared" si="2"/>
        <v>16.857142857142858</v>
      </c>
      <c r="U8" s="10">
        <v>15.5</v>
      </c>
      <c r="V8" s="17">
        <f t="shared" si="3"/>
        <v>16.382142857142856</v>
      </c>
      <c r="W8" s="3">
        <v>1</v>
      </c>
      <c r="X8" s="3"/>
      <c r="Y8" s="3"/>
      <c r="Z8" s="3">
        <v>8</v>
      </c>
      <c r="AA8" s="3">
        <v>1</v>
      </c>
      <c r="AB8" s="3"/>
      <c r="AC8" s="3"/>
      <c r="AD8" s="3">
        <v>1</v>
      </c>
      <c r="AE8" s="3"/>
      <c r="AF8" s="3"/>
      <c r="AG8" s="3"/>
      <c r="AH8" s="3"/>
      <c r="AI8" s="10">
        <f t="shared" si="4"/>
        <v>9.5652173913043477</v>
      </c>
      <c r="AJ8" s="10">
        <v>12</v>
      </c>
      <c r="AK8" s="23">
        <f t="shared" si="5"/>
        <v>10.417391304347825</v>
      </c>
      <c r="AL8" s="3"/>
      <c r="AM8" s="3">
        <v>1</v>
      </c>
      <c r="AN8" s="3">
        <v>10</v>
      </c>
      <c r="AO8" s="3">
        <v>3</v>
      </c>
      <c r="AP8" s="3">
        <v>8</v>
      </c>
      <c r="AQ8" s="3">
        <v>9</v>
      </c>
      <c r="AR8" s="3">
        <v>4</v>
      </c>
      <c r="AS8" s="3">
        <v>11</v>
      </c>
      <c r="AT8" s="3">
        <v>2</v>
      </c>
      <c r="AU8" s="3">
        <v>12</v>
      </c>
      <c r="AV8" s="3">
        <v>5</v>
      </c>
      <c r="AW8" s="3">
        <v>3</v>
      </c>
      <c r="AX8" s="52">
        <f t="shared" si="0"/>
        <v>16</v>
      </c>
      <c r="AY8" s="10">
        <v>9</v>
      </c>
      <c r="AZ8" s="46">
        <f t="shared" si="1"/>
        <v>13.55</v>
      </c>
      <c r="BA8" s="66">
        <f t="shared" si="6"/>
        <v>13.449844720496893</v>
      </c>
    </row>
    <row r="9" spans="1:56">
      <c r="A9" s="3">
        <v>6</v>
      </c>
      <c r="B9" s="3" t="s">
        <v>36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0">
        <f t="shared" si="2"/>
        <v>0</v>
      </c>
      <c r="U9" s="10"/>
      <c r="V9" s="17">
        <f t="shared" si="3"/>
        <v>0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10">
        <f t="shared" si="4"/>
        <v>0</v>
      </c>
      <c r="AJ9" s="10"/>
      <c r="AK9" s="23">
        <f t="shared" si="5"/>
        <v>0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52">
        <f t="shared" si="0"/>
        <v>0</v>
      </c>
      <c r="AY9" s="10"/>
      <c r="AZ9" s="46">
        <f t="shared" si="1"/>
        <v>0</v>
      </c>
      <c r="BA9" s="66">
        <f t="shared" si="6"/>
        <v>0</v>
      </c>
    </row>
    <row r="10" spans="1:56">
      <c r="A10" s="3">
        <v>7</v>
      </c>
      <c r="B10" s="3" t="s">
        <v>37</v>
      </c>
      <c r="C10" s="3"/>
      <c r="D10" s="3"/>
      <c r="E10" s="3"/>
      <c r="F10" s="3">
        <v>1</v>
      </c>
      <c r="G10" s="3">
        <v>1</v>
      </c>
      <c r="H10" s="3"/>
      <c r="I10" s="3">
        <v>1</v>
      </c>
      <c r="J10" s="3"/>
      <c r="K10" s="3"/>
      <c r="L10" s="3">
        <v>2.5</v>
      </c>
      <c r="M10" s="3">
        <v>4</v>
      </c>
      <c r="N10" s="3">
        <v>10</v>
      </c>
      <c r="O10" s="3">
        <v>2</v>
      </c>
      <c r="P10" s="3">
        <v>4</v>
      </c>
      <c r="Q10" s="3"/>
      <c r="R10" s="3"/>
      <c r="S10" s="3">
        <v>2</v>
      </c>
      <c r="T10" s="10">
        <f t="shared" si="2"/>
        <v>15.714285714285714</v>
      </c>
      <c r="U10" s="10">
        <v>12</v>
      </c>
      <c r="V10" s="17">
        <f t="shared" si="3"/>
        <v>14.414285714285713</v>
      </c>
      <c r="W10" s="3">
        <v>1</v>
      </c>
      <c r="X10" s="3"/>
      <c r="Y10" s="3"/>
      <c r="Z10" s="3"/>
      <c r="AA10" s="3">
        <v>1</v>
      </c>
      <c r="AB10" s="3"/>
      <c r="AC10" s="3"/>
      <c r="AD10" s="3"/>
      <c r="AE10" s="3"/>
      <c r="AF10" s="3"/>
      <c r="AG10" s="3"/>
      <c r="AH10" s="3"/>
      <c r="AI10" s="10">
        <f t="shared" si="4"/>
        <v>1.7391304347826086</v>
      </c>
      <c r="AJ10" s="10">
        <v>10</v>
      </c>
      <c r="AK10" s="23">
        <f t="shared" si="5"/>
        <v>4.6304347826086953</v>
      </c>
      <c r="AL10" s="3"/>
      <c r="AM10" s="3"/>
      <c r="AN10" s="3"/>
      <c r="AO10" s="3">
        <v>1</v>
      </c>
      <c r="AP10" s="3"/>
      <c r="AQ10" s="3"/>
      <c r="AR10" s="3"/>
      <c r="AS10" s="3"/>
      <c r="AT10" s="3"/>
      <c r="AU10" s="3"/>
      <c r="AV10" s="3"/>
      <c r="AW10" s="3"/>
      <c r="AX10" s="52">
        <f t="shared" si="0"/>
        <v>0.23529411764705882</v>
      </c>
      <c r="AY10" s="10"/>
      <c r="AZ10" s="46">
        <f t="shared" si="1"/>
        <v>0.15294117647058825</v>
      </c>
      <c r="BA10" s="66">
        <f t="shared" si="6"/>
        <v>6.3992205577883325</v>
      </c>
    </row>
    <row r="11" spans="1:56">
      <c r="A11" s="3">
        <v>8</v>
      </c>
      <c r="B11" s="3" t="s">
        <v>183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6">
        <v>1</v>
      </c>
      <c r="J11" s="3"/>
      <c r="K11" s="3"/>
      <c r="L11" s="6">
        <v>2</v>
      </c>
      <c r="M11" s="6">
        <v>3</v>
      </c>
      <c r="N11" s="6">
        <v>10</v>
      </c>
      <c r="O11" s="6">
        <v>2</v>
      </c>
      <c r="P11" s="6">
        <v>4</v>
      </c>
      <c r="Q11" s="3"/>
      <c r="R11" s="3"/>
      <c r="S11" s="3"/>
      <c r="T11" s="10">
        <f t="shared" si="2"/>
        <v>16</v>
      </c>
      <c r="U11" s="10">
        <v>11.5</v>
      </c>
      <c r="V11" s="17">
        <f t="shared" si="3"/>
        <v>14.425000000000001</v>
      </c>
      <c r="W11" s="3">
        <v>1</v>
      </c>
      <c r="X11" s="3"/>
      <c r="Y11" s="3"/>
      <c r="Z11" s="3">
        <v>8</v>
      </c>
      <c r="AA11" s="3">
        <v>1</v>
      </c>
      <c r="AB11" s="3"/>
      <c r="AC11" s="3"/>
      <c r="AD11" s="3"/>
      <c r="AE11" s="3"/>
      <c r="AF11" s="3"/>
      <c r="AG11" s="3"/>
      <c r="AH11" s="3"/>
      <c r="AI11" s="10">
        <f t="shared" si="4"/>
        <v>8.695652173913043</v>
      </c>
      <c r="AJ11" s="10">
        <v>10</v>
      </c>
      <c r="AK11" s="23">
        <f t="shared" si="5"/>
        <v>9.1521739130434785</v>
      </c>
      <c r="AL11" s="3"/>
      <c r="AM11" s="3"/>
      <c r="AN11" s="3">
        <v>10</v>
      </c>
      <c r="AO11" s="3">
        <v>1</v>
      </c>
      <c r="AP11" s="3"/>
      <c r="AQ11" s="3">
        <v>8</v>
      </c>
      <c r="AR11" s="3">
        <v>2</v>
      </c>
      <c r="AS11" s="3">
        <v>11</v>
      </c>
      <c r="AT11" s="3"/>
      <c r="AU11" s="3"/>
      <c r="AV11" s="3">
        <v>4</v>
      </c>
      <c r="AW11" s="3">
        <v>0</v>
      </c>
      <c r="AX11" s="52">
        <f t="shared" si="0"/>
        <v>8.4705882352941178</v>
      </c>
      <c r="AY11" s="10">
        <v>3</v>
      </c>
      <c r="AZ11" s="46">
        <f t="shared" si="1"/>
        <v>6.5558823529411763</v>
      </c>
      <c r="BA11" s="66">
        <f t="shared" si="6"/>
        <v>10.044352088661553</v>
      </c>
    </row>
    <row r="12" spans="1:56">
      <c r="A12" s="3">
        <v>9</v>
      </c>
      <c r="B12" s="3" t="s">
        <v>144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6">
        <v>1</v>
      </c>
      <c r="J12" s="3"/>
      <c r="K12" s="3"/>
      <c r="L12" s="6">
        <v>4</v>
      </c>
      <c r="M12" s="6">
        <v>5</v>
      </c>
      <c r="N12" s="6">
        <v>10</v>
      </c>
      <c r="O12" s="6">
        <v>2</v>
      </c>
      <c r="P12" s="6">
        <v>7</v>
      </c>
      <c r="Q12" s="6">
        <v>1</v>
      </c>
      <c r="R12" s="6">
        <v>1</v>
      </c>
      <c r="S12" s="6">
        <v>2</v>
      </c>
      <c r="T12" s="10">
        <f t="shared" si="2"/>
        <v>22.285714285714285</v>
      </c>
      <c r="U12" s="10">
        <v>8</v>
      </c>
      <c r="V12" s="17">
        <f t="shared" si="3"/>
        <v>17.285714285714285</v>
      </c>
      <c r="W12" s="6">
        <v>1</v>
      </c>
      <c r="X12" s="6"/>
      <c r="Y12" s="3"/>
      <c r="Z12" s="3">
        <v>8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10">
        <f t="shared" si="4"/>
        <v>14.782608695652172</v>
      </c>
      <c r="AJ12" s="10">
        <v>5</v>
      </c>
      <c r="AK12" s="26">
        <f>+AI12*0.65+AJ12*0.35+1</f>
        <v>12.358695652173912</v>
      </c>
      <c r="AL12" s="3">
        <v>3</v>
      </c>
      <c r="AM12" s="3">
        <v>3</v>
      </c>
      <c r="AN12" s="3">
        <v>13</v>
      </c>
      <c r="AO12" s="3">
        <v>2.2999999999999998</v>
      </c>
      <c r="AP12" s="3">
        <v>9</v>
      </c>
      <c r="AQ12" s="3">
        <v>9</v>
      </c>
      <c r="AR12" s="3">
        <v>9</v>
      </c>
      <c r="AS12" s="3">
        <v>11</v>
      </c>
      <c r="AT12" s="3">
        <v>6</v>
      </c>
      <c r="AU12" s="3">
        <v>12</v>
      </c>
      <c r="AV12" s="3">
        <v>6</v>
      </c>
      <c r="AW12" s="3">
        <v>6</v>
      </c>
      <c r="AX12" s="52">
        <f t="shared" si="0"/>
        <v>21.011764705882353</v>
      </c>
      <c r="AY12" s="10">
        <v>8</v>
      </c>
      <c r="AZ12" s="46">
        <f t="shared" si="1"/>
        <v>16.457647058823529</v>
      </c>
      <c r="BA12" s="66">
        <f t="shared" si="6"/>
        <v>15.367352332237241</v>
      </c>
    </row>
    <row r="13" spans="1:56">
      <c r="A13" s="3">
        <v>10</v>
      </c>
      <c r="B13" s="3" t="s">
        <v>145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0">
        <f t="shared" si="2"/>
        <v>0</v>
      </c>
      <c r="U13" s="10"/>
      <c r="V13" s="17">
        <f t="shared" si="3"/>
        <v>0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10">
        <f t="shared" si="4"/>
        <v>0</v>
      </c>
      <c r="AJ13" s="10"/>
      <c r="AK13" s="23">
        <f t="shared" si="5"/>
        <v>0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52">
        <f t="shared" si="0"/>
        <v>0</v>
      </c>
      <c r="AY13" s="10"/>
      <c r="AZ13" s="46">
        <f t="shared" si="1"/>
        <v>0</v>
      </c>
      <c r="BA13" s="66">
        <f t="shared" si="6"/>
        <v>0</v>
      </c>
    </row>
    <row r="14" spans="1:56">
      <c r="A14" s="3">
        <v>11</v>
      </c>
      <c r="B14" s="3" t="s">
        <v>72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0">
        <f t="shared" si="2"/>
        <v>0</v>
      </c>
      <c r="U14" s="10"/>
      <c r="V14" s="17">
        <f t="shared" si="3"/>
        <v>0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10">
        <f t="shared" si="4"/>
        <v>0</v>
      </c>
      <c r="AJ14" s="10"/>
      <c r="AK14" s="23">
        <f t="shared" si="5"/>
        <v>0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52">
        <f t="shared" si="0"/>
        <v>0</v>
      </c>
      <c r="AY14" s="10"/>
      <c r="AZ14" s="46">
        <f t="shared" si="1"/>
        <v>0</v>
      </c>
      <c r="BA14" s="66">
        <f t="shared" si="6"/>
        <v>0</v>
      </c>
    </row>
    <row r="15" spans="1:56">
      <c r="A15" s="10">
        <v>12</v>
      </c>
      <c r="B15" s="3" t="s">
        <v>71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6">
        <v>1</v>
      </c>
      <c r="J15" s="6">
        <v>1</v>
      </c>
      <c r="K15" s="6">
        <v>1</v>
      </c>
      <c r="L15" s="6">
        <v>2.5</v>
      </c>
      <c r="M15" s="6">
        <v>5</v>
      </c>
      <c r="N15" s="6">
        <v>10</v>
      </c>
      <c r="O15" s="6">
        <v>2</v>
      </c>
      <c r="P15" s="6">
        <v>2</v>
      </c>
      <c r="Q15" s="3"/>
      <c r="R15" s="3"/>
      <c r="S15" s="3">
        <v>2</v>
      </c>
      <c r="T15" s="10">
        <f t="shared" si="2"/>
        <v>18.571428571428573</v>
      </c>
      <c r="U15" s="10">
        <v>3</v>
      </c>
      <c r="V15" s="17">
        <f t="shared" si="3"/>
        <v>13.121428571428574</v>
      </c>
      <c r="W15" s="3">
        <v>1</v>
      </c>
      <c r="X15" s="3"/>
      <c r="Y15" s="3"/>
      <c r="Z15" s="3">
        <v>8</v>
      </c>
      <c r="AA15" s="3">
        <v>0.5</v>
      </c>
      <c r="AB15" s="3">
        <v>1</v>
      </c>
      <c r="AC15" s="3"/>
      <c r="AD15" s="3"/>
      <c r="AE15" s="3"/>
      <c r="AF15" s="3"/>
      <c r="AG15" s="3"/>
      <c r="AH15" s="3"/>
      <c r="AI15" s="10">
        <f t="shared" si="4"/>
        <v>9.1304347826086953</v>
      </c>
      <c r="AJ15" s="10">
        <v>8</v>
      </c>
      <c r="AK15" s="23">
        <f t="shared" si="5"/>
        <v>8.734782608695653</v>
      </c>
      <c r="AL15" s="3"/>
      <c r="AM15" s="3"/>
      <c r="AN15" s="3"/>
      <c r="AO15" s="3">
        <v>2</v>
      </c>
      <c r="AP15" s="3"/>
      <c r="AQ15" s="3">
        <v>2</v>
      </c>
      <c r="AR15" s="3"/>
      <c r="AS15" s="3">
        <v>9</v>
      </c>
      <c r="AT15" s="3">
        <v>2</v>
      </c>
      <c r="AU15" s="3">
        <v>11</v>
      </c>
      <c r="AV15" s="3">
        <v>4</v>
      </c>
      <c r="AW15" s="3">
        <v>3</v>
      </c>
      <c r="AX15" s="52">
        <f t="shared" si="0"/>
        <v>7.7647058823529411</v>
      </c>
      <c r="AY15" s="10">
        <v>2</v>
      </c>
      <c r="AZ15" s="46">
        <f t="shared" si="1"/>
        <v>5.7470588235294118</v>
      </c>
      <c r="BA15" s="66">
        <f t="shared" si="6"/>
        <v>9.2010900012178798</v>
      </c>
      <c r="BB15">
        <v>13</v>
      </c>
      <c r="BC15">
        <v>11</v>
      </c>
      <c r="BD15">
        <v>11</v>
      </c>
    </row>
    <row r="16" spans="1:56">
      <c r="A16" s="3">
        <v>13</v>
      </c>
      <c r="B16" s="3" t="s">
        <v>203</v>
      </c>
      <c r="C16" s="3">
        <v>1</v>
      </c>
      <c r="D16" s="3"/>
      <c r="E16" s="3">
        <v>1</v>
      </c>
      <c r="F16" s="3"/>
      <c r="G16" s="3"/>
      <c r="H16" s="3"/>
      <c r="I16" s="3">
        <v>0.5</v>
      </c>
      <c r="J16" s="3">
        <v>1</v>
      </c>
      <c r="K16" s="3">
        <v>1</v>
      </c>
      <c r="L16" s="3">
        <v>3.5</v>
      </c>
      <c r="M16" s="3">
        <v>5</v>
      </c>
      <c r="N16" s="3"/>
      <c r="O16" s="3">
        <v>2</v>
      </c>
      <c r="P16" s="3">
        <v>4</v>
      </c>
      <c r="Q16" s="3"/>
      <c r="R16" s="3"/>
      <c r="S16" s="3"/>
      <c r="T16" s="10">
        <f t="shared" si="2"/>
        <v>10.857142857142856</v>
      </c>
      <c r="U16" s="10">
        <v>12</v>
      </c>
      <c r="V16" s="17">
        <f t="shared" si="3"/>
        <v>11.257142857142856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10">
        <f t="shared" si="4"/>
        <v>0</v>
      </c>
      <c r="AJ16" s="10">
        <v>8</v>
      </c>
      <c r="AK16" s="23">
        <f t="shared" si="5"/>
        <v>2.8</v>
      </c>
      <c r="AL16" s="3"/>
      <c r="AM16" s="3"/>
      <c r="AN16" s="3"/>
      <c r="AO16" s="3">
        <v>2</v>
      </c>
      <c r="AP16" s="3"/>
      <c r="AQ16" s="3"/>
      <c r="AR16" s="3"/>
      <c r="AS16" s="3"/>
      <c r="AT16" s="3"/>
      <c r="AU16" s="3"/>
      <c r="AV16" s="3"/>
      <c r="AW16" s="3"/>
      <c r="AX16" s="52">
        <f t="shared" si="0"/>
        <v>0.47058823529411764</v>
      </c>
      <c r="AY16" s="10">
        <v>3</v>
      </c>
      <c r="AZ16" s="46">
        <f t="shared" si="1"/>
        <v>1.3558823529411763</v>
      </c>
      <c r="BA16" s="66">
        <f t="shared" si="6"/>
        <v>5.1376750700280107</v>
      </c>
    </row>
    <row r="17" spans="1:56">
      <c r="A17" s="3">
        <v>14</v>
      </c>
      <c r="B17" s="3" t="s">
        <v>163</v>
      </c>
      <c r="C17" s="3"/>
      <c r="D17" s="3"/>
      <c r="E17" s="3"/>
      <c r="F17" s="3"/>
      <c r="G17" s="3"/>
      <c r="H17" s="3"/>
      <c r="I17" s="3"/>
      <c r="J17" s="3"/>
      <c r="K17" s="3"/>
      <c r="L17" s="3">
        <v>1</v>
      </c>
      <c r="M17" s="3"/>
      <c r="N17" s="3">
        <v>10</v>
      </c>
      <c r="O17" s="3"/>
      <c r="P17" s="3"/>
      <c r="Q17" s="3"/>
      <c r="R17" s="3"/>
      <c r="S17" s="3"/>
      <c r="T17" s="10">
        <f t="shared" si="2"/>
        <v>6.2857142857142856</v>
      </c>
      <c r="U17" s="10"/>
      <c r="V17" s="17">
        <f t="shared" si="3"/>
        <v>4.0857142857142854</v>
      </c>
      <c r="W17" s="3"/>
      <c r="X17" s="3">
        <v>1</v>
      </c>
      <c r="Y17" s="3"/>
      <c r="Z17" s="3">
        <v>8</v>
      </c>
      <c r="AA17" s="3">
        <v>1</v>
      </c>
      <c r="AB17" s="3">
        <v>1</v>
      </c>
      <c r="AC17" s="3"/>
      <c r="AD17" s="3"/>
      <c r="AE17" s="3"/>
      <c r="AF17" s="3"/>
      <c r="AG17" s="3"/>
      <c r="AH17" s="3"/>
      <c r="AI17" s="10">
        <f t="shared" si="4"/>
        <v>9.5652173913043477</v>
      </c>
      <c r="AJ17" s="10">
        <v>8</v>
      </c>
      <c r="AK17" s="23">
        <f t="shared" si="5"/>
        <v>9.0173913043478251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52">
        <f t="shared" si="0"/>
        <v>0</v>
      </c>
      <c r="AY17" s="10"/>
      <c r="AZ17" s="46">
        <f t="shared" si="1"/>
        <v>0</v>
      </c>
      <c r="BA17" s="66">
        <f t="shared" si="6"/>
        <v>4.3677018633540365</v>
      </c>
    </row>
    <row r="18" spans="1:56">
      <c r="A18" s="3">
        <v>15</v>
      </c>
      <c r="B18" s="3" t="s">
        <v>164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0">
        <f t="shared" si="2"/>
        <v>0</v>
      </c>
      <c r="U18" s="10"/>
      <c r="V18" s="17">
        <f t="shared" si="3"/>
        <v>0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10">
        <f t="shared" si="4"/>
        <v>0</v>
      </c>
      <c r="AJ18" s="10"/>
      <c r="AK18" s="23">
        <f t="shared" si="5"/>
        <v>0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52">
        <f t="shared" si="0"/>
        <v>0</v>
      </c>
      <c r="AY18" s="10"/>
      <c r="AZ18" s="46">
        <f t="shared" si="1"/>
        <v>0</v>
      </c>
      <c r="BA18" s="66">
        <f t="shared" si="6"/>
        <v>0</v>
      </c>
    </row>
    <row r="19" spans="1:56">
      <c r="A19" s="10">
        <v>16</v>
      </c>
      <c r="B19" s="3" t="s">
        <v>165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/>
      <c r="J19" s="3"/>
      <c r="K19" s="3"/>
      <c r="L19" s="3">
        <v>2.5</v>
      </c>
      <c r="M19" s="3">
        <v>3</v>
      </c>
      <c r="N19" s="3">
        <v>5</v>
      </c>
      <c r="O19" s="3">
        <v>2</v>
      </c>
      <c r="P19" s="3">
        <v>4</v>
      </c>
      <c r="Q19" s="3"/>
      <c r="R19" s="3"/>
      <c r="S19" s="3"/>
      <c r="T19" s="10">
        <f t="shared" si="2"/>
        <v>12.857142857142858</v>
      </c>
      <c r="U19" s="10"/>
      <c r="V19" s="17">
        <f t="shared" si="3"/>
        <v>8.3571428571428577</v>
      </c>
      <c r="W19" s="3"/>
      <c r="X19" s="3"/>
      <c r="Y19" s="3"/>
      <c r="Z19" s="3">
        <v>8</v>
      </c>
      <c r="AA19" s="3">
        <v>1</v>
      </c>
      <c r="AB19" s="3"/>
      <c r="AC19" s="3"/>
      <c r="AD19" s="3"/>
      <c r="AE19" s="3"/>
      <c r="AF19" s="3"/>
      <c r="AG19" s="3"/>
      <c r="AH19" s="3"/>
      <c r="AI19" s="10">
        <f t="shared" si="4"/>
        <v>7.8260869565217392</v>
      </c>
      <c r="AJ19" s="10">
        <v>5</v>
      </c>
      <c r="AK19" s="23">
        <f t="shared" si="5"/>
        <v>6.8369565217391308</v>
      </c>
      <c r="AL19" s="3"/>
      <c r="AM19" s="3"/>
      <c r="AN19" s="3">
        <v>9</v>
      </c>
      <c r="AO19" s="3">
        <v>2.2999999999999998</v>
      </c>
      <c r="AP19" s="3">
        <v>8</v>
      </c>
      <c r="AQ19" s="3">
        <v>8</v>
      </c>
      <c r="AR19" s="3"/>
      <c r="AS19" s="3"/>
      <c r="AT19" s="3">
        <v>4</v>
      </c>
      <c r="AU19" s="3">
        <v>12</v>
      </c>
      <c r="AV19" s="3">
        <v>4</v>
      </c>
      <c r="AW19" s="3">
        <v>3</v>
      </c>
      <c r="AX19" s="52">
        <f t="shared" si="0"/>
        <v>11.835294117647058</v>
      </c>
      <c r="AY19" s="10">
        <v>4</v>
      </c>
      <c r="AZ19" s="46">
        <f t="shared" si="1"/>
        <v>9.0929411764705872</v>
      </c>
      <c r="BA19" s="66">
        <f t="shared" si="6"/>
        <v>8.0956801851175246</v>
      </c>
      <c r="BB19">
        <v>9</v>
      </c>
      <c r="BC19">
        <v>13</v>
      </c>
      <c r="BD19">
        <v>13</v>
      </c>
    </row>
    <row r="20" spans="1:56">
      <c r="B20" s="6" t="s">
        <v>359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0">
        <f t="shared" si="2"/>
        <v>0</v>
      </c>
      <c r="U20" s="10"/>
      <c r="V20" s="17">
        <f t="shared" si="3"/>
        <v>0</v>
      </c>
      <c r="W20" s="3">
        <v>1</v>
      </c>
      <c r="X20" s="3">
        <v>1</v>
      </c>
      <c r="Y20" s="3"/>
      <c r="Z20" s="3"/>
      <c r="AA20" s="3">
        <v>1</v>
      </c>
      <c r="AB20" s="3"/>
      <c r="AC20" s="3"/>
      <c r="AD20" s="3"/>
      <c r="AE20" s="3"/>
      <c r="AF20" s="3"/>
      <c r="AG20" s="3"/>
      <c r="AH20" s="3"/>
      <c r="AI20" s="10">
        <f t="shared" si="4"/>
        <v>2.6086956521739131</v>
      </c>
      <c r="AJ20" s="10">
        <v>5</v>
      </c>
      <c r="AK20" s="23">
        <f t="shared" si="5"/>
        <v>3.4456521739130435</v>
      </c>
      <c r="AL20" s="3"/>
      <c r="AM20" s="3"/>
      <c r="AN20" s="3">
        <v>4</v>
      </c>
      <c r="AO20" s="3"/>
      <c r="AP20" s="3"/>
      <c r="AQ20" s="3">
        <v>1</v>
      </c>
      <c r="AR20" s="3"/>
      <c r="AS20" s="3">
        <v>3</v>
      </c>
      <c r="AT20" s="3">
        <v>2</v>
      </c>
      <c r="AU20" s="3">
        <v>7</v>
      </c>
      <c r="AV20" s="3">
        <v>3</v>
      </c>
      <c r="AW20" s="3">
        <v>1</v>
      </c>
      <c r="AX20" s="52">
        <f t="shared" si="0"/>
        <v>4.9411764705882355</v>
      </c>
      <c r="AY20" s="10">
        <v>0</v>
      </c>
      <c r="AZ20" s="46">
        <f t="shared" si="1"/>
        <v>3.2117647058823531</v>
      </c>
      <c r="BA20" s="66">
        <f t="shared" si="6"/>
        <v>2.219138959931799</v>
      </c>
    </row>
    <row r="21" spans="1:56">
      <c r="AL21">
        <v>4</v>
      </c>
      <c r="AM21">
        <v>1</v>
      </c>
      <c r="AN21">
        <v>12</v>
      </c>
      <c r="AO21">
        <v>3</v>
      </c>
      <c r="AP21">
        <v>9</v>
      </c>
      <c r="AQ21">
        <v>9</v>
      </c>
      <c r="AR21">
        <v>5</v>
      </c>
      <c r="AS21">
        <v>11</v>
      </c>
      <c r="AT21">
        <v>7</v>
      </c>
      <c r="AU21">
        <v>12</v>
      </c>
      <c r="AV21">
        <v>6</v>
      </c>
      <c r="AW21">
        <v>6</v>
      </c>
      <c r="AX21" s="52">
        <f>SUM(AL21:AW21)/85*20</f>
        <v>20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26"/>
  <sheetViews>
    <sheetView zoomScale="125" workbookViewId="0">
      <selection activeCell="U6" sqref="U6"/>
    </sheetView>
  </sheetViews>
  <sheetFormatPr baseColWidth="10" defaultRowHeight="13"/>
  <cols>
    <col min="1" max="1" width="3.140625" bestFit="1" customWidth="1"/>
    <col min="2" max="2" width="21.7109375" customWidth="1"/>
    <col min="3" max="3" width="4.5703125" style="8" bestFit="1" customWidth="1"/>
    <col min="4" max="4" width="4.7109375" style="8" bestFit="1" customWidth="1"/>
    <col min="5" max="5" width="4.5703125" style="8" bestFit="1" customWidth="1"/>
    <col min="6" max="6" width="6.7109375" style="20" customWidth="1"/>
    <col min="7" max="9" width="4.42578125" style="39" customWidth="1"/>
    <col min="10" max="12" width="4.42578125" style="8" customWidth="1"/>
    <col min="13" max="13" width="6.28515625" style="8" customWidth="1"/>
    <col min="14" max="14" width="4.42578125" customWidth="1"/>
    <col min="15" max="15" width="6" customWidth="1"/>
    <col min="16" max="16" width="5.140625" customWidth="1"/>
    <col min="17" max="17" width="5.5703125" bestFit="1" customWidth="1"/>
    <col min="18" max="20" width="4.42578125" style="8" customWidth="1"/>
    <col min="21" max="21" width="7.28515625" style="8" customWidth="1"/>
    <col min="22" max="23" width="6" customWidth="1"/>
  </cols>
  <sheetData>
    <row r="1" spans="1:21">
      <c r="D1" s="8">
        <v>6</v>
      </c>
      <c r="F1" s="28"/>
      <c r="K1" s="8">
        <v>14</v>
      </c>
      <c r="S1" s="8">
        <v>14</v>
      </c>
    </row>
    <row r="2" spans="1:21">
      <c r="C2" s="7">
        <v>0.35</v>
      </c>
      <c r="D2" s="7">
        <v>0.15</v>
      </c>
      <c r="E2" s="7">
        <v>0.5</v>
      </c>
      <c r="J2" s="7">
        <v>0.45</v>
      </c>
      <c r="K2" s="7">
        <v>0.15</v>
      </c>
      <c r="L2" s="7">
        <v>0.4</v>
      </c>
      <c r="R2" s="7">
        <v>0.45</v>
      </c>
      <c r="S2" s="7">
        <v>0.15</v>
      </c>
      <c r="T2" s="7">
        <v>0.4</v>
      </c>
    </row>
    <row r="3" spans="1:21" ht="14" thickBot="1">
      <c r="C3" s="8" t="s">
        <v>135</v>
      </c>
      <c r="D3" s="8" t="s">
        <v>133</v>
      </c>
      <c r="E3" s="8" t="s">
        <v>142</v>
      </c>
      <c r="F3" s="20" t="s">
        <v>181</v>
      </c>
      <c r="G3" s="39" t="s">
        <v>360</v>
      </c>
      <c r="H3" s="39" t="s">
        <v>361</v>
      </c>
      <c r="I3" s="39" t="s">
        <v>129</v>
      </c>
      <c r="J3" s="8" t="s">
        <v>130</v>
      </c>
      <c r="K3" s="8" t="s">
        <v>131</v>
      </c>
      <c r="L3" s="8" t="s">
        <v>93</v>
      </c>
      <c r="M3" s="8" t="s">
        <v>94</v>
      </c>
      <c r="N3" s="39" t="s">
        <v>55</v>
      </c>
      <c r="O3" s="39" t="s">
        <v>45</v>
      </c>
      <c r="P3" s="39" t="s">
        <v>46</v>
      </c>
      <c r="Q3" s="39" t="s">
        <v>47</v>
      </c>
      <c r="R3" s="8" t="s">
        <v>130</v>
      </c>
      <c r="S3" s="8" t="s">
        <v>131</v>
      </c>
      <c r="T3" s="8" t="s">
        <v>142</v>
      </c>
      <c r="U3" s="8" t="s">
        <v>94</v>
      </c>
    </row>
    <row r="4" spans="1:21" ht="14" thickBot="1">
      <c r="A4" s="21">
        <v>1</v>
      </c>
      <c r="B4" s="3" t="s">
        <v>89</v>
      </c>
      <c r="C4" s="10">
        <v>15</v>
      </c>
      <c r="D4" s="10">
        <v>6</v>
      </c>
      <c r="E4" s="10">
        <v>13</v>
      </c>
      <c r="F4" s="26">
        <f>+E4*0.5+D4/6*20*0.15+C4*0.35+1</f>
        <v>15.75</v>
      </c>
      <c r="G4" s="6">
        <v>12</v>
      </c>
      <c r="H4" s="6">
        <v>13</v>
      </c>
      <c r="I4" s="6">
        <v>12</v>
      </c>
      <c r="J4" s="10">
        <f>SUM(G4:I4)/3</f>
        <v>12.333333333333334</v>
      </c>
      <c r="K4" s="10">
        <v>10</v>
      </c>
      <c r="L4" s="10">
        <v>15</v>
      </c>
      <c r="M4" s="23">
        <f>+L4*0.4+K4/14*20*0.15+J4*0.45</f>
        <v>13.692857142857143</v>
      </c>
      <c r="N4" s="3"/>
      <c r="O4" s="76">
        <v>14</v>
      </c>
      <c r="P4" s="76">
        <v>13</v>
      </c>
      <c r="Q4" s="76">
        <v>0</v>
      </c>
      <c r="R4" s="10">
        <f>SUM(N4:Q4)/3</f>
        <v>9</v>
      </c>
      <c r="S4" s="10">
        <v>18</v>
      </c>
      <c r="T4" s="78">
        <v>15</v>
      </c>
      <c r="U4" s="52">
        <f>+T4*0.4+S4/22*20*0.15+R4*0.45</f>
        <v>12.504545454545454</v>
      </c>
    </row>
    <row r="5" spans="1:21" ht="14" thickBot="1">
      <c r="A5" s="21">
        <v>2</v>
      </c>
      <c r="B5" s="3" t="s">
        <v>384</v>
      </c>
      <c r="C5" s="10">
        <v>17</v>
      </c>
      <c r="D5" s="10">
        <v>6</v>
      </c>
      <c r="E5" s="10">
        <v>13</v>
      </c>
      <c r="F5" s="23">
        <f t="shared" ref="F5:F26" si="0">+E5*0.5+D5/6*20*0.15+C5*0.35</f>
        <v>15.45</v>
      </c>
      <c r="G5" s="6">
        <v>14</v>
      </c>
      <c r="H5" s="6">
        <v>12</v>
      </c>
      <c r="I5" s="6">
        <v>10</v>
      </c>
      <c r="J5" s="10">
        <f t="shared" ref="J5:J26" si="1">SUM(G5:I5)/3</f>
        <v>12</v>
      </c>
      <c r="K5" s="10">
        <v>12</v>
      </c>
      <c r="L5" s="10">
        <v>14</v>
      </c>
      <c r="M5" s="23">
        <f t="shared" ref="M5:M26" si="2">+L5*0.4+K5/14*20*0.15+J5*0.45</f>
        <v>13.571428571428571</v>
      </c>
      <c r="N5" s="3"/>
      <c r="O5" s="72">
        <v>0</v>
      </c>
      <c r="P5" s="72">
        <v>13</v>
      </c>
      <c r="Q5" s="72">
        <v>14</v>
      </c>
      <c r="R5" s="10">
        <f t="shared" ref="R5:R26" si="3">SUM(N5:Q5)/3</f>
        <v>9</v>
      </c>
      <c r="S5" s="10">
        <v>12</v>
      </c>
      <c r="T5" s="79">
        <v>16</v>
      </c>
      <c r="U5" s="52">
        <f t="shared" ref="U5:U26" si="4">+T5*0.4+S5/22*20*0.15+R5*0.45</f>
        <v>12.086363636363636</v>
      </c>
    </row>
    <row r="6" spans="1:21" ht="14" thickBot="1">
      <c r="A6" s="21">
        <v>3</v>
      </c>
      <c r="B6" s="3" t="s">
        <v>385</v>
      </c>
      <c r="C6" s="10">
        <v>15</v>
      </c>
      <c r="D6" s="10">
        <v>4</v>
      </c>
      <c r="E6" s="10">
        <v>10</v>
      </c>
      <c r="F6" s="23">
        <f t="shared" si="0"/>
        <v>12.25</v>
      </c>
      <c r="G6" s="6">
        <v>14</v>
      </c>
      <c r="H6" s="6">
        <v>11</v>
      </c>
      <c r="I6" s="6">
        <v>11</v>
      </c>
      <c r="J6" s="10">
        <f t="shared" si="1"/>
        <v>12</v>
      </c>
      <c r="K6" s="10">
        <v>10</v>
      </c>
      <c r="L6" s="10">
        <v>10</v>
      </c>
      <c r="M6" s="23">
        <f t="shared" si="2"/>
        <v>11.542857142857143</v>
      </c>
      <c r="N6" s="3">
        <v>2</v>
      </c>
      <c r="O6" s="72">
        <v>15</v>
      </c>
      <c r="P6" s="72">
        <v>12</v>
      </c>
      <c r="Q6" s="72">
        <v>14</v>
      </c>
      <c r="R6" s="10">
        <f t="shared" si="3"/>
        <v>14.333333333333334</v>
      </c>
      <c r="S6" s="10">
        <v>18</v>
      </c>
      <c r="T6" s="79">
        <v>12</v>
      </c>
      <c r="U6" s="52">
        <f>+T6*0.4+S6/22*20*0.15+R6*0.45+N6/2</f>
        <v>14.704545454545457</v>
      </c>
    </row>
    <row r="7" spans="1:21" ht="14" thickBot="1">
      <c r="A7" s="21">
        <v>4</v>
      </c>
      <c r="B7" s="3" t="s">
        <v>386</v>
      </c>
      <c r="C7" s="10">
        <v>16</v>
      </c>
      <c r="D7" s="10">
        <v>6</v>
      </c>
      <c r="E7" s="10">
        <v>12</v>
      </c>
      <c r="F7" s="23">
        <f t="shared" si="0"/>
        <v>14.6</v>
      </c>
      <c r="G7" s="6">
        <v>11</v>
      </c>
      <c r="H7" s="6">
        <v>13</v>
      </c>
      <c r="I7" s="6">
        <v>12</v>
      </c>
      <c r="J7" s="10">
        <f t="shared" si="1"/>
        <v>12</v>
      </c>
      <c r="K7" s="10">
        <v>12</v>
      </c>
      <c r="L7" s="10">
        <v>15</v>
      </c>
      <c r="M7" s="23">
        <f t="shared" si="2"/>
        <v>13.971428571428572</v>
      </c>
      <c r="N7" s="3"/>
      <c r="O7" s="72">
        <v>0</v>
      </c>
      <c r="P7" s="72">
        <v>11</v>
      </c>
      <c r="Q7" s="72">
        <v>12</v>
      </c>
      <c r="R7" s="10">
        <f t="shared" si="3"/>
        <v>7.666666666666667</v>
      </c>
      <c r="S7" s="10">
        <v>20</v>
      </c>
      <c r="T7" s="79">
        <v>12</v>
      </c>
      <c r="U7" s="52">
        <f t="shared" si="4"/>
        <v>10.977272727272727</v>
      </c>
    </row>
    <row r="8" spans="1:21" ht="14" thickBot="1">
      <c r="A8" s="21">
        <v>5</v>
      </c>
      <c r="B8" s="3" t="s">
        <v>277</v>
      </c>
      <c r="C8" s="10"/>
      <c r="D8" s="10">
        <v>4</v>
      </c>
      <c r="E8" s="10"/>
      <c r="F8" s="23">
        <f t="shared" si="0"/>
        <v>1.9999999999999998</v>
      </c>
      <c r="G8" s="6"/>
      <c r="H8" s="6">
        <v>8</v>
      </c>
      <c r="I8" s="6"/>
      <c r="J8" s="10">
        <f t="shared" si="1"/>
        <v>2.6666666666666665</v>
      </c>
      <c r="K8" s="10">
        <v>4</v>
      </c>
      <c r="L8" s="10"/>
      <c r="M8" s="23">
        <f t="shared" si="2"/>
        <v>2.0571428571428569</v>
      </c>
      <c r="N8" s="3"/>
      <c r="O8" s="72">
        <v>0</v>
      </c>
      <c r="P8" s="72">
        <v>10</v>
      </c>
      <c r="Q8" s="72">
        <v>13</v>
      </c>
      <c r="R8" s="10">
        <f t="shared" si="3"/>
        <v>7.666666666666667</v>
      </c>
      <c r="S8" s="10">
        <v>8</v>
      </c>
      <c r="T8" s="79">
        <v>0</v>
      </c>
      <c r="U8" s="52">
        <f t="shared" si="4"/>
        <v>4.540909090909091</v>
      </c>
    </row>
    <row r="9" spans="1:21" ht="14" thickBot="1">
      <c r="A9" s="21">
        <v>6</v>
      </c>
      <c r="B9" s="3" t="s">
        <v>278</v>
      </c>
      <c r="C9" s="10">
        <v>14</v>
      </c>
      <c r="D9" s="10">
        <v>6</v>
      </c>
      <c r="E9" s="10">
        <v>14</v>
      </c>
      <c r="F9" s="23">
        <f t="shared" si="0"/>
        <v>14.899999999999999</v>
      </c>
      <c r="G9" s="6">
        <v>13</v>
      </c>
      <c r="H9" s="6">
        <v>11</v>
      </c>
      <c r="I9" s="6">
        <v>13</v>
      </c>
      <c r="J9" s="10">
        <f t="shared" si="1"/>
        <v>12.333333333333334</v>
      </c>
      <c r="K9" s="10">
        <v>14</v>
      </c>
      <c r="L9" s="10">
        <v>15</v>
      </c>
      <c r="M9" s="23">
        <f t="shared" si="2"/>
        <v>14.55</v>
      </c>
      <c r="N9" s="3"/>
      <c r="O9" s="72">
        <v>12</v>
      </c>
      <c r="P9" s="72">
        <v>13</v>
      </c>
      <c r="Q9" s="72">
        <v>15</v>
      </c>
      <c r="R9" s="10">
        <f t="shared" si="3"/>
        <v>13.333333333333334</v>
      </c>
      <c r="S9" s="10">
        <v>18</v>
      </c>
      <c r="T9" s="79">
        <v>13</v>
      </c>
      <c r="U9" s="52">
        <f t="shared" si="4"/>
        <v>13.654545454545454</v>
      </c>
    </row>
    <row r="10" spans="1:21" ht="14" thickBot="1">
      <c r="A10" s="21">
        <v>7</v>
      </c>
      <c r="B10" s="3" t="s">
        <v>128</v>
      </c>
      <c r="C10" s="10">
        <v>8</v>
      </c>
      <c r="D10" s="10">
        <v>6</v>
      </c>
      <c r="E10" s="10">
        <v>16</v>
      </c>
      <c r="F10" s="23">
        <f t="shared" si="0"/>
        <v>13.8</v>
      </c>
      <c r="G10" s="6"/>
      <c r="H10" s="6">
        <v>12</v>
      </c>
      <c r="I10" s="6">
        <v>12</v>
      </c>
      <c r="J10" s="10">
        <f t="shared" si="1"/>
        <v>8</v>
      </c>
      <c r="K10" s="10">
        <v>12</v>
      </c>
      <c r="L10" s="10">
        <v>14</v>
      </c>
      <c r="M10" s="23">
        <f t="shared" si="2"/>
        <v>11.77142857142857</v>
      </c>
      <c r="N10" s="3"/>
      <c r="O10" s="72">
        <v>11</v>
      </c>
      <c r="P10" s="72">
        <v>11</v>
      </c>
      <c r="Q10" s="72">
        <v>0</v>
      </c>
      <c r="R10" s="10">
        <f t="shared" si="3"/>
        <v>7.333333333333333</v>
      </c>
      <c r="S10" s="10">
        <v>20</v>
      </c>
      <c r="T10" s="79">
        <v>14</v>
      </c>
      <c r="U10" s="52">
        <f t="shared" si="4"/>
        <v>11.627272727272729</v>
      </c>
    </row>
    <row r="11" spans="1:21" ht="14" thickBot="1">
      <c r="A11" s="21">
        <v>8</v>
      </c>
      <c r="B11" s="3" t="s">
        <v>50</v>
      </c>
      <c r="C11" s="10"/>
      <c r="D11" s="10">
        <v>6</v>
      </c>
      <c r="E11" s="10">
        <v>10</v>
      </c>
      <c r="F11" s="23">
        <f t="shared" si="0"/>
        <v>8</v>
      </c>
      <c r="G11" s="6">
        <v>10</v>
      </c>
      <c r="H11" s="6">
        <v>12</v>
      </c>
      <c r="I11" s="6">
        <v>12</v>
      </c>
      <c r="J11" s="10">
        <f t="shared" si="1"/>
        <v>11.333333333333334</v>
      </c>
      <c r="K11" s="10">
        <v>14</v>
      </c>
      <c r="L11" s="10">
        <v>7</v>
      </c>
      <c r="M11" s="23">
        <f t="shared" si="2"/>
        <v>10.900000000000002</v>
      </c>
      <c r="N11" s="3"/>
      <c r="O11" s="72">
        <v>13</v>
      </c>
      <c r="P11" s="72">
        <v>9</v>
      </c>
      <c r="Q11" s="72">
        <v>11</v>
      </c>
      <c r="R11" s="10">
        <f t="shared" si="3"/>
        <v>11</v>
      </c>
      <c r="S11" s="10">
        <v>22</v>
      </c>
      <c r="T11" s="79">
        <v>12</v>
      </c>
      <c r="U11" s="52">
        <f t="shared" si="4"/>
        <v>12.75</v>
      </c>
    </row>
    <row r="12" spans="1:21" ht="14" thickBot="1">
      <c r="A12" s="21">
        <v>9</v>
      </c>
      <c r="B12" s="3" t="s">
        <v>51</v>
      </c>
      <c r="C12" s="10">
        <v>15</v>
      </c>
      <c r="D12" s="10">
        <v>6</v>
      </c>
      <c r="E12" s="10">
        <v>11</v>
      </c>
      <c r="F12" s="23">
        <f t="shared" si="0"/>
        <v>13.75</v>
      </c>
      <c r="G12" s="6">
        <v>8</v>
      </c>
      <c r="H12" s="6">
        <v>13</v>
      </c>
      <c r="I12" s="6">
        <v>12</v>
      </c>
      <c r="J12" s="10">
        <f t="shared" si="1"/>
        <v>11</v>
      </c>
      <c r="K12" s="10">
        <v>12</v>
      </c>
      <c r="L12" s="10">
        <v>11</v>
      </c>
      <c r="M12" s="23">
        <f t="shared" si="2"/>
        <v>11.921428571428571</v>
      </c>
      <c r="N12" s="3"/>
      <c r="O12" s="72">
        <v>14</v>
      </c>
      <c r="P12" s="72">
        <v>10</v>
      </c>
      <c r="Q12" s="72">
        <v>0</v>
      </c>
      <c r="R12" s="10">
        <f t="shared" si="3"/>
        <v>8</v>
      </c>
      <c r="S12" s="10">
        <v>18</v>
      </c>
      <c r="T12" s="79">
        <v>12</v>
      </c>
      <c r="U12" s="52">
        <f t="shared" si="4"/>
        <v>10.854545454545455</v>
      </c>
    </row>
    <row r="13" spans="1:21" ht="14" thickBot="1">
      <c r="A13" s="21">
        <v>10</v>
      </c>
      <c r="B13" s="3" t="s">
        <v>52</v>
      </c>
      <c r="C13" s="10"/>
      <c r="D13" s="10">
        <v>6</v>
      </c>
      <c r="E13" s="10">
        <v>13</v>
      </c>
      <c r="F13" s="23">
        <f t="shared" si="0"/>
        <v>9.5</v>
      </c>
      <c r="G13" s="6"/>
      <c r="H13" s="6">
        <v>12</v>
      </c>
      <c r="I13" s="6"/>
      <c r="J13" s="10">
        <f t="shared" si="1"/>
        <v>4</v>
      </c>
      <c r="K13" s="10">
        <v>12</v>
      </c>
      <c r="L13" s="10">
        <v>6</v>
      </c>
      <c r="M13" s="23">
        <f t="shared" si="2"/>
        <v>6.7714285714285714</v>
      </c>
      <c r="N13" s="3"/>
      <c r="O13" s="72">
        <v>13</v>
      </c>
      <c r="P13" s="72">
        <v>13</v>
      </c>
      <c r="Q13" s="72">
        <v>0</v>
      </c>
      <c r="R13" s="10">
        <f t="shared" si="3"/>
        <v>8.6666666666666661</v>
      </c>
      <c r="S13" s="10">
        <v>20</v>
      </c>
      <c r="T13" s="79">
        <v>14</v>
      </c>
      <c r="U13" s="52">
        <f t="shared" si="4"/>
        <v>12.227272727272728</v>
      </c>
    </row>
    <row r="14" spans="1:21" ht="14" thickBot="1">
      <c r="A14" s="21">
        <v>11</v>
      </c>
      <c r="B14" s="3" t="s">
        <v>191</v>
      </c>
      <c r="C14" s="10">
        <v>12</v>
      </c>
      <c r="D14" s="10">
        <v>6</v>
      </c>
      <c r="E14" s="10">
        <v>10</v>
      </c>
      <c r="F14" s="26">
        <f>+E14*0.5+D14/6*20*0.15+C14*0.35+1</f>
        <v>13.2</v>
      </c>
      <c r="G14" s="6">
        <v>11</v>
      </c>
      <c r="H14" s="6">
        <v>12</v>
      </c>
      <c r="I14" s="6">
        <v>12</v>
      </c>
      <c r="J14" s="10">
        <f t="shared" si="1"/>
        <v>11.666666666666666</v>
      </c>
      <c r="K14" s="10">
        <v>12</v>
      </c>
      <c r="L14" s="10">
        <v>14</v>
      </c>
      <c r="M14" s="23">
        <f t="shared" si="2"/>
        <v>13.421428571428571</v>
      </c>
      <c r="N14" s="3"/>
      <c r="O14" s="72">
        <v>14</v>
      </c>
      <c r="P14" s="72">
        <v>12</v>
      </c>
      <c r="Q14" s="72">
        <v>0</v>
      </c>
      <c r="R14" s="10">
        <f t="shared" si="3"/>
        <v>8.6666666666666661</v>
      </c>
      <c r="S14" s="10">
        <v>20</v>
      </c>
      <c r="T14" s="79">
        <v>10</v>
      </c>
      <c r="U14" s="52">
        <f t="shared" si="4"/>
        <v>10.627272727272727</v>
      </c>
    </row>
    <row r="15" spans="1:21" ht="14" thickBot="1">
      <c r="A15" s="21">
        <v>12</v>
      </c>
      <c r="B15" s="3" t="s">
        <v>172</v>
      </c>
      <c r="C15" s="10">
        <v>8</v>
      </c>
      <c r="D15" s="10">
        <v>6</v>
      </c>
      <c r="E15" s="10">
        <v>11</v>
      </c>
      <c r="F15" s="23">
        <f t="shared" si="0"/>
        <v>11.3</v>
      </c>
      <c r="G15" s="6">
        <v>10</v>
      </c>
      <c r="H15" s="6">
        <v>6</v>
      </c>
      <c r="I15" s="6">
        <v>12</v>
      </c>
      <c r="J15" s="10">
        <f t="shared" si="1"/>
        <v>9.3333333333333339</v>
      </c>
      <c r="K15" s="10">
        <v>10</v>
      </c>
      <c r="L15" s="10">
        <v>12</v>
      </c>
      <c r="M15" s="23">
        <f t="shared" si="2"/>
        <v>11.142857142857142</v>
      </c>
      <c r="N15" s="3"/>
      <c r="O15" s="72">
        <v>9</v>
      </c>
      <c r="P15" s="72">
        <v>12</v>
      </c>
      <c r="Q15" s="72">
        <v>13</v>
      </c>
      <c r="R15" s="10">
        <f t="shared" si="3"/>
        <v>11.333333333333334</v>
      </c>
      <c r="S15" s="10">
        <v>14</v>
      </c>
      <c r="T15" s="79">
        <v>12</v>
      </c>
      <c r="U15" s="52">
        <f t="shared" si="4"/>
        <v>11.80909090909091</v>
      </c>
    </row>
    <row r="16" spans="1:21" ht="14" thickBot="1">
      <c r="A16" s="21">
        <v>13</v>
      </c>
      <c r="B16" s="3" t="s">
        <v>38</v>
      </c>
      <c r="C16" s="10">
        <v>11</v>
      </c>
      <c r="D16" s="10">
        <v>6</v>
      </c>
      <c r="E16" s="10">
        <v>13</v>
      </c>
      <c r="F16" s="23">
        <f t="shared" si="0"/>
        <v>13.35</v>
      </c>
      <c r="G16" s="6">
        <v>14</v>
      </c>
      <c r="H16" s="6">
        <v>12</v>
      </c>
      <c r="I16" s="6">
        <v>13</v>
      </c>
      <c r="J16" s="10">
        <f t="shared" si="1"/>
        <v>13</v>
      </c>
      <c r="K16" s="10">
        <v>12</v>
      </c>
      <c r="L16" s="10">
        <v>11</v>
      </c>
      <c r="M16" s="23">
        <f t="shared" si="2"/>
        <v>12.821428571428573</v>
      </c>
      <c r="N16" s="3"/>
      <c r="O16" s="72">
        <v>14</v>
      </c>
      <c r="P16" s="72">
        <v>12</v>
      </c>
      <c r="Q16" s="72">
        <v>13</v>
      </c>
      <c r="R16" s="10">
        <f t="shared" si="3"/>
        <v>13</v>
      </c>
      <c r="S16" s="10">
        <v>18</v>
      </c>
      <c r="T16" s="79">
        <v>12</v>
      </c>
      <c r="U16" s="52">
        <f t="shared" si="4"/>
        <v>13.104545454545455</v>
      </c>
    </row>
    <row r="17" spans="1:21" ht="14" thickBot="1">
      <c r="A17" s="21">
        <v>14</v>
      </c>
      <c r="B17" s="3" t="s">
        <v>39</v>
      </c>
      <c r="C17" s="10">
        <v>14</v>
      </c>
      <c r="D17" s="10">
        <v>4</v>
      </c>
      <c r="E17" s="10">
        <v>12</v>
      </c>
      <c r="F17" s="23">
        <f t="shared" si="0"/>
        <v>12.899999999999999</v>
      </c>
      <c r="G17" s="6">
        <v>10</v>
      </c>
      <c r="H17" s="6">
        <v>8</v>
      </c>
      <c r="I17" s="6">
        <v>12</v>
      </c>
      <c r="J17" s="10">
        <f t="shared" si="1"/>
        <v>10</v>
      </c>
      <c r="K17" s="10">
        <v>10</v>
      </c>
      <c r="L17" s="10">
        <v>14</v>
      </c>
      <c r="M17" s="23">
        <f t="shared" si="2"/>
        <v>12.242857142857144</v>
      </c>
      <c r="N17" s="3"/>
      <c r="O17" s="72">
        <v>8</v>
      </c>
      <c r="P17" s="72">
        <v>9</v>
      </c>
      <c r="Q17" s="72">
        <v>0</v>
      </c>
      <c r="R17" s="10">
        <f t="shared" si="3"/>
        <v>5.666666666666667</v>
      </c>
      <c r="S17" s="10">
        <v>16</v>
      </c>
      <c r="T17" s="79">
        <v>14</v>
      </c>
      <c r="U17" s="52">
        <f t="shared" si="4"/>
        <v>10.331818181818184</v>
      </c>
    </row>
    <row r="18" spans="1:21" ht="14" thickBot="1">
      <c r="A18" s="21">
        <v>15</v>
      </c>
      <c r="B18" s="3" t="s">
        <v>295</v>
      </c>
      <c r="C18" s="10">
        <v>12</v>
      </c>
      <c r="D18" s="10">
        <v>6</v>
      </c>
      <c r="E18" s="10">
        <v>13</v>
      </c>
      <c r="F18" s="23">
        <f t="shared" si="0"/>
        <v>13.7</v>
      </c>
      <c r="G18" s="6">
        <v>14</v>
      </c>
      <c r="H18" s="6">
        <v>11</v>
      </c>
      <c r="I18" s="6">
        <v>14</v>
      </c>
      <c r="J18" s="10">
        <f t="shared" si="1"/>
        <v>13</v>
      </c>
      <c r="K18" s="10">
        <v>12</v>
      </c>
      <c r="L18" s="10">
        <v>13</v>
      </c>
      <c r="M18" s="23">
        <f t="shared" si="2"/>
        <v>13.621428571428572</v>
      </c>
      <c r="N18" s="3"/>
      <c r="O18" s="72">
        <v>14</v>
      </c>
      <c r="P18" s="72">
        <v>13</v>
      </c>
      <c r="Q18" s="72">
        <v>13</v>
      </c>
      <c r="R18" s="10">
        <f t="shared" si="3"/>
        <v>13.333333333333334</v>
      </c>
      <c r="S18" s="10">
        <v>20</v>
      </c>
      <c r="T18" s="79">
        <v>13</v>
      </c>
      <c r="U18" s="52">
        <f t="shared" si="4"/>
        <v>13.927272727272728</v>
      </c>
    </row>
    <row r="19" spans="1:21" ht="14" thickBot="1">
      <c r="A19" s="21">
        <v>16</v>
      </c>
      <c r="B19" s="3" t="s">
        <v>143</v>
      </c>
      <c r="C19" s="10">
        <v>14</v>
      </c>
      <c r="D19" s="10">
        <v>4</v>
      </c>
      <c r="E19" s="10">
        <v>11</v>
      </c>
      <c r="F19" s="23">
        <f t="shared" si="0"/>
        <v>12.399999999999999</v>
      </c>
      <c r="G19" s="6">
        <v>10</v>
      </c>
      <c r="H19" s="6">
        <v>10</v>
      </c>
      <c r="I19" s="6">
        <v>16</v>
      </c>
      <c r="J19" s="10">
        <f t="shared" si="1"/>
        <v>12</v>
      </c>
      <c r="K19" s="10">
        <v>12</v>
      </c>
      <c r="L19" s="10">
        <v>15</v>
      </c>
      <c r="M19" s="23">
        <f t="shared" si="2"/>
        <v>13.971428571428572</v>
      </c>
      <c r="N19" s="3"/>
      <c r="O19" s="72">
        <v>13</v>
      </c>
      <c r="P19" s="72">
        <v>9</v>
      </c>
      <c r="Q19" s="72">
        <v>11</v>
      </c>
      <c r="R19" s="10">
        <f t="shared" si="3"/>
        <v>11</v>
      </c>
      <c r="S19" s="10">
        <v>20</v>
      </c>
      <c r="T19" s="79">
        <v>12</v>
      </c>
      <c r="U19" s="52">
        <f t="shared" si="4"/>
        <v>12.477272727272727</v>
      </c>
    </row>
    <row r="20" spans="1:21" ht="14" thickBot="1">
      <c r="A20" s="21">
        <v>17</v>
      </c>
      <c r="B20" s="3" t="s">
        <v>296</v>
      </c>
      <c r="C20" s="10">
        <v>14</v>
      </c>
      <c r="D20" s="10">
        <v>6</v>
      </c>
      <c r="E20" s="10">
        <v>8</v>
      </c>
      <c r="F20" s="23">
        <f t="shared" si="0"/>
        <v>11.899999999999999</v>
      </c>
      <c r="G20" s="6">
        <v>12</v>
      </c>
      <c r="H20" s="6">
        <v>12</v>
      </c>
      <c r="I20" s="6">
        <v>12</v>
      </c>
      <c r="J20" s="10">
        <f t="shared" si="1"/>
        <v>12</v>
      </c>
      <c r="K20" s="10">
        <v>14</v>
      </c>
      <c r="L20" s="10">
        <v>16</v>
      </c>
      <c r="M20" s="23">
        <f t="shared" si="2"/>
        <v>14.8</v>
      </c>
      <c r="N20" s="3"/>
      <c r="O20" s="72">
        <v>15</v>
      </c>
      <c r="P20" s="72">
        <v>10</v>
      </c>
      <c r="Q20" s="72">
        <v>14</v>
      </c>
      <c r="R20" s="10">
        <f t="shared" si="3"/>
        <v>13</v>
      </c>
      <c r="S20" s="10">
        <v>18</v>
      </c>
      <c r="T20" s="79">
        <v>13</v>
      </c>
      <c r="U20" s="52">
        <f t="shared" si="4"/>
        <v>13.504545454545454</v>
      </c>
    </row>
    <row r="21" spans="1:21" ht="14" thickBot="1">
      <c r="A21" s="21"/>
      <c r="B21" s="3" t="s">
        <v>228</v>
      </c>
      <c r="C21" s="10"/>
      <c r="D21" s="10"/>
      <c r="E21" s="10"/>
      <c r="F21" s="59"/>
      <c r="G21" s="6"/>
      <c r="H21" s="6"/>
      <c r="I21" s="6"/>
      <c r="J21" s="10"/>
      <c r="K21" s="10"/>
      <c r="L21" s="10"/>
      <c r="M21" s="59"/>
      <c r="N21" s="3"/>
      <c r="O21" s="72">
        <v>0</v>
      </c>
      <c r="P21" s="72">
        <v>0</v>
      </c>
      <c r="Q21" s="72">
        <v>0</v>
      </c>
      <c r="R21" s="10"/>
      <c r="S21" s="10"/>
      <c r="T21" s="79">
        <v>0</v>
      </c>
      <c r="U21" s="59"/>
    </row>
    <row r="22" spans="1:21" ht="14" thickBot="1">
      <c r="A22" s="21">
        <v>18</v>
      </c>
      <c r="B22" s="3" t="s">
        <v>121</v>
      </c>
      <c r="C22" s="10">
        <v>17</v>
      </c>
      <c r="D22" s="10">
        <v>4</v>
      </c>
      <c r="E22" s="10">
        <v>13</v>
      </c>
      <c r="F22" s="23">
        <f t="shared" si="0"/>
        <v>14.45</v>
      </c>
      <c r="G22" s="6">
        <v>13</v>
      </c>
      <c r="H22" s="6">
        <v>13</v>
      </c>
      <c r="I22" s="6">
        <v>14</v>
      </c>
      <c r="J22" s="10">
        <f t="shared" si="1"/>
        <v>13.333333333333334</v>
      </c>
      <c r="K22" s="10">
        <v>10</v>
      </c>
      <c r="L22" s="10">
        <v>13</v>
      </c>
      <c r="M22" s="23">
        <f t="shared" si="2"/>
        <v>13.342857142857143</v>
      </c>
      <c r="N22" s="3"/>
      <c r="O22" s="72">
        <v>12</v>
      </c>
      <c r="P22" s="72">
        <v>12</v>
      </c>
      <c r="Q22" s="72">
        <v>11</v>
      </c>
      <c r="R22" s="10">
        <f t="shared" si="3"/>
        <v>11.666666666666666</v>
      </c>
      <c r="S22" s="10">
        <v>14</v>
      </c>
      <c r="T22" s="79">
        <v>16</v>
      </c>
      <c r="U22" s="52">
        <f t="shared" si="4"/>
        <v>13.559090909090909</v>
      </c>
    </row>
    <row r="23" spans="1:21" ht="14" thickBot="1">
      <c r="A23" s="21">
        <v>19</v>
      </c>
      <c r="B23" s="6" t="s">
        <v>28</v>
      </c>
      <c r="C23" s="10">
        <v>8</v>
      </c>
      <c r="D23" s="10">
        <v>6</v>
      </c>
      <c r="E23" s="10">
        <v>14</v>
      </c>
      <c r="F23" s="23">
        <f t="shared" si="0"/>
        <v>12.8</v>
      </c>
      <c r="G23" s="6">
        <v>10</v>
      </c>
      <c r="H23" s="6">
        <v>13</v>
      </c>
      <c r="I23" s="6">
        <v>11</v>
      </c>
      <c r="J23" s="10">
        <f t="shared" si="1"/>
        <v>11.333333333333334</v>
      </c>
      <c r="K23" s="10">
        <v>12</v>
      </c>
      <c r="L23" s="10">
        <v>13</v>
      </c>
      <c r="M23" s="23">
        <f t="shared" si="2"/>
        <v>12.871428571428572</v>
      </c>
      <c r="N23" s="3"/>
      <c r="O23" s="72">
        <v>0</v>
      </c>
      <c r="P23" s="72">
        <v>13</v>
      </c>
      <c r="Q23" s="72">
        <v>13</v>
      </c>
      <c r="R23" s="10">
        <f t="shared" si="3"/>
        <v>8.6666666666666661</v>
      </c>
      <c r="S23" s="10">
        <v>20</v>
      </c>
      <c r="T23" s="79">
        <v>13</v>
      </c>
      <c r="U23" s="52">
        <f t="shared" si="4"/>
        <v>11.827272727272728</v>
      </c>
    </row>
    <row r="24" spans="1:21" ht="14" thickBot="1">
      <c r="A24" s="21">
        <v>20</v>
      </c>
      <c r="B24" s="3" t="s">
        <v>211</v>
      </c>
      <c r="C24" s="10">
        <v>14</v>
      </c>
      <c r="D24" s="10">
        <v>4</v>
      </c>
      <c r="E24" s="10">
        <v>13</v>
      </c>
      <c r="F24" s="23">
        <f t="shared" si="0"/>
        <v>13.399999999999999</v>
      </c>
      <c r="G24" s="6"/>
      <c r="H24" s="6"/>
      <c r="I24" s="6"/>
      <c r="J24" s="10">
        <f t="shared" si="1"/>
        <v>0</v>
      </c>
      <c r="K24" s="10">
        <v>6</v>
      </c>
      <c r="L24" s="10"/>
      <c r="M24" s="23">
        <f t="shared" si="2"/>
        <v>1.2857142857142856</v>
      </c>
      <c r="N24" s="3"/>
      <c r="O24" s="72">
        <v>14</v>
      </c>
      <c r="P24" s="72">
        <v>7</v>
      </c>
      <c r="Q24" s="72">
        <v>0</v>
      </c>
      <c r="R24" s="10">
        <f t="shared" si="3"/>
        <v>7</v>
      </c>
      <c r="S24" s="10">
        <v>6</v>
      </c>
      <c r="T24" s="79">
        <v>0</v>
      </c>
      <c r="U24" s="52">
        <f t="shared" si="4"/>
        <v>3.9681818181818178</v>
      </c>
    </row>
    <row r="25" spans="1:21" ht="14" thickBot="1">
      <c r="A25" s="21">
        <v>21</v>
      </c>
      <c r="B25" s="3" t="s">
        <v>212</v>
      </c>
      <c r="C25" s="10">
        <v>11</v>
      </c>
      <c r="D25" s="10">
        <v>6</v>
      </c>
      <c r="E25" s="10">
        <v>11</v>
      </c>
      <c r="F25" s="23">
        <f t="shared" si="0"/>
        <v>12.35</v>
      </c>
      <c r="G25" s="6">
        <v>12</v>
      </c>
      <c r="H25" s="6">
        <v>11</v>
      </c>
      <c r="I25" s="6">
        <v>12</v>
      </c>
      <c r="J25" s="10">
        <f t="shared" si="1"/>
        <v>11.666666666666666</v>
      </c>
      <c r="K25" s="10">
        <v>14</v>
      </c>
      <c r="L25" s="10">
        <v>13</v>
      </c>
      <c r="M25" s="23">
        <f t="shared" si="2"/>
        <v>13.45</v>
      </c>
      <c r="N25" s="3"/>
      <c r="O25" s="72">
        <v>15</v>
      </c>
      <c r="P25" s="72">
        <v>13</v>
      </c>
      <c r="Q25" s="72">
        <v>12</v>
      </c>
      <c r="R25" s="10">
        <f t="shared" si="3"/>
        <v>13.333333333333334</v>
      </c>
      <c r="S25" s="10">
        <v>22</v>
      </c>
      <c r="T25" s="79">
        <v>11</v>
      </c>
      <c r="U25" s="52">
        <f t="shared" si="4"/>
        <v>13.4</v>
      </c>
    </row>
    <row r="26" spans="1:21">
      <c r="C26" s="8">
        <v>20</v>
      </c>
      <c r="D26" s="8">
        <v>6</v>
      </c>
      <c r="E26" s="8">
        <v>20</v>
      </c>
      <c r="F26" s="23">
        <f t="shared" si="0"/>
        <v>20</v>
      </c>
      <c r="G26" s="40">
        <v>20</v>
      </c>
      <c r="H26" s="40">
        <v>20</v>
      </c>
      <c r="I26" s="40">
        <v>20</v>
      </c>
      <c r="J26" s="10">
        <f t="shared" si="1"/>
        <v>20</v>
      </c>
      <c r="K26" s="8">
        <v>14</v>
      </c>
      <c r="L26" s="8">
        <v>20</v>
      </c>
      <c r="M26" s="23">
        <f t="shared" si="2"/>
        <v>20</v>
      </c>
      <c r="N26" s="53">
        <v>0</v>
      </c>
      <c r="O26" s="53">
        <v>20</v>
      </c>
      <c r="P26" s="53">
        <v>20</v>
      </c>
      <c r="Q26" s="53">
        <v>20</v>
      </c>
      <c r="R26" s="64">
        <f t="shared" si="3"/>
        <v>20</v>
      </c>
      <c r="S26" s="8">
        <v>22</v>
      </c>
      <c r="T26" s="8">
        <v>20</v>
      </c>
      <c r="U26" s="52">
        <f t="shared" si="4"/>
        <v>20</v>
      </c>
    </row>
  </sheetData>
  <sheetCalcPr fullCalcOnLoad="1"/>
  <sortState ref="B3:D24">
    <sortCondition ref="B4:B24"/>
  </sortState>
  <phoneticPr fontId="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IIS3</vt:lpstr>
      <vt:lpstr>IIS4</vt:lpstr>
      <vt:lpstr>IIS5</vt:lpstr>
      <vt:lpstr>IIS6</vt:lpstr>
      <vt:lpstr>IIS1</vt:lpstr>
      <vt:lpstr>IIS2</vt:lpstr>
      <vt:lpstr>MP2</vt:lpstr>
      <vt:lpstr>MP3</vt:lpstr>
      <vt:lpstr>MF1</vt:lpstr>
      <vt:lpstr>MF</vt:lpstr>
      <vt:lpstr>ConsolidadoF1</vt:lpstr>
      <vt:lpstr>Sheet1</vt:lpstr>
    </vt:vector>
  </TitlesOfParts>
  <Company>U of 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Corrales</dc:creator>
  <cp:lastModifiedBy>Carlo Corrales</cp:lastModifiedBy>
  <cp:lastPrinted>2017-05-02T16:06:43Z</cp:lastPrinted>
  <dcterms:created xsi:type="dcterms:W3CDTF">2017-03-14T23:12:47Z</dcterms:created>
  <dcterms:modified xsi:type="dcterms:W3CDTF">2017-07-22T13:49:43Z</dcterms:modified>
</cp:coreProperties>
</file>