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WINDOWS 10\Desktop\AEE\"/>
    </mc:Choice>
  </mc:AlternateContent>
  <xr:revisionPtr revIDLastSave="0" documentId="13_ncr:1_{F6651BB9-6E01-4B24-A75D-54DAC3908CEA}" xr6:coauthVersionLast="47" xr6:coauthVersionMax="47" xr10:uidLastSave="{00000000-0000-0000-0000-000000000000}"/>
  <bookViews>
    <workbookView xWindow="-120" yWindow="-120" windowWidth="20730" windowHeight="11160" tabRatio="814" activeTab="5" xr2:uid="{00000000-000D-0000-FFFF-FFFF00000000}"/>
  </bookViews>
  <sheets>
    <sheet name="Activos Fijos" sheetId="1" r:id="rId1"/>
    <sheet name="Costo Financiamiento" sheetId="2" r:id="rId2"/>
    <sheet name="Costo Produccion" sheetId="3" r:id="rId3"/>
    <sheet name="Depreciacion e Ingresos" sheetId="5" r:id="rId4"/>
    <sheet name="Costos Administracion" sheetId="4" r:id="rId5"/>
    <sheet name="Flujo de Fond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6" l="1"/>
  <c r="G80" i="3" l="1"/>
  <c r="H80" i="3"/>
  <c r="I80" i="3"/>
  <c r="J80" i="3"/>
  <c r="K80" i="3"/>
  <c r="L80" i="3"/>
  <c r="M80" i="3"/>
  <c r="N80" i="3"/>
  <c r="F80" i="3"/>
  <c r="E80" i="3"/>
  <c r="N87" i="3"/>
  <c r="M87" i="3"/>
  <c r="L87" i="3"/>
  <c r="K87" i="3"/>
  <c r="J87" i="3"/>
  <c r="I87" i="3"/>
  <c r="H87" i="3"/>
  <c r="G87" i="3"/>
  <c r="F87" i="3"/>
  <c r="E87" i="3"/>
  <c r="F79" i="3" l="1"/>
  <c r="G79" i="3" s="1"/>
  <c r="H79" i="3" s="1"/>
  <c r="I79" i="3" s="1"/>
  <c r="J79" i="3" s="1"/>
  <c r="K79" i="3" s="1"/>
  <c r="L79" i="3" s="1"/>
  <c r="M79" i="3" s="1"/>
  <c r="N79" i="3" s="1"/>
  <c r="F78" i="3"/>
  <c r="G78" i="3" s="1"/>
  <c r="H78" i="3" s="1"/>
  <c r="I78" i="3" s="1"/>
  <c r="J78" i="3" s="1"/>
  <c r="K78" i="3" s="1"/>
  <c r="L78" i="3" s="1"/>
  <c r="M78" i="3" s="1"/>
  <c r="N78" i="3" s="1"/>
  <c r="F77" i="3"/>
  <c r="G77" i="3" s="1"/>
  <c r="H77" i="3" s="1"/>
  <c r="I77" i="3" s="1"/>
  <c r="J77" i="3" s="1"/>
  <c r="K77" i="3" s="1"/>
  <c r="L77" i="3" s="1"/>
  <c r="M77" i="3" s="1"/>
  <c r="N77" i="3" s="1"/>
  <c r="F76" i="3"/>
  <c r="G76" i="3" s="1"/>
  <c r="H76" i="3" s="1"/>
  <c r="I76" i="3" s="1"/>
  <c r="J76" i="3" s="1"/>
  <c r="K76" i="3" s="1"/>
  <c r="L76" i="3" s="1"/>
  <c r="M76" i="3" s="1"/>
  <c r="N76" i="3" s="1"/>
  <c r="F75" i="3"/>
  <c r="G75" i="3" s="1"/>
  <c r="H75" i="3" s="1"/>
  <c r="I75" i="3" s="1"/>
  <c r="J75" i="3" s="1"/>
  <c r="K75" i="3" s="1"/>
  <c r="L75" i="3" s="1"/>
  <c r="M75" i="3" s="1"/>
  <c r="N75" i="3" s="1"/>
  <c r="F74" i="3"/>
  <c r="G74" i="3" s="1"/>
  <c r="H74" i="3" s="1"/>
  <c r="I74" i="3" s="1"/>
  <c r="J74" i="3" s="1"/>
  <c r="K74" i="3" s="1"/>
  <c r="L74" i="3" s="1"/>
  <c r="M74" i="3" s="1"/>
  <c r="N74" i="3" s="1"/>
  <c r="F73" i="3"/>
  <c r="G73" i="3" s="1"/>
  <c r="H73" i="3" s="1"/>
  <c r="I73" i="3" s="1"/>
  <c r="J73" i="3" s="1"/>
  <c r="K73" i="3" s="1"/>
  <c r="L73" i="3" s="1"/>
  <c r="M73" i="3" s="1"/>
  <c r="N73" i="3" s="1"/>
  <c r="F72" i="3"/>
  <c r="G72" i="3" s="1"/>
  <c r="H72" i="3" s="1"/>
  <c r="I72" i="3" s="1"/>
  <c r="J72" i="3" s="1"/>
  <c r="K72" i="3" s="1"/>
  <c r="L72" i="3" s="1"/>
  <c r="M72" i="3" s="1"/>
  <c r="N72" i="3" s="1"/>
  <c r="F71" i="3"/>
  <c r="G71" i="3" s="1"/>
  <c r="H71" i="3" s="1"/>
  <c r="I71" i="3" s="1"/>
  <c r="J71" i="3" s="1"/>
  <c r="K71" i="3" s="1"/>
  <c r="L71" i="3" s="1"/>
  <c r="M71" i="3" s="1"/>
  <c r="N71" i="3" s="1"/>
  <c r="F70" i="3"/>
  <c r="G70" i="3" s="1"/>
  <c r="H70" i="3" s="1"/>
  <c r="I70" i="3" s="1"/>
  <c r="J70" i="3" s="1"/>
  <c r="K70" i="3" s="1"/>
  <c r="L70" i="3" s="1"/>
  <c r="M70" i="3" s="1"/>
  <c r="N70" i="3" s="1"/>
  <c r="F69" i="3"/>
  <c r="G69" i="3" s="1"/>
  <c r="H69" i="3" s="1"/>
  <c r="I69" i="3" s="1"/>
  <c r="J69" i="3" s="1"/>
  <c r="K69" i="3" s="1"/>
  <c r="L69" i="3" s="1"/>
  <c r="M69" i="3" s="1"/>
  <c r="N69" i="3" s="1"/>
  <c r="F68" i="3"/>
  <c r="G68" i="3" s="1"/>
  <c r="H68" i="3" s="1"/>
  <c r="I68" i="3" s="1"/>
  <c r="J68" i="3" s="1"/>
  <c r="K68" i="3" s="1"/>
  <c r="L68" i="3" s="1"/>
  <c r="M68" i="3" s="1"/>
  <c r="N68" i="3" s="1"/>
  <c r="F67" i="3"/>
  <c r="G67" i="3" s="1"/>
  <c r="H67" i="3" s="1"/>
  <c r="I67" i="3" s="1"/>
  <c r="J67" i="3" s="1"/>
  <c r="K67" i="3" s="1"/>
  <c r="L67" i="3" s="1"/>
  <c r="M67" i="3" s="1"/>
  <c r="N67" i="3" s="1"/>
  <c r="F66" i="3"/>
  <c r="G66" i="3" s="1"/>
  <c r="H66" i="3" s="1"/>
  <c r="I66" i="3" s="1"/>
  <c r="J66" i="3" s="1"/>
  <c r="K66" i="3" s="1"/>
  <c r="L66" i="3" s="1"/>
  <c r="M66" i="3" s="1"/>
  <c r="N66" i="3" s="1"/>
  <c r="F65" i="3"/>
  <c r="G65" i="3" s="1"/>
  <c r="H65" i="3" s="1"/>
  <c r="I65" i="3" s="1"/>
  <c r="J65" i="3" s="1"/>
  <c r="K65" i="3" s="1"/>
  <c r="L65" i="3" s="1"/>
  <c r="M65" i="3" s="1"/>
  <c r="N65" i="3" s="1"/>
  <c r="F64" i="3"/>
  <c r="G64" i="3" s="1"/>
  <c r="H64" i="3" s="1"/>
  <c r="I64" i="3" s="1"/>
  <c r="J64" i="3" s="1"/>
  <c r="K64" i="3" s="1"/>
  <c r="L64" i="3" s="1"/>
  <c r="M64" i="3" s="1"/>
  <c r="N64" i="3" s="1"/>
  <c r="E30" i="3" l="1"/>
  <c r="D13" i="4" l="1"/>
  <c r="E13" i="4"/>
  <c r="F13" i="4"/>
  <c r="G13" i="4"/>
  <c r="H13" i="4"/>
  <c r="I13" i="4"/>
  <c r="J13" i="4"/>
  <c r="K13" i="4"/>
  <c r="L13" i="4"/>
  <c r="K27" i="5"/>
  <c r="K5" i="6" s="1"/>
  <c r="J27" i="5"/>
  <c r="J5" i="6" s="1"/>
  <c r="I27" i="5"/>
  <c r="I5" i="6" s="1"/>
  <c r="L27" i="5"/>
  <c r="L5" i="6" s="1"/>
  <c r="H27" i="5"/>
  <c r="H5" i="6" s="1"/>
  <c r="G27" i="5"/>
  <c r="G5" i="6" s="1"/>
  <c r="F27" i="5"/>
  <c r="F5" i="6" s="1"/>
  <c r="E27" i="5"/>
  <c r="E5" i="6" s="1"/>
  <c r="D27" i="5"/>
  <c r="D5" i="6" s="1"/>
  <c r="M27" i="5"/>
  <c r="M5" i="6" s="1"/>
  <c r="F63" i="3" l="1"/>
  <c r="G63" i="3" s="1"/>
  <c r="H63" i="3" s="1"/>
  <c r="I63" i="3" s="1"/>
  <c r="J63" i="3" s="1"/>
  <c r="K63" i="3" s="1"/>
  <c r="L63" i="3" s="1"/>
  <c r="M63" i="3" s="1"/>
  <c r="N63" i="3" s="1"/>
  <c r="F62" i="3"/>
  <c r="G62" i="3" s="1"/>
  <c r="H62" i="3" s="1"/>
  <c r="I62" i="3" s="1"/>
  <c r="J62" i="3" s="1"/>
  <c r="K62" i="3" s="1"/>
  <c r="L62" i="3" s="1"/>
  <c r="M62" i="3" s="1"/>
  <c r="N62" i="3" s="1"/>
  <c r="F61" i="3"/>
  <c r="G61" i="3" s="1"/>
  <c r="H61" i="3" s="1"/>
  <c r="I61" i="3" s="1"/>
  <c r="J61" i="3" s="1"/>
  <c r="K61" i="3" s="1"/>
  <c r="L61" i="3" s="1"/>
  <c r="M61" i="3" s="1"/>
  <c r="N61" i="3" s="1"/>
  <c r="F60" i="3"/>
  <c r="G60" i="3" s="1"/>
  <c r="H60" i="3" s="1"/>
  <c r="I60" i="3" s="1"/>
  <c r="J60" i="3" s="1"/>
  <c r="K60" i="3" s="1"/>
  <c r="L60" i="3" s="1"/>
  <c r="M60" i="3" s="1"/>
  <c r="N60" i="3" s="1"/>
  <c r="F59" i="3"/>
  <c r="G59" i="3" s="1"/>
  <c r="H59" i="3" s="1"/>
  <c r="I59" i="3" s="1"/>
  <c r="J59" i="3" s="1"/>
  <c r="K59" i="3" s="1"/>
  <c r="L59" i="3" s="1"/>
  <c r="M59" i="3" s="1"/>
  <c r="N59" i="3" s="1"/>
  <c r="F58" i="3"/>
  <c r="G58" i="3" s="1"/>
  <c r="H58" i="3" s="1"/>
  <c r="I58" i="3" s="1"/>
  <c r="J58" i="3" s="1"/>
  <c r="K58" i="3" s="1"/>
  <c r="L58" i="3" s="1"/>
  <c r="M58" i="3" s="1"/>
  <c r="N58" i="3" s="1"/>
  <c r="F57" i="3"/>
  <c r="G57" i="3" s="1"/>
  <c r="H57" i="3" s="1"/>
  <c r="I57" i="3" s="1"/>
  <c r="J57" i="3" s="1"/>
  <c r="K57" i="3" s="1"/>
  <c r="L57" i="3" s="1"/>
  <c r="M57" i="3" s="1"/>
  <c r="N57" i="3" s="1"/>
  <c r="F56" i="3"/>
  <c r="G56" i="3" s="1"/>
  <c r="H56" i="3" s="1"/>
  <c r="I56" i="3" s="1"/>
  <c r="J56" i="3" s="1"/>
  <c r="K56" i="3" s="1"/>
  <c r="L56" i="3" s="1"/>
  <c r="M56" i="3" s="1"/>
  <c r="N56" i="3" s="1"/>
  <c r="F55" i="3"/>
  <c r="G55" i="3" s="1"/>
  <c r="H55" i="3" s="1"/>
  <c r="I55" i="3" s="1"/>
  <c r="J55" i="3" s="1"/>
  <c r="K55" i="3" s="1"/>
  <c r="L55" i="3" s="1"/>
  <c r="M55" i="3" s="1"/>
  <c r="N55" i="3" s="1"/>
  <c r="F54" i="3"/>
  <c r="G54" i="3" s="1"/>
  <c r="H54" i="3" s="1"/>
  <c r="I54" i="3" s="1"/>
  <c r="J54" i="3" s="1"/>
  <c r="K54" i="3" s="1"/>
  <c r="L54" i="3" s="1"/>
  <c r="M54" i="3" s="1"/>
  <c r="N54" i="3" s="1"/>
  <c r="F53" i="3"/>
  <c r="G53" i="3" s="1"/>
  <c r="H53" i="3" s="1"/>
  <c r="I53" i="3" s="1"/>
  <c r="J53" i="3" s="1"/>
  <c r="K53" i="3" s="1"/>
  <c r="L53" i="3" s="1"/>
  <c r="M53" i="3" s="1"/>
  <c r="N53" i="3" s="1"/>
  <c r="F52" i="3"/>
  <c r="G52" i="3" s="1"/>
  <c r="H52" i="3" s="1"/>
  <c r="I52" i="3" s="1"/>
  <c r="J52" i="3" s="1"/>
  <c r="K52" i="3" s="1"/>
  <c r="L52" i="3" s="1"/>
  <c r="M52" i="3" s="1"/>
  <c r="N52" i="3" s="1"/>
  <c r="F51" i="3"/>
  <c r="G51" i="3" s="1"/>
  <c r="H51" i="3" s="1"/>
  <c r="I51" i="3" s="1"/>
  <c r="J51" i="3" s="1"/>
  <c r="K51" i="3" s="1"/>
  <c r="L51" i="3" s="1"/>
  <c r="M51" i="3" s="1"/>
  <c r="N51" i="3" s="1"/>
  <c r="F50" i="3"/>
  <c r="G50" i="3" s="1"/>
  <c r="H50" i="3" s="1"/>
  <c r="I50" i="3" s="1"/>
  <c r="J50" i="3" s="1"/>
  <c r="K50" i="3" s="1"/>
  <c r="L50" i="3" s="1"/>
  <c r="M50" i="3" s="1"/>
  <c r="N50" i="3" s="1"/>
  <c r="F49" i="3"/>
  <c r="G49" i="3" s="1"/>
  <c r="H49" i="3" s="1"/>
  <c r="I49" i="3" s="1"/>
  <c r="J49" i="3" s="1"/>
  <c r="K49" i="3" s="1"/>
  <c r="L49" i="3" s="1"/>
  <c r="M49" i="3" s="1"/>
  <c r="N49" i="3" s="1"/>
  <c r="F48" i="3"/>
  <c r="G48" i="3" s="1"/>
  <c r="H48" i="3" s="1"/>
  <c r="I48" i="3" s="1"/>
  <c r="J48" i="3" s="1"/>
  <c r="K48" i="3" s="1"/>
  <c r="L48" i="3" s="1"/>
  <c r="M48" i="3" s="1"/>
  <c r="N48" i="3" s="1"/>
  <c r="F47" i="3"/>
  <c r="G47" i="3" s="1"/>
  <c r="H47" i="3" s="1"/>
  <c r="I47" i="3" s="1"/>
  <c r="J47" i="3" s="1"/>
  <c r="K47" i="3" s="1"/>
  <c r="L47" i="3" s="1"/>
  <c r="M47" i="3" s="1"/>
  <c r="N47" i="3" s="1"/>
  <c r="F46" i="3"/>
  <c r="G46" i="3" s="1"/>
  <c r="H46" i="3" s="1"/>
  <c r="I46" i="3" s="1"/>
  <c r="J46" i="3" s="1"/>
  <c r="K46" i="3" s="1"/>
  <c r="L46" i="3" s="1"/>
  <c r="M46" i="3" s="1"/>
  <c r="N46" i="3" s="1"/>
  <c r="F45" i="3"/>
  <c r="G45" i="3" s="1"/>
  <c r="H45" i="3" s="1"/>
  <c r="I45" i="3" s="1"/>
  <c r="J45" i="3" s="1"/>
  <c r="K45" i="3" s="1"/>
  <c r="L45" i="3" s="1"/>
  <c r="M45" i="3" s="1"/>
  <c r="N45" i="3" s="1"/>
  <c r="F44" i="3"/>
  <c r="G44" i="3" s="1"/>
  <c r="H44" i="3" s="1"/>
  <c r="I44" i="3" s="1"/>
  <c r="J44" i="3" s="1"/>
  <c r="K44" i="3" s="1"/>
  <c r="L44" i="3" s="1"/>
  <c r="M44" i="3" s="1"/>
  <c r="N44" i="3" s="1"/>
  <c r="F43" i="3"/>
  <c r="G43" i="3" s="1"/>
  <c r="H43" i="3" s="1"/>
  <c r="I43" i="3" s="1"/>
  <c r="J43" i="3" s="1"/>
  <c r="K43" i="3" s="1"/>
  <c r="L43" i="3" s="1"/>
  <c r="M43" i="3" s="1"/>
  <c r="N43" i="3" s="1"/>
  <c r="F42" i="3"/>
  <c r="G42" i="3" s="1"/>
  <c r="H42" i="3" s="1"/>
  <c r="I42" i="3" s="1"/>
  <c r="J42" i="3" s="1"/>
  <c r="K42" i="3" s="1"/>
  <c r="L42" i="3" s="1"/>
  <c r="M42" i="3" s="1"/>
  <c r="N42" i="3" s="1"/>
  <c r="F41" i="3"/>
  <c r="G41" i="3" s="1"/>
  <c r="H41" i="3" s="1"/>
  <c r="I41" i="3" s="1"/>
  <c r="J41" i="3" s="1"/>
  <c r="K41" i="3" s="1"/>
  <c r="L41" i="3" s="1"/>
  <c r="M41" i="3" s="1"/>
  <c r="N41" i="3" s="1"/>
  <c r="F40" i="3"/>
  <c r="G40" i="3" s="1"/>
  <c r="H40" i="3" s="1"/>
  <c r="I40" i="3" s="1"/>
  <c r="J40" i="3" s="1"/>
  <c r="K40" i="3" s="1"/>
  <c r="L40" i="3" s="1"/>
  <c r="M40" i="3" s="1"/>
  <c r="N40" i="3" s="1"/>
  <c r="F39" i="3"/>
  <c r="G39" i="3" s="1"/>
  <c r="H39" i="3" s="1"/>
  <c r="I39" i="3" s="1"/>
  <c r="J39" i="3" s="1"/>
  <c r="K39" i="3" s="1"/>
  <c r="L39" i="3" s="1"/>
  <c r="M39" i="3" s="1"/>
  <c r="N39" i="3" s="1"/>
  <c r="F38" i="3"/>
  <c r="G38" i="3" s="1"/>
  <c r="H38" i="3" s="1"/>
  <c r="I38" i="3" s="1"/>
  <c r="J38" i="3" s="1"/>
  <c r="K38" i="3" s="1"/>
  <c r="L38" i="3" s="1"/>
  <c r="M38" i="3" s="1"/>
  <c r="N38" i="3" s="1"/>
  <c r="F37" i="3"/>
  <c r="G37" i="3" s="1"/>
  <c r="H37" i="3" s="1"/>
  <c r="I37" i="3" s="1"/>
  <c r="J37" i="3" s="1"/>
  <c r="K37" i="3" s="1"/>
  <c r="L37" i="3" s="1"/>
  <c r="M37" i="3" s="1"/>
  <c r="N37" i="3" s="1"/>
  <c r="F36" i="3"/>
  <c r="G36" i="3" s="1"/>
  <c r="H36" i="3" s="1"/>
  <c r="I36" i="3" s="1"/>
  <c r="J36" i="3" s="1"/>
  <c r="K36" i="3" s="1"/>
  <c r="L36" i="3" s="1"/>
  <c r="M36" i="3" s="1"/>
  <c r="N36" i="3" s="1"/>
  <c r="F35" i="3"/>
  <c r="G35" i="3" s="1"/>
  <c r="H35" i="3" s="1"/>
  <c r="I35" i="3" s="1"/>
  <c r="J35" i="3" s="1"/>
  <c r="K35" i="3" s="1"/>
  <c r="L35" i="3" s="1"/>
  <c r="M35" i="3" s="1"/>
  <c r="N35" i="3" s="1"/>
  <c r="F34" i="3"/>
  <c r="G34" i="3" s="1"/>
  <c r="H34" i="3" s="1"/>
  <c r="I34" i="3" s="1"/>
  <c r="J34" i="3" s="1"/>
  <c r="K34" i="3" s="1"/>
  <c r="L34" i="3" s="1"/>
  <c r="M34" i="3" s="1"/>
  <c r="N34" i="3" s="1"/>
  <c r="F33" i="3"/>
  <c r="G33" i="3" s="1"/>
  <c r="H33" i="3" s="1"/>
  <c r="I33" i="3" s="1"/>
  <c r="J33" i="3" s="1"/>
  <c r="K33" i="3" s="1"/>
  <c r="L33" i="3" s="1"/>
  <c r="M33" i="3" s="1"/>
  <c r="N33" i="3" s="1"/>
  <c r="F32" i="3"/>
  <c r="G32" i="3" s="1"/>
  <c r="H32" i="3" s="1"/>
  <c r="I32" i="3" s="1"/>
  <c r="J32" i="3" s="1"/>
  <c r="K32" i="3" s="1"/>
  <c r="L32" i="3" s="1"/>
  <c r="M32" i="3" s="1"/>
  <c r="N32" i="3" s="1"/>
  <c r="F31" i="3"/>
  <c r="G31" i="3" s="1"/>
  <c r="H31" i="3" s="1"/>
  <c r="I31" i="3" s="1"/>
  <c r="J31" i="3" s="1"/>
  <c r="K31" i="3" s="1"/>
  <c r="L31" i="3" s="1"/>
  <c r="M31" i="3" s="1"/>
  <c r="N31" i="3" s="1"/>
  <c r="F30" i="3"/>
  <c r="G30" i="3" s="1"/>
  <c r="H30" i="3" s="1"/>
  <c r="I30" i="3" s="1"/>
  <c r="J30" i="3" s="1"/>
  <c r="K30" i="3" s="1"/>
  <c r="L30" i="3" s="1"/>
  <c r="M30" i="3" s="1"/>
  <c r="N30" i="3" s="1"/>
  <c r="F29" i="3"/>
  <c r="G29" i="3" s="1"/>
  <c r="H29" i="3" s="1"/>
  <c r="I29" i="3" s="1"/>
  <c r="J29" i="3" s="1"/>
  <c r="K29" i="3" s="1"/>
  <c r="L29" i="3" s="1"/>
  <c r="M29" i="3" s="1"/>
  <c r="N29" i="3" s="1"/>
  <c r="F28" i="3"/>
  <c r="G28" i="3" s="1"/>
  <c r="H28" i="3" s="1"/>
  <c r="I28" i="3" s="1"/>
  <c r="J28" i="3" s="1"/>
  <c r="K28" i="3" s="1"/>
  <c r="L28" i="3" s="1"/>
  <c r="M28" i="3" s="1"/>
  <c r="N28" i="3" s="1"/>
  <c r="F27" i="3"/>
  <c r="G27" i="3" s="1"/>
  <c r="H27" i="3" s="1"/>
  <c r="I27" i="3" s="1"/>
  <c r="J27" i="3" s="1"/>
  <c r="K27" i="3" s="1"/>
  <c r="L27" i="3" s="1"/>
  <c r="M27" i="3" s="1"/>
  <c r="N27" i="3" s="1"/>
  <c r="F26" i="3"/>
  <c r="G26" i="3" s="1"/>
  <c r="H26" i="3" s="1"/>
  <c r="I26" i="3" s="1"/>
  <c r="J26" i="3" s="1"/>
  <c r="K26" i="3" s="1"/>
  <c r="L26" i="3" s="1"/>
  <c r="M26" i="3" s="1"/>
  <c r="N26" i="3" s="1"/>
  <c r="F25" i="3"/>
  <c r="G25" i="3" s="1"/>
  <c r="H25" i="3" s="1"/>
  <c r="I25" i="3" s="1"/>
  <c r="J25" i="3" s="1"/>
  <c r="K25" i="3" s="1"/>
  <c r="L25" i="3" s="1"/>
  <c r="M25" i="3" s="1"/>
  <c r="N25" i="3" s="1"/>
  <c r="F24" i="3"/>
  <c r="G24" i="3" s="1"/>
  <c r="H24" i="3" s="1"/>
  <c r="I24" i="3" s="1"/>
  <c r="J24" i="3" s="1"/>
  <c r="K24" i="3" s="1"/>
  <c r="L24" i="3" s="1"/>
  <c r="M24" i="3" s="1"/>
  <c r="N24" i="3" s="1"/>
  <c r="F23" i="3"/>
  <c r="G23" i="3" s="1"/>
  <c r="H23" i="3" s="1"/>
  <c r="I23" i="3" s="1"/>
  <c r="J23" i="3" s="1"/>
  <c r="K23" i="3" s="1"/>
  <c r="L23" i="3" s="1"/>
  <c r="M23" i="3" s="1"/>
  <c r="N23" i="3" s="1"/>
  <c r="F22" i="3"/>
  <c r="G22" i="3" s="1"/>
  <c r="H22" i="3" s="1"/>
  <c r="I22" i="3" s="1"/>
  <c r="J22" i="3" s="1"/>
  <c r="K22" i="3" s="1"/>
  <c r="L22" i="3" s="1"/>
  <c r="M22" i="3" s="1"/>
  <c r="N22" i="3" s="1"/>
  <c r="F21" i="3"/>
  <c r="G21" i="3" s="1"/>
  <c r="H21" i="3" s="1"/>
  <c r="I21" i="3" s="1"/>
  <c r="J21" i="3" s="1"/>
  <c r="K21" i="3" s="1"/>
  <c r="L21" i="3" s="1"/>
  <c r="M21" i="3" s="1"/>
  <c r="N21" i="3" s="1"/>
  <c r="F20" i="3"/>
  <c r="G20" i="3" s="1"/>
  <c r="H20" i="3" s="1"/>
  <c r="I20" i="3" s="1"/>
  <c r="J20" i="3" s="1"/>
  <c r="K20" i="3" s="1"/>
  <c r="L20" i="3" s="1"/>
  <c r="M20" i="3" s="1"/>
  <c r="N20" i="3" s="1"/>
  <c r="F19" i="3"/>
  <c r="G19" i="3" s="1"/>
  <c r="H19" i="3" s="1"/>
  <c r="I19" i="3" s="1"/>
  <c r="J19" i="3" s="1"/>
  <c r="K19" i="3" s="1"/>
  <c r="L19" i="3" s="1"/>
  <c r="M19" i="3" s="1"/>
  <c r="N19" i="3" s="1"/>
  <c r="F18" i="3"/>
  <c r="G18" i="3" s="1"/>
  <c r="H18" i="3" s="1"/>
  <c r="I18" i="3" s="1"/>
  <c r="J18" i="3" s="1"/>
  <c r="K18" i="3" s="1"/>
  <c r="L18" i="3" s="1"/>
  <c r="M18" i="3" s="1"/>
  <c r="N18" i="3" s="1"/>
  <c r="F17" i="3"/>
  <c r="G17" i="3" s="1"/>
  <c r="H17" i="3" s="1"/>
  <c r="I17" i="3" s="1"/>
  <c r="J17" i="3" s="1"/>
  <c r="K17" i="3" s="1"/>
  <c r="L17" i="3" s="1"/>
  <c r="M17" i="3" s="1"/>
  <c r="N17" i="3" s="1"/>
  <c r="F16" i="3"/>
  <c r="G16" i="3" s="1"/>
  <c r="H16" i="3" s="1"/>
  <c r="I16" i="3" s="1"/>
  <c r="J16" i="3" s="1"/>
  <c r="K16" i="3" s="1"/>
  <c r="L16" i="3" s="1"/>
  <c r="M16" i="3" s="1"/>
  <c r="N16" i="3" s="1"/>
  <c r="F15" i="3"/>
  <c r="G15" i="3" s="1"/>
  <c r="H15" i="3" s="1"/>
  <c r="I15" i="3" s="1"/>
  <c r="J15" i="3" s="1"/>
  <c r="K15" i="3" s="1"/>
  <c r="L15" i="3" s="1"/>
  <c r="M15" i="3" s="1"/>
  <c r="N15" i="3" s="1"/>
  <c r="F14" i="3"/>
  <c r="G14" i="3" s="1"/>
  <c r="H14" i="3" s="1"/>
  <c r="I14" i="3" s="1"/>
  <c r="J14" i="3" s="1"/>
  <c r="K14" i="3" s="1"/>
  <c r="L14" i="3" s="1"/>
  <c r="M14" i="3" s="1"/>
  <c r="N14" i="3" s="1"/>
  <c r="F13" i="3"/>
  <c r="G13" i="3" s="1"/>
  <c r="H13" i="3" s="1"/>
  <c r="I13" i="3" s="1"/>
  <c r="J13" i="3" s="1"/>
  <c r="K13" i="3" s="1"/>
  <c r="L13" i="3" s="1"/>
  <c r="M13" i="3" s="1"/>
  <c r="N13" i="3" s="1"/>
  <c r="F12" i="3"/>
  <c r="G12" i="3" s="1"/>
  <c r="H12" i="3" s="1"/>
  <c r="I12" i="3" s="1"/>
  <c r="J12" i="3" s="1"/>
  <c r="K12" i="3" s="1"/>
  <c r="L12" i="3" s="1"/>
  <c r="M12" i="3" s="1"/>
  <c r="N12" i="3" s="1"/>
  <c r="F11" i="3"/>
  <c r="G11" i="3" s="1"/>
  <c r="H11" i="3" s="1"/>
  <c r="I11" i="3" s="1"/>
  <c r="J11" i="3" s="1"/>
  <c r="K11" i="3" s="1"/>
  <c r="L11" i="3" s="1"/>
  <c r="M11" i="3" s="1"/>
  <c r="N11" i="3" s="1"/>
  <c r="F10" i="3"/>
  <c r="G10" i="3" s="1"/>
  <c r="H10" i="3" s="1"/>
  <c r="I10" i="3" s="1"/>
  <c r="J10" i="3" s="1"/>
  <c r="K10" i="3" s="1"/>
  <c r="L10" i="3" s="1"/>
  <c r="M10" i="3" s="1"/>
  <c r="N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C13" i="4"/>
  <c r="D8" i="6" s="1"/>
  <c r="E88" i="3" l="1"/>
  <c r="D6" i="6" s="1"/>
  <c r="F88" i="3"/>
  <c r="E6" i="6" s="1"/>
  <c r="G7" i="3"/>
  <c r="H7" i="3" l="1"/>
  <c r="G88" i="3"/>
  <c r="F6" i="6" s="1"/>
  <c r="I7" i="3" l="1"/>
  <c r="H88" i="3"/>
  <c r="G6" i="6" s="1"/>
  <c r="J7" i="3" l="1"/>
  <c r="I88" i="3"/>
  <c r="H6" i="6" s="1"/>
  <c r="K7" i="3" l="1"/>
  <c r="J88" i="3"/>
  <c r="I6" i="6" s="1"/>
  <c r="L7" i="3" l="1"/>
  <c r="K88" i="3"/>
  <c r="J6" i="6" s="1"/>
  <c r="M7" i="3" l="1"/>
  <c r="L88" i="3"/>
  <c r="K6" i="6" s="1"/>
  <c r="N7" i="3" l="1"/>
  <c r="M88" i="3"/>
  <c r="L6" i="6" s="1"/>
  <c r="L7" i="6" s="1"/>
  <c r="C35" i="6"/>
  <c r="K7" i="6"/>
  <c r="J7" i="6"/>
  <c r="I7" i="6"/>
  <c r="H7" i="6"/>
  <c r="D7" i="6"/>
  <c r="D11" i="6" s="1"/>
  <c r="D12" i="6" s="1"/>
  <c r="F8" i="6"/>
  <c r="G8" i="6"/>
  <c r="H8" i="6"/>
  <c r="I8" i="6"/>
  <c r="J8" i="6"/>
  <c r="K8" i="6"/>
  <c r="L8" i="6"/>
  <c r="M8" i="6"/>
  <c r="E8" i="6"/>
  <c r="H14" i="1"/>
  <c r="C8" i="5"/>
  <c r="N88" i="3" l="1"/>
  <c r="M6" i="6" s="1"/>
  <c r="M7" i="6" s="1"/>
  <c r="L11" i="6"/>
  <c r="L12" i="6" s="1"/>
  <c r="L13" i="6" s="1"/>
  <c r="L18" i="6" s="1"/>
  <c r="H11" i="6"/>
  <c r="H12" i="6" s="1"/>
  <c r="H13" i="6" s="1"/>
  <c r="H18" i="6" s="1"/>
  <c r="J11" i="6"/>
  <c r="J12" i="6" s="1"/>
  <c r="J13" i="6" s="1"/>
  <c r="J18" i="6" s="1"/>
  <c r="I11" i="6"/>
  <c r="I12" i="6" s="1"/>
  <c r="I13" i="6" s="1"/>
  <c r="I18" i="6" s="1"/>
  <c r="K11" i="6"/>
  <c r="K12" i="6" s="1"/>
  <c r="K13" i="6" s="1"/>
  <c r="K18" i="6" s="1"/>
  <c r="C20" i="2"/>
  <c r="H15" i="1"/>
  <c r="H13" i="1"/>
  <c r="H12" i="1"/>
  <c r="N8" i="5" s="1"/>
  <c r="E8" i="5" s="1"/>
  <c r="E16" i="1"/>
  <c r="E20" i="1" s="1"/>
  <c r="C19" i="2" s="1"/>
  <c r="K8" i="5" l="1"/>
  <c r="J8" i="5"/>
  <c r="L8" i="5"/>
  <c r="H16" i="1"/>
  <c r="G8" i="5"/>
  <c r="F8" i="5"/>
  <c r="D8" i="5"/>
  <c r="M8" i="5"/>
  <c r="I8" i="5"/>
  <c r="I9" i="5" s="1"/>
  <c r="H8" i="5"/>
  <c r="H9" i="5" s="1"/>
  <c r="C21" i="2"/>
  <c r="C5" i="2"/>
  <c r="J9" i="5" l="1"/>
  <c r="K9" i="5" l="1"/>
  <c r="M9" i="5" l="1"/>
  <c r="L9" i="5"/>
  <c r="N9" i="5" l="1"/>
  <c r="M16" i="6" s="1"/>
  <c r="E18" i="1" l="1"/>
  <c r="C17" i="6" s="1"/>
  <c r="C18" i="6" s="1"/>
  <c r="G9" i="5"/>
  <c r="E7" i="6"/>
  <c r="F7" i="6"/>
  <c r="E9" i="5" l="1"/>
  <c r="F9" i="5"/>
  <c r="D9" i="5"/>
  <c r="G7" i="6"/>
  <c r="G5" i="2"/>
  <c r="C6" i="2" s="1"/>
  <c r="D11" i="2" l="1"/>
  <c r="D13" i="2"/>
  <c r="D15" i="2"/>
  <c r="D10" i="2"/>
  <c r="D12" i="2"/>
  <c r="D14" i="2"/>
  <c r="D8" i="2"/>
  <c r="D7" i="2"/>
  <c r="D6" i="2"/>
  <c r="D9" i="2"/>
  <c r="E6" i="2"/>
  <c r="D13" i="6" l="1"/>
  <c r="D16" i="2"/>
  <c r="F6" i="2"/>
  <c r="G6" i="2" l="1"/>
  <c r="C7" i="2" s="1"/>
  <c r="D18" i="6"/>
  <c r="E7" i="2" l="1"/>
  <c r="E11" i="6" l="1"/>
  <c r="E12" i="6" s="1"/>
  <c r="E13" i="6" s="1"/>
  <c r="F7" i="2"/>
  <c r="E18" i="6" l="1"/>
  <c r="G7" i="2"/>
  <c r="C8" i="2" s="1"/>
  <c r="E8" i="2" l="1"/>
  <c r="F11" i="6" l="1"/>
  <c r="F12" i="6" s="1"/>
  <c r="F13" i="6" s="1"/>
  <c r="F8" i="2"/>
  <c r="F18" i="6" l="1"/>
  <c r="G8" i="2"/>
  <c r="C9" i="2" s="1"/>
  <c r="E9" i="2" l="1"/>
  <c r="G11" i="6" l="1"/>
  <c r="G12" i="6" s="1"/>
  <c r="G13" i="6" s="1"/>
  <c r="F9" i="2"/>
  <c r="G18" i="6" l="1"/>
  <c r="G9" i="2"/>
  <c r="C10" i="2" s="1"/>
  <c r="E10" i="2" l="1"/>
  <c r="F10" i="2" s="1"/>
  <c r="G10" i="2" s="1"/>
  <c r="C11" i="2" s="1"/>
  <c r="E11" i="2" l="1"/>
  <c r="F11" i="2" s="1"/>
  <c r="G11" i="2" s="1"/>
  <c r="C12" i="2" s="1"/>
  <c r="M11" i="6"/>
  <c r="M12" i="6" l="1"/>
  <c r="M13" i="6" s="1"/>
  <c r="M18" i="6" s="1"/>
  <c r="E12" i="2"/>
  <c r="H29" i="6" l="1"/>
  <c r="C31" i="6"/>
  <c r="F12" i="2"/>
  <c r="L40" i="6"/>
  <c r="L43" i="6"/>
  <c r="L44" i="6"/>
  <c r="L41" i="6"/>
  <c r="L37" i="6"/>
  <c r="L35" i="6"/>
  <c r="L38" i="6"/>
  <c r="C28" i="6"/>
  <c r="C33" i="6" s="1"/>
  <c r="L36" i="6"/>
  <c r="L39" i="6"/>
  <c r="L34" i="6"/>
  <c r="L42" i="6"/>
  <c r="L33" i="6"/>
  <c r="G12" i="2" l="1"/>
  <c r="C13" i="2" s="1"/>
  <c r="E13" i="2" l="1"/>
  <c r="F13" i="2" l="1"/>
  <c r="G13" i="2" l="1"/>
  <c r="C14" i="2" s="1"/>
  <c r="E14" i="2" l="1"/>
  <c r="F14" i="2" l="1"/>
  <c r="G14" i="2" l="1"/>
  <c r="C15" i="2" s="1"/>
  <c r="E15" i="2" l="1"/>
  <c r="F15" i="2" l="1"/>
  <c r="E16" i="2"/>
  <c r="F16" i="2" l="1"/>
  <c r="G15" i="2"/>
</calcChain>
</file>

<file path=xl/sharedStrings.xml><?xml version="1.0" encoding="utf-8"?>
<sst xmlns="http://schemas.openxmlformats.org/spreadsheetml/2006/main" count="257" uniqueCount="235">
  <si>
    <t>INVERSIONES DEL PROYECTO</t>
  </si>
  <si>
    <t>ACTIVOS FIJOS</t>
  </si>
  <si>
    <t>CONCEPTO</t>
  </si>
  <si>
    <t>VALOR</t>
  </si>
  <si>
    <t>Total Activos Fijos</t>
  </si>
  <si>
    <t>Porcentaje de Capital Propio</t>
  </si>
  <si>
    <t>Total Capital Propio</t>
  </si>
  <si>
    <t>Porcentaje de Prestamo Bancario</t>
  </si>
  <si>
    <t>Total de Prestamo Bancario (Financiamiento)</t>
  </si>
  <si>
    <t>COSTO DE FINANCIAMIENTO</t>
  </si>
  <si>
    <t>Año</t>
  </si>
  <si>
    <t>Amortización</t>
  </si>
  <si>
    <t>Saldo Final</t>
  </si>
  <si>
    <t>TOTAL</t>
  </si>
  <si>
    <t>Tasa de Interés</t>
  </si>
  <si>
    <t>Capital Prestado</t>
  </si>
  <si>
    <t>Factor (A/P)</t>
  </si>
  <si>
    <t>Cuota Anual</t>
  </si>
  <si>
    <t>COSTOS DE PRODUCCION</t>
  </si>
  <si>
    <t>Concepto</t>
  </si>
  <si>
    <t>Costos Indirectos</t>
  </si>
  <si>
    <t>Total de Costos de Producción</t>
  </si>
  <si>
    <t>Años</t>
  </si>
  <si>
    <t>Costos de Administración</t>
  </si>
  <si>
    <t>Sueldos y Salarios</t>
  </si>
  <si>
    <t>Total Costos de Administración</t>
  </si>
  <si>
    <t>INVERSIÓN</t>
  </si>
  <si>
    <t>AÑOS</t>
  </si>
  <si>
    <t>DEPRECIACIÓN</t>
  </si>
  <si>
    <t>FLUJO DE FONDOS</t>
  </si>
  <si>
    <t>CONCEPTO / AÑOS</t>
  </si>
  <si>
    <t>(=)Utilidad de Operación</t>
  </si>
  <si>
    <t>(-) Costos de Administración</t>
  </si>
  <si>
    <t>(-) Costos Financieros</t>
  </si>
  <si>
    <t>(-) Depreciación</t>
  </si>
  <si>
    <t>(=) Utilidad Antes de Impuesto</t>
  </si>
  <si>
    <t>(=) Utilidad Despues de Impuesto</t>
  </si>
  <si>
    <t>(+) Depreciación</t>
  </si>
  <si>
    <t>(-) Amortización</t>
  </si>
  <si>
    <t>(+) Valor de Rescate</t>
  </si>
  <si>
    <t>Inversión</t>
  </si>
  <si>
    <t>Flujo Neto de Efectivo</t>
  </si>
  <si>
    <t>Tasa de Impuestos</t>
  </si>
  <si>
    <t>VPN</t>
  </si>
  <si>
    <t>TIR</t>
  </si>
  <si>
    <t>Beneficio / Costo</t>
  </si>
  <si>
    <t>CAUE</t>
  </si>
  <si>
    <t>Saldo Inicial</t>
  </si>
  <si>
    <t>Agua</t>
  </si>
  <si>
    <t>COSTOS DE ADMINISTRACIÓN</t>
  </si>
  <si>
    <t>(-) Costos de producción</t>
  </si>
  <si>
    <t>Intereses</t>
  </si>
  <si>
    <t>Decisión</t>
  </si>
  <si>
    <t>ANÁLISIS DE RESULTADOS</t>
  </si>
  <si>
    <t>TIR:</t>
  </si>
  <si>
    <t>TMAR</t>
  </si>
  <si>
    <t>Costo Anual (Cuota)</t>
  </si>
  <si>
    <t>A/P =</t>
  </si>
  <si>
    <t>PROYECTO: PÁGINA WEB</t>
  </si>
  <si>
    <t>Licencia de Servidor</t>
  </si>
  <si>
    <t>Marketing Publicitario</t>
  </si>
  <si>
    <t>Página Web</t>
  </si>
  <si>
    <t>CANTIDAD</t>
  </si>
  <si>
    <t>VALOR TOTAL</t>
  </si>
  <si>
    <t>VIDA UTIL</t>
  </si>
  <si>
    <t>PORCENTAJE DEL VALOR DE RESCATE</t>
  </si>
  <si>
    <t>VALOR DE RESCATE</t>
  </si>
  <si>
    <t xml:space="preserve">Papelería </t>
  </si>
  <si>
    <t>Marketing de Publicidad</t>
  </si>
  <si>
    <t>Mantenimiento de Página Web</t>
  </si>
  <si>
    <t>Equipo Tecnológico</t>
  </si>
  <si>
    <t>L=12%</t>
  </si>
  <si>
    <t>Computadora DELL 8NP1R</t>
  </si>
  <si>
    <t xml:space="preserve">Total </t>
  </si>
  <si>
    <t>Valor Rescate Año 10</t>
  </si>
  <si>
    <t>Insumos</t>
  </si>
  <si>
    <t>Unidades</t>
  </si>
  <si>
    <t>Tasa de Inflación</t>
  </si>
  <si>
    <t>Papa</t>
  </si>
  <si>
    <t>Cebolla</t>
  </si>
  <si>
    <t>Tomate</t>
  </si>
  <si>
    <t>Güisquil</t>
  </si>
  <si>
    <t>Ejote</t>
  </si>
  <si>
    <t>Cilantro</t>
  </si>
  <si>
    <t>Limón</t>
  </si>
  <si>
    <t>Chile Verde</t>
  </si>
  <si>
    <t>Pepino</t>
  </si>
  <si>
    <t>Brócoli</t>
  </si>
  <si>
    <t>Coliflor</t>
  </si>
  <si>
    <t>Zanahoria</t>
  </si>
  <si>
    <t>Aguacate</t>
  </si>
  <si>
    <t>Lechuga</t>
  </si>
  <si>
    <t>Chile Jalapeño</t>
  </si>
  <si>
    <t>Choquezuela</t>
  </si>
  <si>
    <t>Lomo de Cerdo</t>
  </si>
  <si>
    <t>Posta de Res</t>
  </si>
  <si>
    <t>Carne Molida</t>
  </si>
  <si>
    <t>Camarones</t>
  </si>
  <si>
    <t>Pescado</t>
  </si>
  <si>
    <t>Pollo</t>
  </si>
  <si>
    <t>Pechuga</t>
  </si>
  <si>
    <t>Frijoles</t>
  </si>
  <si>
    <t>Arroz</t>
  </si>
  <si>
    <t>Pastas</t>
  </si>
  <si>
    <t>Pasta Lasaña</t>
  </si>
  <si>
    <t>Azúcar</t>
  </si>
  <si>
    <t>Papas Fritas</t>
  </si>
  <si>
    <t>Tamarindo</t>
  </si>
  <si>
    <t>Jamaica</t>
  </si>
  <si>
    <t>Piña</t>
  </si>
  <si>
    <t>Fresa</t>
  </si>
  <si>
    <t>Relajo</t>
  </si>
  <si>
    <t>Sandía</t>
  </si>
  <si>
    <t>Tortillas</t>
  </si>
  <si>
    <t>Quesillo</t>
  </si>
  <si>
    <t>Queso Rallado</t>
  </si>
  <si>
    <t>Crema</t>
  </si>
  <si>
    <t>Queso Duro</t>
  </si>
  <si>
    <t>Vino Blanco</t>
  </si>
  <si>
    <t>Vino Tinto</t>
  </si>
  <si>
    <t>Especia</t>
  </si>
  <si>
    <t>Consomés</t>
  </si>
  <si>
    <t>Salsa de Soya</t>
  </si>
  <si>
    <t>Salsa Inglesa</t>
  </si>
  <si>
    <t>Margarina</t>
  </si>
  <si>
    <t>Hielo</t>
  </si>
  <si>
    <t>Mayonesa</t>
  </si>
  <si>
    <t>Mostaza</t>
  </si>
  <si>
    <t xml:space="preserve">Aceite de Oliva </t>
  </si>
  <si>
    <t>Sal</t>
  </si>
  <si>
    <t>Tortillas para Burrito</t>
  </si>
  <si>
    <t>Tortillas para Tacos</t>
  </si>
  <si>
    <t>Pan de Tortas</t>
  </si>
  <si>
    <t>Pan de Hamburguesas</t>
  </si>
  <si>
    <t xml:space="preserve">Aceite  </t>
  </si>
  <si>
    <t>2 sacos</t>
  </si>
  <si>
    <t>2 cajas de 100 unidades</t>
  </si>
  <si>
    <t>1 saco de 50 unidades</t>
  </si>
  <si>
    <t>1 saco de 25 lb</t>
  </si>
  <si>
    <t>14 manojo</t>
  </si>
  <si>
    <t>35 de 5x1</t>
  </si>
  <si>
    <t>70 unidades</t>
  </si>
  <si>
    <t>50 unidades</t>
  </si>
  <si>
    <t>5 unidades</t>
  </si>
  <si>
    <t>28 de 4x1</t>
  </si>
  <si>
    <t>42 unidades</t>
  </si>
  <si>
    <t>70 lb</t>
  </si>
  <si>
    <t>25 lb</t>
  </si>
  <si>
    <t>10 lb</t>
  </si>
  <si>
    <t>30 lb</t>
  </si>
  <si>
    <t>35 lb</t>
  </si>
  <si>
    <t>135 lb</t>
  </si>
  <si>
    <t>18 lb</t>
  </si>
  <si>
    <t>42 lb</t>
  </si>
  <si>
    <t>20 bolsas</t>
  </si>
  <si>
    <t>6 cajas</t>
  </si>
  <si>
    <t>49 lb</t>
  </si>
  <si>
    <t>38,5lb</t>
  </si>
  <si>
    <t>8 lb</t>
  </si>
  <si>
    <t>5 lb</t>
  </si>
  <si>
    <t>12 bolsa</t>
  </si>
  <si>
    <t>120 de 20x1</t>
  </si>
  <si>
    <t>36 lb</t>
  </si>
  <si>
    <t>7 bolsas</t>
  </si>
  <si>
    <t>3 lb</t>
  </si>
  <si>
    <t>1 botella</t>
  </si>
  <si>
    <t>3 bolsas</t>
  </si>
  <si>
    <t>1 galón</t>
  </si>
  <si>
    <t>14 bolsa de 5 lb</t>
  </si>
  <si>
    <t>1,5 bolsa grande</t>
  </si>
  <si>
    <t>1 bolsa grande</t>
  </si>
  <si>
    <t>1 botella de 500 ml</t>
  </si>
  <si>
    <t>10,5 lb</t>
  </si>
  <si>
    <t>10 paquetes de 10 unidades</t>
  </si>
  <si>
    <t>4 paquetes de 25 unidades</t>
  </si>
  <si>
    <t>5 paquetes de 5 unidades</t>
  </si>
  <si>
    <t>1,5 paquetes de 12 unidades</t>
  </si>
  <si>
    <t>1,5 de bidón</t>
  </si>
  <si>
    <r>
      <t xml:space="preserve">4 botellas de </t>
    </r>
    <r>
      <rPr>
        <b/>
        <sz val="10"/>
        <rFont val="Calibri"/>
        <family val="2"/>
      </rPr>
      <t>¼</t>
    </r>
  </si>
  <si>
    <t>Gastos de mantenimiento (Aire acondicionado, odorización de baños y control de plagas)</t>
  </si>
  <si>
    <t>Energía Eléctrica</t>
  </si>
  <si>
    <t>Internet</t>
  </si>
  <si>
    <t>Teléfono</t>
  </si>
  <si>
    <t>Otros Gastos (Gastos no contemplados, mantenimiento del edificio, mobiliario y equipo de oficina)</t>
  </si>
  <si>
    <t xml:space="preserve">Insumos Totales de Producción </t>
  </si>
  <si>
    <t xml:space="preserve">Gasolina </t>
  </si>
  <si>
    <t>Costos Directos</t>
  </si>
  <si>
    <t>Conceptos</t>
  </si>
  <si>
    <t>Total de Costos Directos</t>
  </si>
  <si>
    <t>PROGRAMA DE INGRESOS</t>
  </si>
  <si>
    <t>CANTIDAD DE VENTAS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</si>
  <si>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</si>
  <si>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</si>
  <si>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</si>
  <si>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</si>
  <si>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</si>
  <si>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</si>
  <si>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</si>
  <si>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</si>
  <si>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</si>
  <si>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</si>
  <si>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</si>
  <si>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</si>
  <si>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Totales por Venta</t>
  </si>
  <si>
    <t>Garrafa de agua</t>
  </si>
  <si>
    <t xml:space="preserve">Pilsener </t>
  </si>
  <si>
    <t xml:space="preserve">Golden </t>
  </si>
  <si>
    <t>Suprema</t>
  </si>
  <si>
    <t>Powerade</t>
  </si>
  <si>
    <t>Soda de lata</t>
  </si>
  <si>
    <t>Jugo del Valle</t>
  </si>
  <si>
    <t>8 botellas</t>
  </si>
  <si>
    <t>24 botella</t>
  </si>
  <si>
    <t>24 vidrio</t>
  </si>
  <si>
    <t>5 vidrio</t>
  </si>
  <si>
    <t>20 botella</t>
  </si>
  <si>
    <t>336 lata</t>
  </si>
  <si>
    <t>56 botella</t>
  </si>
  <si>
    <t>Cubiertos desechables</t>
  </si>
  <si>
    <t>Hamburguesera</t>
  </si>
  <si>
    <t>Bandejas</t>
  </si>
  <si>
    <t>Soperos 32 oz</t>
  </si>
  <si>
    <t>Sopero 16 oz</t>
  </si>
  <si>
    <t>Bolsas</t>
  </si>
  <si>
    <t>Servilletas</t>
  </si>
  <si>
    <t>Servilleta pop up</t>
  </si>
  <si>
    <t>910 unidad</t>
  </si>
  <si>
    <t>100 unidad</t>
  </si>
  <si>
    <t>660 unidad</t>
  </si>
  <si>
    <t>150 unidad</t>
  </si>
  <si>
    <t>25  paquete</t>
  </si>
  <si>
    <t>50 unidad</t>
  </si>
  <si>
    <t>1 fdo</t>
  </si>
  <si>
    <t>0.5 caja</t>
  </si>
  <si>
    <t>(-) Impuestos 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</si>
</sst>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&quot;$&quot;#,##0.00;[Red]\-&quot;$&quot;#,##0.00"/>
    <numFmt numFmtId="165" formatCode="_(&quot;$&quot;* #,##0.00_);_(&quot;$&quot;* \(#,##0.00\);_(&quot;$&quot;* &quot;-&quot;??_);_(@_)"/>
    <numFmt numFmtId="166" formatCode="&quot; $&quot;#,##0.00\ ;&quot; $(&quot;#,##0.00\);&quot; $-&quot;#\ ;@\ "/>
    <numFmt numFmtId="167" formatCode="\$#,##0.00\ ;[Red]&quot;($&quot;#,##0.00\)"/>
    <numFmt numFmtId="168" formatCode="\$#,##0.00"/>
    <numFmt numFmtId="169" formatCode="0.0%"/>
    <numFmt numFmtId="170" formatCode="#,##0.00\ ;[Red]\(#,##0.00\)"/>
    <numFmt numFmtId="171" formatCode="#,##0.0000;[Red]#,##0.0000"/>
    <numFmt numFmtId="172" formatCode="&quot;$&quot;#,##0.000;[Red]\-&quot;$&quot;#,##0.000"/>
    <numFmt numFmtId="173" formatCode="0.0000"/>
    <numFmt numFmtId="174" formatCode="\$#,##0\ ;[Red]&quot;($&quot;#,##0\)"/>
    <numFmt numFmtId="175" formatCode="[$$-440A]#,##0.00"/>
    <numFmt numFmtId="176" formatCode="\$#,##0"/>
    <numFmt numFmtId="177" formatCode="_-[$$-440A]* #,##0.00_ ;_-[$$-440A]* \-#,##0.00\ ;_-[$$-440A]* &quot;-&quot;??_ ;_-@_ "/>
  </numFmts>
  <fonts count="27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rgb="FF05ED0B"/>
      <name val="Arial"/>
      <family val="2"/>
    </font>
    <font>
      <sz val="11"/>
      <color rgb="FF05ED0B"/>
      <name val="Calibri"/>
      <family val="2"/>
    </font>
    <font>
      <b/>
      <sz val="14"/>
      <color rgb="FF05ED0B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1"/>
      <color indexed="8"/>
      <name val="Arial"/>
      <family val="2"/>
    </font>
    <font>
      <b/>
      <sz val="24"/>
      <name val="Arial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i/>
      <sz val="10"/>
      <color theme="1"/>
      <name val="Arial"/>
      <family val="2"/>
    </font>
    <font>
      <b/>
      <sz val="16"/>
      <color indexed="8"/>
      <name val="Calibri"/>
      <family val="2"/>
    </font>
    <font>
      <sz val="16"/>
      <color rgb="FFFFFF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05ED0B"/>
        <bgColor indexed="22"/>
      </patternFill>
    </fill>
    <fill>
      <patternFill patternType="solid">
        <fgColor theme="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5ED0B"/>
      </left>
      <right style="thin">
        <color rgb="FF05ED0B"/>
      </right>
      <top style="thin">
        <color rgb="FF05ED0B"/>
      </top>
      <bottom style="thin">
        <color rgb="FF05ED0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6" fontId="2" fillId="0" borderId="0"/>
    <xf numFmtId="0" fontId="2" fillId="0" borderId="0"/>
    <xf numFmtId="9" fontId="2" fillId="0" borderId="0"/>
    <xf numFmtId="165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2"/>
    <xf numFmtId="0" fontId="2" fillId="0" borderId="0" xfId="2" applyFill="1"/>
    <xf numFmtId="0" fontId="2" fillId="0" borderId="1" xfId="2" applyBorder="1" applyAlignment="1">
      <alignment horizontal="center" vertical="center" wrapText="1"/>
    </xf>
    <xf numFmtId="166" fontId="2" fillId="0" borderId="0" xfId="1" applyFont="1" applyFill="1" applyBorder="1" applyAlignment="1" applyProtection="1"/>
    <xf numFmtId="0" fontId="3" fillId="4" borderId="1" xfId="2" applyFont="1" applyFill="1" applyBorder="1" applyAlignment="1">
      <alignment horizontal="center"/>
    </xf>
    <xf numFmtId="166" fontId="3" fillId="2" borderId="1" xfId="1" applyFont="1" applyFill="1" applyBorder="1" applyAlignment="1" applyProtection="1"/>
    <xf numFmtId="165" fontId="9" fillId="8" borderId="1" xfId="4" applyFont="1" applyFill="1" applyBorder="1" applyAlignment="1" applyProtection="1"/>
    <xf numFmtId="167" fontId="3" fillId="2" borderId="1" xfId="1" applyNumberFormat="1" applyFont="1" applyFill="1" applyBorder="1" applyAlignment="1" applyProtection="1"/>
    <xf numFmtId="168" fontId="2" fillId="11" borderId="1" xfId="2" applyNumberFormat="1" applyFill="1" applyBorder="1"/>
    <xf numFmtId="0" fontId="2" fillId="0" borderId="0" xfId="2" applyProtection="1">
      <protection locked="0"/>
    </xf>
    <xf numFmtId="0" fontId="2" fillId="15" borderId="0" xfId="2" applyFill="1" applyProtection="1">
      <protection locked="0"/>
    </xf>
    <xf numFmtId="168" fontId="2" fillId="15" borderId="0" xfId="2" applyNumberFormat="1" applyFill="1" applyProtection="1">
      <protection locked="0"/>
    </xf>
    <xf numFmtId="0" fontId="2" fillId="15" borderId="0" xfId="2" applyNumberFormat="1" applyFill="1" applyProtection="1">
      <protection locked="0"/>
    </xf>
    <xf numFmtId="169" fontId="12" fillId="15" borderId="7" xfId="3" applyNumberFormat="1" applyFont="1" applyFill="1" applyBorder="1" applyAlignment="1" applyProtection="1">
      <protection locked="0"/>
    </xf>
    <xf numFmtId="0" fontId="2" fillId="3" borderId="0" xfId="2" applyFill="1"/>
    <xf numFmtId="10" fontId="0" fillId="0" borderId="0" xfId="3" applyNumberFormat="1" applyFont="1" applyFill="1" applyBorder="1" applyAlignment="1" applyProtection="1"/>
    <xf numFmtId="10" fontId="0" fillId="0" borderId="4" xfId="3" applyNumberFormat="1" applyFont="1" applyFill="1" applyBorder="1" applyAlignment="1" applyProtection="1"/>
    <xf numFmtId="10" fontId="3" fillId="5" borderId="0" xfId="3" applyNumberFormat="1" applyFont="1" applyFill="1" applyBorder="1" applyAlignment="1" applyProtection="1"/>
    <xf numFmtId="166" fontId="3" fillId="2" borderId="10" xfId="1" applyFont="1" applyFill="1" applyBorder="1" applyAlignment="1" applyProtection="1"/>
    <xf numFmtId="166" fontId="4" fillId="9" borderId="8" xfId="1" applyFont="1" applyFill="1" applyBorder="1" applyAlignment="1" applyProtection="1"/>
    <xf numFmtId="166" fontId="5" fillId="2" borderId="4" xfId="1" applyFont="1" applyFill="1" applyBorder="1" applyAlignment="1" applyProtection="1"/>
    <xf numFmtId="166" fontId="11" fillId="16" borderId="6" xfId="1" applyFont="1" applyFill="1" applyBorder="1" applyAlignment="1" applyProtection="1"/>
    <xf numFmtId="165" fontId="1" fillId="10" borderId="1" xfId="4" applyFill="1" applyBorder="1" applyProtection="1">
      <protection locked="0"/>
    </xf>
    <xf numFmtId="165" fontId="1" fillId="7" borderId="1" xfId="4" applyFill="1" applyBorder="1" applyAlignment="1" applyProtection="1">
      <protection locked="0"/>
    </xf>
    <xf numFmtId="165" fontId="1" fillId="0" borderId="1" xfId="4" applyFill="1" applyBorder="1" applyAlignment="1" applyProtection="1">
      <protection locked="0"/>
    </xf>
    <xf numFmtId="165" fontId="1" fillId="9" borderId="1" xfId="4" applyFill="1" applyBorder="1" applyProtection="1">
      <protection locked="0"/>
    </xf>
    <xf numFmtId="165" fontId="1" fillId="9" borderId="1" xfId="4" applyFill="1" applyBorder="1" applyAlignment="1" applyProtection="1">
      <protection locked="0"/>
    </xf>
    <xf numFmtId="0" fontId="3" fillId="5" borderId="0" xfId="2" applyFont="1" applyFill="1" applyBorder="1" applyProtection="1">
      <protection locked="0"/>
    </xf>
    <xf numFmtId="166" fontId="5" fillId="5" borderId="0" xfId="1" applyFont="1" applyFill="1" applyBorder="1" applyAlignment="1" applyProtection="1">
      <protection locked="0"/>
    </xf>
    <xf numFmtId="166" fontId="3" fillId="5" borderId="0" xfId="1" applyFont="1" applyFill="1" applyBorder="1" applyAlignment="1" applyProtection="1">
      <protection locked="0"/>
    </xf>
    <xf numFmtId="166" fontId="5" fillId="5" borderId="0" xfId="1" applyNumberFormat="1" applyFont="1" applyFill="1" applyBorder="1" applyAlignment="1" applyProtection="1">
      <protection locked="0"/>
    </xf>
    <xf numFmtId="167" fontId="3" fillId="5" borderId="0" xfId="1" applyNumberFormat="1" applyFont="1" applyFill="1" applyBorder="1" applyAlignment="1" applyProtection="1">
      <protection locked="0"/>
    </xf>
    <xf numFmtId="0" fontId="2" fillId="0" borderId="0" xfId="2" applyProtection="1"/>
    <xf numFmtId="0" fontId="3" fillId="5" borderId="1" xfId="2" applyFont="1" applyFill="1" applyBorder="1" applyAlignment="1" applyProtection="1">
      <alignment horizontal="center"/>
    </xf>
    <xf numFmtId="0" fontId="2" fillId="5" borderId="1" xfId="2" applyNumberFormat="1" applyFill="1" applyBorder="1" applyAlignment="1" applyProtection="1">
      <alignment horizontal="center"/>
    </xf>
    <xf numFmtId="0" fontId="6" fillId="10" borderId="1" xfId="2" applyFont="1" applyFill="1" applyBorder="1" applyProtection="1"/>
    <xf numFmtId="165" fontId="1" fillId="10" borderId="1" xfId="4" applyFill="1" applyBorder="1" applyProtection="1"/>
    <xf numFmtId="0" fontId="9" fillId="8" borderId="1" xfId="2" applyFont="1" applyFill="1" applyBorder="1" applyProtection="1"/>
    <xf numFmtId="165" fontId="9" fillId="8" borderId="1" xfId="4" applyFont="1" applyFill="1" applyBorder="1" applyProtection="1"/>
    <xf numFmtId="0" fontId="6" fillId="7" borderId="1" xfId="2" applyFont="1" applyFill="1" applyBorder="1" applyProtection="1"/>
    <xf numFmtId="165" fontId="1" fillId="7" borderId="1" xfId="4" applyFill="1" applyBorder="1" applyProtection="1"/>
    <xf numFmtId="0" fontId="0" fillId="0" borderId="1" xfId="2" applyFont="1" applyFill="1" applyBorder="1" applyProtection="1"/>
    <xf numFmtId="165" fontId="1" fillId="0" borderId="1" xfId="4" applyFill="1" applyBorder="1" applyProtection="1"/>
    <xf numFmtId="0" fontId="6" fillId="9" borderId="1" xfId="2" applyFont="1" applyFill="1" applyBorder="1" applyProtection="1"/>
    <xf numFmtId="165" fontId="1" fillId="9" borderId="1" xfId="4" applyFill="1" applyBorder="1" applyProtection="1"/>
    <xf numFmtId="0" fontId="6" fillId="9" borderId="8" xfId="2" applyFont="1" applyFill="1" applyBorder="1" applyProtection="1"/>
    <xf numFmtId="0" fontId="3" fillId="2" borderId="4" xfId="2" applyFont="1" applyFill="1" applyBorder="1" applyProtection="1"/>
    <xf numFmtId="170" fontId="0" fillId="0" borderId="0" xfId="2" applyNumberFormat="1" applyFont="1" applyFill="1" applyProtection="1"/>
    <xf numFmtId="0" fontId="0" fillId="0" borderId="4" xfId="2" applyFont="1" applyFill="1" applyBorder="1" applyProtection="1"/>
    <xf numFmtId="0" fontId="0" fillId="0" borderId="0" xfId="2" applyFont="1" applyFill="1" applyBorder="1" applyProtection="1"/>
    <xf numFmtId="170" fontId="0" fillId="0" borderId="0" xfId="2" applyNumberFormat="1" applyFont="1" applyFill="1" applyBorder="1" applyProtection="1"/>
    <xf numFmtId="0" fontId="3" fillId="5" borderId="0" xfId="2" applyFont="1" applyFill="1" applyBorder="1" applyProtection="1"/>
    <xf numFmtId="0" fontId="11" fillId="16" borderId="4" xfId="2" applyFont="1" applyFill="1" applyBorder="1" applyProtection="1"/>
    <xf numFmtId="170" fontId="11" fillId="16" borderId="4" xfId="2" applyNumberFormat="1" applyFont="1" applyFill="1" applyBorder="1" applyAlignment="1" applyProtection="1">
      <alignment horizontal="center"/>
    </xf>
    <xf numFmtId="0" fontId="2" fillId="0" borderId="4" xfId="2" applyBorder="1" applyAlignment="1" applyProtection="1">
      <alignment horizontal="center"/>
    </xf>
    <xf numFmtId="0" fontId="11" fillId="16" borderId="9" xfId="2" applyFont="1" applyFill="1" applyBorder="1" applyProtection="1"/>
    <xf numFmtId="167" fontId="2" fillId="0" borderId="0" xfId="2" applyNumberFormat="1" applyProtection="1"/>
    <xf numFmtId="164" fontId="2" fillId="0" borderId="4" xfId="2" applyNumberFormat="1" applyBorder="1" applyAlignment="1" applyProtection="1">
      <alignment horizontal="center"/>
    </xf>
    <xf numFmtId="164" fontId="2" fillId="0" borderId="0" xfId="2" applyNumberFormat="1" applyProtection="1"/>
    <xf numFmtId="165" fontId="1" fillId="0" borderId="4" xfId="4" applyBorder="1" applyAlignment="1" applyProtection="1">
      <alignment vertical="center" wrapText="1"/>
      <protection locked="0"/>
    </xf>
    <xf numFmtId="0" fontId="12" fillId="15" borderId="7" xfId="2" applyFont="1" applyFill="1" applyBorder="1" applyProtection="1"/>
    <xf numFmtId="171" fontId="12" fillId="15" borderId="7" xfId="2" applyNumberFormat="1" applyFont="1" applyFill="1" applyBorder="1" applyProtection="1"/>
    <xf numFmtId="0" fontId="2" fillId="15" borderId="0" xfId="2" applyFill="1" applyProtection="1"/>
    <xf numFmtId="168" fontId="12" fillId="15" borderId="7" xfId="2" applyNumberFormat="1" applyFont="1" applyFill="1" applyBorder="1" applyProtection="1"/>
    <xf numFmtId="0" fontId="12" fillId="15" borderId="7" xfId="2" applyFont="1" applyFill="1" applyBorder="1" applyAlignment="1" applyProtection="1">
      <alignment horizontal="center"/>
    </xf>
    <xf numFmtId="0" fontId="11" fillId="14" borderId="7" xfId="2" applyFont="1" applyFill="1" applyBorder="1" applyAlignment="1" applyProtection="1">
      <alignment horizontal="right"/>
    </xf>
    <xf numFmtId="0" fontId="11" fillId="14" borderId="7" xfId="2" applyFont="1" applyFill="1" applyBorder="1" applyAlignment="1" applyProtection="1">
      <alignment horizontal="center" vertical="center"/>
    </xf>
    <xf numFmtId="0" fontId="11" fillId="14" borderId="7" xfId="2" applyFont="1" applyFill="1" applyBorder="1" applyAlignment="1" applyProtection="1">
      <alignment horizontal="center" vertical="center" wrapText="1"/>
    </xf>
    <xf numFmtId="172" fontId="15" fillId="15" borderId="0" xfId="2" applyNumberFormat="1" applyFont="1" applyFill="1" applyProtection="1"/>
    <xf numFmtId="0" fontId="0" fillId="0" borderId="4" xfId="2" applyFont="1" applyFill="1" applyBorder="1" applyAlignment="1" applyProtection="1">
      <alignment horizontal="center"/>
    </xf>
    <xf numFmtId="0" fontId="3" fillId="5" borderId="0" xfId="2" applyFont="1" applyFill="1" applyBorder="1" applyAlignment="1" applyProtection="1">
      <alignment horizontal="right"/>
    </xf>
    <xf numFmtId="173" fontId="3" fillId="5" borderId="0" xfId="2" applyNumberFormat="1" applyFont="1" applyFill="1" applyBorder="1" applyAlignment="1" applyProtection="1">
      <alignment horizontal="left"/>
    </xf>
    <xf numFmtId="165" fontId="1" fillId="17" borderId="1" xfId="4" applyFill="1" applyBorder="1" applyAlignment="1" applyProtection="1">
      <protection locked="0"/>
    </xf>
    <xf numFmtId="0" fontId="3" fillId="12" borderId="1" xfId="2" applyFont="1" applyFill="1" applyBorder="1" applyAlignment="1">
      <alignment horizontal="center"/>
    </xf>
    <xf numFmtId="0" fontId="2" fillId="0" borderId="0" xfId="2" applyBorder="1" applyProtection="1">
      <protection locked="0"/>
    </xf>
    <xf numFmtId="0" fontId="2" fillId="3" borderId="0" xfId="2" applyFill="1" applyBorder="1" applyProtection="1">
      <protection locked="0"/>
    </xf>
    <xf numFmtId="165" fontId="1" fillId="3" borderId="0" xfId="4" applyFill="1" applyBorder="1" applyProtection="1">
      <protection locked="0"/>
    </xf>
    <xf numFmtId="0" fontId="2" fillId="3" borderId="0" xfId="2" applyFill="1" applyBorder="1" applyAlignment="1" applyProtection="1">
      <alignment horizontal="center"/>
      <protection locked="0"/>
    </xf>
    <xf numFmtId="165" fontId="2" fillId="3" borderId="0" xfId="2" applyNumberFormat="1" applyFill="1" applyBorder="1" applyProtection="1">
      <protection locked="0"/>
    </xf>
    <xf numFmtId="0" fontId="2" fillId="3" borderId="0" xfId="2" applyFill="1" applyBorder="1" applyProtection="1"/>
    <xf numFmtId="0" fontId="3" fillId="2" borderId="19" xfId="2" applyFont="1" applyFill="1" applyBorder="1"/>
    <xf numFmtId="0" fontId="3" fillId="0" borderId="15" xfId="2" applyFont="1" applyBorder="1"/>
    <xf numFmtId="0" fontId="14" fillId="0" borderId="30" xfId="2" applyFont="1" applyBorder="1"/>
    <xf numFmtId="0" fontId="7" fillId="0" borderId="31" xfId="2" applyFont="1" applyFill="1" applyBorder="1"/>
    <xf numFmtId="0" fontId="3" fillId="2" borderId="31" xfId="2" applyFont="1" applyFill="1" applyBorder="1"/>
    <xf numFmtId="0" fontId="8" fillId="6" borderId="31" xfId="2" applyFont="1" applyFill="1" applyBorder="1"/>
    <xf numFmtId="0" fontId="8" fillId="7" borderId="31" xfId="2" applyFont="1" applyFill="1" applyBorder="1"/>
    <xf numFmtId="0" fontId="3" fillId="2" borderId="32" xfId="2" applyFont="1" applyFill="1" applyBorder="1"/>
    <xf numFmtId="0" fontId="3" fillId="0" borderId="15" xfId="2" applyFont="1" applyFill="1" applyBorder="1" applyAlignment="1">
      <alignment horizontal="center"/>
    </xf>
    <xf numFmtId="167" fontId="1" fillId="0" borderId="30" xfId="1" applyNumberFormat="1" applyFont="1" applyFill="1" applyBorder="1" applyAlignment="1" applyProtection="1">
      <alignment horizontal="right"/>
    </xf>
    <xf numFmtId="167" fontId="1" fillId="0" borderId="31" xfId="1" applyNumberFormat="1" applyFont="1" applyFill="1" applyBorder="1" applyAlignment="1" applyProtection="1">
      <alignment horizontal="right"/>
    </xf>
    <xf numFmtId="0" fontId="3" fillId="0" borderId="15" xfId="2" applyFont="1" applyBorder="1" applyAlignment="1">
      <alignment horizontal="center"/>
    </xf>
    <xf numFmtId="0" fontId="14" fillId="0" borderId="30" xfId="2" applyFont="1" applyBorder="1" applyAlignment="1">
      <alignment horizontal="center"/>
    </xf>
    <xf numFmtId="0" fontId="7" fillId="0" borderId="31" xfId="2" applyFont="1" applyFill="1" applyBorder="1" applyAlignment="1">
      <alignment horizontal="center"/>
    </xf>
    <xf numFmtId="174" fontId="3" fillId="2" borderId="31" xfId="1" applyNumberFormat="1" applyFont="1" applyFill="1" applyBorder="1" applyAlignment="1" applyProtection="1">
      <alignment horizontal="right"/>
    </xf>
    <xf numFmtId="174" fontId="3" fillId="2" borderId="32" xfId="1" applyNumberFormat="1" applyFont="1" applyFill="1" applyBorder="1" applyAlignment="1" applyProtection="1">
      <alignment horizontal="right"/>
    </xf>
    <xf numFmtId="175" fontId="14" fillId="0" borderId="30" xfId="2" applyNumberFormat="1" applyFont="1" applyBorder="1"/>
    <xf numFmtId="175" fontId="7" fillId="0" borderId="31" xfId="2" applyNumberFormat="1" applyFont="1" applyFill="1" applyBorder="1"/>
    <xf numFmtId="9" fontId="14" fillId="0" borderId="30" xfId="5" applyFont="1" applyBorder="1" applyAlignment="1">
      <alignment horizontal="center"/>
    </xf>
    <xf numFmtId="9" fontId="7" fillId="0" borderId="31" xfId="5" applyFont="1" applyFill="1" applyBorder="1" applyAlignment="1">
      <alignment horizontal="center"/>
    </xf>
    <xf numFmtId="176" fontId="12" fillId="15" borderId="7" xfId="2" applyNumberFormat="1" applyFont="1" applyFill="1" applyBorder="1" applyProtection="1">
      <protection locked="0"/>
    </xf>
    <xf numFmtId="176" fontId="11" fillId="14" borderId="7" xfId="2" applyNumberFormat="1" applyFont="1" applyFill="1" applyBorder="1" applyProtection="1"/>
    <xf numFmtId="10" fontId="8" fillId="6" borderId="31" xfId="3" applyNumberFormat="1" applyFont="1" applyFill="1" applyBorder="1" applyAlignment="1" applyProtection="1">
      <alignment horizontal="right"/>
    </xf>
    <xf numFmtId="10" fontId="8" fillId="7" borderId="31" xfId="3" applyNumberFormat="1" applyFont="1" applyFill="1" applyBorder="1" applyAlignment="1" applyProtection="1">
      <alignment horizontal="right"/>
    </xf>
    <xf numFmtId="175" fontId="14" fillId="0" borderId="30" xfId="2" applyNumberFormat="1" applyFont="1" applyBorder="1" applyAlignment="1">
      <alignment horizontal="right"/>
    </xf>
    <xf numFmtId="175" fontId="7" fillId="0" borderId="31" xfId="2" applyNumberFormat="1" applyFont="1" applyFill="1" applyBorder="1" applyAlignment="1">
      <alignment horizontal="right"/>
    </xf>
    <xf numFmtId="175" fontId="3" fillId="2" borderId="31" xfId="2" applyNumberFormat="1" applyFont="1" applyFill="1" applyBorder="1" applyAlignment="1">
      <alignment horizontal="right"/>
    </xf>
    <xf numFmtId="177" fontId="1" fillId="18" borderId="4" xfId="4" applyNumberFormat="1" applyFill="1" applyBorder="1" applyAlignment="1" applyProtection="1">
      <alignment horizontal="right" vertical="center" wrapText="1"/>
      <protection locked="0"/>
    </xf>
    <xf numFmtId="177" fontId="1" fillId="18" borderId="16" xfId="4" applyNumberFormat="1" applyFill="1" applyBorder="1" applyAlignment="1" applyProtection="1">
      <alignment horizontal="right" vertical="center" wrapText="1"/>
      <protection locked="0"/>
    </xf>
    <xf numFmtId="0" fontId="3" fillId="12" borderId="2" xfId="2" applyFont="1" applyFill="1" applyBorder="1" applyAlignment="1">
      <alignment horizontal="center"/>
    </xf>
    <xf numFmtId="0" fontId="2" fillId="0" borderId="25" xfId="2" applyBorder="1"/>
    <xf numFmtId="0" fontId="2" fillId="0" borderId="0" xfId="2" applyBorder="1"/>
    <xf numFmtId="0" fontId="2" fillId="0" borderId="26" xfId="2" applyBorder="1"/>
    <xf numFmtId="0" fontId="16" fillId="12" borderId="17" xfId="2" applyFont="1" applyFill="1" applyBorder="1" applyAlignment="1">
      <alignment horizontal="center"/>
    </xf>
    <xf numFmtId="0" fontId="3" fillId="12" borderId="27" xfId="2" applyFont="1" applyFill="1" applyBorder="1" applyAlignment="1">
      <alignment horizontal="center" vertical="center" wrapText="1"/>
    </xf>
    <xf numFmtId="0" fontId="2" fillId="11" borderId="17" xfId="2" applyFont="1" applyFill="1" applyBorder="1"/>
    <xf numFmtId="168" fontId="2" fillId="11" borderId="27" xfId="2" applyNumberFormat="1" applyFill="1" applyBorder="1"/>
    <xf numFmtId="168" fontId="3" fillId="2" borderId="20" xfId="2" applyNumberFormat="1" applyFont="1" applyFill="1" applyBorder="1"/>
    <xf numFmtId="168" fontId="3" fillId="2" borderId="21" xfId="2" applyNumberFormat="1" applyFont="1" applyFill="1" applyBorder="1"/>
    <xf numFmtId="168" fontId="2" fillId="11" borderId="1" xfId="2" applyNumberFormat="1" applyFill="1" applyBorder="1" applyAlignment="1">
      <alignment horizontal="center"/>
    </xf>
    <xf numFmtId="168" fontId="2" fillId="0" borderId="2" xfId="2" applyNumberFormat="1" applyFill="1" applyBorder="1" applyProtection="1"/>
    <xf numFmtId="168" fontId="2" fillId="0" borderId="28" xfId="2" applyNumberFormat="1" applyFill="1" applyBorder="1" applyProtection="1"/>
    <xf numFmtId="165" fontId="1" fillId="0" borderId="14" xfId="4" applyBorder="1" applyAlignment="1" applyProtection="1">
      <alignment vertical="center" wrapText="1"/>
      <protection locked="0"/>
    </xf>
    <xf numFmtId="0" fontId="10" fillId="0" borderId="49" xfId="2" applyFont="1" applyFill="1" applyBorder="1" applyAlignment="1" applyProtection="1">
      <alignment horizontal="center"/>
    </xf>
    <xf numFmtId="0" fontId="2" fillId="0" borderId="31" xfId="2" applyFont="1" applyFill="1" applyBorder="1" applyProtection="1"/>
    <xf numFmtId="0" fontId="2" fillId="0" borderId="31" xfId="2" applyFont="1" applyFill="1" applyBorder="1" applyAlignment="1" applyProtection="1">
      <alignment wrapText="1"/>
    </xf>
    <xf numFmtId="0" fontId="3" fillId="2" borderId="32" xfId="2" applyFont="1" applyFill="1" applyBorder="1" applyProtection="1"/>
    <xf numFmtId="0" fontId="17" fillId="0" borderId="46" xfId="2" applyFont="1" applyFill="1" applyBorder="1" applyAlignment="1" applyProtection="1">
      <alignment horizontal="center" vertical="center"/>
    </xf>
    <xf numFmtId="0" fontId="17" fillId="0" borderId="47" xfId="2" applyFont="1" applyFill="1" applyBorder="1" applyAlignment="1" applyProtection="1">
      <alignment horizontal="center" vertical="center"/>
    </xf>
    <xf numFmtId="0" fontId="17" fillId="0" borderId="48" xfId="2" applyFont="1" applyFill="1" applyBorder="1" applyAlignment="1" applyProtection="1">
      <alignment horizontal="center" vertical="center"/>
    </xf>
    <xf numFmtId="168" fontId="2" fillId="0" borderId="27" xfId="2" applyNumberFormat="1" applyFill="1" applyBorder="1" applyProtection="1"/>
    <xf numFmtId="165" fontId="1" fillId="0" borderId="16" xfId="4" applyBorder="1" applyAlignment="1" applyProtection="1">
      <alignment vertical="center" wrapText="1"/>
      <protection locked="0"/>
    </xf>
    <xf numFmtId="168" fontId="3" fillId="2" borderId="29" xfId="2" applyNumberFormat="1" applyFont="1" applyFill="1" applyBorder="1" applyProtection="1"/>
    <xf numFmtId="0" fontId="0" fillId="10" borderId="1" xfId="2" applyFont="1" applyFill="1" applyBorder="1" applyProtection="1"/>
    <xf numFmtId="0" fontId="17" fillId="0" borderId="0" xfId="2" applyFont="1" applyFill="1" applyBorder="1" applyAlignment="1" applyProtection="1"/>
    <xf numFmtId="0" fontId="3" fillId="5" borderId="0" xfId="2" applyFont="1" applyFill="1" applyBorder="1" applyAlignment="1" applyProtection="1"/>
    <xf numFmtId="0" fontId="3" fillId="18" borderId="41" xfId="2" applyFont="1" applyFill="1" applyBorder="1" applyAlignment="1">
      <alignment horizontal="center"/>
    </xf>
    <xf numFmtId="0" fontId="3" fillId="18" borderId="4" xfId="2" applyFont="1" applyFill="1" applyBorder="1" applyAlignment="1">
      <alignment horizontal="center"/>
    </xf>
    <xf numFmtId="0" fontId="3" fillId="18" borderId="42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/>
    </xf>
    <xf numFmtId="0" fontId="10" fillId="10" borderId="53" xfId="2" applyFont="1" applyFill="1" applyBorder="1" applyAlignment="1" applyProtection="1">
      <alignment horizontal="center"/>
    </xf>
    <xf numFmtId="0" fontId="10" fillId="10" borderId="28" xfId="2" applyFont="1" applyFill="1" applyBorder="1" applyAlignment="1" applyProtection="1">
      <alignment horizontal="center"/>
    </xf>
    <xf numFmtId="177" fontId="1" fillId="18" borderId="28" xfId="2" applyNumberFormat="1" applyFont="1" applyFill="1" applyBorder="1" applyAlignment="1">
      <alignment horizontal="center"/>
    </xf>
    <xf numFmtId="177" fontId="1" fillId="18" borderId="2" xfId="2" applyNumberFormat="1" applyFont="1" applyFill="1" applyBorder="1" applyAlignment="1">
      <alignment horizontal="center"/>
    </xf>
    <xf numFmtId="177" fontId="1" fillId="18" borderId="10" xfId="2" applyNumberFormat="1" applyFont="1" applyFill="1" applyBorder="1" applyAlignment="1">
      <alignment horizontal="center"/>
    </xf>
    <xf numFmtId="177" fontId="1" fillId="18" borderId="1" xfId="2" applyNumberFormat="1" applyFont="1" applyFill="1" applyBorder="1" applyAlignment="1">
      <alignment horizontal="center"/>
    </xf>
    <xf numFmtId="177" fontId="2" fillId="18" borderId="10" xfId="2" applyNumberFormat="1" applyFont="1" applyFill="1" applyBorder="1"/>
    <xf numFmtId="177" fontId="2" fillId="18" borderId="1" xfId="2" applyNumberFormat="1" applyFont="1" applyFill="1" applyBorder="1"/>
    <xf numFmtId="177" fontId="2" fillId="18" borderId="43" xfId="2" applyNumberFormat="1" applyFont="1" applyFill="1" applyBorder="1"/>
    <xf numFmtId="177" fontId="2" fillId="18" borderId="8" xfId="2" applyNumberFormat="1" applyFont="1" applyFill="1" applyBorder="1"/>
    <xf numFmtId="177" fontId="1" fillId="18" borderId="27" xfId="2" applyNumberFormat="1" applyFont="1" applyFill="1" applyBorder="1" applyAlignment="1">
      <alignment horizontal="center"/>
    </xf>
    <xf numFmtId="177" fontId="1" fillId="18" borderId="18" xfId="2" applyNumberFormat="1" applyFont="1" applyFill="1" applyBorder="1" applyAlignment="1">
      <alignment horizontal="center"/>
    </xf>
    <xf numFmtId="177" fontId="2" fillId="18" borderId="18" xfId="2" applyNumberFormat="1" applyFont="1" applyFill="1" applyBorder="1"/>
    <xf numFmtId="177" fontId="2" fillId="18" borderId="54" xfId="2" applyNumberFormat="1" applyFont="1" applyFill="1" applyBorder="1"/>
    <xf numFmtId="177" fontId="3" fillId="13" borderId="8" xfId="2" applyNumberFormat="1" applyFont="1" applyFill="1" applyBorder="1" applyAlignment="1" applyProtection="1">
      <alignment horizontal="right"/>
    </xf>
    <xf numFmtId="177" fontId="3" fillId="13" borderId="54" xfId="2" applyNumberFormat="1" applyFont="1" applyFill="1" applyBorder="1" applyAlignment="1" applyProtection="1">
      <alignment horizontal="right"/>
    </xf>
    <xf numFmtId="0" fontId="20" fillId="0" borderId="4" xfId="2" applyFont="1" applyFill="1" applyBorder="1" applyAlignment="1">
      <alignment horizontal="center"/>
    </xf>
    <xf numFmtId="0" fontId="20" fillId="0" borderId="4" xfId="2" applyFont="1" applyBorder="1" applyAlignment="1">
      <alignment horizontal="center"/>
    </xf>
    <xf numFmtId="177" fontId="2" fillId="0" borderId="4" xfId="2" applyNumberFormat="1" applyBorder="1"/>
    <xf numFmtId="176" fontId="12" fillId="15" borderId="7" xfId="2" applyNumberFormat="1" applyFont="1" applyFill="1" applyBorder="1" applyProtection="1"/>
    <xf numFmtId="176" fontId="12" fillId="15" borderId="7" xfId="1" applyNumberFormat="1" applyFont="1" applyFill="1" applyBorder="1" applyAlignment="1" applyProtection="1"/>
    <xf numFmtId="177" fontId="2" fillId="18" borderId="4" xfId="2" applyNumberFormat="1" applyFont="1" applyFill="1" applyBorder="1"/>
    <xf numFmtId="177" fontId="2" fillId="18" borderId="16" xfId="2" applyNumberFormat="1" applyFont="1" applyFill="1" applyBorder="1"/>
    <xf numFmtId="177" fontId="2" fillId="18" borderId="61" xfId="2" applyNumberFormat="1" applyFont="1" applyFill="1" applyBorder="1"/>
    <xf numFmtId="177" fontId="2" fillId="18" borderId="14" xfId="2" applyNumberFormat="1" applyFont="1" applyFill="1" applyBorder="1"/>
    <xf numFmtId="177" fontId="2" fillId="18" borderId="14" xfId="2" applyNumberFormat="1" applyFont="1" applyFill="1" applyBorder="1" applyAlignment="1">
      <alignment horizontal="right"/>
    </xf>
    <xf numFmtId="177" fontId="2" fillId="20" borderId="4" xfId="2" applyNumberFormat="1" applyFill="1" applyBorder="1"/>
    <xf numFmtId="166" fontId="3" fillId="2" borderId="1" xfId="1" applyNumberFormat="1" applyFont="1" applyFill="1" applyBorder="1" applyAlignment="1" applyProtection="1"/>
    <xf numFmtId="9" fontId="5" fillId="5" borderId="0" xfId="5" applyFont="1" applyFill="1" applyBorder="1" applyAlignment="1" applyProtection="1">
      <protection locked="0"/>
    </xf>
    <xf numFmtId="10" fontId="0" fillId="0" borderId="4" xfId="5" applyNumberFormat="1" applyFont="1" applyFill="1" applyBorder="1" applyAlignment="1" applyProtection="1"/>
    <xf numFmtId="177" fontId="3" fillId="22" borderId="63" xfId="2" applyNumberFormat="1" applyFont="1" applyFill="1" applyBorder="1" applyAlignment="1"/>
    <xf numFmtId="168" fontId="2" fillId="18" borderId="65" xfId="2" applyNumberFormat="1" applyFill="1" applyBorder="1" applyProtection="1"/>
    <xf numFmtId="168" fontId="2" fillId="18" borderId="66" xfId="2" applyNumberFormat="1" applyFill="1" applyBorder="1" applyProtection="1"/>
    <xf numFmtId="177" fontId="20" fillId="23" borderId="67" xfId="2" applyNumberFormat="1" applyFont="1" applyFill="1" applyBorder="1" applyProtection="1">
      <protection locked="0"/>
    </xf>
    <xf numFmtId="177" fontId="20" fillId="23" borderId="68" xfId="2" applyNumberFormat="1" applyFont="1" applyFill="1" applyBorder="1" applyProtection="1">
      <protection locked="0"/>
    </xf>
    <xf numFmtId="0" fontId="21" fillId="20" borderId="69" xfId="2" applyFont="1" applyFill="1" applyBorder="1" applyAlignment="1" applyProtection="1"/>
    <xf numFmtId="0" fontId="3" fillId="2" borderId="25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26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3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11" fillId="14" borderId="1" xfId="2" applyFont="1" applyFill="1" applyBorder="1" applyAlignment="1" applyProtection="1">
      <alignment horizontal="center"/>
    </xf>
    <xf numFmtId="0" fontId="22" fillId="0" borderId="44" xfId="2" applyFont="1" applyFill="1" applyBorder="1" applyAlignment="1" applyProtection="1">
      <alignment horizontal="center" vertical="center"/>
    </xf>
    <xf numFmtId="0" fontId="22" fillId="0" borderId="52" xfId="2" applyFont="1" applyFill="1" applyBorder="1" applyAlignment="1" applyProtection="1">
      <alignment horizontal="center" vertical="center"/>
    </xf>
    <xf numFmtId="0" fontId="22" fillId="0" borderId="45" xfId="2" applyFont="1" applyFill="1" applyBorder="1" applyAlignment="1" applyProtection="1">
      <alignment horizontal="center" vertical="center"/>
    </xf>
    <xf numFmtId="0" fontId="21" fillId="20" borderId="11" xfId="2" applyFont="1" applyFill="1" applyBorder="1" applyAlignment="1" applyProtection="1">
      <alignment horizontal="center"/>
    </xf>
    <xf numFmtId="169" fontId="18" fillId="21" borderId="62" xfId="5" applyNumberFormat="1" applyFont="1" applyFill="1" applyBorder="1" applyAlignment="1">
      <alignment horizontal="center" vertical="center"/>
    </xf>
    <xf numFmtId="169" fontId="18" fillId="21" borderId="63" xfId="5" applyNumberFormat="1" applyFont="1" applyFill="1" applyBorder="1" applyAlignment="1">
      <alignment horizontal="center" vertical="center"/>
    </xf>
    <xf numFmtId="169" fontId="18" fillId="21" borderId="12" xfId="5" applyNumberFormat="1" applyFont="1" applyFill="1" applyBorder="1" applyAlignment="1">
      <alignment horizontal="center" vertical="center"/>
    </xf>
    <xf numFmtId="0" fontId="17" fillId="0" borderId="38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0" fontId="17" fillId="0" borderId="33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/>
    </xf>
    <xf numFmtId="0" fontId="3" fillId="2" borderId="38" xfId="2" applyFont="1" applyFill="1" applyBorder="1" applyAlignment="1" applyProtection="1">
      <alignment horizontal="center"/>
    </xf>
    <xf numFmtId="0" fontId="3" fillId="2" borderId="33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3" fillId="0" borderId="35" xfId="2" applyFont="1" applyFill="1" applyBorder="1" applyAlignment="1" applyProtection="1">
      <alignment horizontal="center" vertical="center"/>
    </xf>
    <xf numFmtId="0" fontId="3" fillId="0" borderId="36" xfId="2" applyFont="1" applyFill="1" applyBorder="1" applyAlignment="1" applyProtection="1">
      <alignment horizontal="center" vertical="center"/>
    </xf>
    <xf numFmtId="0" fontId="3" fillId="0" borderId="56" xfId="2" applyFont="1" applyFill="1" applyBorder="1" applyAlignment="1" applyProtection="1">
      <alignment horizontal="center" vertical="center"/>
    </xf>
    <xf numFmtId="0" fontId="3" fillId="0" borderId="50" xfId="2" applyFont="1" applyFill="1" applyBorder="1" applyAlignment="1" applyProtection="1">
      <alignment horizontal="center" vertical="center"/>
    </xf>
    <xf numFmtId="0" fontId="10" fillId="9" borderId="35" xfId="2" applyFont="1" applyFill="1" applyBorder="1" applyAlignment="1" applyProtection="1">
      <alignment horizontal="center" vertical="center"/>
    </xf>
    <xf numFmtId="0" fontId="10" fillId="9" borderId="51" xfId="2" applyFont="1" applyFill="1" applyBorder="1" applyAlignment="1" applyProtection="1">
      <alignment horizontal="center" vertical="center"/>
    </xf>
    <xf numFmtId="0" fontId="22" fillId="3" borderId="44" xfId="2" applyFont="1" applyFill="1" applyBorder="1" applyAlignment="1" applyProtection="1">
      <alignment horizontal="center" vertical="center"/>
    </xf>
    <xf numFmtId="0" fontId="22" fillId="3" borderId="52" xfId="2" applyFont="1" applyFill="1" applyBorder="1" applyAlignment="1" applyProtection="1">
      <alignment horizontal="center" vertical="center"/>
    </xf>
    <xf numFmtId="0" fontId="22" fillId="3" borderId="45" xfId="2" applyFont="1" applyFill="1" applyBorder="1" applyAlignment="1" applyProtection="1">
      <alignment horizontal="center" vertical="center"/>
    </xf>
    <xf numFmtId="0" fontId="22" fillId="0" borderId="58" xfId="2" applyFont="1" applyFill="1" applyBorder="1" applyAlignment="1" applyProtection="1">
      <alignment horizontal="center" vertical="center"/>
    </xf>
    <xf numFmtId="0" fontId="22" fillId="0" borderId="59" xfId="2" applyFont="1" applyFill="1" applyBorder="1" applyAlignment="1" applyProtection="1">
      <alignment horizontal="center" vertical="center"/>
    </xf>
    <xf numFmtId="0" fontId="22" fillId="0" borderId="60" xfId="2" applyFont="1" applyFill="1" applyBorder="1" applyAlignment="1" applyProtection="1">
      <alignment horizontal="center" vertical="center"/>
    </xf>
    <xf numFmtId="0" fontId="10" fillId="19" borderId="57" xfId="2" applyFont="1" applyFill="1" applyBorder="1" applyAlignment="1" applyProtection="1">
      <alignment horizontal="center"/>
    </xf>
    <xf numFmtId="0" fontId="10" fillId="19" borderId="55" xfId="2" applyFont="1" applyFill="1" applyBorder="1" applyAlignment="1" applyProtection="1">
      <alignment horizontal="center"/>
    </xf>
    <xf numFmtId="0" fontId="3" fillId="13" borderId="73" xfId="2" applyFont="1" applyFill="1" applyBorder="1" applyAlignment="1" applyProtection="1">
      <alignment horizontal="center"/>
    </xf>
    <xf numFmtId="0" fontId="3" fillId="13" borderId="74" xfId="2" applyFont="1" applyFill="1" applyBorder="1" applyAlignment="1" applyProtection="1">
      <alignment horizontal="center"/>
    </xf>
    <xf numFmtId="0" fontId="3" fillId="13" borderId="75" xfId="2" applyFont="1" applyFill="1" applyBorder="1" applyAlignment="1" applyProtection="1">
      <alignment horizontal="center"/>
    </xf>
    <xf numFmtId="0" fontId="20" fillId="23" borderId="76" xfId="2" applyFont="1" applyFill="1" applyBorder="1" applyAlignment="1" applyProtection="1">
      <alignment horizontal="center"/>
      <protection locked="0"/>
    </xf>
    <xf numFmtId="0" fontId="20" fillId="23" borderId="77" xfId="2" applyFont="1" applyFill="1" applyBorder="1" applyAlignment="1" applyProtection="1">
      <alignment horizontal="center"/>
      <protection locked="0"/>
    </xf>
    <xf numFmtId="0" fontId="20" fillId="23" borderId="78" xfId="2" applyFont="1" applyFill="1" applyBorder="1" applyAlignment="1" applyProtection="1">
      <alignment horizontal="center"/>
      <protection locked="0"/>
    </xf>
    <xf numFmtId="0" fontId="21" fillId="19" borderId="70" xfId="2" applyFont="1" applyFill="1" applyBorder="1" applyAlignment="1" applyProtection="1">
      <alignment horizontal="center"/>
    </xf>
    <xf numFmtId="0" fontId="21" fillId="19" borderId="71" xfId="2" applyFont="1" applyFill="1" applyBorder="1" applyAlignment="1" applyProtection="1">
      <alignment horizontal="center"/>
    </xf>
    <xf numFmtId="0" fontId="21" fillId="19" borderId="72" xfId="2" applyFont="1" applyFill="1" applyBorder="1" applyAlignment="1" applyProtection="1">
      <alignment horizontal="center"/>
    </xf>
    <xf numFmtId="0" fontId="2" fillId="18" borderId="41" xfId="2" applyFont="1" applyFill="1" applyBorder="1" applyAlignment="1" applyProtection="1">
      <alignment horizontal="center"/>
    </xf>
    <xf numFmtId="0" fontId="2" fillId="18" borderId="13" xfId="2" applyFont="1" applyFill="1" applyBorder="1" applyAlignment="1" applyProtection="1">
      <alignment horizontal="center"/>
    </xf>
    <xf numFmtId="0" fontId="2" fillId="18" borderId="14" xfId="2" applyFont="1" applyFill="1" applyBorder="1" applyAlignment="1" applyProtection="1">
      <alignment horizontal="center"/>
    </xf>
    <xf numFmtId="0" fontId="2" fillId="18" borderId="5" xfId="2" applyFont="1" applyFill="1" applyBorder="1" applyAlignment="1" applyProtection="1">
      <alignment horizontal="center"/>
    </xf>
    <xf numFmtId="0" fontId="25" fillId="0" borderId="5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3" fillId="2" borderId="34" xfId="2" applyFont="1" applyFill="1" applyBorder="1" applyAlignment="1">
      <alignment horizontal="center"/>
    </xf>
    <xf numFmtId="0" fontId="3" fillId="2" borderId="35" xfId="2" applyFont="1" applyFill="1" applyBorder="1" applyAlignment="1">
      <alignment horizontal="center"/>
    </xf>
    <xf numFmtId="0" fontId="3" fillId="2" borderId="36" xfId="2" applyFont="1" applyFill="1" applyBorder="1" applyAlignment="1">
      <alignment horizontal="center"/>
    </xf>
    <xf numFmtId="0" fontId="23" fillId="15" borderId="0" xfId="2" applyFont="1" applyFill="1" applyAlignment="1">
      <alignment horizontal="center"/>
    </xf>
    <xf numFmtId="0" fontId="26" fillId="24" borderId="34" xfId="2" applyFont="1" applyFill="1" applyBorder="1" applyAlignment="1">
      <alignment horizontal="center"/>
    </xf>
    <xf numFmtId="0" fontId="22" fillId="24" borderId="35" xfId="2" applyFont="1" applyFill="1" applyBorder="1" applyAlignment="1">
      <alignment horizontal="center"/>
    </xf>
    <xf numFmtId="0" fontId="22" fillId="24" borderId="36" xfId="2" applyFont="1" applyFill="1" applyBorder="1" applyAlignment="1">
      <alignment horizontal="center"/>
    </xf>
    <xf numFmtId="0" fontId="20" fillId="19" borderId="5" xfId="2" applyFont="1" applyFill="1" applyBorder="1" applyAlignment="1">
      <alignment horizontal="center"/>
    </xf>
    <xf numFmtId="0" fontId="20" fillId="19" borderId="1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7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16" fillId="12" borderId="18" xfId="2" applyFont="1" applyFill="1" applyBorder="1" applyAlignment="1">
      <alignment horizontal="center" vertical="center" wrapText="1"/>
    </xf>
    <xf numFmtId="0" fontId="16" fillId="12" borderId="40" xfId="2" applyFont="1" applyFill="1" applyBorder="1" applyAlignment="1">
      <alignment horizontal="center"/>
    </xf>
    <xf numFmtId="0" fontId="16" fillId="12" borderId="39" xfId="2" applyFont="1" applyFill="1" applyBorder="1" applyAlignment="1">
      <alignment horizontal="center"/>
    </xf>
    <xf numFmtId="0" fontId="16" fillId="12" borderId="1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10" xfId="2" applyFont="1" applyFill="1" applyBorder="1" applyAlignment="1">
      <alignment horizontal="center"/>
    </xf>
    <xf numFmtId="0" fontId="24" fillId="0" borderId="0" xfId="2" applyFont="1" applyBorder="1" applyAlignment="1">
      <alignment horizontal="center"/>
    </xf>
    <xf numFmtId="0" fontId="25" fillId="20" borderId="4" xfId="2" applyFont="1" applyFill="1" applyBorder="1" applyAlignment="1">
      <alignment horizontal="center"/>
    </xf>
    <xf numFmtId="0" fontId="3" fillId="0" borderId="52" xfId="2" applyFont="1" applyFill="1" applyBorder="1" applyAlignment="1" applyProtection="1">
      <alignment horizontal="center" vertical="center"/>
    </xf>
    <xf numFmtId="0" fontId="3" fillId="0" borderId="45" xfId="2" applyFont="1" applyFill="1" applyBorder="1" applyAlignment="1" applyProtection="1">
      <alignment horizontal="center" vertical="center"/>
    </xf>
    <xf numFmtId="0" fontId="17" fillId="0" borderId="37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 vertical="center"/>
    </xf>
    <xf numFmtId="0" fontId="3" fillId="2" borderId="38" xfId="2" applyFont="1" applyFill="1" applyBorder="1" applyAlignment="1" applyProtection="1">
      <alignment horizontal="center" vertical="center"/>
    </xf>
    <xf numFmtId="0" fontId="3" fillId="2" borderId="33" xfId="2" applyFont="1" applyFill="1" applyBorder="1" applyAlignment="1" applyProtection="1">
      <alignment horizontal="center" vertical="center"/>
    </xf>
    <xf numFmtId="0" fontId="2" fillId="3" borderId="0" xfId="2" applyFill="1" applyBorder="1" applyAlignment="1" applyProtection="1">
      <alignment horizontal="center"/>
      <protection locked="0"/>
    </xf>
    <xf numFmtId="170" fontId="0" fillId="0" borderId="4" xfId="2" applyNumberFormat="1" applyFont="1" applyFill="1" applyBorder="1" applyAlignment="1" applyProtection="1">
      <alignment horizontal="center"/>
    </xf>
    <xf numFmtId="170" fontId="3" fillId="0" borderId="4" xfId="2" applyNumberFormat="1" applyFont="1" applyFill="1" applyBorder="1" applyAlignment="1" applyProtection="1">
      <alignment horizontal="center"/>
    </xf>
    <xf numFmtId="170" fontId="13" fillId="15" borderId="4" xfId="2" applyNumberFormat="1" applyFont="1" applyFill="1" applyBorder="1" applyAlignment="1" applyProtection="1">
      <alignment horizontal="center" vertical="center"/>
    </xf>
    <xf numFmtId="165" fontId="3" fillId="5" borderId="4" xfId="4" applyFont="1" applyFill="1" applyBorder="1" applyAlignment="1" applyProtection="1">
      <alignment horizontal="center" vertical="center"/>
    </xf>
    <xf numFmtId="4" fontId="3" fillId="5" borderId="11" xfId="1" applyNumberFormat="1" applyFont="1" applyFill="1" applyBorder="1" applyAlignment="1" applyProtection="1">
      <alignment horizontal="center" vertical="center"/>
    </xf>
    <xf numFmtId="4" fontId="3" fillId="5" borderId="12" xfId="1" applyNumberFormat="1" applyFont="1" applyFill="1" applyBorder="1" applyAlignment="1" applyProtection="1">
      <alignment horizontal="center" vertical="center"/>
    </xf>
    <xf numFmtId="10" fontId="13" fillId="14" borderId="11" xfId="3" applyNumberFormat="1" applyFont="1" applyFill="1" applyBorder="1" applyAlignment="1" applyProtection="1">
      <alignment horizontal="center" vertical="center"/>
    </xf>
    <xf numFmtId="10" fontId="13" fillId="14" borderId="12" xfId="3" applyNumberFormat="1" applyFont="1" applyFill="1" applyBorder="1" applyAlignment="1" applyProtection="1">
      <alignment horizontal="center" vertical="center"/>
    </xf>
    <xf numFmtId="0" fontId="3" fillId="5" borderId="5" xfId="2" applyFont="1" applyFill="1" applyBorder="1" applyAlignment="1" applyProtection="1">
      <alignment horizontal="center" vertical="center"/>
    </xf>
    <xf numFmtId="0" fontId="3" fillId="5" borderId="13" xfId="2" applyFont="1" applyFill="1" applyBorder="1" applyAlignment="1" applyProtection="1">
      <alignment horizontal="center" vertical="center"/>
    </xf>
    <xf numFmtId="0" fontId="3" fillId="5" borderId="14" xfId="2" applyFont="1" applyFill="1" applyBorder="1" applyAlignment="1" applyProtection="1">
      <alignment horizontal="center" vertical="center"/>
    </xf>
    <xf numFmtId="0" fontId="3" fillId="2" borderId="64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center"/>
    </xf>
  </cellXfs>
  <cellStyles count="6">
    <cellStyle name="Excel Built-in Currency" xfId="1" xr:uid="{00000000-0005-0000-0000-000000000000}"/>
    <cellStyle name="Excel Built-in Normal" xfId="2" xr:uid="{00000000-0005-0000-0000-000001000000}"/>
    <cellStyle name="Excel Built-in Percent" xfId="3" xr:uid="{00000000-0005-0000-0000-000002000000}"/>
    <cellStyle name="Moneda" xfId="4" builtinId="4"/>
    <cellStyle name="Normal" xfId="0" builtinId="0"/>
    <cellStyle name="Porcentaje" xfId="5" builtinId="5"/>
  </cellStyles>
  <dxfs count="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05ED0B"/>
      <color rgb="FFFF3300"/>
      <color rgb="FFFC1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'Costo Financiamiento'!$E$4</c:f>
              <c:strCache>
                <c:ptCount val="1"/>
                <c:pt idx="0">
                  <c:v>Intereses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Financiamiento'!$E$6:$E$15</c:f>
              <c:numCache>
                <c:formatCode>\$#,##0</c:formatCode>
                <c:ptCount val="10"/>
                <c:pt idx="0">
                  <c:v>600.10713599999997</c:v>
                </c:pt>
                <c:pt idx="1">
                  <c:v>590.80939212944133</c:v>
                </c:pt>
                <c:pt idx="2">
                  <c:v>577.94131461258826</c:v>
                </c:pt>
                <c:pt idx="3">
                  <c:v>560.13189532926344</c:v>
                </c:pt>
                <c:pt idx="4">
                  <c:v>535.483659041142</c:v>
                </c:pt>
                <c:pt idx="5">
                  <c:v>501.37050001838185</c:v>
                </c:pt>
                <c:pt idx="6">
                  <c:v>454.15788793088183</c:v>
                </c:pt>
                <c:pt idx="7">
                  <c:v>388.81563280178182</c:v>
                </c:pt>
                <c:pt idx="8">
                  <c:v>298.3819517031074</c:v>
                </c:pt>
                <c:pt idx="9">
                  <c:v>173.22173706254202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9-4FCC-86FB-4E974F6BD8F1}"/>
            </c:ext>
          </c:extLst>
        </c:ser>
        <c:ser>
          <c:idx val="1"/>
          <c:order val="1"/>
          <c:tx>
            <c:strRef>
              <c:f>'Costo Financiamiento'!$F$4</c:f>
              <c:strCache>
                <c:ptCount val="1"/>
                <c:pt idx="0">
                  <c:v>Amortización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Financiamiento'!$F$6:$F$15</c:f>
              <c:numCache>
                <c:formatCode>\$#,##0</c:formatCode>
                <c:ptCount val="10"/>
                <c:pt idx="0">
                  <c:v>24.212874662913123</c:v>
                </c:pt>
                <c:pt idx="1">
                  <c:v>33.510618533471757</c:v>
                </c:pt>
                <c:pt idx="2">
                  <c:v>46.378696050324834</c:v>
                </c:pt>
                <c:pt idx="3">
                  <c:v>64.188115333649648</c:v>
                </c:pt>
                <c:pt idx="4">
                  <c:v>88.836351621771087</c:v>
                </c:pt>
                <c:pt idx="5">
                  <c:v>122.94951064453124</c:v>
                </c:pt>
                <c:pt idx="6">
                  <c:v>170.16212273203126</c:v>
                </c:pt>
                <c:pt idx="7">
                  <c:v>235.50437786113127</c:v>
                </c:pt>
                <c:pt idx="8">
                  <c:v>325.93805895980569</c:v>
                </c:pt>
                <c:pt idx="9">
                  <c:v>451.09827360037104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9-4FCC-86FB-4E974F6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9797672"/>
        <c:axId val="5397953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'Costo Financiamiento'!$G$4</c15:sqref>
                        </c15:formulaRef>
                      </c:ext>
                    </c:extLst>
                    <c:strCache>
                      <c:ptCount val="1"/>
                      <c:pt idx="0">
                        <c:v>Saldo Final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'Costo Financiamiento'!$G$5:$G$15</c15:sqref>
                        </c15:formulaRef>
                      </c:ext>
                    </c:extLst>
                    <c:numCache>
                      <c:formatCode>\$#,##0</c:formatCode>
                      <c:ptCount val="11"/>
                      <c:pt idx="0">
                        <c:v>1562.779</c:v>
                      </c:pt>
                      <c:pt idx="1">
                        <c:v>1538.5661253370868</c:v>
                      </c:pt>
                      <c:pt idx="2">
                        <c:v>1505.0555068036151</c:v>
                      </c:pt>
                      <c:pt idx="3">
                        <c:v>1458.6768107532903</c:v>
                      </c:pt>
                      <c:pt idx="4">
                        <c:v>1394.4886954196406</c:v>
                      </c:pt>
                      <c:pt idx="5">
                        <c:v>1305.6523437978694</c:v>
                      </c:pt>
                      <c:pt idx="6">
                        <c:v>1182.7028331533381</c:v>
                      </c:pt>
                      <c:pt idx="7">
                        <c:v>1012.5407104213068</c:v>
                      </c:pt>
                      <c:pt idx="8">
                        <c:v>777.03633256017554</c:v>
                      </c:pt>
                      <c:pt idx="9">
                        <c:v>451.09827360036985</c:v>
                      </c:pt>
                      <c:pt idx="10">
                        <c:v>-1.1937117960769683E-12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D9-4FCC-86FB-4E974F6BD8F1}"/>
                  </c:ext>
                </c:extLst>
              </c15:ser>
            </c15:filteredBarSeries>
          </c:ext>
        </c:extLst>
      </c:barChart>
      <c:catAx>
        <c:axId val="53979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95376"/>
        <c:crossesAt val="0"/>
        <c:auto val="1"/>
        <c:lblAlgn val="ctr"/>
        <c:lblOffset val="100"/>
        <c:noMultiLvlLbl val="0"/>
      </c:catAx>
      <c:valAx>
        <c:axId val="53979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VPN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Fondos'!$L$34:$L$44</c:f>
              <c:numCache>
                <c:formatCode>"$"#,##0.00;[Red]\-"$"#,##0.00</c:formatCode>
                <c:ptCount val="11"/>
                <c:pt idx="0">
                  <c:v>1113.0565904744421</c:v>
                </c:pt>
                <c:pt idx="1">
                  <c:v>1082.0617210209725</c:v>
                </c:pt>
                <c:pt idx="2">
                  <c:v>1047.1900710530806</c:v>
                </c:pt>
                <c:pt idx="3">
                  <c:v>1009.3390594628369</c:v>
                </c:pt>
                <c:pt idx="4">
                  <c:v>969.26528206138664</c:v>
                </c:pt>
                <c:pt idx="5">
                  <c:v>927.60508940537363</c:v>
                </c:pt>
                <c:pt idx="6">
                  <c:v>884.89216583834343</c:v>
                </c:pt>
                <c:pt idx="7">
                  <c:v>841.57255583042934</c:v>
                </c:pt>
                <c:pt idx="8">
                  <c:v>798.01751533942513</c:v>
                </c:pt>
                <c:pt idx="9">
                  <c:v>754.53450838778679</c:v>
                </c:pt>
                <c:pt idx="10">
                  <c:v>711.3766205767123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9-49F6-9A34-B562BB81101A}"/>
            </c:ext>
          </c:extLst>
        </c:ser>
        <c:ser>
          <c:idx val="0"/>
          <c:order val="1"/>
          <c:tx>
            <c:v>TIR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Fondos'!$K$34:$K$44</c:f>
              <c:numCache>
                <c:formatCode>General</c:formatCode>
                <c:ptCount val="11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B9-49F6-9A34-B562BB81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8160"/>
        <c:axId val="539785536"/>
      </c:lineChart>
      <c:catAx>
        <c:axId val="539788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785536"/>
        <c:crosses val="autoZero"/>
        <c:auto val="1"/>
        <c:lblAlgn val="ctr"/>
        <c:lblOffset val="100"/>
        <c:noMultiLvlLbl val="0"/>
      </c:catAx>
      <c:valAx>
        <c:axId val="53978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5397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204355</xdr:colOff>
      <xdr:row>2</xdr:row>
      <xdr:rowOff>2710</xdr:rowOff>
    </xdr:from>
    <xdr:to>
      <xdr:col>12</xdr:col>
      <xdr:colOff>30420</xdr:colOff>
      <xdr:row>13</xdr:row>
      <xdr:rowOff>77253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E35611-8A2C-4506-A185-1B51F2DF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1097445</xdr:colOff>
      <xdr:row>30</xdr:row>
      <xdr:rowOff>3312</xdr:rowOff>
    </xdr:from>
    <xdr:to>
      <xdr:col>9</xdr:col>
      <xdr:colOff>33131</xdr:colOff>
      <xdr:row>46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4CF5A-A908-4E4B-879E-E4340F53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20"/>
  <sheetViews>
    <sheetView showGridLines="0" topLeftCell="A2" zoomScale="80" zoomScaleNormal="70" workbookViewId="0">
      <selection activeCell="C5" sqref="C5"/>
    </sheetView>
  </sheetViews>
  <sheetFormatPr baseColWidth="10" defaultColWidth="11.5703125" defaultRowHeight="15" x14ac:dyDescent="0.25"/>
  <cols>
    <col min="1" max="1" width="11.5703125" style="1"/>
    <col min="2" max="2" width="53.5703125" style="1" customWidth="1"/>
    <col min="3" max="3" width="16" style="1" customWidth="1"/>
    <col min="4" max="4" width="16.42578125" style="1" customWidth="1"/>
    <col min="5" max="5" width="13.85546875" style="1" bestFit="1" customWidth="1"/>
    <col min="6" max="6" width="11.5703125" style="1"/>
    <col min="7" max="7" width="37.42578125" style="1" bestFit="1" customWidth="1"/>
    <col min="8" max="8" width="19.7109375" style="1" bestFit="1" customWidth="1"/>
    <col min="9" max="16384" width="11.5703125" style="1"/>
  </cols>
  <sheetData>
    <row r="7" spans="2:8" ht="15.75" thickBot="1" x14ac:dyDescent="0.3"/>
    <row r="8" spans="2:8" ht="15.75" thickBot="1" x14ac:dyDescent="0.3">
      <c r="B8" s="180" t="s">
        <v>58</v>
      </c>
      <c r="C8" s="181"/>
      <c r="D8" s="181"/>
      <c r="E8" s="181"/>
      <c r="F8" s="181"/>
      <c r="G8" s="181"/>
      <c r="H8" s="182"/>
    </row>
    <row r="9" spans="2:8" ht="15.75" thickBot="1" x14ac:dyDescent="0.3">
      <c r="B9" s="180" t="s">
        <v>0</v>
      </c>
      <c r="C9" s="181"/>
      <c r="D9" s="181"/>
      <c r="E9" s="181"/>
      <c r="F9" s="181"/>
      <c r="G9" s="181"/>
      <c r="H9" s="182"/>
    </row>
    <row r="10" spans="2:8" ht="15.75" thickBot="1" x14ac:dyDescent="0.3">
      <c r="B10" s="177" t="s">
        <v>1</v>
      </c>
      <c r="C10" s="178"/>
      <c r="D10" s="178"/>
      <c r="E10" s="178"/>
      <c r="F10" s="178"/>
      <c r="G10" s="178"/>
      <c r="H10" s="179"/>
    </row>
    <row r="11" spans="2:8" ht="15.75" thickBot="1" x14ac:dyDescent="0.3">
      <c r="B11" s="82" t="s">
        <v>2</v>
      </c>
      <c r="C11" s="89" t="s">
        <v>3</v>
      </c>
      <c r="D11" s="92" t="s">
        <v>62</v>
      </c>
      <c r="E11" s="92" t="s">
        <v>63</v>
      </c>
      <c r="F11" s="92" t="s">
        <v>64</v>
      </c>
      <c r="G11" s="92" t="s">
        <v>65</v>
      </c>
      <c r="H11" s="92" t="s">
        <v>66</v>
      </c>
    </row>
    <row r="12" spans="2:8" x14ac:dyDescent="0.25">
      <c r="B12" s="83" t="s">
        <v>72</v>
      </c>
      <c r="C12" s="90">
        <v>1150</v>
      </c>
      <c r="D12" s="93">
        <v>1</v>
      </c>
      <c r="E12" s="97">
        <v>1150</v>
      </c>
      <c r="F12" s="93">
        <v>10</v>
      </c>
      <c r="G12" s="99">
        <v>0.12</v>
      </c>
      <c r="H12" s="105">
        <f>E12*G12</f>
        <v>138</v>
      </c>
    </row>
    <row r="13" spans="2:8" x14ac:dyDescent="0.25">
      <c r="B13" s="84" t="s">
        <v>59</v>
      </c>
      <c r="C13" s="91">
        <v>85</v>
      </c>
      <c r="D13" s="94">
        <v>1</v>
      </c>
      <c r="E13" s="98">
        <v>85</v>
      </c>
      <c r="F13" s="94">
        <v>10</v>
      </c>
      <c r="G13" s="100">
        <v>0.12</v>
      </c>
      <c r="H13" s="106">
        <f>E13*G13</f>
        <v>10.199999999999999</v>
      </c>
    </row>
    <row r="14" spans="2:8" x14ac:dyDescent="0.25">
      <c r="B14" s="84" t="s">
        <v>60</v>
      </c>
      <c r="C14" s="91">
        <v>1100</v>
      </c>
      <c r="D14" s="94">
        <v>1</v>
      </c>
      <c r="E14" s="98">
        <v>1100</v>
      </c>
      <c r="F14" s="94">
        <v>10</v>
      </c>
      <c r="G14" s="100">
        <v>0.12</v>
      </c>
      <c r="H14" s="106">
        <f>E14*G14</f>
        <v>132</v>
      </c>
    </row>
    <row r="15" spans="2:8" x14ac:dyDescent="0.25">
      <c r="B15" s="84" t="s">
        <v>61</v>
      </c>
      <c r="C15" s="91">
        <v>400</v>
      </c>
      <c r="D15" s="94">
        <v>1</v>
      </c>
      <c r="E15" s="98">
        <v>400</v>
      </c>
      <c r="F15" s="94">
        <v>10</v>
      </c>
      <c r="G15" s="100">
        <v>0.12</v>
      </c>
      <c r="H15" s="106">
        <f>E15*G15</f>
        <v>48</v>
      </c>
    </row>
    <row r="16" spans="2:8" x14ac:dyDescent="0.25">
      <c r="B16" s="85" t="s">
        <v>4</v>
      </c>
      <c r="C16" s="85"/>
      <c r="D16" s="85"/>
      <c r="E16" s="95">
        <f>+SUM(E12:E15)</f>
        <v>2735</v>
      </c>
      <c r="F16" s="85"/>
      <c r="G16" s="85"/>
      <c r="H16" s="107">
        <f>SUM(H12:H15)</f>
        <v>328.2</v>
      </c>
    </row>
    <row r="17" spans="2:8" x14ac:dyDescent="0.25">
      <c r="B17" s="86" t="s">
        <v>5</v>
      </c>
      <c r="C17" s="86"/>
      <c r="D17" s="86"/>
      <c r="E17" s="103">
        <v>0.42859999999999998</v>
      </c>
      <c r="F17" s="86"/>
      <c r="G17" s="86"/>
      <c r="H17" s="86"/>
    </row>
    <row r="18" spans="2:8" x14ac:dyDescent="0.25">
      <c r="B18" s="85" t="s">
        <v>6</v>
      </c>
      <c r="C18" s="85"/>
      <c r="D18" s="85"/>
      <c r="E18" s="95">
        <f>+E16*E17</f>
        <v>1172.221</v>
      </c>
      <c r="F18" s="85"/>
      <c r="G18" s="85"/>
      <c r="H18" s="85"/>
    </row>
    <row r="19" spans="2:8" x14ac:dyDescent="0.25">
      <c r="B19" s="87" t="s">
        <v>7</v>
      </c>
      <c r="C19" s="87"/>
      <c r="D19" s="87"/>
      <c r="E19" s="104">
        <v>0.57140000000000002</v>
      </c>
      <c r="F19" s="87"/>
      <c r="G19" s="87"/>
      <c r="H19" s="87"/>
    </row>
    <row r="20" spans="2:8" ht="15.75" thickBot="1" x14ac:dyDescent="0.3">
      <c r="B20" s="88" t="s">
        <v>8</v>
      </c>
      <c r="C20" s="88"/>
      <c r="D20" s="88"/>
      <c r="E20" s="96">
        <f>+E19*E16</f>
        <v>1562.779</v>
      </c>
      <c r="F20" s="88"/>
      <c r="G20" s="88"/>
      <c r="H20" s="88"/>
    </row>
  </sheetData>
  <mergeCells count="3">
    <mergeCell ref="B10:H10"/>
    <mergeCell ref="B9:H9"/>
    <mergeCell ref="B8:H8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showGridLines="0" topLeftCell="A5" zoomScale="130" zoomScaleNormal="120" workbookViewId="0">
      <selection activeCell="G15" sqref="G15"/>
    </sheetView>
  </sheetViews>
  <sheetFormatPr baseColWidth="10" defaultColWidth="11.5703125" defaultRowHeight="15" x14ac:dyDescent="0.25"/>
  <cols>
    <col min="1" max="1" width="2.5703125" style="11" customWidth="1"/>
    <col min="2" max="2" width="15.140625" style="11" customWidth="1"/>
    <col min="3" max="4" width="15.28515625" style="11" customWidth="1"/>
    <col min="5" max="6" width="16.28515625" style="11" customWidth="1"/>
    <col min="7" max="7" width="16.7109375" style="11" customWidth="1"/>
    <col min="8" max="9" width="11.5703125" style="11"/>
    <col min="10" max="10" width="15.28515625" style="11" customWidth="1"/>
    <col min="11" max="16384" width="11.5703125" style="11"/>
  </cols>
  <sheetData>
    <row r="2" spans="2:10" x14ac:dyDescent="0.25">
      <c r="B2" s="183" t="s">
        <v>9</v>
      </c>
      <c r="C2" s="183"/>
      <c r="D2" s="183"/>
      <c r="E2" s="183"/>
      <c r="F2" s="183"/>
      <c r="G2" s="183"/>
    </row>
    <row r="3" spans="2:10" x14ac:dyDescent="0.25">
      <c r="B3" s="63"/>
      <c r="C3" s="63"/>
      <c r="D3" s="63"/>
      <c r="E3" s="63"/>
      <c r="F3" s="63"/>
      <c r="G3" s="63"/>
    </row>
    <row r="4" spans="2:10" ht="35.25" customHeight="1" x14ac:dyDescent="0.25">
      <c r="B4" s="67" t="s">
        <v>10</v>
      </c>
      <c r="C4" s="67" t="s">
        <v>47</v>
      </c>
      <c r="D4" s="68" t="s">
        <v>56</v>
      </c>
      <c r="E4" s="67" t="s">
        <v>51</v>
      </c>
      <c r="F4" s="67" t="s">
        <v>11</v>
      </c>
      <c r="G4" s="67" t="s">
        <v>12</v>
      </c>
    </row>
    <row r="5" spans="2:10" ht="20.100000000000001" customHeight="1" x14ac:dyDescent="0.25">
      <c r="B5" s="65">
        <v>0</v>
      </c>
      <c r="C5" s="160">
        <f>+C19</f>
        <v>1562.779</v>
      </c>
      <c r="D5" s="161">
        <v>0</v>
      </c>
      <c r="E5" s="161">
        <v>0</v>
      </c>
      <c r="F5" s="161">
        <v>0</v>
      </c>
      <c r="G5" s="160">
        <f>+C5</f>
        <v>1562.779</v>
      </c>
    </row>
    <row r="6" spans="2:10" ht="20.100000000000001" customHeight="1" x14ac:dyDescent="0.25">
      <c r="B6" s="65">
        <v>1</v>
      </c>
      <c r="C6" s="160">
        <f t="shared" ref="C6:C15" si="0">+G5</f>
        <v>1562.779</v>
      </c>
      <c r="D6" s="160">
        <f>+$C$21</f>
        <v>624.32001066291309</v>
      </c>
      <c r="E6" s="160">
        <f t="shared" ref="E6:E15" si="1">+C6*$C$18</f>
        <v>600.10713599999997</v>
      </c>
      <c r="F6" s="160">
        <f>+D6-E6</f>
        <v>24.212874662913123</v>
      </c>
      <c r="G6" s="160">
        <f t="shared" ref="G6:G15" si="2">+C6-F6</f>
        <v>1538.5661253370868</v>
      </c>
    </row>
    <row r="7" spans="2:10" ht="20.100000000000001" customHeight="1" x14ac:dyDescent="0.25">
      <c r="B7" s="65">
        <v>2</v>
      </c>
      <c r="C7" s="160">
        <f t="shared" si="0"/>
        <v>1538.5661253370868</v>
      </c>
      <c r="D7" s="160">
        <f>+$C$21</f>
        <v>624.32001066291309</v>
      </c>
      <c r="E7" s="160">
        <f t="shared" si="1"/>
        <v>590.80939212944133</v>
      </c>
      <c r="F7" s="160">
        <f>+D7-E7</f>
        <v>33.510618533471757</v>
      </c>
      <c r="G7" s="160">
        <f t="shared" si="2"/>
        <v>1505.0555068036151</v>
      </c>
    </row>
    <row r="8" spans="2:10" ht="20.100000000000001" customHeight="1" x14ac:dyDescent="0.25">
      <c r="B8" s="65">
        <v>3</v>
      </c>
      <c r="C8" s="160">
        <f t="shared" si="0"/>
        <v>1505.0555068036151</v>
      </c>
      <c r="D8" s="160">
        <f>+$C$21</f>
        <v>624.32001066291309</v>
      </c>
      <c r="E8" s="160">
        <f t="shared" si="1"/>
        <v>577.94131461258826</v>
      </c>
      <c r="F8" s="160">
        <f>+D8-E8</f>
        <v>46.378696050324834</v>
      </c>
      <c r="G8" s="160">
        <f t="shared" si="2"/>
        <v>1458.6768107532903</v>
      </c>
    </row>
    <row r="9" spans="2:10" ht="20.100000000000001" customHeight="1" x14ac:dyDescent="0.25">
      <c r="B9" s="65">
        <v>4</v>
      </c>
      <c r="C9" s="160">
        <f t="shared" si="0"/>
        <v>1458.6768107532903</v>
      </c>
      <c r="D9" s="160">
        <f>+$C$21</f>
        <v>624.32001066291309</v>
      </c>
      <c r="E9" s="160">
        <f t="shared" si="1"/>
        <v>560.13189532926344</v>
      </c>
      <c r="F9" s="160">
        <f>+D9-E9</f>
        <v>64.188115333649648</v>
      </c>
      <c r="G9" s="160">
        <f t="shared" si="2"/>
        <v>1394.4886954196406</v>
      </c>
    </row>
    <row r="10" spans="2:10" ht="20.100000000000001" customHeight="1" x14ac:dyDescent="0.25">
      <c r="B10" s="65">
        <v>5</v>
      </c>
      <c r="C10" s="160">
        <f t="shared" si="0"/>
        <v>1394.4886954196406</v>
      </c>
      <c r="D10" s="160">
        <f t="shared" ref="D10:D15" si="3">+$C$21</f>
        <v>624.32001066291309</v>
      </c>
      <c r="E10" s="160">
        <f t="shared" si="1"/>
        <v>535.483659041142</v>
      </c>
      <c r="F10" s="160">
        <f>D10-E10</f>
        <v>88.836351621771087</v>
      </c>
      <c r="G10" s="160">
        <f t="shared" si="2"/>
        <v>1305.6523437978694</v>
      </c>
    </row>
    <row r="11" spans="2:10" ht="20.100000000000001" customHeight="1" x14ac:dyDescent="0.25">
      <c r="B11" s="65">
        <v>6</v>
      </c>
      <c r="C11" s="160">
        <f t="shared" si="0"/>
        <v>1305.6523437978694</v>
      </c>
      <c r="D11" s="160">
        <f t="shared" si="3"/>
        <v>624.32001066291309</v>
      </c>
      <c r="E11" s="160">
        <f t="shared" si="1"/>
        <v>501.37050001838185</v>
      </c>
      <c r="F11" s="160">
        <f>D11-E11</f>
        <v>122.94951064453124</v>
      </c>
      <c r="G11" s="160">
        <f t="shared" si="2"/>
        <v>1182.7028331533381</v>
      </c>
    </row>
    <row r="12" spans="2:10" x14ac:dyDescent="0.25">
      <c r="B12" s="65">
        <v>7</v>
      </c>
      <c r="C12" s="160">
        <f t="shared" si="0"/>
        <v>1182.7028331533381</v>
      </c>
      <c r="D12" s="160">
        <f t="shared" si="3"/>
        <v>624.32001066291309</v>
      </c>
      <c r="E12" s="160">
        <f t="shared" si="1"/>
        <v>454.15788793088183</v>
      </c>
      <c r="F12" s="160">
        <f>D12-E12</f>
        <v>170.16212273203126</v>
      </c>
      <c r="G12" s="160">
        <f t="shared" si="2"/>
        <v>1012.5407104213068</v>
      </c>
    </row>
    <row r="13" spans="2:10" x14ac:dyDescent="0.25">
      <c r="B13" s="65">
        <v>8</v>
      </c>
      <c r="C13" s="160">
        <f t="shared" si="0"/>
        <v>1012.5407104213068</v>
      </c>
      <c r="D13" s="160">
        <f t="shared" si="3"/>
        <v>624.32001066291309</v>
      </c>
      <c r="E13" s="160">
        <f t="shared" si="1"/>
        <v>388.81563280178182</v>
      </c>
      <c r="F13" s="160">
        <f>D13-E13</f>
        <v>235.50437786113127</v>
      </c>
      <c r="G13" s="160">
        <f t="shared" si="2"/>
        <v>777.03633256017554</v>
      </c>
    </row>
    <row r="14" spans="2:10" x14ac:dyDescent="0.25">
      <c r="B14" s="65">
        <v>9</v>
      </c>
      <c r="C14" s="160">
        <f t="shared" si="0"/>
        <v>777.03633256017554</v>
      </c>
      <c r="D14" s="160">
        <f t="shared" si="3"/>
        <v>624.32001066291309</v>
      </c>
      <c r="E14" s="160">
        <f t="shared" si="1"/>
        <v>298.3819517031074</v>
      </c>
      <c r="F14" s="160">
        <f>D14-E14</f>
        <v>325.93805895980569</v>
      </c>
      <c r="G14" s="160">
        <f t="shared" si="2"/>
        <v>451.09827360036985</v>
      </c>
    </row>
    <row r="15" spans="2:10" x14ac:dyDescent="0.25">
      <c r="B15" s="65">
        <v>10</v>
      </c>
      <c r="C15" s="160">
        <f t="shared" si="0"/>
        <v>451.09827360036985</v>
      </c>
      <c r="D15" s="160">
        <f t="shared" si="3"/>
        <v>624.32001066291309</v>
      </c>
      <c r="E15" s="160">
        <f t="shared" si="1"/>
        <v>173.22173706254202</v>
      </c>
      <c r="F15" s="160">
        <f>+D15-E15</f>
        <v>451.09827360037104</v>
      </c>
      <c r="G15" s="160">
        <f t="shared" si="2"/>
        <v>-1.1937117960769683E-12</v>
      </c>
    </row>
    <row r="16" spans="2:10" x14ac:dyDescent="0.25">
      <c r="B16" s="66" t="s">
        <v>13</v>
      </c>
      <c r="C16" s="102"/>
      <c r="D16" s="102">
        <f>SUM(D5:D15)</f>
        <v>6243.2001066291296</v>
      </c>
      <c r="E16" s="102">
        <f>SUM(E5:E15)</f>
        <v>4680.4211066291291</v>
      </c>
      <c r="F16" s="102">
        <f>SUM(F5:F15)</f>
        <v>1562.7790000000009</v>
      </c>
      <c r="G16" s="102"/>
      <c r="J16" s="12"/>
    </row>
    <row r="17" spans="2:7" x14ac:dyDescent="0.25">
      <c r="B17" s="63"/>
      <c r="C17" s="63"/>
      <c r="D17" s="63"/>
      <c r="E17" s="63"/>
      <c r="F17" s="63"/>
      <c r="G17" s="63"/>
    </row>
    <row r="18" spans="2:7" x14ac:dyDescent="0.25">
      <c r="B18" s="61" t="s">
        <v>14</v>
      </c>
      <c r="C18" s="14">
        <v>0.38400000000000001</v>
      </c>
      <c r="D18" s="63"/>
      <c r="E18" s="63"/>
      <c r="F18" s="63"/>
      <c r="G18" s="63"/>
    </row>
    <row r="19" spans="2:7" x14ac:dyDescent="0.25">
      <c r="B19" s="61" t="s">
        <v>15</v>
      </c>
      <c r="C19" s="101">
        <f>+'Activos Fijos'!E20</f>
        <v>1562.779</v>
      </c>
      <c r="D19" s="63"/>
      <c r="E19" s="63"/>
      <c r="F19" s="63"/>
      <c r="G19" s="63"/>
    </row>
    <row r="20" spans="2:7" x14ac:dyDescent="0.25">
      <c r="B20" s="61" t="s">
        <v>16</v>
      </c>
      <c r="C20" s="62">
        <f>PMT(C18,B15,-1)</f>
        <v>0.39949347326967738</v>
      </c>
      <c r="D20" s="63"/>
      <c r="E20" s="69"/>
      <c r="F20" s="63"/>
      <c r="G20" s="63"/>
    </row>
    <row r="21" spans="2:7" x14ac:dyDescent="0.25">
      <c r="B21" s="61" t="s">
        <v>17</v>
      </c>
      <c r="C21" s="64">
        <f>+C19*C20</f>
        <v>624.32001066291309</v>
      </c>
      <c r="D21" s="63"/>
      <c r="E21" s="63"/>
      <c r="F21" s="63"/>
      <c r="G21" s="63"/>
    </row>
    <row r="24" spans="2:7" x14ac:dyDescent="0.25">
      <c r="C24" s="13"/>
    </row>
  </sheetData>
  <mergeCells count="1">
    <mergeCell ref="B2:G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6:D16 E15:G16 G5 E6:F6 D5 E7:G9 C6:D8 D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8"/>
  <sheetViews>
    <sheetView showGridLines="0" topLeftCell="B40" zoomScale="77" zoomScaleNormal="80" workbookViewId="0">
      <selection activeCell="D7" sqref="D7:D79"/>
    </sheetView>
  </sheetViews>
  <sheetFormatPr baseColWidth="10" defaultColWidth="11.5703125" defaultRowHeight="15" x14ac:dyDescent="0.25"/>
  <cols>
    <col min="1" max="1" width="11.5703125" style="10"/>
    <col min="2" max="2" width="36.7109375" style="10" customWidth="1"/>
    <col min="3" max="3" width="27.140625" style="10" bestFit="1" customWidth="1"/>
    <col min="4" max="4" width="16.85546875" style="10" bestFit="1" customWidth="1"/>
    <col min="5" max="5" width="15.140625" style="10" bestFit="1" customWidth="1"/>
    <col min="6" max="6" width="15.42578125" style="10" customWidth="1"/>
    <col min="7" max="7" width="14" style="10" customWidth="1"/>
    <col min="8" max="8" width="14.85546875" style="10" bestFit="1" customWidth="1"/>
    <col min="9" max="9" width="15.140625" style="10" bestFit="1" customWidth="1"/>
    <col min="10" max="10" width="14.85546875" style="10" bestFit="1" customWidth="1"/>
    <col min="11" max="12" width="15.140625" style="10" bestFit="1" customWidth="1"/>
    <col min="13" max="13" width="14.85546875" style="10" bestFit="1" customWidth="1"/>
    <col min="14" max="14" width="14.42578125" style="10" bestFit="1" customWidth="1"/>
    <col min="15" max="16384" width="11.5703125" style="10"/>
  </cols>
  <sheetData>
    <row r="1" spans="2:14" ht="4.5" customHeight="1" thickBot="1" x14ac:dyDescent="0.3"/>
    <row r="2" spans="2:14" ht="15.75" thickBot="1" x14ac:dyDescent="0.3">
      <c r="B2" s="194" t="s">
        <v>18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</row>
    <row r="3" spans="2:14" ht="15.75" thickBot="1" x14ac:dyDescent="0.3">
      <c r="B3" s="197" t="s">
        <v>187</v>
      </c>
      <c r="C3" s="198"/>
      <c r="D3" s="199"/>
      <c r="E3" s="191" t="s">
        <v>27</v>
      </c>
      <c r="F3" s="192"/>
      <c r="G3" s="191"/>
      <c r="H3" s="191"/>
      <c r="I3" s="191"/>
      <c r="J3" s="191"/>
      <c r="K3" s="191"/>
      <c r="L3" s="191"/>
      <c r="M3" s="191"/>
      <c r="N3" s="193"/>
    </row>
    <row r="4" spans="2:14" ht="15.75" thickBot="1" x14ac:dyDescent="0.3">
      <c r="B4" s="200"/>
      <c r="C4" s="201"/>
      <c r="D4" s="201"/>
      <c r="E4" s="204">
        <v>1</v>
      </c>
      <c r="F4" s="207">
        <v>2</v>
      </c>
      <c r="G4" s="184">
        <v>3</v>
      </c>
      <c r="H4" s="184">
        <v>4</v>
      </c>
      <c r="I4" s="184">
        <v>5</v>
      </c>
      <c r="J4" s="184">
        <v>6</v>
      </c>
      <c r="K4" s="184">
        <v>7</v>
      </c>
      <c r="L4" s="184">
        <v>8</v>
      </c>
      <c r="M4" s="184">
        <v>9</v>
      </c>
      <c r="N4" s="184">
        <v>10</v>
      </c>
    </row>
    <row r="5" spans="2:14" x14ac:dyDescent="0.25">
      <c r="B5" s="210" t="s">
        <v>186</v>
      </c>
      <c r="C5" s="211"/>
      <c r="D5" s="202" t="s">
        <v>77</v>
      </c>
      <c r="E5" s="205"/>
      <c r="F5" s="208"/>
      <c r="G5" s="185"/>
      <c r="H5" s="185"/>
      <c r="I5" s="185"/>
      <c r="J5" s="185"/>
      <c r="K5" s="185"/>
      <c r="L5" s="185"/>
      <c r="M5" s="185"/>
      <c r="N5" s="185"/>
    </row>
    <row r="6" spans="2:14" ht="15.75" thickBot="1" x14ac:dyDescent="0.3">
      <c r="B6" s="141" t="s">
        <v>75</v>
      </c>
      <c r="C6" s="142" t="s">
        <v>76</v>
      </c>
      <c r="D6" s="203"/>
      <c r="E6" s="206"/>
      <c r="F6" s="209"/>
      <c r="G6" s="186"/>
      <c r="H6" s="186"/>
      <c r="I6" s="186"/>
      <c r="J6" s="186"/>
      <c r="K6" s="186"/>
      <c r="L6" s="186"/>
      <c r="M6" s="186"/>
      <c r="N6" s="186"/>
    </row>
    <row r="7" spans="2:14" ht="14.45" customHeight="1" x14ac:dyDescent="0.25">
      <c r="B7" s="137" t="s">
        <v>78</v>
      </c>
      <c r="C7" s="138" t="s">
        <v>135</v>
      </c>
      <c r="D7" s="188">
        <v>1.7999999999999999E-2</v>
      </c>
      <c r="E7" s="143">
        <v>90</v>
      </c>
      <c r="F7" s="144">
        <f>E7*$D$7+E7</f>
        <v>91.62</v>
      </c>
      <c r="G7" s="144">
        <f t="shared" ref="G7:N7" si="0">F7*$D$7+F7</f>
        <v>93.269159999999999</v>
      </c>
      <c r="H7" s="144">
        <f t="shared" si="0"/>
        <v>94.948004879999999</v>
      </c>
      <c r="I7" s="144">
        <f t="shared" si="0"/>
        <v>96.657068967840004</v>
      </c>
      <c r="J7" s="144">
        <f t="shared" si="0"/>
        <v>98.396896209261129</v>
      </c>
      <c r="K7" s="144">
        <f t="shared" si="0"/>
        <v>100.16804034102783</v>
      </c>
      <c r="L7" s="144">
        <f t="shared" si="0"/>
        <v>101.97106506716634</v>
      </c>
      <c r="M7" s="144">
        <f t="shared" si="0"/>
        <v>103.80654423837532</v>
      </c>
      <c r="N7" s="151">
        <f t="shared" si="0"/>
        <v>105.67506203466608</v>
      </c>
    </row>
    <row r="8" spans="2:14" ht="14.45" customHeight="1" x14ac:dyDescent="0.25">
      <c r="B8" s="137" t="s">
        <v>79</v>
      </c>
      <c r="C8" s="138" t="s">
        <v>135</v>
      </c>
      <c r="D8" s="189"/>
      <c r="E8" s="145">
        <v>56</v>
      </c>
      <c r="F8" s="146">
        <f t="shared" ref="F8:F39" si="1">+E8*$D$7+E8</f>
        <v>57.008000000000003</v>
      </c>
      <c r="G8" s="146">
        <f t="shared" ref="G8:N8" si="2">+F8*$D$7+F8</f>
        <v>58.034144000000005</v>
      </c>
      <c r="H8" s="146">
        <f t="shared" si="2"/>
        <v>59.078758592000007</v>
      </c>
      <c r="I8" s="146">
        <f t="shared" si="2"/>
        <v>60.142176246656007</v>
      </c>
      <c r="J8" s="146">
        <f t="shared" si="2"/>
        <v>61.224735419095815</v>
      </c>
      <c r="K8" s="146">
        <f t="shared" si="2"/>
        <v>62.326780656639542</v>
      </c>
      <c r="L8" s="146">
        <f t="shared" si="2"/>
        <v>63.448662708459054</v>
      </c>
      <c r="M8" s="146">
        <f t="shared" si="2"/>
        <v>64.590738637211317</v>
      </c>
      <c r="N8" s="152">
        <f t="shared" si="2"/>
        <v>65.753371932681119</v>
      </c>
    </row>
    <row r="9" spans="2:14" ht="14.45" customHeight="1" x14ac:dyDescent="0.25">
      <c r="B9" s="137" t="s">
        <v>80</v>
      </c>
      <c r="C9" s="138" t="s">
        <v>136</v>
      </c>
      <c r="D9" s="189"/>
      <c r="E9" s="145">
        <v>84</v>
      </c>
      <c r="F9" s="146">
        <f t="shared" si="1"/>
        <v>85.512</v>
      </c>
      <c r="G9" s="146">
        <f t="shared" ref="G9:N9" si="3">+F9*$D$7+F9</f>
        <v>87.051215999999997</v>
      </c>
      <c r="H9" s="146">
        <f t="shared" si="3"/>
        <v>88.618137887999993</v>
      </c>
      <c r="I9" s="146">
        <f t="shared" si="3"/>
        <v>90.213264369983989</v>
      </c>
      <c r="J9" s="146">
        <f t="shared" si="3"/>
        <v>91.837103128643705</v>
      </c>
      <c r="K9" s="146">
        <f t="shared" si="3"/>
        <v>93.490170984959292</v>
      </c>
      <c r="L9" s="146">
        <f t="shared" si="3"/>
        <v>95.172994062688559</v>
      </c>
      <c r="M9" s="146">
        <f t="shared" si="3"/>
        <v>96.886107955816954</v>
      </c>
      <c r="N9" s="152">
        <f t="shared" si="3"/>
        <v>98.630057899021665</v>
      </c>
    </row>
    <row r="10" spans="2:14" ht="14.45" customHeight="1" x14ac:dyDescent="0.25">
      <c r="B10" s="137" t="s">
        <v>81</v>
      </c>
      <c r="C10" s="138" t="s">
        <v>137</v>
      </c>
      <c r="D10" s="189"/>
      <c r="E10" s="145">
        <v>23</v>
      </c>
      <c r="F10" s="146">
        <f t="shared" si="1"/>
        <v>23.414000000000001</v>
      </c>
      <c r="G10" s="146">
        <f t="shared" ref="G10:N10" si="4">+F10*$D$7+F10</f>
        <v>23.835452</v>
      </c>
      <c r="H10" s="146">
        <f t="shared" si="4"/>
        <v>24.264490135999999</v>
      </c>
      <c r="I10" s="146">
        <f t="shared" si="4"/>
        <v>24.701250958448</v>
      </c>
      <c r="J10" s="146">
        <f t="shared" si="4"/>
        <v>25.145873475700064</v>
      </c>
      <c r="K10" s="146">
        <f t="shared" si="4"/>
        <v>25.598499198262665</v>
      </c>
      <c r="L10" s="146">
        <f t="shared" si="4"/>
        <v>26.059272183831393</v>
      </c>
      <c r="M10" s="146">
        <f t="shared" si="4"/>
        <v>26.528339083140359</v>
      </c>
      <c r="N10" s="152">
        <f t="shared" si="4"/>
        <v>27.005849186636887</v>
      </c>
    </row>
    <row r="11" spans="2:14" ht="14.45" customHeight="1" x14ac:dyDescent="0.25">
      <c r="B11" s="137" t="s">
        <v>82</v>
      </c>
      <c r="C11" s="138" t="s">
        <v>138</v>
      </c>
      <c r="D11" s="189"/>
      <c r="E11" s="145">
        <v>16</v>
      </c>
      <c r="F11" s="146">
        <f t="shared" si="1"/>
        <v>16.288</v>
      </c>
      <c r="G11" s="146">
        <f t="shared" ref="G11:N11" si="5">+F11*$D$7+F11</f>
        <v>16.581184</v>
      </c>
      <c r="H11" s="146">
        <f t="shared" si="5"/>
        <v>16.879645312000001</v>
      </c>
      <c r="I11" s="146">
        <f t="shared" si="5"/>
        <v>17.183478927616001</v>
      </c>
      <c r="J11" s="146">
        <f t="shared" si="5"/>
        <v>17.49278154831309</v>
      </c>
      <c r="K11" s="146">
        <f t="shared" si="5"/>
        <v>17.807651616182724</v>
      </c>
      <c r="L11" s="146">
        <f t="shared" si="5"/>
        <v>18.128189345274013</v>
      </c>
      <c r="M11" s="146">
        <f t="shared" si="5"/>
        <v>18.454496753488947</v>
      </c>
      <c r="N11" s="152">
        <f t="shared" si="5"/>
        <v>18.786677695051747</v>
      </c>
    </row>
    <row r="12" spans="2:14" ht="14.45" customHeight="1" x14ac:dyDescent="0.25">
      <c r="B12" s="137" t="s">
        <v>83</v>
      </c>
      <c r="C12" s="138" t="s">
        <v>139</v>
      </c>
      <c r="D12" s="189"/>
      <c r="E12" s="145">
        <v>14</v>
      </c>
      <c r="F12" s="146">
        <f t="shared" si="1"/>
        <v>14.252000000000001</v>
      </c>
      <c r="G12" s="146">
        <f t="shared" ref="G12:N12" si="6">+F12*$D$7+F12</f>
        <v>14.508536000000001</v>
      </c>
      <c r="H12" s="146">
        <f t="shared" si="6"/>
        <v>14.769689648000002</v>
      </c>
      <c r="I12" s="146">
        <f t="shared" si="6"/>
        <v>15.035544061664002</v>
      </c>
      <c r="J12" s="146">
        <f t="shared" si="6"/>
        <v>15.306183854773954</v>
      </c>
      <c r="K12" s="146">
        <f t="shared" si="6"/>
        <v>15.581695164159886</v>
      </c>
      <c r="L12" s="146">
        <f t="shared" si="6"/>
        <v>15.862165677114763</v>
      </c>
      <c r="M12" s="146">
        <f t="shared" si="6"/>
        <v>16.147684659302829</v>
      </c>
      <c r="N12" s="152">
        <f t="shared" si="6"/>
        <v>16.43834298317028</v>
      </c>
    </row>
    <row r="13" spans="2:14" ht="14.45" customHeight="1" x14ac:dyDescent="0.25">
      <c r="B13" s="137" t="s">
        <v>84</v>
      </c>
      <c r="C13" s="138" t="s">
        <v>140</v>
      </c>
      <c r="D13" s="189"/>
      <c r="E13" s="145">
        <v>35</v>
      </c>
      <c r="F13" s="146">
        <f t="shared" si="1"/>
        <v>35.630000000000003</v>
      </c>
      <c r="G13" s="146">
        <f t="shared" ref="G13:N13" si="7">+F13*$D$7+F13</f>
        <v>36.271340000000002</v>
      </c>
      <c r="H13" s="146">
        <f t="shared" si="7"/>
        <v>36.924224120000005</v>
      </c>
      <c r="I13" s="146">
        <f t="shared" si="7"/>
        <v>37.588860154160002</v>
      </c>
      <c r="J13" s="146">
        <f t="shared" si="7"/>
        <v>38.265459636934885</v>
      </c>
      <c r="K13" s="146">
        <f t="shared" si="7"/>
        <v>38.954237910399712</v>
      </c>
      <c r="L13" s="146">
        <f t="shared" si="7"/>
        <v>39.655414192786907</v>
      </c>
      <c r="M13" s="146">
        <f t="shared" si="7"/>
        <v>40.369211648257071</v>
      </c>
      <c r="N13" s="152">
        <f t="shared" si="7"/>
        <v>41.095857457925696</v>
      </c>
    </row>
    <row r="14" spans="2:14" ht="14.45" customHeight="1" x14ac:dyDescent="0.25">
      <c r="B14" s="137" t="s">
        <v>85</v>
      </c>
      <c r="C14" s="138" t="s">
        <v>141</v>
      </c>
      <c r="D14" s="189"/>
      <c r="E14" s="145">
        <v>14</v>
      </c>
      <c r="F14" s="146">
        <f t="shared" si="1"/>
        <v>14.252000000000001</v>
      </c>
      <c r="G14" s="146">
        <f t="shared" ref="G14:N14" si="8">+F14*$D$7+F14</f>
        <v>14.508536000000001</v>
      </c>
      <c r="H14" s="146">
        <f t="shared" si="8"/>
        <v>14.769689648000002</v>
      </c>
      <c r="I14" s="146">
        <f t="shared" si="8"/>
        <v>15.035544061664002</v>
      </c>
      <c r="J14" s="146">
        <f t="shared" si="8"/>
        <v>15.306183854773954</v>
      </c>
      <c r="K14" s="146">
        <f t="shared" si="8"/>
        <v>15.581695164159886</v>
      </c>
      <c r="L14" s="146">
        <f t="shared" si="8"/>
        <v>15.862165677114763</v>
      </c>
      <c r="M14" s="146">
        <f t="shared" si="8"/>
        <v>16.147684659302829</v>
      </c>
      <c r="N14" s="152">
        <f t="shared" si="8"/>
        <v>16.43834298317028</v>
      </c>
    </row>
    <row r="15" spans="2:14" ht="14.45" customHeight="1" x14ac:dyDescent="0.25">
      <c r="B15" s="137" t="s">
        <v>86</v>
      </c>
      <c r="C15" s="138" t="s">
        <v>142</v>
      </c>
      <c r="D15" s="189"/>
      <c r="E15" s="145">
        <v>7.5</v>
      </c>
      <c r="F15" s="146">
        <f t="shared" si="1"/>
        <v>7.6349999999999998</v>
      </c>
      <c r="G15" s="146">
        <f t="shared" ref="G15:N15" si="9">+F15*$D$7+F15</f>
        <v>7.7724299999999999</v>
      </c>
      <c r="H15" s="146">
        <f t="shared" si="9"/>
        <v>7.9123337400000002</v>
      </c>
      <c r="I15" s="146">
        <f t="shared" si="9"/>
        <v>8.0547557473199998</v>
      </c>
      <c r="J15" s="146">
        <f t="shared" si="9"/>
        <v>8.1997413507717596</v>
      </c>
      <c r="K15" s="146">
        <f t="shared" si="9"/>
        <v>8.3473366950856516</v>
      </c>
      <c r="L15" s="146">
        <f t="shared" si="9"/>
        <v>8.4975887555971941</v>
      </c>
      <c r="M15" s="146">
        <f t="shared" si="9"/>
        <v>8.650545353197943</v>
      </c>
      <c r="N15" s="152">
        <f t="shared" si="9"/>
        <v>8.8062551695555058</v>
      </c>
    </row>
    <row r="16" spans="2:14" ht="14.45" customHeight="1" x14ac:dyDescent="0.25">
      <c r="B16" s="137" t="s">
        <v>87</v>
      </c>
      <c r="C16" s="138" t="s">
        <v>143</v>
      </c>
      <c r="D16" s="189"/>
      <c r="E16" s="145">
        <v>5</v>
      </c>
      <c r="F16" s="146">
        <f t="shared" si="1"/>
        <v>5.09</v>
      </c>
      <c r="G16" s="146">
        <f t="shared" ref="G16:N16" si="10">+F16*$D$7+F16</f>
        <v>5.1816199999999997</v>
      </c>
      <c r="H16" s="146">
        <f t="shared" si="10"/>
        <v>5.2748891599999999</v>
      </c>
      <c r="I16" s="146">
        <f t="shared" si="10"/>
        <v>5.3698371648799998</v>
      </c>
      <c r="J16" s="146">
        <f t="shared" si="10"/>
        <v>5.4664942338478397</v>
      </c>
      <c r="K16" s="146">
        <f t="shared" si="10"/>
        <v>5.5648911300571005</v>
      </c>
      <c r="L16" s="146">
        <f t="shared" si="10"/>
        <v>5.6650591703981279</v>
      </c>
      <c r="M16" s="146">
        <f t="shared" si="10"/>
        <v>5.7670302354652945</v>
      </c>
      <c r="N16" s="152">
        <f t="shared" si="10"/>
        <v>5.8708367797036694</v>
      </c>
    </row>
    <row r="17" spans="2:14" ht="14.45" customHeight="1" x14ac:dyDescent="0.25">
      <c r="B17" s="137" t="s">
        <v>88</v>
      </c>
      <c r="C17" s="138" t="s">
        <v>143</v>
      </c>
      <c r="D17" s="189"/>
      <c r="E17" s="145">
        <v>3.75</v>
      </c>
      <c r="F17" s="146">
        <f t="shared" si="1"/>
        <v>3.8174999999999999</v>
      </c>
      <c r="G17" s="146">
        <f t="shared" ref="G17:N17" si="11">+F17*$D$7+F17</f>
        <v>3.886215</v>
      </c>
      <c r="H17" s="146">
        <f t="shared" si="11"/>
        <v>3.9561668700000001</v>
      </c>
      <c r="I17" s="146">
        <f t="shared" si="11"/>
        <v>4.0273778736599999</v>
      </c>
      <c r="J17" s="146">
        <f t="shared" si="11"/>
        <v>4.0998706753858798</v>
      </c>
      <c r="K17" s="146">
        <f t="shared" si="11"/>
        <v>4.1736683475428258</v>
      </c>
      <c r="L17" s="146">
        <f t="shared" si="11"/>
        <v>4.248794377798597</v>
      </c>
      <c r="M17" s="146">
        <f t="shared" si="11"/>
        <v>4.3252726765989715</v>
      </c>
      <c r="N17" s="152">
        <f t="shared" si="11"/>
        <v>4.4031275847777529</v>
      </c>
    </row>
    <row r="18" spans="2:14" ht="14.45" customHeight="1" x14ac:dyDescent="0.25">
      <c r="B18" s="137" t="s">
        <v>89</v>
      </c>
      <c r="C18" s="138" t="s">
        <v>142</v>
      </c>
      <c r="D18" s="189"/>
      <c r="E18" s="145">
        <v>10</v>
      </c>
      <c r="F18" s="146">
        <f t="shared" si="1"/>
        <v>10.18</v>
      </c>
      <c r="G18" s="146">
        <f t="shared" ref="G18:N18" si="12">+F18*$D$7+F18</f>
        <v>10.363239999999999</v>
      </c>
      <c r="H18" s="146">
        <f t="shared" si="12"/>
        <v>10.54977832</v>
      </c>
      <c r="I18" s="146">
        <f t="shared" si="12"/>
        <v>10.73967432976</v>
      </c>
      <c r="J18" s="146">
        <f t="shared" si="12"/>
        <v>10.932988467695679</v>
      </c>
      <c r="K18" s="146">
        <f t="shared" si="12"/>
        <v>11.129782260114201</v>
      </c>
      <c r="L18" s="146">
        <f t="shared" si="12"/>
        <v>11.330118340796256</v>
      </c>
      <c r="M18" s="146">
        <f t="shared" si="12"/>
        <v>11.534060470930589</v>
      </c>
      <c r="N18" s="152">
        <f t="shared" si="12"/>
        <v>11.741673559407339</v>
      </c>
    </row>
    <row r="19" spans="2:14" ht="14.45" customHeight="1" x14ac:dyDescent="0.25">
      <c r="B19" s="137" t="s">
        <v>90</v>
      </c>
      <c r="C19" s="138" t="s">
        <v>144</v>
      </c>
      <c r="D19" s="189"/>
      <c r="E19" s="145">
        <v>28</v>
      </c>
      <c r="F19" s="146">
        <f t="shared" si="1"/>
        <v>28.504000000000001</v>
      </c>
      <c r="G19" s="146">
        <f t="shared" ref="G19:N19" si="13">+F19*$D$7+F19</f>
        <v>29.017072000000002</v>
      </c>
      <c r="H19" s="146">
        <f t="shared" si="13"/>
        <v>29.539379296000003</v>
      </c>
      <c r="I19" s="146">
        <f t="shared" si="13"/>
        <v>30.071088123328003</v>
      </c>
      <c r="J19" s="146">
        <f t="shared" si="13"/>
        <v>30.612367709547907</v>
      </c>
      <c r="K19" s="146">
        <f t="shared" si="13"/>
        <v>31.163390328319771</v>
      </c>
      <c r="L19" s="146">
        <f t="shared" si="13"/>
        <v>31.724331354229527</v>
      </c>
      <c r="M19" s="146">
        <f t="shared" si="13"/>
        <v>32.295369318605658</v>
      </c>
      <c r="N19" s="152">
        <f t="shared" si="13"/>
        <v>32.87668596634056</v>
      </c>
    </row>
    <row r="20" spans="2:14" ht="14.45" customHeight="1" x14ac:dyDescent="0.25">
      <c r="B20" s="137" t="s">
        <v>91</v>
      </c>
      <c r="C20" s="138" t="s">
        <v>142</v>
      </c>
      <c r="D20" s="189"/>
      <c r="E20" s="145">
        <v>25</v>
      </c>
      <c r="F20" s="146">
        <f t="shared" si="1"/>
        <v>25.45</v>
      </c>
      <c r="G20" s="146">
        <f t="shared" ref="G20:N20" si="14">+F20*$D$7+F20</f>
        <v>25.908099999999997</v>
      </c>
      <c r="H20" s="146">
        <f t="shared" si="14"/>
        <v>26.374445799999997</v>
      </c>
      <c r="I20" s="146">
        <f t="shared" si="14"/>
        <v>26.849185824399996</v>
      </c>
      <c r="J20" s="146">
        <f t="shared" si="14"/>
        <v>27.332471169239195</v>
      </c>
      <c r="K20" s="146">
        <f t="shared" si="14"/>
        <v>27.8244556502855</v>
      </c>
      <c r="L20" s="146">
        <f t="shared" si="14"/>
        <v>28.325295851990639</v>
      </c>
      <c r="M20" s="146">
        <f t="shared" si="14"/>
        <v>28.83515117732647</v>
      </c>
      <c r="N20" s="152">
        <f t="shared" si="14"/>
        <v>29.354183898518347</v>
      </c>
    </row>
    <row r="21" spans="2:14" ht="14.45" customHeight="1" x14ac:dyDescent="0.25">
      <c r="B21" s="137" t="s">
        <v>92</v>
      </c>
      <c r="C21" s="138" t="s">
        <v>145</v>
      </c>
      <c r="D21" s="189"/>
      <c r="E21" s="145">
        <v>6.3</v>
      </c>
      <c r="F21" s="146">
        <f t="shared" si="1"/>
        <v>6.4134000000000002</v>
      </c>
      <c r="G21" s="146">
        <f t="shared" ref="G21:N21" si="15">+F21*$D$7+F21</f>
        <v>6.5288412000000005</v>
      </c>
      <c r="H21" s="146">
        <f t="shared" si="15"/>
        <v>6.6463603416000003</v>
      </c>
      <c r="I21" s="146">
        <f t="shared" si="15"/>
        <v>6.7659948277488002</v>
      </c>
      <c r="J21" s="146">
        <f t="shared" si="15"/>
        <v>6.8877827346482787</v>
      </c>
      <c r="K21" s="146">
        <f t="shared" si="15"/>
        <v>7.0117628238719476</v>
      </c>
      <c r="L21" s="146">
        <f t="shared" si="15"/>
        <v>7.1379745547016427</v>
      </c>
      <c r="M21" s="146">
        <f t="shared" si="15"/>
        <v>7.2664580966862724</v>
      </c>
      <c r="N21" s="152">
        <f t="shared" si="15"/>
        <v>7.3972543424266251</v>
      </c>
    </row>
    <row r="22" spans="2:14" ht="14.45" customHeight="1" x14ac:dyDescent="0.25">
      <c r="B22" s="137" t="s">
        <v>93</v>
      </c>
      <c r="C22" s="138" t="s">
        <v>146</v>
      </c>
      <c r="D22" s="189"/>
      <c r="E22" s="145">
        <v>227.5</v>
      </c>
      <c r="F22" s="146">
        <f t="shared" si="1"/>
        <v>231.595</v>
      </c>
      <c r="G22" s="146">
        <f t="shared" ref="G22:N22" si="16">+F22*$D$7+F22</f>
        <v>235.76371</v>
      </c>
      <c r="H22" s="146">
        <f t="shared" si="16"/>
        <v>240.00745678000001</v>
      </c>
      <c r="I22" s="146">
        <f t="shared" si="16"/>
        <v>244.32759100204001</v>
      </c>
      <c r="J22" s="146">
        <f t="shared" si="16"/>
        <v>248.72548764007672</v>
      </c>
      <c r="K22" s="146">
        <f t="shared" si="16"/>
        <v>253.20254641759811</v>
      </c>
      <c r="L22" s="146">
        <f t="shared" si="16"/>
        <v>257.76019225311489</v>
      </c>
      <c r="M22" s="146">
        <f t="shared" si="16"/>
        <v>262.39987571367095</v>
      </c>
      <c r="N22" s="152">
        <f t="shared" si="16"/>
        <v>267.12307347651705</v>
      </c>
    </row>
    <row r="23" spans="2:14" ht="14.45" customHeight="1" x14ac:dyDescent="0.25">
      <c r="B23" s="137" t="s">
        <v>94</v>
      </c>
      <c r="C23" s="138" t="s">
        <v>147</v>
      </c>
      <c r="D23" s="189"/>
      <c r="E23" s="145">
        <v>70</v>
      </c>
      <c r="F23" s="146">
        <f t="shared" si="1"/>
        <v>71.260000000000005</v>
      </c>
      <c r="G23" s="146">
        <f t="shared" ref="G23:N23" si="17">+F23*$D$7+F23</f>
        <v>72.542680000000004</v>
      </c>
      <c r="H23" s="146">
        <f t="shared" si="17"/>
        <v>73.84844824000001</v>
      </c>
      <c r="I23" s="146">
        <f t="shared" si="17"/>
        <v>75.177720308320005</v>
      </c>
      <c r="J23" s="146">
        <f t="shared" si="17"/>
        <v>76.53091927386977</v>
      </c>
      <c r="K23" s="146">
        <f t="shared" si="17"/>
        <v>77.908475820799424</v>
      </c>
      <c r="L23" s="146">
        <f t="shared" si="17"/>
        <v>79.310828385573814</v>
      </c>
      <c r="M23" s="146">
        <f t="shared" si="17"/>
        <v>80.738423296514142</v>
      </c>
      <c r="N23" s="152">
        <f t="shared" si="17"/>
        <v>82.191714915851392</v>
      </c>
    </row>
    <row r="24" spans="2:14" ht="14.45" customHeight="1" x14ac:dyDescent="0.25">
      <c r="B24" s="137" t="s">
        <v>95</v>
      </c>
      <c r="C24" s="138" t="s">
        <v>148</v>
      </c>
      <c r="D24" s="189"/>
      <c r="E24" s="145">
        <v>30.5</v>
      </c>
      <c r="F24" s="146">
        <f t="shared" si="1"/>
        <v>31.048999999999999</v>
      </c>
      <c r="G24" s="146">
        <f t="shared" ref="G24:N24" si="18">+F24*$D$7+F24</f>
        <v>31.607882</v>
      </c>
      <c r="H24" s="146">
        <f t="shared" si="18"/>
        <v>32.176823876</v>
      </c>
      <c r="I24" s="146">
        <f t="shared" si="18"/>
        <v>32.756006705768002</v>
      </c>
      <c r="J24" s="146">
        <f t="shared" si="18"/>
        <v>33.345614826471824</v>
      </c>
      <c r="K24" s="146">
        <f t="shared" si="18"/>
        <v>33.945835893348317</v>
      </c>
      <c r="L24" s="146">
        <f t="shared" si="18"/>
        <v>34.556860939428589</v>
      </c>
      <c r="M24" s="146">
        <f t="shared" si="18"/>
        <v>35.178884436338301</v>
      </c>
      <c r="N24" s="152">
        <f t="shared" si="18"/>
        <v>35.812104356192393</v>
      </c>
    </row>
    <row r="25" spans="2:14" ht="14.45" customHeight="1" x14ac:dyDescent="0.25">
      <c r="B25" s="137" t="s">
        <v>96</v>
      </c>
      <c r="C25" s="138" t="s">
        <v>149</v>
      </c>
      <c r="D25" s="189"/>
      <c r="E25" s="145">
        <v>85.5</v>
      </c>
      <c r="F25" s="146">
        <f t="shared" si="1"/>
        <v>87.039000000000001</v>
      </c>
      <c r="G25" s="146">
        <f t="shared" ref="G25:N25" si="19">+F25*$D$7+F25</f>
        <v>88.605702000000008</v>
      </c>
      <c r="H25" s="146">
        <f t="shared" si="19"/>
        <v>90.200604636000008</v>
      </c>
      <c r="I25" s="146">
        <f t="shared" si="19"/>
        <v>91.824215519448003</v>
      </c>
      <c r="J25" s="146">
        <f t="shared" si="19"/>
        <v>93.477051398798068</v>
      </c>
      <c r="K25" s="146">
        <f t="shared" si="19"/>
        <v>95.159638323976438</v>
      </c>
      <c r="L25" s="146">
        <f t="shared" si="19"/>
        <v>96.872511813808018</v>
      </c>
      <c r="M25" s="146">
        <f t="shared" si="19"/>
        <v>98.616217026456567</v>
      </c>
      <c r="N25" s="152">
        <f t="shared" si="19"/>
        <v>100.39130893293279</v>
      </c>
    </row>
    <row r="26" spans="2:14" ht="14.45" customHeight="1" x14ac:dyDescent="0.25">
      <c r="B26" s="137" t="s">
        <v>97</v>
      </c>
      <c r="C26" s="138" t="s">
        <v>150</v>
      </c>
      <c r="D26" s="189"/>
      <c r="E26" s="145">
        <v>175</v>
      </c>
      <c r="F26" s="146">
        <f t="shared" si="1"/>
        <v>178.15</v>
      </c>
      <c r="G26" s="146">
        <f t="shared" ref="G26:N26" si="20">+F26*$D$7+F26</f>
        <v>181.35670000000002</v>
      </c>
      <c r="H26" s="146">
        <f t="shared" si="20"/>
        <v>184.62112060000001</v>
      </c>
      <c r="I26" s="146">
        <f t="shared" si="20"/>
        <v>187.9443007708</v>
      </c>
      <c r="J26" s="146">
        <f t="shared" si="20"/>
        <v>191.32729818467439</v>
      </c>
      <c r="K26" s="146">
        <f t="shared" si="20"/>
        <v>194.77118955199853</v>
      </c>
      <c r="L26" s="146">
        <f t="shared" si="20"/>
        <v>198.27707096393451</v>
      </c>
      <c r="M26" s="146">
        <f t="shared" si="20"/>
        <v>201.84605824128533</v>
      </c>
      <c r="N26" s="152">
        <f t="shared" si="20"/>
        <v>205.47928728962847</v>
      </c>
    </row>
    <row r="27" spans="2:14" ht="14.45" customHeight="1" x14ac:dyDescent="0.25">
      <c r="B27" s="137" t="s">
        <v>98</v>
      </c>
      <c r="C27" s="138" t="s">
        <v>148</v>
      </c>
      <c r="D27" s="189"/>
      <c r="E27" s="145">
        <v>31.5</v>
      </c>
      <c r="F27" s="146">
        <f t="shared" si="1"/>
        <v>32.067</v>
      </c>
      <c r="G27" s="146">
        <f t="shared" ref="G27:N27" si="21">+F27*$D$7+F27</f>
        <v>32.644205999999997</v>
      </c>
      <c r="H27" s="146">
        <f t="shared" si="21"/>
        <v>33.231801707999999</v>
      </c>
      <c r="I27" s="146">
        <f t="shared" si="21"/>
        <v>33.829974138743999</v>
      </c>
      <c r="J27" s="146">
        <f t="shared" si="21"/>
        <v>34.438913673241395</v>
      </c>
      <c r="K27" s="146">
        <f t="shared" si="21"/>
        <v>35.058814119359738</v>
      </c>
      <c r="L27" s="146">
        <f t="shared" si="21"/>
        <v>35.689872773508213</v>
      </c>
      <c r="M27" s="146">
        <f t="shared" si="21"/>
        <v>36.332290483431365</v>
      </c>
      <c r="N27" s="152">
        <f t="shared" si="21"/>
        <v>36.986271712133131</v>
      </c>
    </row>
    <row r="28" spans="2:14" ht="14.45" customHeight="1" x14ac:dyDescent="0.25">
      <c r="B28" s="137" t="s">
        <v>99</v>
      </c>
      <c r="C28" s="138" t="s">
        <v>151</v>
      </c>
      <c r="D28" s="189"/>
      <c r="E28" s="147">
        <v>141.75</v>
      </c>
      <c r="F28" s="148">
        <f t="shared" si="1"/>
        <v>144.3015</v>
      </c>
      <c r="G28" s="148">
        <f t="shared" ref="G28:N28" si="22">+F28*$D$7+F28</f>
        <v>146.89892700000001</v>
      </c>
      <c r="H28" s="148">
        <f t="shared" si="22"/>
        <v>149.54310768600001</v>
      </c>
      <c r="I28" s="148">
        <f t="shared" si="22"/>
        <v>152.23488362434802</v>
      </c>
      <c r="J28" s="148">
        <f t="shared" si="22"/>
        <v>154.97511152958629</v>
      </c>
      <c r="K28" s="148">
        <f t="shared" si="22"/>
        <v>157.76466353711885</v>
      </c>
      <c r="L28" s="148">
        <f t="shared" si="22"/>
        <v>160.604427480787</v>
      </c>
      <c r="M28" s="148">
        <f t="shared" si="22"/>
        <v>163.49530717544116</v>
      </c>
      <c r="N28" s="153">
        <f t="shared" si="22"/>
        <v>166.4382227045991</v>
      </c>
    </row>
    <row r="29" spans="2:14" ht="14.45" customHeight="1" x14ac:dyDescent="0.25">
      <c r="B29" s="139" t="s">
        <v>100</v>
      </c>
      <c r="C29" s="140" t="s">
        <v>146</v>
      </c>
      <c r="D29" s="189"/>
      <c r="E29" s="147">
        <v>80.5</v>
      </c>
      <c r="F29" s="148">
        <f t="shared" si="1"/>
        <v>81.948999999999998</v>
      </c>
      <c r="G29" s="148">
        <f t="shared" ref="G29:N29" si="23">+F29*$D$7+F29</f>
        <v>83.424081999999999</v>
      </c>
      <c r="H29" s="148">
        <f t="shared" si="23"/>
        <v>84.925715475999993</v>
      </c>
      <c r="I29" s="148">
        <f t="shared" si="23"/>
        <v>86.454378354567993</v>
      </c>
      <c r="J29" s="148">
        <f t="shared" si="23"/>
        <v>88.010557164950214</v>
      </c>
      <c r="K29" s="148">
        <f t="shared" si="23"/>
        <v>89.594747193919318</v>
      </c>
      <c r="L29" s="148">
        <f t="shared" si="23"/>
        <v>91.207452643409866</v>
      </c>
      <c r="M29" s="148">
        <f t="shared" si="23"/>
        <v>92.84918679099124</v>
      </c>
      <c r="N29" s="153">
        <f t="shared" si="23"/>
        <v>94.520472153229079</v>
      </c>
    </row>
    <row r="30" spans="2:14" ht="14.45" customHeight="1" x14ac:dyDescent="0.25">
      <c r="B30" s="139" t="s">
        <v>101</v>
      </c>
      <c r="C30" s="140" t="s">
        <v>152</v>
      </c>
      <c r="D30" s="189"/>
      <c r="E30" s="147">
        <f>702/52</f>
        <v>13.5</v>
      </c>
      <c r="F30" s="148">
        <f t="shared" si="1"/>
        <v>13.743</v>
      </c>
      <c r="G30" s="148">
        <f t="shared" ref="G30:N30" si="24">+F30*$D$7+F30</f>
        <v>13.990374000000001</v>
      </c>
      <c r="H30" s="148">
        <f t="shared" si="24"/>
        <v>14.242200732000001</v>
      </c>
      <c r="I30" s="148">
        <f t="shared" si="24"/>
        <v>14.498560345176001</v>
      </c>
      <c r="J30" s="148">
        <f t="shared" si="24"/>
        <v>14.759534431389168</v>
      </c>
      <c r="K30" s="148">
        <f t="shared" si="24"/>
        <v>15.025206051154173</v>
      </c>
      <c r="L30" s="148">
        <f t="shared" si="24"/>
        <v>15.295659760074948</v>
      </c>
      <c r="M30" s="148">
        <f t="shared" si="24"/>
        <v>15.570981635756297</v>
      </c>
      <c r="N30" s="153">
        <f t="shared" si="24"/>
        <v>15.85125930519991</v>
      </c>
    </row>
    <row r="31" spans="2:14" ht="14.45" customHeight="1" x14ac:dyDescent="0.25">
      <c r="B31" s="139" t="s">
        <v>102</v>
      </c>
      <c r="C31" s="140" t="s">
        <v>153</v>
      </c>
      <c r="D31" s="189"/>
      <c r="E31" s="147">
        <v>28.56</v>
      </c>
      <c r="F31" s="148">
        <f t="shared" si="1"/>
        <v>29.074079999999999</v>
      </c>
      <c r="G31" s="148">
        <f t="shared" ref="G31:M31" si="25">+F31*$D$7+F31</f>
        <v>29.597413439999997</v>
      </c>
      <c r="H31" s="148">
        <f t="shared" si="25"/>
        <v>30.130166881919997</v>
      </c>
      <c r="I31" s="148">
        <f t="shared" si="25"/>
        <v>30.672509885794558</v>
      </c>
      <c r="J31" s="148">
        <f t="shared" si="25"/>
        <v>31.22461506373886</v>
      </c>
      <c r="K31" s="148">
        <f t="shared" si="25"/>
        <v>31.78665813488616</v>
      </c>
      <c r="L31" s="148">
        <f t="shared" si="25"/>
        <v>32.358817981314111</v>
      </c>
      <c r="M31" s="148">
        <f t="shared" si="25"/>
        <v>32.941276704977767</v>
      </c>
      <c r="N31" s="153">
        <f>+M31*$D$7+M31</f>
        <v>33.534219685667367</v>
      </c>
    </row>
    <row r="32" spans="2:14" ht="14.45" customHeight="1" x14ac:dyDescent="0.25">
      <c r="B32" s="139" t="s">
        <v>103</v>
      </c>
      <c r="C32" s="140" t="s">
        <v>154</v>
      </c>
      <c r="D32" s="189"/>
      <c r="E32" s="147">
        <v>7</v>
      </c>
      <c r="F32" s="148">
        <f t="shared" si="1"/>
        <v>7.1260000000000003</v>
      </c>
      <c r="G32" s="148">
        <f t="shared" ref="G32:N32" si="26">+F32*$D$7+F32</f>
        <v>7.2542680000000006</v>
      </c>
      <c r="H32" s="148">
        <f t="shared" si="26"/>
        <v>7.3848448240000009</v>
      </c>
      <c r="I32" s="148">
        <f t="shared" si="26"/>
        <v>7.5177720308320009</v>
      </c>
      <c r="J32" s="148">
        <f t="shared" si="26"/>
        <v>7.6530919273869769</v>
      </c>
      <c r="K32" s="148">
        <f t="shared" si="26"/>
        <v>7.7908475820799428</v>
      </c>
      <c r="L32" s="148">
        <f t="shared" si="26"/>
        <v>7.9310828385573817</v>
      </c>
      <c r="M32" s="148">
        <f t="shared" si="26"/>
        <v>8.0738423296514146</v>
      </c>
      <c r="N32" s="153">
        <f t="shared" si="26"/>
        <v>8.2191714915851399</v>
      </c>
    </row>
    <row r="33" spans="2:14" ht="14.45" customHeight="1" x14ac:dyDescent="0.25">
      <c r="B33" s="139" t="s">
        <v>104</v>
      </c>
      <c r="C33" s="140" t="s">
        <v>155</v>
      </c>
      <c r="D33" s="189"/>
      <c r="E33" s="147">
        <v>15</v>
      </c>
      <c r="F33" s="148">
        <f t="shared" si="1"/>
        <v>15.27</v>
      </c>
      <c r="G33" s="148">
        <f t="shared" ref="G33:N33" si="27">+F33*$D$7+F33</f>
        <v>15.54486</v>
      </c>
      <c r="H33" s="148">
        <f t="shared" si="27"/>
        <v>15.82466748</v>
      </c>
      <c r="I33" s="148">
        <f t="shared" si="27"/>
        <v>16.10951149464</v>
      </c>
      <c r="J33" s="148">
        <f t="shared" si="27"/>
        <v>16.399482701543519</v>
      </c>
      <c r="K33" s="148">
        <f t="shared" si="27"/>
        <v>16.694673390171303</v>
      </c>
      <c r="L33" s="148">
        <f t="shared" si="27"/>
        <v>16.995177511194388</v>
      </c>
      <c r="M33" s="148">
        <f t="shared" si="27"/>
        <v>17.301090706395886</v>
      </c>
      <c r="N33" s="153">
        <f t="shared" si="27"/>
        <v>17.612510339111012</v>
      </c>
    </row>
    <row r="34" spans="2:14" ht="14.45" customHeight="1" x14ac:dyDescent="0.25">
      <c r="B34" s="139" t="s">
        <v>105</v>
      </c>
      <c r="C34" s="140" t="s">
        <v>156</v>
      </c>
      <c r="D34" s="189"/>
      <c r="E34" s="147">
        <v>20.58</v>
      </c>
      <c r="F34" s="148">
        <f t="shared" si="1"/>
        <v>20.950439999999997</v>
      </c>
      <c r="G34" s="148">
        <f t="shared" ref="G34:N34" si="28">+F34*$D$7+F34</f>
        <v>21.327547919999997</v>
      </c>
      <c r="H34" s="148">
        <f t="shared" si="28"/>
        <v>21.711443782559996</v>
      </c>
      <c r="I34" s="148">
        <f t="shared" si="28"/>
        <v>22.102249770646075</v>
      </c>
      <c r="J34" s="148">
        <f t="shared" si="28"/>
        <v>22.500090266517706</v>
      </c>
      <c r="K34" s="148">
        <f t="shared" si="28"/>
        <v>22.905091891315024</v>
      </c>
      <c r="L34" s="148">
        <f t="shared" si="28"/>
        <v>23.317383545358695</v>
      </c>
      <c r="M34" s="148">
        <f t="shared" si="28"/>
        <v>23.737096449175151</v>
      </c>
      <c r="N34" s="153">
        <f t="shared" si="28"/>
        <v>24.164364185260304</v>
      </c>
    </row>
    <row r="35" spans="2:14" ht="14.45" customHeight="1" x14ac:dyDescent="0.25">
      <c r="B35" s="139" t="s">
        <v>106</v>
      </c>
      <c r="C35" s="140" t="s">
        <v>157</v>
      </c>
      <c r="D35" s="189"/>
      <c r="E35" s="147">
        <v>22.72</v>
      </c>
      <c r="F35" s="148">
        <f t="shared" si="1"/>
        <v>23.128959999999999</v>
      </c>
      <c r="G35" s="148">
        <f t="shared" ref="G35:N35" si="29">+F35*$D$7+F35</f>
        <v>23.545281279999998</v>
      </c>
      <c r="H35" s="148">
        <f t="shared" si="29"/>
        <v>23.969096343039997</v>
      </c>
      <c r="I35" s="148">
        <f t="shared" si="29"/>
        <v>24.400540077214718</v>
      </c>
      <c r="J35" s="148">
        <f t="shared" si="29"/>
        <v>24.839749798604583</v>
      </c>
      <c r="K35" s="148">
        <f t="shared" si="29"/>
        <v>25.286865294979464</v>
      </c>
      <c r="L35" s="148">
        <f t="shared" si="29"/>
        <v>25.742028870289094</v>
      </c>
      <c r="M35" s="148">
        <f t="shared" si="29"/>
        <v>26.205385389954298</v>
      </c>
      <c r="N35" s="153">
        <f t="shared" si="29"/>
        <v>26.677082326973476</v>
      </c>
    </row>
    <row r="36" spans="2:14" ht="14.45" customHeight="1" x14ac:dyDescent="0.25">
      <c r="B36" s="139" t="s">
        <v>107</v>
      </c>
      <c r="C36" s="140" t="s">
        <v>158</v>
      </c>
      <c r="D36" s="189"/>
      <c r="E36" s="147">
        <v>8</v>
      </c>
      <c r="F36" s="148">
        <f t="shared" si="1"/>
        <v>8.1440000000000001</v>
      </c>
      <c r="G36" s="148">
        <f t="shared" ref="G36:N36" si="30">+F36*$D$7+F36</f>
        <v>8.2905920000000002</v>
      </c>
      <c r="H36" s="148">
        <f t="shared" si="30"/>
        <v>8.4398226560000005</v>
      </c>
      <c r="I36" s="148">
        <f t="shared" si="30"/>
        <v>8.5917394638080005</v>
      </c>
      <c r="J36" s="148">
        <f t="shared" si="30"/>
        <v>8.746390774156545</v>
      </c>
      <c r="K36" s="148">
        <f t="shared" si="30"/>
        <v>8.9038258080913621</v>
      </c>
      <c r="L36" s="148">
        <f t="shared" si="30"/>
        <v>9.0640946726370064</v>
      </c>
      <c r="M36" s="148">
        <f t="shared" si="30"/>
        <v>9.2272483767444733</v>
      </c>
      <c r="N36" s="153">
        <f t="shared" si="30"/>
        <v>9.3933388475258734</v>
      </c>
    </row>
    <row r="37" spans="2:14" ht="14.45" customHeight="1" x14ac:dyDescent="0.25">
      <c r="B37" s="139" t="s">
        <v>108</v>
      </c>
      <c r="C37" s="140" t="s">
        <v>158</v>
      </c>
      <c r="D37" s="189"/>
      <c r="E37" s="147">
        <v>8</v>
      </c>
      <c r="F37" s="148">
        <f t="shared" si="1"/>
        <v>8.1440000000000001</v>
      </c>
      <c r="G37" s="148">
        <f t="shared" ref="G37:N37" si="31">+F37*$D$7+F37</f>
        <v>8.2905920000000002</v>
      </c>
      <c r="H37" s="148">
        <f t="shared" si="31"/>
        <v>8.4398226560000005</v>
      </c>
      <c r="I37" s="148">
        <f t="shared" si="31"/>
        <v>8.5917394638080005</v>
      </c>
      <c r="J37" s="148">
        <f t="shared" si="31"/>
        <v>8.746390774156545</v>
      </c>
      <c r="K37" s="148">
        <f t="shared" si="31"/>
        <v>8.9038258080913621</v>
      </c>
      <c r="L37" s="148">
        <f t="shared" si="31"/>
        <v>9.0640946726370064</v>
      </c>
      <c r="M37" s="148">
        <f t="shared" si="31"/>
        <v>9.2272483767444733</v>
      </c>
      <c r="N37" s="153">
        <f t="shared" si="31"/>
        <v>9.3933388475258734</v>
      </c>
    </row>
    <row r="38" spans="2:14" ht="14.45" customHeight="1" x14ac:dyDescent="0.25">
      <c r="B38" s="139" t="s">
        <v>109</v>
      </c>
      <c r="C38" s="140" t="s">
        <v>143</v>
      </c>
      <c r="D38" s="189"/>
      <c r="E38" s="147">
        <v>11.25</v>
      </c>
      <c r="F38" s="148">
        <f t="shared" si="1"/>
        <v>11.452500000000001</v>
      </c>
      <c r="G38" s="148">
        <f t="shared" ref="G38:N38" si="32">+F38*$D$7+F38</f>
        <v>11.658645</v>
      </c>
      <c r="H38" s="148">
        <f t="shared" si="32"/>
        <v>11.86850061</v>
      </c>
      <c r="I38" s="148">
        <f t="shared" si="32"/>
        <v>12.082133620980001</v>
      </c>
      <c r="J38" s="148">
        <f t="shared" si="32"/>
        <v>12.299612026157641</v>
      </c>
      <c r="K38" s="148">
        <f t="shared" si="32"/>
        <v>12.521005042628479</v>
      </c>
      <c r="L38" s="148">
        <f t="shared" si="32"/>
        <v>12.746383133395792</v>
      </c>
      <c r="M38" s="148">
        <f t="shared" si="32"/>
        <v>12.975818029796915</v>
      </c>
      <c r="N38" s="153">
        <f t="shared" si="32"/>
        <v>13.20938275433326</v>
      </c>
    </row>
    <row r="39" spans="2:14" ht="14.45" customHeight="1" x14ac:dyDescent="0.25">
      <c r="B39" s="139" t="s">
        <v>110</v>
      </c>
      <c r="C39" s="140" t="s">
        <v>159</v>
      </c>
      <c r="D39" s="189"/>
      <c r="E39" s="147">
        <v>12.5</v>
      </c>
      <c r="F39" s="148">
        <f t="shared" si="1"/>
        <v>12.725</v>
      </c>
      <c r="G39" s="148">
        <f t="shared" ref="G39:N39" si="33">+F39*$D$7+F39</f>
        <v>12.954049999999999</v>
      </c>
      <c r="H39" s="148">
        <f t="shared" si="33"/>
        <v>13.187222899999998</v>
      </c>
      <c r="I39" s="148">
        <f t="shared" si="33"/>
        <v>13.424592912199998</v>
      </c>
      <c r="J39" s="148">
        <f t="shared" si="33"/>
        <v>13.666235584619598</v>
      </c>
      <c r="K39" s="148">
        <f t="shared" si="33"/>
        <v>13.91222782514275</v>
      </c>
      <c r="L39" s="148">
        <f t="shared" si="33"/>
        <v>14.162647925995319</v>
      </c>
      <c r="M39" s="148">
        <f t="shared" si="33"/>
        <v>14.417575588663235</v>
      </c>
      <c r="N39" s="153">
        <f t="shared" si="33"/>
        <v>14.677091949259173</v>
      </c>
    </row>
    <row r="40" spans="2:14" ht="14.45" customHeight="1" x14ac:dyDescent="0.25">
      <c r="B40" s="139" t="s">
        <v>111</v>
      </c>
      <c r="C40" s="140" t="s">
        <v>160</v>
      </c>
      <c r="D40" s="189"/>
      <c r="E40" s="147">
        <v>12</v>
      </c>
      <c r="F40" s="148">
        <f t="shared" ref="F40:F79" si="34">+E40*$D$7+E40</f>
        <v>12.215999999999999</v>
      </c>
      <c r="G40" s="148">
        <f t="shared" ref="G40:N40" si="35">+F40*$D$7+F40</f>
        <v>12.435887999999998</v>
      </c>
      <c r="H40" s="148">
        <f t="shared" si="35"/>
        <v>12.659733983999999</v>
      </c>
      <c r="I40" s="148">
        <f t="shared" si="35"/>
        <v>12.887609195711999</v>
      </c>
      <c r="J40" s="148">
        <f t="shared" si="35"/>
        <v>13.119586161234816</v>
      </c>
      <c r="K40" s="148">
        <f t="shared" si="35"/>
        <v>13.355738712137043</v>
      </c>
      <c r="L40" s="148">
        <f t="shared" si="35"/>
        <v>13.596142008955511</v>
      </c>
      <c r="M40" s="148">
        <f t="shared" si="35"/>
        <v>13.84087256511671</v>
      </c>
      <c r="N40" s="153">
        <f t="shared" si="35"/>
        <v>14.090008271288811</v>
      </c>
    </row>
    <row r="41" spans="2:14" ht="14.45" customHeight="1" x14ac:dyDescent="0.25">
      <c r="B41" s="139" t="s">
        <v>112</v>
      </c>
      <c r="C41" s="140" t="s">
        <v>143</v>
      </c>
      <c r="D41" s="189"/>
      <c r="E41" s="147">
        <v>10</v>
      </c>
      <c r="F41" s="148">
        <f t="shared" si="34"/>
        <v>10.18</v>
      </c>
      <c r="G41" s="148">
        <f t="shared" ref="G41:N41" si="36">+F41*$D$7+F41</f>
        <v>10.363239999999999</v>
      </c>
      <c r="H41" s="148">
        <f t="shared" si="36"/>
        <v>10.54977832</v>
      </c>
      <c r="I41" s="148">
        <f t="shared" si="36"/>
        <v>10.73967432976</v>
      </c>
      <c r="J41" s="148">
        <f t="shared" si="36"/>
        <v>10.932988467695679</v>
      </c>
      <c r="K41" s="148">
        <f t="shared" si="36"/>
        <v>11.129782260114201</v>
      </c>
      <c r="L41" s="148">
        <f t="shared" si="36"/>
        <v>11.330118340796256</v>
      </c>
      <c r="M41" s="148">
        <f t="shared" si="36"/>
        <v>11.534060470930589</v>
      </c>
      <c r="N41" s="153">
        <f t="shared" si="36"/>
        <v>11.741673559407339</v>
      </c>
    </row>
    <row r="42" spans="2:14" ht="14.45" customHeight="1" x14ac:dyDescent="0.25">
      <c r="B42" s="139" t="s">
        <v>113</v>
      </c>
      <c r="C42" s="140" t="s">
        <v>161</v>
      </c>
      <c r="D42" s="189"/>
      <c r="E42" s="147">
        <v>120</v>
      </c>
      <c r="F42" s="148">
        <f t="shared" si="34"/>
        <v>122.16</v>
      </c>
      <c r="G42" s="148">
        <f t="shared" ref="G42:N42" si="37">+F42*$D$7+F42</f>
        <v>124.35888</v>
      </c>
      <c r="H42" s="148">
        <f t="shared" si="37"/>
        <v>126.59733984</v>
      </c>
      <c r="I42" s="148">
        <f t="shared" si="37"/>
        <v>128.87609195712</v>
      </c>
      <c r="J42" s="148">
        <f t="shared" si="37"/>
        <v>131.19586161234815</v>
      </c>
      <c r="K42" s="148">
        <f t="shared" si="37"/>
        <v>133.55738712137043</v>
      </c>
      <c r="L42" s="148">
        <f t="shared" si="37"/>
        <v>135.96142008955511</v>
      </c>
      <c r="M42" s="148">
        <f t="shared" si="37"/>
        <v>138.40872565116709</v>
      </c>
      <c r="N42" s="153">
        <f t="shared" si="37"/>
        <v>140.90008271288809</v>
      </c>
    </row>
    <row r="43" spans="2:14" ht="14.45" customHeight="1" x14ac:dyDescent="0.25">
      <c r="B43" s="139" t="s">
        <v>114</v>
      </c>
      <c r="C43" s="140" t="s">
        <v>162</v>
      </c>
      <c r="D43" s="189"/>
      <c r="E43" s="147">
        <v>66</v>
      </c>
      <c r="F43" s="148">
        <f t="shared" si="34"/>
        <v>67.188000000000002</v>
      </c>
      <c r="G43" s="148">
        <f t="shared" ref="G43:N43" si="38">+F43*$D$7+F43</f>
        <v>68.397384000000002</v>
      </c>
      <c r="H43" s="148">
        <f t="shared" si="38"/>
        <v>69.628536912000001</v>
      </c>
      <c r="I43" s="148">
        <f t="shared" si="38"/>
        <v>70.881850576415999</v>
      </c>
      <c r="J43" s="148">
        <f t="shared" si="38"/>
        <v>72.157723886791487</v>
      </c>
      <c r="K43" s="148">
        <f t="shared" si="38"/>
        <v>73.45656291675374</v>
      </c>
      <c r="L43" s="148">
        <f t="shared" si="38"/>
        <v>74.778781049255301</v>
      </c>
      <c r="M43" s="148">
        <f t="shared" si="38"/>
        <v>76.1247991081419</v>
      </c>
      <c r="N43" s="153">
        <f t="shared" si="38"/>
        <v>77.495045492088451</v>
      </c>
    </row>
    <row r="44" spans="2:14" ht="14.45" customHeight="1" x14ac:dyDescent="0.25">
      <c r="B44" s="139" t="s">
        <v>115</v>
      </c>
      <c r="C44" s="140" t="s">
        <v>163</v>
      </c>
      <c r="D44" s="189"/>
      <c r="E44" s="147">
        <v>7</v>
      </c>
      <c r="F44" s="148">
        <f t="shared" si="34"/>
        <v>7.1260000000000003</v>
      </c>
      <c r="G44" s="148">
        <f t="shared" ref="G44:N44" si="39">+F44*$D$7+F44</f>
        <v>7.2542680000000006</v>
      </c>
      <c r="H44" s="148">
        <f t="shared" si="39"/>
        <v>7.3848448240000009</v>
      </c>
      <c r="I44" s="148">
        <f t="shared" si="39"/>
        <v>7.5177720308320009</v>
      </c>
      <c r="J44" s="148">
        <f t="shared" si="39"/>
        <v>7.6530919273869769</v>
      </c>
      <c r="K44" s="148">
        <f t="shared" si="39"/>
        <v>7.7908475820799428</v>
      </c>
      <c r="L44" s="148">
        <f t="shared" si="39"/>
        <v>7.9310828385573817</v>
      </c>
      <c r="M44" s="148">
        <f t="shared" si="39"/>
        <v>8.0738423296514146</v>
      </c>
      <c r="N44" s="153">
        <f t="shared" si="39"/>
        <v>8.2191714915851399</v>
      </c>
    </row>
    <row r="45" spans="2:14" ht="14.45" customHeight="1" x14ac:dyDescent="0.25">
      <c r="B45" s="139" t="s">
        <v>116</v>
      </c>
      <c r="C45" s="140" t="s">
        <v>178</v>
      </c>
      <c r="D45" s="189"/>
      <c r="E45" s="147">
        <v>2.72</v>
      </c>
      <c r="F45" s="148">
        <f t="shared" si="34"/>
        <v>2.7689600000000003</v>
      </c>
      <c r="G45" s="148">
        <f t="shared" ref="G45:N45" si="40">+F45*$D$7+F45</f>
        <v>2.8188012800000002</v>
      </c>
      <c r="H45" s="148">
        <f t="shared" si="40"/>
        <v>2.8695397030400001</v>
      </c>
      <c r="I45" s="148">
        <f t="shared" si="40"/>
        <v>2.92119141769472</v>
      </c>
      <c r="J45" s="148">
        <f t="shared" si="40"/>
        <v>2.9737728632132248</v>
      </c>
      <c r="K45" s="148">
        <f t="shared" si="40"/>
        <v>3.0273007747510627</v>
      </c>
      <c r="L45" s="148">
        <f t="shared" si="40"/>
        <v>3.081792188696582</v>
      </c>
      <c r="M45" s="148">
        <f t="shared" si="40"/>
        <v>3.1372644480931204</v>
      </c>
      <c r="N45" s="153">
        <f t="shared" si="40"/>
        <v>3.1937352081587966</v>
      </c>
    </row>
    <row r="46" spans="2:14" ht="14.45" customHeight="1" x14ac:dyDescent="0.25">
      <c r="B46" s="139" t="s">
        <v>117</v>
      </c>
      <c r="C46" s="140" t="s">
        <v>164</v>
      </c>
      <c r="D46" s="189"/>
      <c r="E46" s="147">
        <v>3.6</v>
      </c>
      <c r="F46" s="148">
        <f t="shared" si="34"/>
        <v>3.6648000000000001</v>
      </c>
      <c r="G46" s="148">
        <f t="shared" ref="G46:N46" si="41">+F46*$D$7+F46</f>
        <v>3.7307664000000003</v>
      </c>
      <c r="H46" s="148">
        <f t="shared" si="41"/>
        <v>3.7979201952000001</v>
      </c>
      <c r="I46" s="148">
        <f t="shared" si="41"/>
        <v>3.8662827587135999</v>
      </c>
      <c r="J46" s="148">
        <f t="shared" si="41"/>
        <v>3.9358758483704448</v>
      </c>
      <c r="K46" s="148">
        <f t="shared" si="41"/>
        <v>4.0067216136411128</v>
      </c>
      <c r="L46" s="148">
        <f t="shared" si="41"/>
        <v>4.0788426026866524</v>
      </c>
      <c r="M46" s="148">
        <f t="shared" si="41"/>
        <v>4.1522617695350119</v>
      </c>
      <c r="N46" s="153">
        <f t="shared" si="41"/>
        <v>4.2270024813866423</v>
      </c>
    </row>
    <row r="47" spans="2:14" ht="14.45" customHeight="1" x14ac:dyDescent="0.25">
      <c r="B47" s="139" t="s">
        <v>118</v>
      </c>
      <c r="C47" s="140" t="s">
        <v>165</v>
      </c>
      <c r="D47" s="189"/>
      <c r="E47" s="147">
        <v>4.25</v>
      </c>
      <c r="F47" s="148">
        <f t="shared" si="34"/>
        <v>4.3265000000000002</v>
      </c>
      <c r="G47" s="148">
        <f t="shared" ref="G47:N47" si="42">+F47*$D$7+F47</f>
        <v>4.4043770000000002</v>
      </c>
      <c r="H47" s="148">
        <f t="shared" si="42"/>
        <v>4.4836557859999999</v>
      </c>
      <c r="I47" s="148">
        <f t="shared" si="42"/>
        <v>4.5643615901479997</v>
      </c>
      <c r="J47" s="148">
        <f t="shared" si="42"/>
        <v>4.6465200987706634</v>
      </c>
      <c r="K47" s="148">
        <f t="shared" si="42"/>
        <v>4.7301574605485355</v>
      </c>
      <c r="L47" s="148">
        <f t="shared" si="42"/>
        <v>4.8153002948384094</v>
      </c>
      <c r="M47" s="148">
        <f t="shared" si="42"/>
        <v>4.9019757001455009</v>
      </c>
      <c r="N47" s="153">
        <f t="shared" si="42"/>
        <v>4.9902112627481197</v>
      </c>
    </row>
    <row r="48" spans="2:14" ht="14.45" customHeight="1" x14ac:dyDescent="0.25">
      <c r="B48" s="139" t="s">
        <v>119</v>
      </c>
      <c r="C48" s="140" t="s">
        <v>165</v>
      </c>
      <c r="D48" s="189"/>
      <c r="E48" s="147">
        <v>4.25</v>
      </c>
      <c r="F48" s="148">
        <f t="shared" si="34"/>
        <v>4.3265000000000002</v>
      </c>
      <c r="G48" s="148">
        <f t="shared" ref="G48:N48" si="43">+F48*$D$7+F48</f>
        <v>4.4043770000000002</v>
      </c>
      <c r="H48" s="148">
        <f t="shared" si="43"/>
        <v>4.4836557859999999</v>
      </c>
      <c r="I48" s="148">
        <f t="shared" si="43"/>
        <v>4.5643615901479997</v>
      </c>
      <c r="J48" s="148">
        <f t="shared" si="43"/>
        <v>4.6465200987706634</v>
      </c>
      <c r="K48" s="148">
        <f t="shared" si="43"/>
        <v>4.7301574605485355</v>
      </c>
      <c r="L48" s="148">
        <f t="shared" si="43"/>
        <v>4.8153002948384094</v>
      </c>
      <c r="M48" s="148">
        <f t="shared" si="43"/>
        <v>4.9019757001455009</v>
      </c>
      <c r="N48" s="153">
        <f t="shared" si="43"/>
        <v>4.9902112627481197</v>
      </c>
    </row>
    <row r="49" spans="2:14" ht="14.45" customHeight="1" x14ac:dyDescent="0.25">
      <c r="B49" s="139" t="s">
        <v>120</v>
      </c>
      <c r="C49" s="140" t="s">
        <v>166</v>
      </c>
      <c r="D49" s="189"/>
      <c r="E49" s="147">
        <v>6</v>
      </c>
      <c r="F49" s="148">
        <f t="shared" si="34"/>
        <v>6.1079999999999997</v>
      </c>
      <c r="G49" s="148">
        <f t="shared" ref="G49:N49" si="44">+F49*$D$7+F49</f>
        <v>6.2179439999999992</v>
      </c>
      <c r="H49" s="148">
        <f t="shared" si="44"/>
        <v>6.3298669919999995</v>
      </c>
      <c r="I49" s="148">
        <f t="shared" si="44"/>
        <v>6.4438045978559995</v>
      </c>
      <c r="J49" s="148">
        <f t="shared" si="44"/>
        <v>6.5597930806174078</v>
      </c>
      <c r="K49" s="148">
        <f t="shared" si="44"/>
        <v>6.6778693560685216</v>
      </c>
      <c r="L49" s="148">
        <f t="shared" si="44"/>
        <v>6.7980710044777553</v>
      </c>
      <c r="M49" s="148">
        <f t="shared" si="44"/>
        <v>6.920436282558355</v>
      </c>
      <c r="N49" s="153">
        <f t="shared" si="44"/>
        <v>7.0450041356444055</v>
      </c>
    </row>
    <row r="50" spans="2:14" ht="14.45" customHeight="1" x14ac:dyDescent="0.25">
      <c r="B50" s="139" t="s">
        <v>121</v>
      </c>
      <c r="C50" s="140" t="s">
        <v>164</v>
      </c>
      <c r="D50" s="189"/>
      <c r="E50" s="147">
        <v>9</v>
      </c>
      <c r="F50" s="148">
        <f t="shared" si="34"/>
        <v>9.1620000000000008</v>
      </c>
      <c r="G50" s="148">
        <f t="shared" ref="G50:N50" si="45">+F50*$D$7+F50</f>
        <v>9.3269160000000007</v>
      </c>
      <c r="H50" s="148">
        <f t="shared" si="45"/>
        <v>9.494800488000001</v>
      </c>
      <c r="I50" s="148">
        <f t="shared" si="45"/>
        <v>9.6657068967840019</v>
      </c>
      <c r="J50" s="148">
        <f t="shared" si="45"/>
        <v>9.839689620926114</v>
      </c>
      <c r="K50" s="148">
        <f t="shared" si="45"/>
        <v>10.016804034102783</v>
      </c>
      <c r="L50" s="148">
        <f t="shared" si="45"/>
        <v>10.197106506716633</v>
      </c>
      <c r="M50" s="148">
        <f t="shared" si="45"/>
        <v>10.380654423837532</v>
      </c>
      <c r="N50" s="153">
        <f t="shared" si="45"/>
        <v>10.567506203466607</v>
      </c>
    </row>
    <row r="51" spans="2:14" ht="14.45" customHeight="1" x14ac:dyDescent="0.25">
      <c r="B51" s="139" t="s">
        <v>122</v>
      </c>
      <c r="C51" s="140" t="s">
        <v>167</v>
      </c>
      <c r="D51" s="189"/>
      <c r="E51" s="147">
        <v>7</v>
      </c>
      <c r="F51" s="148">
        <f t="shared" si="34"/>
        <v>7.1260000000000003</v>
      </c>
      <c r="G51" s="148">
        <f t="shared" ref="G51:N51" si="46">+F51*$D$7+F51</f>
        <v>7.2542680000000006</v>
      </c>
      <c r="H51" s="148">
        <f t="shared" si="46"/>
        <v>7.3848448240000009</v>
      </c>
      <c r="I51" s="148">
        <f t="shared" si="46"/>
        <v>7.5177720308320009</v>
      </c>
      <c r="J51" s="148">
        <f t="shared" si="46"/>
        <v>7.6530919273869769</v>
      </c>
      <c r="K51" s="148">
        <f t="shared" si="46"/>
        <v>7.7908475820799428</v>
      </c>
      <c r="L51" s="148">
        <f t="shared" si="46"/>
        <v>7.9310828385573817</v>
      </c>
      <c r="M51" s="148">
        <f t="shared" si="46"/>
        <v>8.0738423296514146</v>
      </c>
      <c r="N51" s="153">
        <f t="shared" si="46"/>
        <v>8.2191714915851399</v>
      </c>
    </row>
    <row r="52" spans="2:14" ht="14.45" customHeight="1" x14ac:dyDescent="0.25">
      <c r="B52" s="139" t="s">
        <v>123</v>
      </c>
      <c r="C52" s="140" t="s">
        <v>167</v>
      </c>
      <c r="D52" s="189"/>
      <c r="E52" s="147">
        <v>8</v>
      </c>
      <c r="F52" s="148">
        <f t="shared" si="34"/>
        <v>8.1440000000000001</v>
      </c>
      <c r="G52" s="148">
        <f t="shared" ref="G52:N52" si="47">+F52*$D$7+F52</f>
        <v>8.2905920000000002</v>
      </c>
      <c r="H52" s="148">
        <f t="shared" si="47"/>
        <v>8.4398226560000005</v>
      </c>
      <c r="I52" s="148">
        <f t="shared" si="47"/>
        <v>8.5917394638080005</v>
      </c>
      <c r="J52" s="148">
        <f t="shared" si="47"/>
        <v>8.746390774156545</v>
      </c>
      <c r="K52" s="148">
        <f t="shared" si="47"/>
        <v>8.9038258080913621</v>
      </c>
      <c r="L52" s="148">
        <f t="shared" si="47"/>
        <v>9.0640946726370064</v>
      </c>
      <c r="M52" s="148">
        <f t="shared" si="47"/>
        <v>9.2272483767444733</v>
      </c>
      <c r="N52" s="153">
        <f t="shared" si="47"/>
        <v>9.3933388475258734</v>
      </c>
    </row>
    <row r="53" spans="2:14" ht="14.45" customHeight="1" x14ac:dyDescent="0.25">
      <c r="B53" s="139" t="s">
        <v>124</v>
      </c>
      <c r="C53" s="140" t="s">
        <v>148</v>
      </c>
      <c r="D53" s="189"/>
      <c r="E53" s="147">
        <v>10</v>
      </c>
      <c r="F53" s="148">
        <f t="shared" si="34"/>
        <v>10.18</v>
      </c>
      <c r="G53" s="148">
        <f t="shared" ref="G53:N53" si="48">+F53*$D$7+F53</f>
        <v>10.363239999999999</v>
      </c>
      <c r="H53" s="148">
        <f t="shared" si="48"/>
        <v>10.54977832</v>
      </c>
      <c r="I53" s="148">
        <f t="shared" si="48"/>
        <v>10.73967432976</v>
      </c>
      <c r="J53" s="148">
        <f t="shared" si="48"/>
        <v>10.932988467695679</v>
      </c>
      <c r="K53" s="148">
        <f t="shared" si="48"/>
        <v>11.129782260114201</v>
      </c>
      <c r="L53" s="148">
        <f t="shared" si="48"/>
        <v>11.330118340796256</v>
      </c>
      <c r="M53" s="148">
        <f t="shared" si="48"/>
        <v>11.534060470930589</v>
      </c>
      <c r="N53" s="153">
        <f t="shared" si="48"/>
        <v>11.741673559407339</v>
      </c>
    </row>
    <row r="54" spans="2:14" ht="14.45" customHeight="1" x14ac:dyDescent="0.25">
      <c r="B54" s="139" t="s">
        <v>125</v>
      </c>
      <c r="C54" s="140" t="s">
        <v>168</v>
      </c>
      <c r="D54" s="189"/>
      <c r="E54" s="147">
        <v>4.9000000000000004</v>
      </c>
      <c r="F54" s="148">
        <f t="shared" si="34"/>
        <v>4.9882</v>
      </c>
      <c r="G54" s="148">
        <f t="shared" ref="G54:N54" si="49">+F54*$D$7+F54</f>
        <v>5.0779876000000002</v>
      </c>
      <c r="H54" s="148">
        <f t="shared" si="49"/>
        <v>5.1693913768000002</v>
      </c>
      <c r="I54" s="148">
        <f t="shared" si="49"/>
        <v>5.2624404215823999</v>
      </c>
      <c r="J54" s="148">
        <f t="shared" si="49"/>
        <v>5.3571643491708834</v>
      </c>
      <c r="K54" s="148">
        <f t="shared" si="49"/>
        <v>5.453593307455959</v>
      </c>
      <c r="L54" s="148">
        <f t="shared" si="49"/>
        <v>5.5517579869901663</v>
      </c>
      <c r="M54" s="148">
        <f t="shared" si="49"/>
        <v>5.651689630755989</v>
      </c>
      <c r="N54" s="153">
        <f t="shared" si="49"/>
        <v>5.7534200441095971</v>
      </c>
    </row>
    <row r="55" spans="2:14" ht="14.45" customHeight="1" x14ac:dyDescent="0.25">
      <c r="B55" s="139" t="s">
        <v>126</v>
      </c>
      <c r="C55" s="140" t="s">
        <v>169</v>
      </c>
      <c r="D55" s="189"/>
      <c r="E55" s="147">
        <v>18</v>
      </c>
      <c r="F55" s="148">
        <f t="shared" si="34"/>
        <v>18.324000000000002</v>
      </c>
      <c r="G55" s="148">
        <f t="shared" ref="G55:N55" si="50">+F55*$D$7+F55</f>
        <v>18.653832000000001</v>
      </c>
      <c r="H55" s="148">
        <f t="shared" si="50"/>
        <v>18.989600976000002</v>
      </c>
      <c r="I55" s="148">
        <f t="shared" si="50"/>
        <v>19.331413793568004</v>
      </c>
      <c r="J55" s="148">
        <f t="shared" si="50"/>
        <v>19.679379241852228</v>
      </c>
      <c r="K55" s="148">
        <f t="shared" si="50"/>
        <v>20.033608068205567</v>
      </c>
      <c r="L55" s="148">
        <f t="shared" si="50"/>
        <v>20.394213013433266</v>
      </c>
      <c r="M55" s="148">
        <f t="shared" si="50"/>
        <v>20.761308847675064</v>
      </c>
      <c r="N55" s="153">
        <f t="shared" si="50"/>
        <v>21.135012406933214</v>
      </c>
    </row>
    <row r="56" spans="2:14" ht="14.45" customHeight="1" x14ac:dyDescent="0.25">
      <c r="B56" s="139" t="s">
        <v>127</v>
      </c>
      <c r="C56" s="140" t="s">
        <v>170</v>
      </c>
      <c r="D56" s="189"/>
      <c r="E56" s="147">
        <v>10</v>
      </c>
      <c r="F56" s="148">
        <f t="shared" si="34"/>
        <v>10.18</v>
      </c>
      <c r="G56" s="148">
        <f t="shared" ref="G56:N56" si="51">+F56*$D$7+F56</f>
        <v>10.363239999999999</v>
      </c>
      <c r="H56" s="148">
        <f t="shared" si="51"/>
        <v>10.54977832</v>
      </c>
      <c r="I56" s="148">
        <f t="shared" si="51"/>
        <v>10.73967432976</v>
      </c>
      <c r="J56" s="148">
        <f t="shared" si="51"/>
        <v>10.932988467695679</v>
      </c>
      <c r="K56" s="148">
        <f t="shared" si="51"/>
        <v>11.129782260114201</v>
      </c>
      <c r="L56" s="148">
        <f t="shared" si="51"/>
        <v>11.330118340796256</v>
      </c>
      <c r="M56" s="148">
        <f t="shared" si="51"/>
        <v>11.534060470930589</v>
      </c>
      <c r="N56" s="153">
        <f t="shared" si="51"/>
        <v>11.741673559407339</v>
      </c>
    </row>
    <row r="57" spans="2:14" ht="14.45" customHeight="1" x14ac:dyDescent="0.25">
      <c r="B57" s="139" t="s">
        <v>128</v>
      </c>
      <c r="C57" s="140" t="s">
        <v>171</v>
      </c>
      <c r="D57" s="189"/>
      <c r="E57" s="147">
        <v>7</v>
      </c>
      <c r="F57" s="148">
        <f t="shared" si="34"/>
        <v>7.1260000000000003</v>
      </c>
      <c r="G57" s="148">
        <f t="shared" ref="G57:N57" si="52">+F57*$D$7+F57</f>
        <v>7.2542680000000006</v>
      </c>
      <c r="H57" s="148">
        <f t="shared" si="52"/>
        <v>7.3848448240000009</v>
      </c>
      <c r="I57" s="148">
        <f t="shared" si="52"/>
        <v>7.5177720308320009</v>
      </c>
      <c r="J57" s="148">
        <f t="shared" si="52"/>
        <v>7.6530919273869769</v>
      </c>
      <c r="K57" s="148">
        <f t="shared" si="52"/>
        <v>7.7908475820799428</v>
      </c>
      <c r="L57" s="148">
        <f t="shared" si="52"/>
        <v>7.9310828385573817</v>
      </c>
      <c r="M57" s="148">
        <f t="shared" si="52"/>
        <v>8.0738423296514146</v>
      </c>
      <c r="N57" s="153">
        <f t="shared" si="52"/>
        <v>8.2191714915851399</v>
      </c>
    </row>
    <row r="58" spans="2:14" ht="14.45" customHeight="1" x14ac:dyDescent="0.25">
      <c r="B58" s="139" t="s">
        <v>129</v>
      </c>
      <c r="C58" s="140" t="s">
        <v>172</v>
      </c>
      <c r="D58" s="189"/>
      <c r="E58" s="147">
        <v>1.58</v>
      </c>
      <c r="F58" s="148">
        <f t="shared" si="34"/>
        <v>1.6084400000000001</v>
      </c>
      <c r="G58" s="148">
        <f t="shared" ref="G58:N58" si="53">+F58*$D$7+F58</f>
        <v>1.63739192</v>
      </c>
      <c r="H58" s="148">
        <f t="shared" si="53"/>
        <v>1.6668649745599999</v>
      </c>
      <c r="I58" s="148">
        <f t="shared" si="53"/>
        <v>1.6968685441020799</v>
      </c>
      <c r="J58" s="148">
        <f t="shared" si="53"/>
        <v>1.7274121778959173</v>
      </c>
      <c r="K58" s="148">
        <f t="shared" si="53"/>
        <v>1.7585055970980439</v>
      </c>
      <c r="L58" s="148">
        <f t="shared" si="53"/>
        <v>1.7901586978458086</v>
      </c>
      <c r="M58" s="148">
        <f t="shared" si="53"/>
        <v>1.8223815544070332</v>
      </c>
      <c r="N58" s="153">
        <f t="shared" si="53"/>
        <v>1.8551844223863598</v>
      </c>
    </row>
    <row r="59" spans="2:14" ht="14.45" customHeight="1" x14ac:dyDescent="0.25">
      <c r="B59" s="139" t="s">
        <v>130</v>
      </c>
      <c r="C59" s="140" t="s">
        <v>173</v>
      </c>
      <c r="D59" s="189"/>
      <c r="E59" s="147">
        <v>19</v>
      </c>
      <c r="F59" s="148">
        <f t="shared" si="34"/>
        <v>19.341999999999999</v>
      </c>
      <c r="G59" s="148">
        <f t="shared" ref="G59:N59" si="54">+F59*$D$7+F59</f>
        <v>19.690155999999998</v>
      </c>
      <c r="H59" s="148">
        <f t="shared" si="54"/>
        <v>20.044578807999997</v>
      </c>
      <c r="I59" s="148">
        <f t="shared" si="54"/>
        <v>20.405381226543998</v>
      </c>
      <c r="J59" s="148">
        <f t="shared" si="54"/>
        <v>20.772678088621792</v>
      </c>
      <c r="K59" s="148">
        <f t="shared" si="54"/>
        <v>21.146586294216984</v>
      </c>
      <c r="L59" s="148">
        <f t="shared" si="54"/>
        <v>21.52722484751289</v>
      </c>
      <c r="M59" s="148">
        <f t="shared" si="54"/>
        <v>21.914714894768121</v>
      </c>
      <c r="N59" s="153">
        <f t="shared" si="54"/>
        <v>22.309179762873946</v>
      </c>
    </row>
    <row r="60" spans="2:14" ht="14.45" customHeight="1" x14ac:dyDescent="0.25">
      <c r="B60" s="139" t="s">
        <v>131</v>
      </c>
      <c r="C60" s="140" t="s">
        <v>174</v>
      </c>
      <c r="D60" s="189"/>
      <c r="E60" s="147">
        <v>5.4</v>
      </c>
      <c r="F60" s="148">
        <f t="shared" si="34"/>
        <v>5.4972000000000003</v>
      </c>
      <c r="G60" s="148">
        <f t="shared" ref="G60:N60" si="55">+F60*$D$7+F60</f>
        <v>5.5961496000000004</v>
      </c>
      <c r="H60" s="148">
        <f t="shared" si="55"/>
        <v>5.6968802928000004</v>
      </c>
      <c r="I60" s="148">
        <f t="shared" si="55"/>
        <v>5.7994241380704006</v>
      </c>
      <c r="J60" s="148">
        <f t="shared" si="55"/>
        <v>5.9038137725556679</v>
      </c>
      <c r="K60" s="148">
        <f t="shared" si="55"/>
        <v>6.0100824204616696</v>
      </c>
      <c r="L60" s="148">
        <f t="shared" si="55"/>
        <v>6.1182639040299795</v>
      </c>
      <c r="M60" s="148">
        <f t="shared" si="55"/>
        <v>6.2283926543025192</v>
      </c>
      <c r="N60" s="153">
        <f t="shared" si="55"/>
        <v>6.3405037220799647</v>
      </c>
    </row>
    <row r="61" spans="2:14" ht="14.45" customHeight="1" x14ac:dyDescent="0.25">
      <c r="B61" s="139" t="s">
        <v>132</v>
      </c>
      <c r="C61" s="140" t="s">
        <v>175</v>
      </c>
      <c r="D61" s="189"/>
      <c r="E61" s="147">
        <v>6.25</v>
      </c>
      <c r="F61" s="148">
        <f t="shared" si="34"/>
        <v>6.3624999999999998</v>
      </c>
      <c r="G61" s="148">
        <f t="shared" ref="G61:N61" si="56">+F61*$D$7+F61</f>
        <v>6.4770249999999994</v>
      </c>
      <c r="H61" s="148">
        <f t="shared" si="56"/>
        <v>6.5936114499999992</v>
      </c>
      <c r="I61" s="148">
        <f t="shared" si="56"/>
        <v>6.7122964560999989</v>
      </c>
      <c r="J61" s="148">
        <f t="shared" si="56"/>
        <v>6.8331177923097988</v>
      </c>
      <c r="K61" s="148">
        <f t="shared" si="56"/>
        <v>6.9561139125713751</v>
      </c>
      <c r="L61" s="148">
        <f t="shared" si="56"/>
        <v>7.0813239629976596</v>
      </c>
      <c r="M61" s="148">
        <f t="shared" si="56"/>
        <v>7.2087877943316174</v>
      </c>
      <c r="N61" s="153">
        <f t="shared" si="56"/>
        <v>7.3385459746295867</v>
      </c>
    </row>
    <row r="62" spans="2:14" ht="14.45" customHeight="1" x14ac:dyDescent="0.25">
      <c r="B62" s="139" t="s">
        <v>133</v>
      </c>
      <c r="C62" s="140" t="s">
        <v>176</v>
      </c>
      <c r="D62" s="189"/>
      <c r="E62" s="147">
        <v>4.5</v>
      </c>
      <c r="F62" s="148">
        <f t="shared" si="34"/>
        <v>4.5810000000000004</v>
      </c>
      <c r="G62" s="148">
        <f t="shared" ref="G62:N62" si="57">+F62*$D$7+F62</f>
        <v>4.6634580000000003</v>
      </c>
      <c r="H62" s="148">
        <f t="shared" si="57"/>
        <v>4.7474002440000005</v>
      </c>
      <c r="I62" s="148">
        <f t="shared" si="57"/>
        <v>4.8328534483920009</v>
      </c>
      <c r="J62" s="148">
        <f t="shared" si="57"/>
        <v>4.919844810463057</v>
      </c>
      <c r="K62" s="148">
        <f t="shared" si="57"/>
        <v>5.0084020170513917</v>
      </c>
      <c r="L62" s="148">
        <f t="shared" si="57"/>
        <v>5.0985532533583164</v>
      </c>
      <c r="M62" s="148">
        <f t="shared" si="57"/>
        <v>5.190327211918766</v>
      </c>
      <c r="N62" s="153">
        <f t="shared" si="57"/>
        <v>5.2837531017333035</v>
      </c>
    </row>
    <row r="63" spans="2:14" ht="14.45" customHeight="1" x14ac:dyDescent="0.25">
      <c r="B63" s="139" t="s">
        <v>134</v>
      </c>
      <c r="C63" s="140" t="s">
        <v>177</v>
      </c>
      <c r="D63" s="189"/>
      <c r="E63" s="149">
        <v>42</v>
      </c>
      <c r="F63" s="150">
        <f t="shared" si="34"/>
        <v>42.756</v>
      </c>
      <c r="G63" s="150">
        <f t="shared" ref="G63:N79" si="58">+F63*$D$7+F63</f>
        <v>43.525607999999998</v>
      </c>
      <c r="H63" s="150">
        <f t="shared" si="58"/>
        <v>44.309068943999996</v>
      </c>
      <c r="I63" s="150">
        <f t="shared" si="58"/>
        <v>45.106632184991994</v>
      </c>
      <c r="J63" s="150">
        <f t="shared" si="58"/>
        <v>45.918551564321852</v>
      </c>
      <c r="K63" s="150">
        <f t="shared" si="58"/>
        <v>46.745085492479646</v>
      </c>
      <c r="L63" s="150">
        <f t="shared" si="58"/>
        <v>47.58649703134428</v>
      </c>
      <c r="M63" s="150">
        <f t="shared" si="58"/>
        <v>48.443053977908477</v>
      </c>
      <c r="N63" s="154">
        <f t="shared" si="58"/>
        <v>49.315028949510832</v>
      </c>
    </row>
    <row r="64" spans="2:14" ht="14.45" customHeight="1" x14ac:dyDescent="0.25">
      <c r="B64" s="139" t="s">
        <v>204</v>
      </c>
      <c r="C64" s="140" t="s">
        <v>211</v>
      </c>
      <c r="D64" s="189"/>
      <c r="E64" s="166">
        <v>15.2</v>
      </c>
      <c r="F64" s="162">
        <f t="shared" si="34"/>
        <v>15.473599999999999</v>
      </c>
      <c r="G64" s="162">
        <f t="shared" si="58"/>
        <v>15.752124799999999</v>
      </c>
      <c r="H64" s="162">
        <f t="shared" si="58"/>
        <v>16.0356630464</v>
      </c>
      <c r="I64" s="162">
        <f t="shared" si="58"/>
        <v>16.324304981235201</v>
      </c>
      <c r="J64" s="162">
        <f t="shared" si="58"/>
        <v>16.618142470897435</v>
      </c>
      <c r="K64" s="162">
        <f t="shared" si="58"/>
        <v>16.91726903537359</v>
      </c>
      <c r="L64" s="162">
        <f t="shared" si="58"/>
        <v>17.221779878010313</v>
      </c>
      <c r="M64" s="162">
        <f t="shared" si="58"/>
        <v>17.531771915814499</v>
      </c>
      <c r="N64" s="163">
        <f t="shared" si="58"/>
        <v>17.847343810299162</v>
      </c>
    </row>
    <row r="65" spans="2:14" ht="14.45" customHeight="1" x14ac:dyDescent="0.25">
      <c r="B65" s="139" t="s">
        <v>48</v>
      </c>
      <c r="C65" s="140" t="s">
        <v>212</v>
      </c>
      <c r="D65" s="189"/>
      <c r="E65" s="166">
        <v>6.96</v>
      </c>
      <c r="F65" s="162">
        <f t="shared" si="34"/>
        <v>7.08528</v>
      </c>
      <c r="G65" s="162">
        <f t="shared" si="58"/>
        <v>7.2128150399999997</v>
      </c>
      <c r="H65" s="162">
        <f t="shared" si="58"/>
        <v>7.3426457107199994</v>
      </c>
      <c r="I65" s="162">
        <f t="shared" si="58"/>
        <v>7.4748133335129596</v>
      </c>
      <c r="J65" s="162">
        <f t="shared" si="58"/>
        <v>7.6093599735161925</v>
      </c>
      <c r="K65" s="162">
        <f t="shared" si="58"/>
        <v>7.7463284530394843</v>
      </c>
      <c r="L65" s="162">
        <f t="shared" si="58"/>
        <v>7.8857623651941946</v>
      </c>
      <c r="M65" s="162">
        <f t="shared" si="58"/>
        <v>8.0277060877676902</v>
      </c>
      <c r="N65" s="164">
        <f t="shared" si="58"/>
        <v>8.1722047973475078</v>
      </c>
    </row>
    <row r="66" spans="2:14" ht="14.45" customHeight="1" x14ac:dyDescent="0.25">
      <c r="B66" s="139" t="s">
        <v>205</v>
      </c>
      <c r="C66" s="140" t="s">
        <v>213</v>
      </c>
      <c r="D66" s="189"/>
      <c r="E66" s="166">
        <v>16.32</v>
      </c>
      <c r="F66" s="162">
        <f t="shared" si="34"/>
        <v>16.613759999999999</v>
      </c>
      <c r="G66" s="162">
        <f t="shared" si="58"/>
        <v>16.91280768</v>
      </c>
      <c r="H66" s="162">
        <f t="shared" si="58"/>
        <v>17.217238218239999</v>
      </c>
      <c r="I66" s="162">
        <f t="shared" si="58"/>
        <v>17.52714850616832</v>
      </c>
      <c r="J66" s="162">
        <f t="shared" si="58"/>
        <v>17.84263717927935</v>
      </c>
      <c r="K66" s="162">
        <f t="shared" si="58"/>
        <v>18.163804648506378</v>
      </c>
      <c r="L66" s="162">
        <f t="shared" si="58"/>
        <v>18.490753132179492</v>
      </c>
      <c r="M66" s="162">
        <f t="shared" si="58"/>
        <v>18.823586688558724</v>
      </c>
      <c r="N66" s="164">
        <f t="shared" si="58"/>
        <v>19.162411248952779</v>
      </c>
    </row>
    <row r="67" spans="2:14" ht="14.45" customHeight="1" x14ac:dyDescent="0.25">
      <c r="B67" s="139" t="s">
        <v>206</v>
      </c>
      <c r="C67" s="140" t="s">
        <v>213</v>
      </c>
      <c r="D67" s="189"/>
      <c r="E67" s="166">
        <v>16.32</v>
      </c>
      <c r="F67" s="162">
        <f t="shared" si="34"/>
        <v>16.613759999999999</v>
      </c>
      <c r="G67" s="162">
        <f t="shared" si="58"/>
        <v>16.91280768</v>
      </c>
      <c r="H67" s="162">
        <f t="shared" si="58"/>
        <v>17.217238218239999</v>
      </c>
      <c r="I67" s="162">
        <f t="shared" si="58"/>
        <v>17.52714850616832</v>
      </c>
      <c r="J67" s="162">
        <f t="shared" si="58"/>
        <v>17.84263717927935</v>
      </c>
      <c r="K67" s="162">
        <f t="shared" si="58"/>
        <v>18.163804648506378</v>
      </c>
      <c r="L67" s="162">
        <f t="shared" si="58"/>
        <v>18.490753132179492</v>
      </c>
      <c r="M67" s="162">
        <f t="shared" si="58"/>
        <v>18.823586688558724</v>
      </c>
      <c r="N67" s="164">
        <f t="shared" si="58"/>
        <v>19.162411248952779</v>
      </c>
    </row>
    <row r="68" spans="2:14" ht="14.45" customHeight="1" x14ac:dyDescent="0.25">
      <c r="B68" s="139" t="s">
        <v>207</v>
      </c>
      <c r="C68" s="140" t="s">
        <v>214</v>
      </c>
      <c r="D68" s="189"/>
      <c r="E68" s="166">
        <v>5.5</v>
      </c>
      <c r="F68" s="162">
        <f t="shared" si="34"/>
        <v>5.5990000000000002</v>
      </c>
      <c r="G68" s="162">
        <f t="shared" si="58"/>
        <v>5.6997819999999999</v>
      </c>
      <c r="H68" s="162">
        <f t="shared" si="58"/>
        <v>5.8023780760000001</v>
      </c>
      <c r="I68" s="162">
        <f t="shared" si="58"/>
        <v>5.9068208813680005</v>
      </c>
      <c r="J68" s="162">
        <f t="shared" si="58"/>
        <v>6.0131436572326242</v>
      </c>
      <c r="K68" s="162">
        <f t="shared" si="58"/>
        <v>6.121380243062811</v>
      </c>
      <c r="L68" s="162">
        <f t="shared" si="58"/>
        <v>6.231565087437942</v>
      </c>
      <c r="M68" s="162">
        <f t="shared" si="58"/>
        <v>6.3437332590118247</v>
      </c>
      <c r="N68" s="164">
        <f t="shared" si="58"/>
        <v>6.4579204576740379</v>
      </c>
    </row>
    <row r="69" spans="2:14" ht="14.45" customHeight="1" x14ac:dyDescent="0.25">
      <c r="B69" s="139" t="s">
        <v>208</v>
      </c>
      <c r="C69" s="140" t="s">
        <v>215</v>
      </c>
      <c r="D69" s="189"/>
      <c r="E69" s="166">
        <v>13</v>
      </c>
      <c r="F69" s="162">
        <f t="shared" si="34"/>
        <v>13.234</v>
      </c>
      <c r="G69" s="162">
        <f t="shared" si="58"/>
        <v>13.472212000000001</v>
      </c>
      <c r="H69" s="162">
        <f t="shared" si="58"/>
        <v>13.714711816000001</v>
      </c>
      <c r="I69" s="162">
        <f t="shared" si="58"/>
        <v>13.961576628688002</v>
      </c>
      <c r="J69" s="162">
        <f t="shared" si="58"/>
        <v>14.212885008004386</v>
      </c>
      <c r="K69" s="162">
        <f t="shared" si="58"/>
        <v>14.468716938148466</v>
      </c>
      <c r="L69" s="162">
        <f t="shared" si="58"/>
        <v>14.729153843035139</v>
      </c>
      <c r="M69" s="162">
        <f t="shared" si="58"/>
        <v>14.99427861220977</v>
      </c>
      <c r="N69" s="164">
        <f t="shared" si="58"/>
        <v>15.264175627229546</v>
      </c>
    </row>
    <row r="70" spans="2:14" ht="14.45" customHeight="1" x14ac:dyDescent="0.25">
      <c r="B70" s="139" t="s">
        <v>209</v>
      </c>
      <c r="C70" s="140" t="s">
        <v>216</v>
      </c>
      <c r="D70" s="189"/>
      <c r="E70" s="166">
        <v>141.12</v>
      </c>
      <c r="F70" s="162">
        <f t="shared" si="34"/>
        <v>143.66015999999999</v>
      </c>
      <c r="G70" s="162">
        <f t="shared" si="58"/>
        <v>146.24604288</v>
      </c>
      <c r="H70" s="162">
        <f t="shared" si="58"/>
        <v>148.87847165184002</v>
      </c>
      <c r="I70" s="162">
        <f t="shared" si="58"/>
        <v>151.55828414157313</v>
      </c>
      <c r="J70" s="162">
        <f t="shared" si="58"/>
        <v>154.28633325612145</v>
      </c>
      <c r="K70" s="162">
        <f t="shared" si="58"/>
        <v>157.06348725473163</v>
      </c>
      <c r="L70" s="162">
        <f t="shared" si="58"/>
        <v>159.8906300253168</v>
      </c>
      <c r="M70" s="162">
        <f t="shared" si="58"/>
        <v>162.76866136577249</v>
      </c>
      <c r="N70" s="164">
        <f t="shared" si="58"/>
        <v>165.6984972703564</v>
      </c>
    </row>
    <row r="71" spans="2:14" ht="14.45" customHeight="1" x14ac:dyDescent="0.25">
      <c r="B71" s="139" t="s">
        <v>210</v>
      </c>
      <c r="C71" s="140" t="s">
        <v>217</v>
      </c>
      <c r="D71" s="189"/>
      <c r="E71" s="166">
        <v>15.68</v>
      </c>
      <c r="F71" s="162">
        <f t="shared" si="34"/>
        <v>15.96224</v>
      </c>
      <c r="G71" s="162">
        <f t="shared" si="58"/>
        <v>16.249560320000001</v>
      </c>
      <c r="H71" s="162">
        <f t="shared" si="58"/>
        <v>16.54205240576</v>
      </c>
      <c r="I71" s="162">
        <f t="shared" si="58"/>
        <v>16.839809349063678</v>
      </c>
      <c r="J71" s="162">
        <f t="shared" si="58"/>
        <v>17.142925917346826</v>
      </c>
      <c r="K71" s="162">
        <f t="shared" si="58"/>
        <v>17.45149858385907</v>
      </c>
      <c r="L71" s="162">
        <f t="shared" si="58"/>
        <v>17.765625558368534</v>
      </c>
      <c r="M71" s="162">
        <f t="shared" si="58"/>
        <v>18.085406818419166</v>
      </c>
      <c r="N71" s="164">
        <f t="shared" si="58"/>
        <v>18.410944141150711</v>
      </c>
    </row>
    <row r="72" spans="2:14" ht="14.45" customHeight="1" x14ac:dyDescent="0.25">
      <c r="B72" s="139" t="s">
        <v>218</v>
      </c>
      <c r="C72" s="140" t="s">
        <v>226</v>
      </c>
      <c r="D72" s="189"/>
      <c r="E72" s="165">
        <v>54.6</v>
      </c>
      <c r="F72" s="162">
        <f t="shared" si="34"/>
        <v>55.582799999999999</v>
      </c>
      <c r="G72" s="162">
        <f t="shared" si="58"/>
        <v>56.583290399999996</v>
      </c>
      <c r="H72" s="162">
        <f t="shared" si="58"/>
        <v>57.601789627199999</v>
      </c>
      <c r="I72" s="162">
        <f t="shared" si="58"/>
        <v>58.638621840489598</v>
      </c>
      <c r="J72" s="162">
        <f t="shared" si="58"/>
        <v>59.694117033618411</v>
      </c>
      <c r="K72" s="162">
        <f t="shared" si="58"/>
        <v>60.768611140223541</v>
      </c>
      <c r="L72" s="162">
        <f t="shared" si="58"/>
        <v>61.862446140747565</v>
      </c>
      <c r="M72" s="162">
        <f t="shared" si="58"/>
        <v>62.97597017128102</v>
      </c>
      <c r="N72" s="164">
        <f t="shared" si="58"/>
        <v>64.109537634364074</v>
      </c>
    </row>
    <row r="73" spans="2:14" ht="14.45" customHeight="1" x14ac:dyDescent="0.25">
      <c r="B73" s="139" t="s">
        <v>219</v>
      </c>
      <c r="C73" s="140" t="s">
        <v>227</v>
      </c>
      <c r="D73" s="189"/>
      <c r="E73" s="165">
        <v>11</v>
      </c>
      <c r="F73" s="162">
        <f t="shared" si="34"/>
        <v>11.198</v>
      </c>
      <c r="G73" s="162">
        <f t="shared" si="58"/>
        <v>11.399564</v>
      </c>
      <c r="H73" s="162">
        <f t="shared" si="58"/>
        <v>11.604756152</v>
      </c>
      <c r="I73" s="162">
        <f t="shared" si="58"/>
        <v>11.813641762736001</v>
      </c>
      <c r="J73" s="162">
        <f t="shared" si="58"/>
        <v>12.026287314465248</v>
      </c>
      <c r="K73" s="162">
        <f t="shared" si="58"/>
        <v>12.242760486125622</v>
      </c>
      <c r="L73" s="162">
        <f t="shared" si="58"/>
        <v>12.463130174875884</v>
      </c>
      <c r="M73" s="162">
        <f t="shared" si="58"/>
        <v>12.687466518023649</v>
      </c>
      <c r="N73" s="164">
        <f t="shared" si="58"/>
        <v>12.915840915348076</v>
      </c>
    </row>
    <row r="74" spans="2:14" ht="14.45" customHeight="1" x14ac:dyDescent="0.25">
      <c r="B74" s="139" t="s">
        <v>220</v>
      </c>
      <c r="C74" s="140" t="s">
        <v>228</v>
      </c>
      <c r="D74" s="189"/>
      <c r="E74" s="165">
        <v>56.1</v>
      </c>
      <c r="F74" s="162">
        <f t="shared" si="34"/>
        <v>57.1098</v>
      </c>
      <c r="G74" s="162">
        <f t="shared" si="58"/>
        <v>58.1377764</v>
      </c>
      <c r="H74" s="162">
        <f t="shared" si="58"/>
        <v>59.1842563752</v>
      </c>
      <c r="I74" s="162">
        <f t="shared" si="58"/>
        <v>60.249572989953599</v>
      </c>
      <c r="J74" s="162">
        <f t="shared" si="58"/>
        <v>61.334065303772761</v>
      </c>
      <c r="K74" s="162">
        <f t="shared" si="58"/>
        <v>62.438078479240673</v>
      </c>
      <c r="L74" s="162">
        <f t="shared" si="58"/>
        <v>63.561963891867002</v>
      </c>
      <c r="M74" s="162">
        <f t="shared" si="58"/>
        <v>64.706079241920605</v>
      </c>
      <c r="N74" s="164">
        <f t="shared" si="58"/>
        <v>65.870788668275182</v>
      </c>
    </row>
    <row r="75" spans="2:14" ht="14.45" customHeight="1" x14ac:dyDescent="0.25">
      <c r="B75" s="139" t="s">
        <v>221</v>
      </c>
      <c r="C75" s="140" t="s">
        <v>229</v>
      </c>
      <c r="D75" s="189"/>
      <c r="E75" s="165">
        <v>15</v>
      </c>
      <c r="F75" s="162">
        <f t="shared" si="34"/>
        <v>15.27</v>
      </c>
      <c r="G75" s="162">
        <f t="shared" si="58"/>
        <v>15.54486</v>
      </c>
      <c r="H75" s="162">
        <f t="shared" si="58"/>
        <v>15.82466748</v>
      </c>
      <c r="I75" s="162">
        <f t="shared" si="58"/>
        <v>16.10951149464</v>
      </c>
      <c r="J75" s="162">
        <f t="shared" si="58"/>
        <v>16.399482701543519</v>
      </c>
      <c r="K75" s="162">
        <f t="shared" si="58"/>
        <v>16.694673390171303</v>
      </c>
      <c r="L75" s="162">
        <f t="shared" si="58"/>
        <v>16.995177511194388</v>
      </c>
      <c r="M75" s="162">
        <f t="shared" si="58"/>
        <v>17.301090706395886</v>
      </c>
      <c r="N75" s="164">
        <f t="shared" si="58"/>
        <v>17.612510339111012</v>
      </c>
    </row>
    <row r="76" spans="2:14" ht="14.45" customHeight="1" x14ac:dyDescent="0.25">
      <c r="B76" s="139" t="s">
        <v>222</v>
      </c>
      <c r="C76" s="140" t="s">
        <v>230</v>
      </c>
      <c r="D76" s="189"/>
      <c r="E76" s="165">
        <v>90</v>
      </c>
      <c r="F76" s="162">
        <f t="shared" si="34"/>
        <v>91.62</v>
      </c>
      <c r="G76" s="162">
        <f t="shared" si="58"/>
        <v>93.269159999999999</v>
      </c>
      <c r="H76" s="162">
        <f t="shared" si="58"/>
        <v>94.948004879999999</v>
      </c>
      <c r="I76" s="162">
        <f t="shared" si="58"/>
        <v>96.657068967840004</v>
      </c>
      <c r="J76" s="162">
        <f t="shared" si="58"/>
        <v>98.396896209261129</v>
      </c>
      <c r="K76" s="162">
        <f t="shared" si="58"/>
        <v>100.16804034102783</v>
      </c>
      <c r="L76" s="162">
        <f t="shared" si="58"/>
        <v>101.97106506716634</v>
      </c>
      <c r="M76" s="162">
        <f t="shared" si="58"/>
        <v>103.80654423837532</v>
      </c>
      <c r="N76" s="164">
        <f t="shared" si="58"/>
        <v>105.67506203466608</v>
      </c>
    </row>
    <row r="77" spans="2:14" ht="14.45" customHeight="1" x14ac:dyDescent="0.25">
      <c r="B77" s="139" t="s">
        <v>223</v>
      </c>
      <c r="C77" s="140" t="s">
        <v>231</v>
      </c>
      <c r="D77" s="189"/>
      <c r="E77" s="165">
        <v>4</v>
      </c>
      <c r="F77" s="162">
        <f t="shared" si="34"/>
        <v>4.0720000000000001</v>
      </c>
      <c r="G77" s="162">
        <f t="shared" si="58"/>
        <v>4.1452960000000001</v>
      </c>
      <c r="H77" s="162">
        <f t="shared" si="58"/>
        <v>4.2199113280000002</v>
      </c>
      <c r="I77" s="162">
        <f t="shared" si="58"/>
        <v>4.2958697319040002</v>
      </c>
      <c r="J77" s="162">
        <f t="shared" si="58"/>
        <v>4.3731953870782725</v>
      </c>
      <c r="K77" s="162">
        <f t="shared" si="58"/>
        <v>4.4519129040456811</v>
      </c>
      <c r="L77" s="162">
        <f t="shared" si="58"/>
        <v>4.5320473363185032</v>
      </c>
      <c r="M77" s="162">
        <f t="shared" si="58"/>
        <v>4.6136241883722366</v>
      </c>
      <c r="N77" s="164">
        <f t="shared" si="58"/>
        <v>4.6966694237629367</v>
      </c>
    </row>
    <row r="78" spans="2:14" ht="14.45" customHeight="1" x14ac:dyDescent="0.25">
      <c r="B78" s="139" t="s">
        <v>224</v>
      </c>
      <c r="C78" s="140" t="s">
        <v>232</v>
      </c>
      <c r="D78" s="189"/>
      <c r="E78" s="165">
        <v>4.0999999999999996</v>
      </c>
      <c r="F78" s="162">
        <f t="shared" si="34"/>
        <v>4.1738</v>
      </c>
      <c r="G78" s="162">
        <f t="shared" si="58"/>
        <v>4.2489283999999996</v>
      </c>
      <c r="H78" s="162">
        <f t="shared" si="58"/>
        <v>4.3254091111999999</v>
      </c>
      <c r="I78" s="162">
        <f t="shared" si="58"/>
        <v>4.4032664752016002</v>
      </c>
      <c r="J78" s="162">
        <f t="shared" si="58"/>
        <v>4.4825252717552289</v>
      </c>
      <c r="K78" s="162">
        <f t="shared" si="58"/>
        <v>4.5632107266468234</v>
      </c>
      <c r="L78" s="162">
        <f t="shared" si="58"/>
        <v>4.6453485197264666</v>
      </c>
      <c r="M78" s="162">
        <f t="shared" si="58"/>
        <v>4.728964793081543</v>
      </c>
      <c r="N78" s="164">
        <f t="shared" si="58"/>
        <v>4.8140861593570108</v>
      </c>
    </row>
    <row r="79" spans="2:14" ht="14.45" customHeight="1" x14ac:dyDescent="0.25">
      <c r="B79" s="139" t="s">
        <v>225</v>
      </c>
      <c r="C79" s="140" t="s">
        <v>233</v>
      </c>
      <c r="D79" s="190"/>
      <c r="E79" s="165">
        <v>7</v>
      </c>
      <c r="F79" s="162">
        <f t="shared" si="34"/>
        <v>7.1260000000000003</v>
      </c>
      <c r="G79" s="162">
        <f t="shared" si="58"/>
        <v>7.2542680000000006</v>
      </c>
      <c r="H79" s="162">
        <f t="shared" si="58"/>
        <v>7.3848448240000009</v>
      </c>
      <c r="I79" s="162">
        <f t="shared" si="58"/>
        <v>7.5177720308320009</v>
      </c>
      <c r="J79" s="162">
        <f t="shared" si="58"/>
        <v>7.6530919273869769</v>
      </c>
      <c r="K79" s="162">
        <f t="shared" si="58"/>
        <v>7.7908475820799428</v>
      </c>
      <c r="L79" s="162">
        <f t="shared" si="58"/>
        <v>7.9310828385573817</v>
      </c>
      <c r="M79" s="162">
        <f t="shared" si="58"/>
        <v>8.0738423296514146</v>
      </c>
      <c r="N79" s="164">
        <f t="shared" si="58"/>
        <v>8.2191714915851399</v>
      </c>
    </row>
    <row r="80" spans="2:14" ht="14.45" customHeight="1" thickBot="1" x14ac:dyDescent="0.3">
      <c r="B80" s="187" t="s">
        <v>188</v>
      </c>
      <c r="C80" s="187"/>
      <c r="D80" s="176"/>
      <c r="E80" s="171">
        <f>SUM(E7:E79)*26</f>
        <v>58948.759999999995</v>
      </c>
      <c r="F80" s="171">
        <f>SUM(F7:F79)*26</f>
        <v>60009.837680000019</v>
      </c>
      <c r="G80" s="171">
        <f t="shared" ref="G80:N80" si="59">SUM(G7:G79)*26</f>
        <v>61090.014758239959</v>
      </c>
      <c r="H80" s="171">
        <f t="shared" si="59"/>
        <v>62189.635023888331</v>
      </c>
      <c r="I80" s="171">
        <f t="shared" si="59"/>
        <v>63309.048454318312</v>
      </c>
      <c r="J80" s="171">
        <f t="shared" si="59"/>
        <v>64448.611326496008</v>
      </c>
      <c r="K80" s="171">
        <f t="shared" si="59"/>
        <v>65608.686330372977</v>
      </c>
      <c r="L80" s="171">
        <f t="shared" si="59"/>
        <v>66789.642684319697</v>
      </c>
      <c r="M80" s="171">
        <f t="shared" si="59"/>
        <v>67991.856252637459</v>
      </c>
      <c r="N80" s="171">
        <f t="shared" si="59"/>
        <v>69215.709665184899</v>
      </c>
    </row>
    <row r="81" spans="2:14" ht="14.45" customHeight="1" x14ac:dyDescent="0.25">
      <c r="B81" s="218" t="s">
        <v>20</v>
      </c>
      <c r="C81" s="219"/>
      <c r="D81" s="220"/>
      <c r="E81" s="172"/>
      <c r="F81" s="172"/>
      <c r="G81" s="172"/>
      <c r="H81" s="172"/>
      <c r="I81" s="172"/>
      <c r="J81" s="172"/>
      <c r="K81" s="172"/>
      <c r="L81" s="172"/>
      <c r="M81" s="172"/>
      <c r="N81" s="173"/>
    </row>
    <row r="82" spans="2:14" ht="14.45" customHeight="1" x14ac:dyDescent="0.25">
      <c r="B82" s="221" t="s">
        <v>67</v>
      </c>
      <c r="C82" s="222"/>
      <c r="D82" s="223"/>
      <c r="E82" s="108">
        <v>300</v>
      </c>
      <c r="F82" s="108">
        <v>300</v>
      </c>
      <c r="G82" s="108">
        <v>300</v>
      </c>
      <c r="H82" s="108">
        <v>300</v>
      </c>
      <c r="I82" s="108">
        <v>300</v>
      </c>
      <c r="J82" s="108">
        <v>300</v>
      </c>
      <c r="K82" s="108">
        <v>300</v>
      </c>
      <c r="L82" s="108">
        <v>300</v>
      </c>
      <c r="M82" s="108">
        <v>300</v>
      </c>
      <c r="N82" s="109">
        <v>300</v>
      </c>
    </row>
    <row r="83" spans="2:14" ht="14.45" customHeight="1" x14ac:dyDescent="0.25">
      <c r="B83" s="221" t="s">
        <v>68</v>
      </c>
      <c r="C83" s="222"/>
      <c r="D83" s="223"/>
      <c r="E83" s="108">
        <v>1100</v>
      </c>
      <c r="F83" s="108">
        <v>1100</v>
      </c>
      <c r="G83" s="108">
        <v>1100</v>
      </c>
      <c r="H83" s="108">
        <v>1100</v>
      </c>
      <c r="I83" s="108">
        <v>1100</v>
      </c>
      <c r="J83" s="108">
        <v>1100</v>
      </c>
      <c r="K83" s="108">
        <v>1100</v>
      </c>
      <c r="L83" s="108">
        <v>1100</v>
      </c>
      <c r="M83" s="108">
        <v>1100</v>
      </c>
      <c r="N83" s="109">
        <v>1100</v>
      </c>
    </row>
    <row r="84" spans="2:14" ht="14.45" customHeight="1" x14ac:dyDescent="0.25">
      <c r="B84" s="221" t="s">
        <v>69</v>
      </c>
      <c r="C84" s="222"/>
      <c r="D84" s="223"/>
      <c r="E84" s="108">
        <v>400</v>
      </c>
      <c r="F84" s="108">
        <v>400</v>
      </c>
      <c r="G84" s="108">
        <v>400</v>
      </c>
      <c r="H84" s="108">
        <v>400</v>
      </c>
      <c r="I84" s="108">
        <v>400</v>
      </c>
      <c r="J84" s="108">
        <v>400</v>
      </c>
      <c r="K84" s="108">
        <v>400</v>
      </c>
      <c r="L84" s="108">
        <v>400</v>
      </c>
      <c r="M84" s="108">
        <v>400</v>
      </c>
      <c r="N84" s="109">
        <v>400</v>
      </c>
    </row>
    <row r="85" spans="2:14" ht="14.45" customHeight="1" x14ac:dyDescent="0.25">
      <c r="B85" s="221" t="s">
        <v>185</v>
      </c>
      <c r="C85" s="222"/>
      <c r="D85" s="223"/>
      <c r="E85" s="108">
        <v>1920</v>
      </c>
      <c r="F85" s="108">
        <v>1920</v>
      </c>
      <c r="G85" s="108">
        <v>1920</v>
      </c>
      <c r="H85" s="108">
        <v>1920</v>
      </c>
      <c r="I85" s="108">
        <v>1920</v>
      </c>
      <c r="J85" s="108">
        <v>1920</v>
      </c>
      <c r="K85" s="108">
        <v>1920</v>
      </c>
      <c r="L85" s="108">
        <v>1920</v>
      </c>
      <c r="M85" s="108">
        <v>1920</v>
      </c>
      <c r="N85" s="109">
        <v>1920</v>
      </c>
    </row>
    <row r="86" spans="2:14" x14ac:dyDescent="0.25">
      <c r="B86" s="224" t="s">
        <v>59</v>
      </c>
      <c r="C86" s="222"/>
      <c r="D86" s="223"/>
      <c r="E86" s="108">
        <v>85</v>
      </c>
      <c r="F86" s="108">
        <v>85</v>
      </c>
      <c r="G86" s="108">
        <v>85</v>
      </c>
      <c r="H86" s="108">
        <v>85</v>
      </c>
      <c r="I86" s="108">
        <v>85</v>
      </c>
      <c r="J86" s="108">
        <v>85</v>
      </c>
      <c r="K86" s="108">
        <v>85</v>
      </c>
      <c r="L86" s="108">
        <v>85</v>
      </c>
      <c r="M86" s="108">
        <v>85</v>
      </c>
      <c r="N86" s="109">
        <v>85</v>
      </c>
    </row>
    <row r="87" spans="2:14" x14ac:dyDescent="0.25">
      <c r="B87" s="212" t="s">
        <v>21</v>
      </c>
      <c r="C87" s="213"/>
      <c r="D87" s="214"/>
      <c r="E87" s="155">
        <f t="shared" ref="E87:N87" si="60">SUM(E82:E86)</f>
        <v>3805</v>
      </c>
      <c r="F87" s="155">
        <f t="shared" si="60"/>
        <v>3805</v>
      </c>
      <c r="G87" s="155">
        <f t="shared" si="60"/>
        <v>3805</v>
      </c>
      <c r="H87" s="155">
        <f t="shared" si="60"/>
        <v>3805</v>
      </c>
      <c r="I87" s="155">
        <f t="shared" si="60"/>
        <v>3805</v>
      </c>
      <c r="J87" s="155">
        <f t="shared" si="60"/>
        <v>3805</v>
      </c>
      <c r="K87" s="155">
        <f t="shared" si="60"/>
        <v>3805</v>
      </c>
      <c r="L87" s="155">
        <f t="shared" si="60"/>
        <v>3805</v>
      </c>
      <c r="M87" s="155">
        <f t="shared" si="60"/>
        <v>3805</v>
      </c>
      <c r="N87" s="156">
        <f t="shared" si="60"/>
        <v>3805</v>
      </c>
    </row>
    <row r="88" spans="2:14" ht="15.75" thickBot="1" x14ac:dyDescent="0.3">
      <c r="B88" s="215" t="s">
        <v>21</v>
      </c>
      <c r="C88" s="216"/>
      <c r="D88" s="217"/>
      <c r="E88" s="174">
        <f>E80+E87</f>
        <v>62753.759999999995</v>
      </c>
      <c r="F88" s="174">
        <f>F80+F87</f>
        <v>63814.837680000019</v>
      </c>
      <c r="G88" s="174">
        <f>G80+G87</f>
        <v>64895.014758239959</v>
      </c>
      <c r="H88" s="174">
        <f>H80+H87</f>
        <v>65994.635023888331</v>
      </c>
      <c r="I88" s="174">
        <f>I80+I87</f>
        <v>67114.048454318312</v>
      </c>
      <c r="J88" s="174">
        <f>+J80+J87</f>
        <v>68253.611326496</v>
      </c>
      <c r="K88" s="174">
        <f>K80+K87</f>
        <v>69413.686330372977</v>
      </c>
      <c r="L88" s="174">
        <f>L80+L87</f>
        <v>70594.642684319697</v>
      </c>
      <c r="M88" s="174">
        <f>M80+M87</f>
        <v>71796.856252637459</v>
      </c>
      <c r="N88" s="175">
        <f>N80+N87</f>
        <v>73020.709665184899</v>
      </c>
    </row>
  </sheetData>
  <mergeCells count="25">
    <mergeCell ref="M4:M6"/>
    <mergeCell ref="B87:D87"/>
    <mergeCell ref="B88:D88"/>
    <mergeCell ref="B81:D81"/>
    <mergeCell ref="B82:D82"/>
    <mergeCell ref="B83:D83"/>
    <mergeCell ref="B84:D84"/>
    <mergeCell ref="B85:D85"/>
    <mergeCell ref="B86:D86"/>
    <mergeCell ref="N4:N6"/>
    <mergeCell ref="B80:C80"/>
    <mergeCell ref="D7:D79"/>
    <mergeCell ref="E3:N3"/>
    <mergeCell ref="B2:N2"/>
    <mergeCell ref="B3:D4"/>
    <mergeCell ref="D5:D6"/>
    <mergeCell ref="E4:E6"/>
    <mergeCell ref="F4:F6"/>
    <mergeCell ref="G4:G6"/>
    <mergeCell ref="H4:H6"/>
    <mergeCell ref="I4:I6"/>
    <mergeCell ref="J4:J6"/>
    <mergeCell ref="K4:K6"/>
    <mergeCell ref="L4:L6"/>
    <mergeCell ref="B5:C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showGridLines="0" topLeftCell="C11" zoomScale="98" zoomScaleNormal="100" workbookViewId="0">
      <selection activeCell="L15" sqref="L15"/>
    </sheetView>
  </sheetViews>
  <sheetFormatPr baseColWidth="10" defaultColWidth="11.5703125" defaultRowHeight="15" x14ac:dyDescent="0.25"/>
  <cols>
    <col min="1" max="1" width="1.5703125" style="1" customWidth="1"/>
    <col min="2" max="2" width="43.140625" style="1" customWidth="1"/>
    <col min="3" max="3" width="12.85546875" style="1" bestFit="1" customWidth="1"/>
    <col min="4" max="4" width="19.28515625" style="1" bestFit="1" customWidth="1"/>
    <col min="5" max="8" width="15.28515625" style="1" customWidth="1"/>
    <col min="9" max="9" width="14.5703125" style="1" customWidth="1"/>
    <col min="10" max="10" width="16" style="1" customWidth="1"/>
    <col min="11" max="11" width="13.7109375" style="1" customWidth="1"/>
    <col min="12" max="13" width="13.140625" style="1" bestFit="1" customWidth="1"/>
    <col min="14" max="14" width="13.7109375" style="1" customWidth="1"/>
    <col min="15" max="16384" width="11.5703125" style="1"/>
  </cols>
  <sheetData>
    <row r="1" spans="1:14" ht="15.75" thickBot="1" x14ac:dyDescent="0.3"/>
    <row r="2" spans="1:14" x14ac:dyDescent="0.25"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9"/>
    </row>
    <row r="3" spans="1:14" x14ac:dyDescent="0.25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1:14" ht="12.95" customHeight="1" x14ac:dyDescent="0.25">
      <c r="B4" s="238" t="s">
        <v>2</v>
      </c>
      <c r="C4" s="239" t="s">
        <v>26</v>
      </c>
      <c r="D4" s="244" t="s">
        <v>27</v>
      </c>
      <c r="E4" s="245"/>
      <c r="F4" s="245"/>
      <c r="G4" s="245"/>
      <c r="H4" s="245"/>
      <c r="I4" s="245"/>
      <c r="J4" s="245"/>
      <c r="K4" s="245"/>
      <c r="L4" s="245"/>
      <c r="M4" s="246"/>
      <c r="N4" s="240" t="s">
        <v>74</v>
      </c>
    </row>
    <row r="5" spans="1:14" x14ac:dyDescent="0.25">
      <c r="B5" s="238"/>
      <c r="C5" s="239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240"/>
    </row>
    <row r="6" spans="1:14" x14ac:dyDescent="0.25">
      <c r="A6" s="15"/>
      <c r="B6" s="241" t="s">
        <v>28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3"/>
      <c r="N6" s="240"/>
    </row>
    <row r="7" spans="1:14" x14ac:dyDescent="0.25">
      <c r="A7" s="15"/>
      <c r="B7" s="114" t="s">
        <v>70</v>
      </c>
      <c r="C7" s="5" t="s">
        <v>71</v>
      </c>
      <c r="D7" s="74"/>
      <c r="E7" s="74"/>
      <c r="F7" s="74"/>
      <c r="G7" s="74"/>
      <c r="H7" s="74"/>
      <c r="I7" s="110"/>
      <c r="J7" s="110"/>
      <c r="K7" s="110"/>
      <c r="L7" s="110"/>
      <c r="M7" s="110"/>
      <c r="N7" s="115"/>
    </row>
    <row r="8" spans="1:14" x14ac:dyDescent="0.25">
      <c r="B8" s="116" t="s">
        <v>72</v>
      </c>
      <c r="C8" s="120">
        <f>+'Activos Fijos'!E12</f>
        <v>1150</v>
      </c>
      <c r="D8" s="9">
        <f t="shared" ref="D8:M8" si="0">SLN($C$8,$N$8,10)</f>
        <v>101.2</v>
      </c>
      <c r="E8" s="9">
        <f t="shared" si="0"/>
        <v>101.2</v>
      </c>
      <c r="F8" s="9">
        <f t="shared" si="0"/>
        <v>101.2</v>
      </c>
      <c r="G8" s="9">
        <f t="shared" si="0"/>
        <v>101.2</v>
      </c>
      <c r="H8" s="9">
        <f t="shared" si="0"/>
        <v>101.2</v>
      </c>
      <c r="I8" s="9">
        <f t="shared" si="0"/>
        <v>101.2</v>
      </c>
      <c r="J8" s="9">
        <f t="shared" si="0"/>
        <v>101.2</v>
      </c>
      <c r="K8" s="9">
        <f t="shared" si="0"/>
        <v>101.2</v>
      </c>
      <c r="L8" s="9">
        <f t="shared" si="0"/>
        <v>101.2</v>
      </c>
      <c r="M8" s="9">
        <f t="shared" si="0"/>
        <v>101.2</v>
      </c>
      <c r="N8" s="117">
        <f>'Activos Fijos'!H12</f>
        <v>138</v>
      </c>
    </row>
    <row r="9" spans="1:14" ht="15.75" thickBot="1" x14ac:dyDescent="0.3">
      <c r="B9" s="81" t="s">
        <v>73</v>
      </c>
      <c r="C9" s="118"/>
      <c r="D9" s="118">
        <f>SUM(D8:D8)</f>
        <v>101.2</v>
      </c>
      <c r="E9" s="118">
        <f>SUM(E8:E8)</f>
        <v>101.2</v>
      </c>
      <c r="F9" s="118">
        <f>SUM(F8:F8)</f>
        <v>101.2</v>
      </c>
      <c r="G9" s="118">
        <f>SUM(G8:G8)</f>
        <v>101.2</v>
      </c>
      <c r="H9" s="118">
        <f>SUM(H8:H8)</f>
        <v>101.2</v>
      </c>
      <c r="I9" s="118">
        <f>SUM(I8)</f>
        <v>101.2</v>
      </c>
      <c r="J9" s="118">
        <f>SUM(J8)</f>
        <v>101.2</v>
      </c>
      <c r="K9" s="118">
        <f>SUM(K8)</f>
        <v>101.2</v>
      </c>
      <c r="L9" s="118">
        <f>SUM(L8)</f>
        <v>101.2</v>
      </c>
      <c r="M9" s="118">
        <f>SUM(M8)</f>
        <v>101.2</v>
      </c>
      <c r="N9" s="119">
        <f>SUM(N8:N8)</f>
        <v>138</v>
      </c>
    </row>
    <row r="10" spans="1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4" ht="21.75" thickBot="1" x14ac:dyDescent="0.4">
      <c r="B12" s="230" t="s">
        <v>189</v>
      </c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</row>
    <row r="13" spans="1:14" ht="21" x14ac:dyDescent="0.35">
      <c r="B13" s="2"/>
      <c r="C13" s="2"/>
      <c r="D13" s="231" t="s">
        <v>27</v>
      </c>
      <c r="E13" s="232"/>
      <c r="F13" s="232"/>
      <c r="G13" s="232"/>
      <c r="H13" s="232"/>
      <c r="I13" s="232"/>
      <c r="J13" s="232"/>
      <c r="K13" s="232"/>
      <c r="L13" s="232"/>
      <c r="M13" s="233"/>
    </row>
    <row r="14" spans="1:14" ht="14.45" customHeight="1" x14ac:dyDescent="0.25">
      <c r="B14" s="234" t="s">
        <v>190</v>
      </c>
      <c r="C14" s="235"/>
      <c r="D14" s="157">
        <v>1</v>
      </c>
      <c r="E14" s="158">
        <v>2</v>
      </c>
      <c r="F14" s="158">
        <v>3</v>
      </c>
      <c r="G14" s="158">
        <v>4</v>
      </c>
      <c r="H14" s="158">
        <v>5</v>
      </c>
      <c r="I14" s="158">
        <v>6</v>
      </c>
      <c r="J14" s="158">
        <v>7</v>
      </c>
      <c r="K14" s="158">
        <v>8</v>
      </c>
      <c r="L14" s="158">
        <v>9</v>
      </c>
      <c r="M14" s="158">
        <v>10</v>
      </c>
    </row>
    <row r="15" spans="1:14" ht="14.45" customHeight="1" x14ac:dyDescent="0.25">
      <c r="B15" s="236" t="s">
        <v>191</v>
      </c>
      <c r="C15" s="237"/>
      <c r="D15" s="159">
        <v>3712.65</v>
      </c>
      <c r="E15" s="159">
        <v>3296.02</v>
      </c>
      <c r="F15" s="159">
        <v>6206.64</v>
      </c>
      <c r="G15" s="159">
        <v>6706.65</v>
      </c>
      <c r="H15" s="159">
        <v>7706.65</v>
      </c>
      <c r="I15" s="159">
        <v>7500.65</v>
      </c>
      <c r="J15" s="159">
        <v>5841.65</v>
      </c>
      <c r="K15" s="159">
        <v>6900.14</v>
      </c>
      <c r="L15" s="159">
        <v>8406.65</v>
      </c>
      <c r="M15" s="159">
        <v>10702.01</v>
      </c>
    </row>
    <row r="16" spans="1:14" ht="14.45" customHeight="1" x14ac:dyDescent="0.25">
      <c r="B16" s="225" t="s">
        <v>192</v>
      </c>
      <c r="C16" s="226"/>
      <c r="D16" s="159">
        <v>3124.34</v>
      </c>
      <c r="E16" s="159">
        <v>6135.34</v>
      </c>
      <c r="F16" s="159">
        <v>7804.3</v>
      </c>
      <c r="G16" s="159">
        <v>4804.34</v>
      </c>
      <c r="H16" s="159">
        <v>7204.34</v>
      </c>
      <c r="I16" s="159">
        <v>7454.34</v>
      </c>
      <c r="J16" s="159">
        <v>7100.34</v>
      </c>
      <c r="K16" s="159">
        <v>6542.39</v>
      </c>
      <c r="L16" s="159">
        <v>8604.34</v>
      </c>
      <c r="M16" s="159">
        <v>13923.25</v>
      </c>
    </row>
    <row r="17" spans="2:13" ht="14.45" customHeight="1" x14ac:dyDescent="0.25">
      <c r="B17" s="225" t="s">
        <v>193</v>
      </c>
      <c r="C17" s="226"/>
      <c r="D17" s="159">
        <v>2661.66</v>
      </c>
      <c r="E17" s="159">
        <v>4561.6000000000004</v>
      </c>
      <c r="F17" s="159">
        <v>8361.66</v>
      </c>
      <c r="G17" s="159">
        <v>4381.66</v>
      </c>
      <c r="H17" s="159">
        <v>7411.6</v>
      </c>
      <c r="I17" s="159">
        <v>7830.66</v>
      </c>
      <c r="J17" s="159">
        <v>7100.65</v>
      </c>
      <c r="K17" s="159">
        <v>6581</v>
      </c>
      <c r="L17" s="159">
        <v>6361.66</v>
      </c>
      <c r="M17" s="159">
        <v>8413.76</v>
      </c>
    </row>
    <row r="18" spans="2:13" ht="14.45" customHeight="1" x14ac:dyDescent="0.25">
      <c r="B18" s="225" t="s">
        <v>194</v>
      </c>
      <c r="C18" s="226"/>
      <c r="D18" s="159">
        <v>3679.74</v>
      </c>
      <c r="E18" s="159">
        <v>7681.74</v>
      </c>
      <c r="F18" s="159">
        <v>10621.7</v>
      </c>
      <c r="G18" s="159">
        <v>6678.74</v>
      </c>
      <c r="H18" s="159">
        <v>8500.74</v>
      </c>
      <c r="I18" s="159">
        <v>7200.73</v>
      </c>
      <c r="J18" s="159">
        <v>7178.24</v>
      </c>
      <c r="K18" s="159">
        <v>7800.44</v>
      </c>
      <c r="L18" s="159">
        <v>7678.74</v>
      </c>
      <c r="M18" s="159">
        <v>6355.14</v>
      </c>
    </row>
    <row r="19" spans="2:13" ht="14.45" customHeight="1" x14ac:dyDescent="0.25">
      <c r="B19" s="225" t="s">
        <v>195</v>
      </c>
      <c r="C19" s="226"/>
      <c r="D19" s="159">
        <v>7910.93</v>
      </c>
      <c r="E19" s="159">
        <v>7315.34</v>
      </c>
      <c r="F19" s="159">
        <v>10012.94</v>
      </c>
      <c r="G19" s="159">
        <v>8792.9599999999991</v>
      </c>
      <c r="H19" s="159">
        <v>9700.94</v>
      </c>
      <c r="I19" s="159">
        <v>7200.09</v>
      </c>
      <c r="J19" s="159">
        <v>8520.1</v>
      </c>
      <c r="K19" s="159">
        <v>6912.94</v>
      </c>
      <c r="L19" s="159">
        <v>7512.94</v>
      </c>
      <c r="M19" s="159">
        <v>4763.17</v>
      </c>
    </row>
    <row r="20" spans="2:13" ht="14.45" customHeight="1" x14ac:dyDescent="0.25">
      <c r="B20" s="225" t="s">
        <v>196</v>
      </c>
      <c r="C20" s="226"/>
      <c r="D20" s="159">
        <v>6632.24</v>
      </c>
      <c r="E20" s="159">
        <v>11473.24</v>
      </c>
      <c r="F20" s="159">
        <v>7413.24</v>
      </c>
      <c r="G20" s="159">
        <v>10414.17</v>
      </c>
      <c r="H20" s="159">
        <v>9713.23</v>
      </c>
      <c r="I20" s="159">
        <v>7800.1</v>
      </c>
      <c r="J20" s="159">
        <v>8770.7199999999993</v>
      </c>
      <c r="K20" s="159">
        <v>8223.44</v>
      </c>
      <c r="L20" s="159">
        <v>7413.74</v>
      </c>
      <c r="M20" s="159">
        <v>5882.06</v>
      </c>
    </row>
    <row r="21" spans="2:13" ht="14.45" customHeight="1" x14ac:dyDescent="0.25">
      <c r="B21" s="225" t="s">
        <v>197</v>
      </c>
      <c r="C21" s="226"/>
      <c r="D21" s="159">
        <v>8738.19</v>
      </c>
      <c r="E21" s="159">
        <v>12242.9</v>
      </c>
      <c r="F21" s="159">
        <v>9058.9</v>
      </c>
      <c r="G21" s="159">
        <v>11738.9</v>
      </c>
      <c r="H21" s="159">
        <v>8108.9</v>
      </c>
      <c r="I21" s="159">
        <v>9609.1</v>
      </c>
      <c r="J21" s="159">
        <v>11818.5</v>
      </c>
      <c r="K21" s="159">
        <v>7158.4</v>
      </c>
      <c r="L21" s="159">
        <v>8748.9699999999993</v>
      </c>
      <c r="M21" s="159">
        <v>6486.56</v>
      </c>
    </row>
    <row r="22" spans="2:13" ht="14.45" customHeight="1" x14ac:dyDescent="0.25">
      <c r="B22" s="225" t="s">
        <v>198</v>
      </c>
      <c r="C22" s="226"/>
      <c r="D22" s="159">
        <v>15266</v>
      </c>
      <c r="E22" s="159">
        <v>10999.88</v>
      </c>
      <c r="F22" s="159">
        <v>10724.04</v>
      </c>
      <c r="G22" s="159">
        <v>10694.88</v>
      </c>
      <c r="H22" s="159">
        <v>9242.8799999999992</v>
      </c>
      <c r="I22" s="159">
        <v>10290</v>
      </c>
      <c r="J22" s="159">
        <v>13094.2</v>
      </c>
      <c r="K22" s="159">
        <v>11024.88</v>
      </c>
      <c r="L22" s="159">
        <v>11495.88</v>
      </c>
      <c r="M22" s="159">
        <v>6909.03</v>
      </c>
    </row>
    <row r="23" spans="2:13" ht="14.45" customHeight="1" x14ac:dyDescent="0.25">
      <c r="B23" s="225" t="s">
        <v>199</v>
      </c>
      <c r="C23" s="226"/>
      <c r="D23" s="159">
        <v>14281.22</v>
      </c>
      <c r="E23" s="159">
        <v>11251.21</v>
      </c>
      <c r="F23" s="159">
        <v>10881.22</v>
      </c>
      <c r="G23" s="159">
        <v>12200.22</v>
      </c>
      <c r="H23" s="159">
        <v>11270.22</v>
      </c>
      <c r="I23" s="159">
        <v>11284.22</v>
      </c>
      <c r="J23" s="159">
        <v>10701.25</v>
      </c>
      <c r="K23" s="159">
        <v>15121.29</v>
      </c>
      <c r="L23" s="159">
        <v>13281.24</v>
      </c>
      <c r="M23" s="159">
        <v>9521.7999999999993</v>
      </c>
    </row>
    <row r="24" spans="2:13" ht="14.45" customHeight="1" x14ac:dyDescent="0.25">
      <c r="B24" s="225" t="s">
        <v>200</v>
      </c>
      <c r="C24" s="226"/>
      <c r="D24" s="159">
        <v>14897.24</v>
      </c>
      <c r="E24" s="159">
        <v>11527.24</v>
      </c>
      <c r="F24" s="159">
        <v>10240.24</v>
      </c>
      <c r="G24" s="159">
        <v>14840.25</v>
      </c>
      <c r="H24" s="159">
        <v>12627.24</v>
      </c>
      <c r="I24" s="159">
        <v>13487.24</v>
      </c>
      <c r="J24" s="159">
        <v>10230.1</v>
      </c>
      <c r="K24" s="159">
        <v>14247.63</v>
      </c>
      <c r="L24" s="159">
        <v>13277.25</v>
      </c>
      <c r="M24" s="159">
        <v>11314.97</v>
      </c>
    </row>
    <row r="25" spans="2:13" ht="14.45" customHeight="1" x14ac:dyDescent="0.25">
      <c r="B25" s="225" t="s">
        <v>201</v>
      </c>
      <c r="C25" s="226"/>
      <c r="D25" s="159">
        <v>16082.55</v>
      </c>
      <c r="E25" s="159">
        <v>13812.55</v>
      </c>
      <c r="F25" s="159">
        <v>12482.55</v>
      </c>
      <c r="G25" s="159">
        <v>12300.55</v>
      </c>
      <c r="H25" s="159">
        <v>12900.55</v>
      </c>
      <c r="I25" s="159">
        <v>14221.55</v>
      </c>
      <c r="J25" s="159">
        <v>14508.25</v>
      </c>
      <c r="K25" s="159">
        <v>15282.25</v>
      </c>
      <c r="L25" s="159">
        <v>14692.55</v>
      </c>
      <c r="M25" s="159">
        <v>14810.66</v>
      </c>
    </row>
    <row r="26" spans="2:13" ht="14.45" customHeight="1" x14ac:dyDescent="0.25">
      <c r="B26" s="225" t="s">
        <v>202</v>
      </c>
      <c r="C26" s="226"/>
      <c r="D26" s="159">
        <v>16284.26</v>
      </c>
      <c r="E26" s="159">
        <v>14284.26</v>
      </c>
      <c r="F26" s="159">
        <v>12084.26</v>
      </c>
      <c r="G26" s="159">
        <v>14019.26</v>
      </c>
      <c r="H26" s="159">
        <v>14344.26</v>
      </c>
      <c r="I26" s="159">
        <v>16000.26</v>
      </c>
      <c r="J26" s="159">
        <v>16250.26</v>
      </c>
      <c r="K26" s="159">
        <v>17384.86</v>
      </c>
      <c r="L26" s="159">
        <v>16984.259999999998</v>
      </c>
      <c r="M26" s="159">
        <v>15255.26</v>
      </c>
    </row>
    <row r="27" spans="2:13" ht="14.45" customHeight="1" x14ac:dyDescent="0.25">
      <c r="B27" s="248" t="s">
        <v>203</v>
      </c>
      <c r="C27" s="248"/>
      <c r="D27" s="167">
        <f t="shared" ref="D27:M27" si="1">SUM(D15:D26)</f>
        <v>113271.02</v>
      </c>
      <c r="E27" s="167">
        <f t="shared" si="1"/>
        <v>114581.31999999999</v>
      </c>
      <c r="F27" s="167">
        <f t="shared" si="1"/>
        <v>115891.69000000002</v>
      </c>
      <c r="G27" s="167">
        <f t="shared" si="1"/>
        <v>117572.57999999999</v>
      </c>
      <c r="H27" s="167">
        <f t="shared" si="1"/>
        <v>118731.55</v>
      </c>
      <c r="I27" s="167">
        <f t="shared" si="1"/>
        <v>119878.94</v>
      </c>
      <c r="J27" s="167">
        <f t="shared" si="1"/>
        <v>121114.26</v>
      </c>
      <c r="K27" s="167">
        <f t="shared" si="1"/>
        <v>123179.66</v>
      </c>
      <c r="L27" s="167">
        <f t="shared" si="1"/>
        <v>124458.22</v>
      </c>
      <c r="M27" s="167">
        <f t="shared" si="1"/>
        <v>114337.67</v>
      </c>
    </row>
    <row r="28" spans="2:13" ht="14.45" customHeight="1" x14ac:dyDescent="0.25">
      <c r="B28" s="247"/>
      <c r="C28" s="247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2:13" ht="14.45" customHeight="1" x14ac:dyDescent="0.25">
      <c r="B29" s="247"/>
      <c r="C29" s="247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2:13" ht="14.45" customHeight="1" x14ac:dyDescent="0.25">
      <c r="B30" s="247"/>
      <c r="C30" s="247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2:13" ht="14.45" customHeight="1" x14ac:dyDescent="0.25">
      <c r="B31" s="247"/>
      <c r="C31" s="247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2:13" ht="14.45" customHeight="1" x14ac:dyDescent="0.25">
      <c r="B32" s="247"/>
      <c r="C32" s="247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spans="3:8" ht="14.45" customHeight="1" x14ac:dyDescent="0.25"/>
    <row r="66" spans="3:8" ht="14.45" customHeight="1" x14ac:dyDescent="0.25"/>
    <row r="67" spans="3:8" ht="14.45" customHeight="1" x14ac:dyDescent="0.25"/>
    <row r="68" spans="3:8" ht="14.45" customHeight="1" x14ac:dyDescent="0.25"/>
    <row r="69" spans="3:8" ht="14.45" customHeight="1" x14ac:dyDescent="0.25"/>
    <row r="70" spans="3:8" ht="14.45" customHeight="1" x14ac:dyDescent="0.25"/>
    <row r="74" spans="3:8" x14ac:dyDescent="0.25">
      <c r="C74" s="4"/>
      <c r="D74" s="4"/>
      <c r="E74" s="4"/>
      <c r="F74" s="4"/>
      <c r="G74" s="4"/>
      <c r="H74" s="4"/>
    </row>
  </sheetData>
  <mergeCells count="27"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B2:N2"/>
    <mergeCell ref="B12:M12"/>
    <mergeCell ref="D13:M13"/>
    <mergeCell ref="B14:C14"/>
    <mergeCell ref="B15:C15"/>
    <mergeCell ref="B4:B5"/>
    <mergeCell ref="C4:C5"/>
    <mergeCell ref="N4:N6"/>
    <mergeCell ref="B6:M6"/>
    <mergeCell ref="D4:M4"/>
    <mergeCell ref="B21:C21"/>
    <mergeCell ref="B22:C22"/>
    <mergeCell ref="B23:C23"/>
    <mergeCell ref="B16:C16"/>
    <mergeCell ref="B17:C17"/>
    <mergeCell ref="B18:C18"/>
    <mergeCell ref="B19:C19"/>
    <mergeCell ref="B20:C2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3"/>
  <sheetViews>
    <sheetView showGridLines="0" zoomScale="83" zoomScaleNormal="83" workbookViewId="0">
      <selection activeCell="C9" sqref="C9"/>
    </sheetView>
  </sheetViews>
  <sheetFormatPr baseColWidth="10" defaultColWidth="11.5703125" defaultRowHeight="15" x14ac:dyDescent="0.25"/>
  <cols>
    <col min="1" max="1" width="2" style="10" customWidth="1"/>
    <col min="2" max="2" width="30.28515625" style="10" bestFit="1" customWidth="1"/>
    <col min="3" max="3" width="17.5703125" style="10" bestFit="1" customWidth="1"/>
    <col min="4" max="4" width="12.7109375" style="10" customWidth="1"/>
    <col min="5" max="5" width="15.140625" style="10" customWidth="1"/>
    <col min="6" max="6" width="15.42578125" style="10" customWidth="1"/>
    <col min="7" max="7" width="15.140625" style="10" customWidth="1"/>
    <col min="8" max="8" width="14" style="10" customWidth="1"/>
    <col min="9" max="16384" width="11.5703125" style="10"/>
  </cols>
  <sheetData>
    <row r="1" spans="2:13" ht="15.75" thickBot="1" x14ac:dyDescent="0.3"/>
    <row r="2" spans="2:13" ht="15.75" thickBot="1" x14ac:dyDescent="0.3">
      <c r="B2" s="252" t="s">
        <v>49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  <c r="M2" s="136"/>
    </row>
    <row r="3" spans="2:13" ht="15.75" thickBot="1" x14ac:dyDescent="0.3">
      <c r="B3" s="249" t="s">
        <v>19</v>
      </c>
      <c r="C3" s="251" t="s">
        <v>22</v>
      </c>
      <c r="D3" s="191"/>
      <c r="E3" s="191"/>
      <c r="F3" s="191"/>
      <c r="G3" s="191"/>
      <c r="H3" s="191"/>
      <c r="I3" s="191"/>
      <c r="J3" s="191"/>
      <c r="K3" s="191"/>
      <c r="L3" s="193"/>
      <c r="M3" s="135"/>
    </row>
    <row r="4" spans="2:13" ht="15.75" thickBot="1" x14ac:dyDescent="0.3">
      <c r="B4" s="250"/>
      <c r="C4" s="128">
        <v>1</v>
      </c>
      <c r="D4" s="129">
        <v>2</v>
      </c>
      <c r="E4" s="129">
        <v>3</v>
      </c>
      <c r="F4" s="129">
        <v>4</v>
      </c>
      <c r="G4" s="129">
        <v>5</v>
      </c>
      <c r="H4" s="129">
        <v>6</v>
      </c>
      <c r="I4" s="129">
        <v>7</v>
      </c>
      <c r="J4" s="129">
        <v>8</v>
      </c>
      <c r="K4" s="129">
        <v>9</v>
      </c>
      <c r="L4" s="130">
        <v>10</v>
      </c>
    </row>
    <row r="5" spans="2:13" x14ac:dyDescent="0.25">
      <c r="B5" s="124" t="s">
        <v>23</v>
      </c>
      <c r="C5" s="122"/>
      <c r="D5" s="121"/>
      <c r="E5" s="121"/>
      <c r="F5" s="121"/>
      <c r="G5" s="121"/>
      <c r="H5" s="121"/>
      <c r="I5" s="121"/>
      <c r="J5" s="121"/>
      <c r="K5" s="121"/>
      <c r="L5" s="131"/>
    </row>
    <row r="6" spans="2:13" x14ac:dyDescent="0.25">
      <c r="B6" s="125" t="s">
        <v>24</v>
      </c>
      <c r="C6" s="123">
        <v>37740</v>
      </c>
      <c r="D6" s="123">
        <v>37740</v>
      </c>
      <c r="E6" s="123">
        <v>37740</v>
      </c>
      <c r="F6" s="123">
        <v>37740</v>
      </c>
      <c r="G6" s="123">
        <v>37740</v>
      </c>
      <c r="H6" s="123">
        <v>37740</v>
      </c>
      <c r="I6" s="123">
        <v>37740</v>
      </c>
      <c r="J6" s="123">
        <v>37740</v>
      </c>
      <c r="K6" s="123">
        <v>37740</v>
      </c>
      <c r="L6" s="123">
        <v>37740</v>
      </c>
    </row>
    <row r="7" spans="2:13" ht="45" x14ac:dyDescent="0.25">
      <c r="B7" s="126" t="s">
        <v>179</v>
      </c>
      <c r="C7" s="123">
        <v>3336</v>
      </c>
      <c r="D7" s="60">
        <v>3336</v>
      </c>
      <c r="E7" s="60">
        <v>3336</v>
      </c>
      <c r="F7" s="60">
        <v>3336</v>
      </c>
      <c r="G7" s="60">
        <v>3336</v>
      </c>
      <c r="H7" s="60">
        <v>3336</v>
      </c>
      <c r="I7" s="60">
        <v>3336</v>
      </c>
      <c r="J7" s="60">
        <v>3336</v>
      </c>
      <c r="K7" s="60">
        <v>3336</v>
      </c>
      <c r="L7" s="132">
        <v>3336</v>
      </c>
    </row>
    <row r="8" spans="2:13" x14ac:dyDescent="0.25">
      <c r="B8" s="125" t="s">
        <v>48</v>
      </c>
      <c r="C8" s="123">
        <v>780</v>
      </c>
      <c r="D8" s="60">
        <v>780</v>
      </c>
      <c r="E8" s="60">
        <v>780</v>
      </c>
      <c r="F8" s="60">
        <v>780</v>
      </c>
      <c r="G8" s="60">
        <v>780</v>
      </c>
      <c r="H8" s="60">
        <v>780</v>
      </c>
      <c r="I8" s="60">
        <v>780</v>
      </c>
      <c r="J8" s="60">
        <v>780</v>
      </c>
      <c r="K8" s="60">
        <v>780</v>
      </c>
      <c r="L8" s="132">
        <v>780</v>
      </c>
    </row>
    <row r="9" spans="2:13" x14ac:dyDescent="0.25">
      <c r="B9" s="125" t="s">
        <v>180</v>
      </c>
      <c r="C9" s="123">
        <v>5460</v>
      </c>
      <c r="D9" s="60">
        <v>5460</v>
      </c>
      <c r="E9" s="60">
        <v>5460</v>
      </c>
      <c r="F9" s="60">
        <v>5460</v>
      </c>
      <c r="G9" s="60">
        <v>5460</v>
      </c>
      <c r="H9" s="60">
        <v>5460</v>
      </c>
      <c r="I9" s="60">
        <v>5460</v>
      </c>
      <c r="J9" s="60">
        <v>5460</v>
      </c>
      <c r="K9" s="60">
        <v>5460</v>
      </c>
      <c r="L9" s="132">
        <v>5460</v>
      </c>
    </row>
    <row r="10" spans="2:13" x14ac:dyDescent="0.25">
      <c r="B10" s="125" t="s">
        <v>181</v>
      </c>
      <c r="C10" s="123">
        <v>420</v>
      </c>
      <c r="D10" s="60">
        <v>420</v>
      </c>
      <c r="E10" s="60">
        <v>420</v>
      </c>
      <c r="F10" s="60">
        <v>420</v>
      </c>
      <c r="G10" s="60">
        <v>420</v>
      </c>
      <c r="H10" s="60">
        <v>420</v>
      </c>
      <c r="I10" s="60">
        <v>420</v>
      </c>
      <c r="J10" s="60">
        <v>420</v>
      </c>
      <c r="K10" s="60">
        <v>420</v>
      </c>
      <c r="L10" s="132">
        <v>420</v>
      </c>
    </row>
    <row r="11" spans="2:13" x14ac:dyDescent="0.25">
      <c r="B11" s="125" t="s">
        <v>182</v>
      </c>
      <c r="C11" s="123">
        <v>780</v>
      </c>
      <c r="D11" s="60">
        <v>780</v>
      </c>
      <c r="E11" s="60">
        <v>780</v>
      </c>
      <c r="F11" s="60">
        <v>780</v>
      </c>
      <c r="G11" s="60">
        <v>780</v>
      </c>
      <c r="H11" s="60">
        <v>780</v>
      </c>
      <c r="I11" s="60">
        <v>780</v>
      </c>
      <c r="J11" s="60">
        <v>780</v>
      </c>
      <c r="K11" s="60">
        <v>780</v>
      </c>
      <c r="L11" s="132">
        <v>780</v>
      </c>
    </row>
    <row r="12" spans="2:13" ht="60" x14ac:dyDescent="0.25">
      <c r="B12" s="126" t="s">
        <v>183</v>
      </c>
      <c r="C12" s="123">
        <v>1200</v>
      </c>
      <c r="D12" s="60">
        <v>1200</v>
      </c>
      <c r="E12" s="60">
        <v>1200</v>
      </c>
      <c r="F12" s="60">
        <v>1200</v>
      </c>
      <c r="G12" s="60">
        <v>1200</v>
      </c>
      <c r="H12" s="60">
        <v>1200</v>
      </c>
      <c r="I12" s="60">
        <v>1200</v>
      </c>
      <c r="J12" s="60">
        <v>1200</v>
      </c>
      <c r="K12" s="60">
        <v>1200</v>
      </c>
      <c r="L12" s="132">
        <v>1200</v>
      </c>
    </row>
    <row r="13" spans="2:13" ht="15.75" thickBot="1" x14ac:dyDescent="0.3">
      <c r="B13" s="127" t="s">
        <v>25</v>
      </c>
      <c r="C13" s="133">
        <f>SUM(C6:C12)</f>
        <v>49716</v>
      </c>
      <c r="D13" s="133">
        <f t="shared" ref="D13:L13" si="0">SUM(D6:D12)</f>
        <v>49716</v>
      </c>
      <c r="E13" s="133">
        <f t="shared" si="0"/>
        <v>49716</v>
      </c>
      <c r="F13" s="133">
        <f t="shared" si="0"/>
        <v>49716</v>
      </c>
      <c r="G13" s="133">
        <f t="shared" si="0"/>
        <v>49716</v>
      </c>
      <c r="H13" s="133">
        <f t="shared" si="0"/>
        <v>49716</v>
      </c>
      <c r="I13" s="133">
        <f t="shared" si="0"/>
        <v>49716</v>
      </c>
      <c r="J13" s="133">
        <f t="shared" si="0"/>
        <v>49716</v>
      </c>
      <c r="K13" s="133">
        <f t="shared" si="0"/>
        <v>49716</v>
      </c>
      <c r="L13" s="133">
        <f t="shared" si="0"/>
        <v>49716</v>
      </c>
    </row>
  </sheetData>
  <mergeCells count="3">
    <mergeCell ref="B3:B4"/>
    <mergeCell ref="C3:L3"/>
    <mergeCell ref="B2:L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4"/>
  <sheetViews>
    <sheetView showGridLines="0" tabSelected="1" topLeftCell="A14" zoomScale="77" zoomScaleNormal="40" workbookViewId="0">
      <selection activeCell="G26" sqref="G26"/>
    </sheetView>
  </sheetViews>
  <sheetFormatPr baseColWidth="10" defaultColWidth="11.5703125" defaultRowHeight="15" x14ac:dyDescent="0.25"/>
  <cols>
    <col min="1" max="1" width="2.28515625" style="33" customWidth="1"/>
    <col min="2" max="2" width="36.7109375" style="10" customWidth="1"/>
    <col min="3" max="3" width="13.7109375" style="10" customWidth="1"/>
    <col min="4" max="4" width="16.140625" style="10" customWidth="1"/>
    <col min="5" max="8" width="16.7109375" style="10" customWidth="1"/>
    <col min="9" max="12" width="13.28515625" style="10" bestFit="1" customWidth="1"/>
    <col min="13" max="13" width="13.85546875" style="10" customWidth="1"/>
    <col min="14" max="16384" width="11.5703125" style="10"/>
  </cols>
  <sheetData>
    <row r="1" spans="2:31" s="33" customFormat="1" x14ac:dyDescent="0.25"/>
    <row r="2" spans="2:31" s="33" customFormat="1" x14ac:dyDescent="0.25">
      <c r="B2" s="267" t="s">
        <v>29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</row>
    <row r="3" spans="2:31" s="33" customFormat="1" x14ac:dyDescent="0.25"/>
    <row r="4" spans="2:31" s="33" customFormat="1" x14ac:dyDescent="0.25">
      <c r="B4" s="34" t="s">
        <v>30</v>
      </c>
      <c r="C4" s="35">
        <v>0</v>
      </c>
      <c r="D4" s="35">
        <v>1</v>
      </c>
      <c r="E4" s="35">
        <v>2</v>
      </c>
      <c r="F4" s="35">
        <v>3</v>
      </c>
      <c r="G4" s="35">
        <v>4</v>
      </c>
      <c r="H4" s="35">
        <v>5</v>
      </c>
      <c r="I4" s="35">
        <v>6</v>
      </c>
      <c r="J4" s="35">
        <v>7</v>
      </c>
      <c r="K4" s="35">
        <v>8</v>
      </c>
      <c r="L4" s="35">
        <v>9</v>
      </c>
      <c r="M4" s="35">
        <v>10</v>
      </c>
    </row>
    <row r="5" spans="2:31" x14ac:dyDescent="0.25">
      <c r="B5" s="134" t="s">
        <v>184</v>
      </c>
      <c r="C5" s="37"/>
      <c r="D5" s="23">
        <f>+'Depreciacion e Ingresos'!D27</f>
        <v>113271.02</v>
      </c>
      <c r="E5" s="23">
        <f>+'Depreciacion e Ingresos'!E27</f>
        <v>114581.31999999999</v>
      </c>
      <c r="F5" s="23">
        <f>+'Depreciacion e Ingresos'!F27</f>
        <v>115891.69000000002</v>
      </c>
      <c r="G5" s="23">
        <f>+'Depreciacion e Ingresos'!G27</f>
        <v>117572.57999999999</v>
      </c>
      <c r="H5" s="23">
        <f>+'Depreciacion e Ingresos'!H27</f>
        <v>118731.55</v>
      </c>
      <c r="I5" s="23">
        <f>+'Depreciacion e Ingresos'!I27</f>
        <v>119878.94</v>
      </c>
      <c r="J5" s="23">
        <f>+'Depreciacion e Ingresos'!J27</f>
        <v>121114.26</v>
      </c>
      <c r="K5" s="23">
        <f>+'Depreciacion e Ingresos'!K27</f>
        <v>123179.66</v>
      </c>
      <c r="L5" s="23">
        <f>+'Depreciacion e Ingresos'!L27</f>
        <v>124458.22</v>
      </c>
      <c r="M5" s="23">
        <f>+'Depreciacion e Ingresos'!M27</f>
        <v>114337.67</v>
      </c>
      <c r="T5" s="75"/>
      <c r="U5" s="75"/>
    </row>
    <row r="6" spans="2:31" x14ac:dyDescent="0.25">
      <c r="B6" s="36" t="s">
        <v>50</v>
      </c>
      <c r="C6" s="37"/>
      <c r="D6" s="73">
        <f>+'Costo Produccion'!E88</f>
        <v>62753.759999999995</v>
      </c>
      <c r="E6" s="73">
        <f>+'Costo Produccion'!F88</f>
        <v>63814.837680000019</v>
      </c>
      <c r="F6" s="73">
        <f>+'Costo Produccion'!G88</f>
        <v>64895.014758239959</v>
      </c>
      <c r="G6" s="73">
        <f>+'Costo Produccion'!H88</f>
        <v>65994.635023888331</v>
      </c>
      <c r="H6" s="73">
        <f>+'Costo Produccion'!I88</f>
        <v>67114.048454318312</v>
      </c>
      <c r="I6" s="73">
        <f>+'Costo Produccion'!J88</f>
        <v>68253.611326496</v>
      </c>
      <c r="J6" s="73">
        <f>+'Costo Produccion'!K88</f>
        <v>69413.686330372977</v>
      </c>
      <c r="K6" s="73">
        <f>+'Costo Produccion'!L88</f>
        <v>70594.642684319697</v>
      </c>
      <c r="L6" s="73">
        <f>+'Costo Produccion'!M88</f>
        <v>71796.856252637459</v>
      </c>
      <c r="M6" s="73">
        <f>+'Costo Produccion'!N88</f>
        <v>73020.709665184899</v>
      </c>
      <c r="T6" s="75"/>
      <c r="U6" s="75"/>
    </row>
    <row r="7" spans="2:31" x14ac:dyDescent="0.25">
      <c r="B7" s="38" t="s">
        <v>31</v>
      </c>
      <c r="C7" s="39"/>
      <c r="D7" s="7">
        <f>+D5+-D6</f>
        <v>50517.260000000009</v>
      </c>
      <c r="E7" s="7">
        <f>+E5+-E6</f>
        <v>50766.482319999974</v>
      </c>
      <c r="F7" s="7">
        <f>+F5+-F6</f>
        <v>50996.675241760058</v>
      </c>
      <c r="G7" s="7">
        <f>+G5+-G6</f>
        <v>51577.944976111656</v>
      </c>
      <c r="H7" s="7">
        <f>H5-H6</f>
        <v>51617.501545681691</v>
      </c>
      <c r="I7" s="7">
        <f>I5-I6</f>
        <v>51625.328673504002</v>
      </c>
      <c r="J7" s="7">
        <f>J5-J6</f>
        <v>51700.573669627018</v>
      </c>
      <c r="K7" s="7">
        <f>K5-K6</f>
        <v>52585.017315680307</v>
      </c>
      <c r="L7" s="7">
        <f>L5-L6</f>
        <v>52661.363747362542</v>
      </c>
      <c r="M7" s="7">
        <f>+M5+-M6</f>
        <v>41316.960334815099</v>
      </c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2:31" x14ac:dyDescent="0.25">
      <c r="B8" s="40" t="s">
        <v>32</v>
      </c>
      <c r="C8" s="41"/>
      <c r="D8" s="73">
        <f>+'Costos Administracion'!C13</f>
        <v>49716</v>
      </c>
      <c r="E8" s="73">
        <f>+'Costos Administracion'!D13</f>
        <v>49716</v>
      </c>
      <c r="F8" s="73">
        <f>+'Costos Administracion'!E13</f>
        <v>49716</v>
      </c>
      <c r="G8" s="73">
        <f>+'Costos Administracion'!F13</f>
        <v>49716</v>
      </c>
      <c r="H8" s="73">
        <f>+'Costos Administracion'!G13</f>
        <v>49716</v>
      </c>
      <c r="I8" s="73">
        <f>+'Costos Administracion'!H13</f>
        <v>49716</v>
      </c>
      <c r="J8" s="73">
        <f>+'Costos Administracion'!I13</f>
        <v>49716</v>
      </c>
      <c r="K8" s="73">
        <f>+'Costos Administracion'!J13</f>
        <v>49716</v>
      </c>
      <c r="L8" s="73">
        <f>+'Costos Administracion'!K13</f>
        <v>49716</v>
      </c>
      <c r="M8" s="73">
        <f>+'Costos Administracion'!L13</f>
        <v>49716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2:31" x14ac:dyDescent="0.25">
      <c r="B9" s="40" t="s">
        <v>33</v>
      </c>
      <c r="C9" s="41"/>
      <c r="D9" s="24">
        <v>600.10713599999997</v>
      </c>
      <c r="E9" s="24">
        <v>590.80939212944133</v>
      </c>
      <c r="F9" s="24">
        <v>577.94131461258826</v>
      </c>
      <c r="G9" s="24">
        <v>560.13189532926344</v>
      </c>
      <c r="H9" s="24">
        <v>535.483659041142</v>
      </c>
      <c r="I9" s="24">
        <v>501.37050001838185</v>
      </c>
      <c r="J9" s="24">
        <v>454.15788793088183</v>
      </c>
      <c r="K9" s="24">
        <v>388.81563280178182</v>
      </c>
      <c r="L9" s="24">
        <v>298.3819517031074</v>
      </c>
      <c r="M9" s="24">
        <v>173.22173706254202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2:31" x14ac:dyDescent="0.25">
      <c r="B10" s="40" t="s">
        <v>34</v>
      </c>
      <c r="C10" s="41"/>
      <c r="D10" s="24">
        <v>101.2</v>
      </c>
      <c r="E10" s="24">
        <v>101.2</v>
      </c>
      <c r="F10" s="24">
        <v>101.2</v>
      </c>
      <c r="G10" s="24">
        <v>101.2</v>
      </c>
      <c r="H10" s="24">
        <v>101.2</v>
      </c>
      <c r="I10" s="24">
        <v>101.2</v>
      </c>
      <c r="J10" s="24">
        <v>101.2</v>
      </c>
      <c r="K10" s="24">
        <v>101.2</v>
      </c>
      <c r="L10" s="24">
        <v>101.2</v>
      </c>
      <c r="M10" s="24">
        <v>101.2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2:31" x14ac:dyDescent="0.25">
      <c r="B11" s="39" t="s">
        <v>35</v>
      </c>
      <c r="C11" s="39"/>
      <c r="D11" s="7">
        <f>+D7-D8-D9-D10</f>
        <v>99.952864000009342</v>
      </c>
      <c r="E11" s="7">
        <f>+E7-E8-E9-E10</f>
        <v>358.47292787053237</v>
      </c>
      <c r="F11" s="7">
        <f>+F7-F8-F9-F10</f>
        <v>601.53392714746997</v>
      </c>
      <c r="G11" s="7">
        <f>+G7-G8-G9-G10</f>
        <v>1200.6130807823922</v>
      </c>
      <c r="H11" s="7">
        <f>H7-H8-H9-H10</f>
        <v>1264.817886640549</v>
      </c>
      <c r="I11" s="7">
        <f>I7-I8-I9-I10</f>
        <v>1306.7581734856201</v>
      </c>
      <c r="J11" s="7">
        <f>J7-J8-J9-J10</f>
        <v>1429.215781696136</v>
      </c>
      <c r="K11" s="7">
        <f>K7-K8-K9-K10</f>
        <v>2379.0016828785251</v>
      </c>
      <c r="L11" s="7">
        <f>L7-L8-L9-L10</f>
        <v>2545.7817956594349</v>
      </c>
      <c r="M11" s="7">
        <f>+M7-M8-M9-M10</f>
        <v>-8673.4614022474434</v>
      </c>
      <c r="P11" s="76"/>
      <c r="Q11" s="76"/>
      <c r="R11" s="76"/>
      <c r="S11" s="77"/>
      <c r="T11" s="76"/>
      <c r="U11" s="76"/>
      <c r="V11" s="78"/>
      <c r="W11" s="77"/>
      <c r="X11" s="76"/>
      <c r="Y11" s="76"/>
      <c r="Z11" s="76"/>
      <c r="AA11" s="76"/>
      <c r="AB11" s="76"/>
      <c r="AC11" s="76"/>
      <c r="AD11" s="76"/>
      <c r="AE11" s="76"/>
    </row>
    <row r="12" spans="2:31" x14ac:dyDescent="0.25">
      <c r="B12" s="42" t="s">
        <v>234</v>
      </c>
      <c r="C12" s="43"/>
      <c r="D12" s="25">
        <f>+D11*$C$20</f>
        <v>8.9957577600008403</v>
      </c>
      <c r="E12" s="25">
        <f>+E11*$C$20</f>
        <v>32.26256350834791</v>
      </c>
      <c r="F12" s="25">
        <f>+F11*$C$20</f>
        <v>54.138053443272298</v>
      </c>
      <c r="G12" s="25">
        <f>+G11*$C$20</f>
        <v>108.0551772704153</v>
      </c>
      <c r="H12" s="25">
        <f t="shared" ref="H12:M12" si="0">+H11*$C$20</f>
        <v>113.8336097976494</v>
      </c>
      <c r="I12" s="25">
        <f t="shared" si="0"/>
        <v>117.6082356137058</v>
      </c>
      <c r="J12" s="25">
        <f t="shared" si="0"/>
        <v>128.62942035265223</v>
      </c>
      <c r="K12" s="25">
        <f t="shared" si="0"/>
        <v>214.11015145906725</v>
      </c>
      <c r="L12" s="25">
        <f t="shared" si="0"/>
        <v>229.12036160934915</v>
      </c>
      <c r="M12" s="25">
        <f t="shared" si="0"/>
        <v>-780.61152620226983</v>
      </c>
      <c r="P12" s="76"/>
      <c r="Q12" s="76"/>
      <c r="R12" s="76"/>
      <c r="S12" s="77"/>
      <c r="T12" s="76"/>
      <c r="U12" s="76"/>
      <c r="V12" s="78"/>
      <c r="W12" s="77"/>
      <c r="X12" s="76"/>
      <c r="Y12" s="76"/>
      <c r="Z12" s="76"/>
      <c r="AA12" s="76"/>
      <c r="AB12" s="76"/>
      <c r="AC12" s="76"/>
      <c r="AD12" s="76"/>
      <c r="AE12" s="76"/>
    </row>
    <row r="13" spans="2:31" x14ac:dyDescent="0.25">
      <c r="B13" s="39" t="s">
        <v>36</v>
      </c>
      <c r="C13" s="39"/>
      <c r="D13" s="7">
        <f t="shared" ref="D13:M13" si="1">+D11-D12</f>
        <v>90.9571062400085</v>
      </c>
      <c r="E13" s="7">
        <f t="shared" si="1"/>
        <v>326.21036436218446</v>
      </c>
      <c r="F13" s="7">
        <f t="shared" si="1"/>
        <v>547.3958737041977</v>
      </c>
      <c r="G13" s="7">
        <f t="shared" si="1"/>
        <v>1092.557903511977</v>
      </c>
      <c r="H13" s="7">
        <f t="shared" si="1"/>
        <v>1150.9842768428996</v>
      </c>
      <c r="I13" s="7">
        <f t="shared" si="1"/>
        <v>1189.1499378719143</v>
      </c>
      <c r="J13" s="7">
        <f t="shared" si="1"/>
        <v>1300.5863613434838</v>
      </c>
      <c r="K13" s="7">
        <f t="shared" si="1"/>
        <v>2164.8915314194578</v>
      </c>
      <c r="L13" s="7">
        <f t="shared" si="1"/>
        <v>2316.661434050086</v>
      </c>
      <c r="M13" s="7">
        <f t="shared" si="1"/>
        <v>-7892.8498760451739</v>
      </c>
      <c r="P13" s="76"/>
      <c r="Q13" s="76"/>
      <c r="R13" s="76"/>
      <c r="S13" s="77"/>
      <c r="T13" s="76"/>
      <c r="U13" s="76"/>
      <c r="V13" s="78"/>
      <c r="W13" s="77"/>
      <c r="X13" s="76"/>
      <c r="Y13" s="76"/>
      <c r="Z13" s="76"/>
      <c r="AA13" s="76"/>
      <c r="AB13" s="76"/>
      <c r="AC13" s="76"/>
      <c r="AD13" s="76"/>
      <c r="AE13" s="76"/>
    </row>
    <row r="14" spans="2:31" x14ac:dyDescent="0.25">
      <c r="B14" s="44" t="s">
        <v>37</v>
      </c>
      <c r="C14" s="45"/>
      <c r="D14" s="27">
        <v>101.2</v>
      </c>
      <c r="E14" s="27">
        <v>101.2</v>
      </c>
      <c r="F14" s="27">
        <v>101.2</v>
      </c>
      <c r="G14" s="27">
        <v>101.2</v>
      </c>
      <c r="H14" s="27">
        <v>101.2</v>
      </c>
      <c r="I14" s="27">
        <v>101.2</v>
      </c>
      <c r="J14" s="27">
        <v>101.2</v>
      </c>
      <c r="K14" s="27">
        <v>101.2</v>
      </c>
      <c r="L14" s="27">
        <v>101.2</v>
      </c>
      <c r="M14" s="27">
        <v>101.2</v>
      </c>
      <c r="P14" s="76"/>
      <c r="Q14" s="76"/>
      <c r="R14" s="76"/>
      <c r="S14" s="77"/>
      <c r="T14" s="76"/>
      <c r="U14" s="76"/>
      <c r="V14" s="78"/>
      <c r="W14" s="77"/>
      <c r="X14" s="76"/>
      <c r="Y14" s="76"/>
      <c r="Z14" s="76"/>
      <c r="AA14" s="76"/>
      <c r="AB14" s="76"/>
      <c r="AC14" s="76"/>
      <c r="AD14" s="76"/>
      <c r="AE14" s="76"/>
    </row>
    <row r="15" spans="2:31" x14ac:dyDescent="0.25">
      <c r="B15" s="44" t="s">
        <v>38</v>
      </c>
      <c r="C15" s="45"/>
      <c r="D15" s="27">
        <v>24.212874662913123</v>
      </c>
      <c r="E15" s="27">
        <v>33.510618533471757</v>
      </c>
      <c r="F15" s="27">
        <v>46.378696050324834</v>
      </c>
      <c r="G15" s="27">
        <v>64.188115333649648</v>
      </c>
      <c r="H15" s="27">
        <v>88.836351621771087</v>
      </c>
      <c r="I15" s="27">
        <v>122.94951064453124</v>
      </c>
      <c r="J15" s="27">
        <v>170.16212273203126</v>
      </c>
      <c r="K15" s="27">
        <v>235.50437786113127</v>
      </c>
      <c r="L15" s="27">
        <v>325.93805895980569</v>
      </c>
      <c r="M15" s="27">
        <v>451.09827360037104</v>
      </c>
      <c r="P15" s="76"/>
      <c r="Q15" s="76"/>
      <c r="R15" s="76"/>
      <c r="S15" s="77"/>
      <c r="T15" s="76"/>
      <c r="U15" s="76"/>
      <c r="V15" s="76"/>
      <c r="W15" s="79"/>
      <c r="X15" s="76"/>
      <c r="Y15" s="76"/>
      <c r="Z15" s="76"/>
      <c r="AA15" s="76"/>
      <c r="AB15" s="76"/>
      <c r="AC15" s="76"/>
      <c r="AD15" s="76"/>
      <c r="AE15" s="76"/>
    </row>
    <row r="16" spans="2:31" x14ac:dyDescent="0.25">
      <c r="B16" s="44" t="s">
        <v>39</v>
      </c>
      <c r="C16" s="45"/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f>+'Depreciacion e Ingresos'!N9</f>
        <v>138</v>
      </c>
      <c r="P16" s="76"/>
      <c r="Q16" s="76"/>
      <c r="R16" s="76"/>
      <c r="S16" s="77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2:31" x14ac:dyDescent="0.25">
      <c r="B17" s="46" t="s">
        <v>40</v>
      </c>
      <c r="C17" s="20">
        <f>+'Activos Fijos'!E18</f>
        <v>1172.221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2:31" x14ac:dyDescent="0.25">
      <c r="B18" s="47" t="s">
        <v>41</v>
      </c>
      <c r="C18" s="21">
        <f>+-C17</f>
        <v>-1172.221</v>
      </c>
      <c r="D18" s="19">
        <f t="shared" ref="D18:M18" si="2">D13+D14-D15+D16+D17</f>
        <v>167.94423157709537</v>
      </c>
      <c r="E18" s="6">
        <f t="shared" si="2"/>
        <v>393.8997458287127</v>
      </c>
      <c r="F18" s="6">
        <f t="shared" si="2"/>
        <v>602.21717765387291</v>
      </c>
      <c r="G18" s="168">
        <f t="shared" si="2"/>
        <v>1129.5697881783274</v>
      </c>
      <c r="H18" s="168">
        <f>+H13+H14-H15+H16</f>
        <v>1163.3479252211287</v>
      </c>
      <c r="I18" s="168">
        <f>I13+I14-I15+I16</f>
        <v>1167.400427227383</v>
      </c>
      <c r="J18" s="168">
        <f>J13+J14-J15+J16</f>
        <v>1231.6242386114525</v>
      </c>
      <c r="K18" s="168">
        <f>K13+K14-K15+K16</f>
        <v>2030.5871535583265</v>
      </c>
      <c r="L18" s="168">
        <f>L13+L14-L15+L16</f>
        <v>2091.9233750902799</v>
      </c>
      <c r="M18" s="8">
        <f t="shared" si="2"/>
        <v>-8104.7481496455457</v>
      </c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2:31" x14ac:dyDescent="0.25">
      <c r="B19" s="28"/>
      <c r="C19" s="29"/>
      <c r="D19" s="30"/>
      <c r="E19" s="30"/>
      <c r="F19" s="30"/>
      <c r="G19" s="31"/>
      <c r="H19" s="32"/>
      <c r="K19" s="76"/>
      <c r="L19" s="76"/>
      <c r="M19" s="76"/>
      <c r="N19" s="76"/>
      <c r="O19" s="76"/>
      <c r="P19" s="76"/>
      <c r="Q19" s="255"/>
      <c r="R19" s="255"/>
      <c r="S19" s="76"/>
      <c r="T19" s="76"/>
      <c r="U19" s="76"/>
      <c r="V19" s="76"/>
      <c r="W19" s="76"/>
      <c r="X19" s="76"/>
      <c r="Y19" s="77"/>
      <c r="Z19" s="79"/>
    </row>
    <row r="20" spans="2:31" x14ac:dyDescent="0.25">
      <c r="B20" s="49" t="s">
        <v>42</v>
      </c>
      <c r="C20" s="17">
        <v>0.09</v>
      </c>
      <c r="D20" s="30"/>
      <c r="E20" s="70" t="s">
        <v>55</v>
      </c>
      <c r="F20" s="170">
        <v>0.125</v>
      </c>
      <c r="G20" s="31"/>
      <c r="H20" s="32"/>
      <c r="K20" s="76"/>
      <c r="L20" s="76"/>
      <c r="M20" s="76"/>
      <c r="N20" s="76"/>
      <c r="O20" s="76"/>
      <c r="P20" s="255"/>
      <c r="Q20" s="76"/>
      <c r="R20" s="77"/>
      <c r="S20" s="76"/>
      <c r="T20" s="76"/>
      <c r="U20" s="76"/>
      <c r="V20" s="76"/>
      <c r="W20" s="76"/>
      <c r="X20" s="76"/>
      <c r="Y20" s="76"/>
      <c r="Z20" s="76"/>
    </row>
    <row r="21" spans="2:31" x14ac:dyDescent="0.25">
      <c r="B21" s="50"/>
      <c r="C21" s="16"/>
      <c r="D21" s="30"/>
      <c r="E21" s="50"/>
      <c r="F21" s="16"/>
      <c r="G21" s="169"/>
      <c r="H21" s="32"/>
      <c r="K21" s="76"/>
      <c r="L21" s="76"/>
      <c r="M21" s="76"/>
      <c r="N21" s="76"/>
      <c r="O21" s="76"/>
      <c r="P21" s="255"/>
      <c r="Q21" s="76"/>
      <c r="R21" s="77"/>
      <c r="S21" s="76"/>
      <c r="T21" s="76"/>
      <c r="U21" s="76"/>
      <c r="V21" s="76"/>
      <c r="W21" s="76"/>
      <c r="X21" s="76"/>
      <c r="Y21" s="76"/>
      <c r="Z21" s="76"/>
    </row>
    <row r="22" spans="2:31" x14ac:dyDescent="0.25">
      <c r="B22" s="50"/>
      <c r="C22" s="16"/>
      <c r="D22" s="30"/>
      <c r="E22" s="50"/>
      <c r="F22" s="16"/>
      <c r="G22" s="31"/>
      <c r="H22" s="32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2:31" x14ac:dyDescent="0.25">
      <c r="B23" s="28"/>
      <c r="C23" s="29"/>
      <c r="D23" s="30"/>
      <c r="E23" s="30"/>
      <c r="F23" s="30"/>
      <c r="G23" s="31"/>
      <c r="H23" s="32"/>
      <c r="K23" s="76"/>
      <c r="L23" s="76"/>
      <c r="M23" s="76"/>
      <c r="N23" s="76"/>
      <c r="O23" s="76"/>
      <c r="P23" s="76"/>
      <c r="Q23" s="76"/>
      <c r="R23" s="77"/>
      <c r="S23" s="76"/>
      <c r="T23" s="76"/>
      <c r="U23" s="76"/>
      <c r="V23" s="76"/>
      <c r="W23" s="76"/>
      <c r="X23" s="76"/>
      <c r="Y23" s="76"/>
      <c r="Z23" s="76"/>
    </row>
    <row r="24" spans="2:31" ht="21" customHeight="1" x14ac:dyDescent="0.25">
      <c r="B24" s="264" t="s">
        <v>53</v>
      </c>
      <c r="C24" s="265"/>
      <c r="D24" s="265"/>
      <c r="E24" s="265"/>
      <c r="F24" s="265"/>
      <c r="G24" s="265"/>
      <c r="H24" s="265"/>
      <c r="I24" s="266"/>
      <c r="J24" s="33"/>
      <c r="K24" s="80"/>
      <c r="L24" s="80"/>
      <c r="M24" s="80"/>
      <c r="N24" s="80"/>
      <c r="O24" s="76"/>
      <c r="P24" s="76"/>
      <c r="Q24" s="76"/>
      <c r="R24" s="77"/>
      <c r="S24" s="76"/>
      <c r="T24" s="76"/>
      <c r="U24" s="76"/>
      <c r="V24" s="76"/>
      <c r="W24" s="76"/>
      <c r="X24" s="76"/>
      <c r="Y24" s="76"/>
      <c r="Z24" s="76"/>
    </row>
    <row r="25" spans="2:31" x14ac:dyDescent="0.25">
      <c r="B25" s="33"/>
      <c r="C25" s="33"/>
      <c r="D25" s="48"/>
      <c r="E25" s="48"/>
      <c r="F25" s="48"/>
      <c r="G25" s="48"/>
      <c r="H25" s="48"/>
      <c r="I25" s="33"/>
      <c r="J25" s="33"/>
      <c r="K25" s="80"/>
      <c r="L25" s="80"/>
      <c r="M25" s="80"/>
      <c r="N25" s="80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2:31" x14ac:dyDescent="0.25">
      <c r="D26" s="48"/>
      <c r="E26" s="48"/>
      <c r="F26" s="48"/>
      <c r="G26" s="48"/>
      <c r="H26" s="48"/>
      <c r="I26" s="33"/>
      <c r="J26" s="33"/>
      <c r="K26" s="80"/>
      <c r="L26" s="80"/>
      <c r="M26" s="80"/>
      <c r="N26" s="8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2:31" x14ac:dyDescent="0.25">
      <c r="B27" s="50"/>
      <c r="C27" s="16"/>
      <c r="D27" s="51"/>
      <c r="E27" s="48"/>
      <c r="F27" s="48"/>
      <c r="G27" s="48"/>
      <c r="H27" s="48"/>
      <c r="I27" s="33"/>
      <c r="J27" s="33"/>
      <c r="K27" s="80"/>
      <c r="L27" s="80"/>
      <c r="M27" s="80"/>
      <c r="N27" s="8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2:31" ht="15" customHeight="1" x14ac:dyDescent="0.25">
      <c r="B28" s="260" t="s">
        <v>43</v>
      </c>
      <c r="C28" s="259">
        <f>($C$18+NPV($F$20,$D$18:$M$18))</f>
        <v>1198.1821956073409</v>
      </c>
      <c r="D28" s="33"/>
      <c r="E28" s="48"/>
      <c r="F28" s="258" t="s">
        <v>54</v>
      </c>
      <c r="G28" s="262">
        <f>IRR(C18:M18)</f>
        <v>0.43661319726386583</v>
      </c>
      <c r="H28" s="257" t="s">
        <v>52</v>
      </c>
      <c r="I28" s="257"/>
      <c r="J28" s="33"/>
      <c r="K28" s="33"/>
      <c r="L28" s="33"/>
      <c r="M28" s="33"/>
      <c r="N28" s="33"/>
    </row>
    <row r="29" spans="2:31" ht="18" customHeight="1" x14ac:dyDescent="0.25">
      <c r="B29" s="261"/>
      <c r="C29" s="259"/>
      <c r="D29" s="33"/>
      <c r="E29" s="48"/>
      <c r="F29" s="258"/>
      <c r="G29" s="263"/>
      <c r="H29" s="256" t="str">
        <f>IF(G28&gt;=F20,"Se acepta el proyecto","Se rechaza el proyecto")</f>
        <v>Se acepta el proyecto</v>
      </c>
      <c r="I29" s="256"/>
      <c r="J29" s="33"/>
      <c r="K29" s="33"/>
      <c r="L29" s="33"/>
      <c r="M29" s="33"/>
      <c r="N29" s="33"/>
    </row>
    <row r="30" spans="2:31" x14ac:dyDescent="0.25">
      <c r="B30" s="52"/>
      <c r="C30" s="18"/>
      <c r="D30" s="48"/>
      <c r="E30" s="48"/>
      <c r="F30" s="48"/>
      <c r="G30" s="48"/>
      <c r="H30" s="48"/>
      <c r="I30" s="33"/>
      <c r="J30" s="33"/>
      <c r="K30" s="33"/>
      <c r="L30" s="33"/>
      <c r="M30" s="33"/>
      <c r="N30" s="33"/>
    </row>
    <row r="31" spans="2:31" x14ac:dyDescent="0.25">
      <c r="B31" s="53" t="s">
        <v>45</v>
      </c>
      <c r="C31" s="54">
        <f>+NPV($F$20,$D$18:$M$18)/-$C$18</f>
        <v>2.0221470146050455</v>
      </c>
      <c r="D31" s="48"/>
      <c r="E31" s="33"/>
      <c r="F31" s="33"/>
      <c r="G31" s="48"/>
      <c r="H31" s="48"/>
      <c r="I31" s="33"/>
      <c r="J31" s="33"/>
      <c r="K31" s="33"/>
      <c r="L31" s="33"/>
      <c r="M31" s="33"/>
      <c r="N31" s="33"/>
    </row>
    <row r="32" spans="2:3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55" t="s">
        <v>44</v>
      </c>
      <c r="L32" s="55" t="s">
        <v>43</v>
      </c>
      <c r="M32" s="33"/>
      <c r="N32" s="33"/>
    </row>
    <row r="33" spans="2:14" x14ac:dyDescent="0.25">
      <c r="B33" s="56" t="s">
        <v>46</v>
      </c>
      <c r="C33" s="22">
        <f>+C28*C35</f>
        <v>216.41780324456784</v>
      </c>
      <c r="D33" s="57"/>
      <c r="E33" s="33"/>
      <c r="F33" s="33"/>
      <c r="G33" s="33"/>
      <c r="H33" s="33"/>
      <c r="I33" s="33"/>
      <c r="J33" s="33"/>
      <c r="K33" s="55">
        <v>0.1</v>
      </c>
      <c r="L33" s="58">
        <f t="shared" ref="L33:L44" si="3">NPV(K33,$C$18:$M$18)</f>
        <v>1139.1123334102988</v>
      </c>
      <c r="M33" s="33"/>
      <c r="N33" s="33"/>
    </row>
    <row r="34" spans="2:14" x14ac:dyDescent="0.25">
      <c r="B34" s="33"/>
      <c r="C34" s="33"/>
      <c r="D34" s="57"/>
      <c r="E34" s="33"/>
      <c r="F34" s="33"/>
      <c r="G34" s="33"/>
      <c r="H34" s="33"/>
      <c r="I34" s="33"/>
      <c r="J34" s="33"/>
      <c r="K34" s="55">
        <v>0.11</v>
      </c>
      <c r="L34" s="58">
        <f t="shared" si="3"/>
        <v>1113.0565904744421</v>
      </c>
      <c r="M34" s="33"/>
      <c r="N34" s="33"/>
    </row>
    <row r="35" spans="2:14" x14ac:dyDescent="0.25">
      <c r="B35" s="71" t="s">
        <v>57</v>
      </c>
      <c r="C35" s="72">
        <f>+PMT(F20,10,-1)</f>
        <v>0.18062178192763817</v>
      </c>
      <c r="D35" s="59"/>
      <c r="E35" s="33"/>
      <c r="F35" s="33"/>
      <c r="G35" s="33"/>
      <c r="H35" s="33"/>
      <c r="I35" s="33"/>
      <c r="J35" s="33"/>
      <c r="K35" s="55">
        <v>0.12</v>
      </c>
      <c r="L35" s="58">
        <f t="shared" si="3"/>
        <v>1082.0617210209725</v>
      </c>
      <c r="M35" s="33"/>
      <c r="N35" s="33"/>
    </row>
    <row r="36" spans="2:14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55">
        <v>0.13</v>
      </c>
      <c r="L36" s="58">
        <f t="shared" si="3"/>
        <v>1047.1900710530806</v>
      </c>
      <c r="M36" s="33"/>
      <c r="N36" s="33"/>
    </row>
    <row r="37" spans="2:14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55">
        <v>0.14000000000000001</v>
      </c>
      <c r="L37" s="58">
        <f t="shared" si="3"/>
        <v>1009.3390594628369</v>
      </c>
      <c r="M37" s="33"/>
      <c r="N37" s="33"/>
    </row>
    <row r="38" spans="2:14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55">
        <v>0.15</v>
      </c>
      <c r="L38" s="58">
        <f t="shared" si="3"/>
        <v>969.26528206138664</v>
      </c>
      <c r="M38" s="33"/>
      <c r="N38" s="33"/>
    </row>
    <row r="39" spans="2:14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55">
        <v>0.16</v>
      </c>
      <c r="L39" s="58">
        <f t="shared" si="3"/>
        <v>927.60508940537363</v>
      </c>
      <c r="M39" s="33"/>
      <c r="N39" s="33"/>
    </row>
    <row r="40" spans="2:14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55">
        <v>0.17</v>
      </c>
      <c r="L40" s="58">
        <f t="shared" si="3"/>
        <v>884.89216583834343</v>
      </c>
      <c r="M40" s="33"/>
      <c r="N40" s="33"/>
    </row>
    <row r="41" spans="2:14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55">
        <v>0.18</v>
      </c>
      <c r="L41" s="58">
        <f t="shared" si="3"/>
        <v>841.57255583042934</v>
      </c>
      <c r="M41" s="33"/>
      <c r="N41" s="33"/>
    </row>
    <row r="42" spans="2:14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55">
        <v>0.19</v>
      </c>
      <c r="L42" s="58">
        <f t="shared" si="3"/>
        <v>798.01751533942513</v>
      </c>
      <c r="M42" s="33"/>
      <c r="N42" s="33"/>
    </row>
    <row r="43" spans="2:14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55">
        <v>0.2</v>
      </c>
      <c r="L43" s="58">
        <f t="shared" si="3"/>
        <v>754.53450838778679</v>
      </c>
      <c r="M43" s="33"/>
      <c r="N43" s="33"/>
    </row>
    <row r="44" spans="2:14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55">
        <v>0.21</v>
      </c>
      <c r="L44" s="58">
        <f t="shared" si="3"/>
        <v>711.3766205767123</v>
      </c>
      <c r="M44" s="33"/>
      <c r="N44" s="33"/>
    </row>
    <row r="45" spans="2:14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2:14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x14ac:dyDescent="0.25">
      <c r="B47" s="33"/>
      <c r="C47" s="33"/>
      <c r="D47" s="59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x14ac:dyDescent="0.25">
      <c r="B48" s="33"/>
      <c r="C48" s="33"/>
      <c r="D48" s="59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2:14" x14ac:dyDescent="0.25">
      <c r="B49" s="33"/>
      <c r="C49" s="33"/>
      <c r="D49" s="59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2:14" x14ac:dyDescent="0.25">
      <c r="B50" s="33"/>
      <c r="C50" s="33"/>
      <c r="D50" s="59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14" x14ac:dyDescent="0.25">
      <c r="B51" s="33"/>
      <c r="C51" s="33"/>
      <c r="D51" s="59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2:14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2:14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2:14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2:14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2:14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</sheetData>
  <mergeCells count="10">
    <mergeCell ref="C28:C29"/>
    <mergeCell ref="B28:B29"/>
    <mergeCell ref="G28:G29"/>
    <mergeCell ref="B24:I24"/>
    <mergeCell ref="B2:M2"/>
    <mergeCell ref="Q19:R19"/>
    <mergeCell ref="P20:P21"/>
    <mergeCell ref="H29:I29"/>
    <mergeCell ref="H28:I28"/>
    <mergeCell ref="F28:F29"/>
  </mergeCells>
  <conditionalFormatting sqref="H29:I29">
    <cfRule type="cellIs" dxfId="1" priority="1" operator="equal">
      <formula>"Se rechaza el proyecto"</formula>
    </cfRule>
    <cfRule type="cellIs" dxfId="0" priority="2" operator="equal">
      <formula>$H$29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E7:G7 M7 C28:C30 L33:L44 D13 E11:G13 M11 D18 E18:G18 M18 M13 C32:C3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 Fijos</vt:lpstr>
      <vt:lpstr>Costo Financiamiento</vt:lpstr>
      <vt:lpstr>Costo Produccion</vt:lpstr>
      <vt:lpstr>Depreciacion e Ingresos</vt:lpstr>
      <vt:lpstr>Costos Administracion</vt:lpstr>
      <vt:lpstr>Flujo de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Argueta</dc:creator>
  <cp:lastModifiedBy>WINDOWS 10</cp:lastModifiedBy>
  <dcterms:created xsi:type="dcterms:W3CDTF">2019-04-30T12:36:05Z</dcterms:created>
  <dcterms:modified xsi:type="dcterms:W3CDTF">2021-07-03T03:26:16Z</dcterms:modified>
</cp:coreProperties>
</file>