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Taula dinàmica 1" sheetId="2" r:id="rId5"/>
  </sheets>
  <definedNames>
    <definedName hidden="1" localSheetId="0" name="_xlnm._FilterDatabase">'Full 1'!$A$1:$H$1002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<sst xmlns="http://schemas.openxmlformats.org/spreadsheetml/2006/main" count="23" uniqueCount="23">
  <si>
    <t>CC.AA.</t>
  </si>
  <si>
    <t>MAX de Altitud (m.s.n.m.)</t>
  </si>
  <si>
    <t>MIN de Altitud (m.s.n.m.)</t>
  </si>
  <si>
    <t>AVERAGE de Población (2019)</t>
  </si>
  <si>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</si>
  <si>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</si>
  <si>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</si>
  <si>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</si>
  <si>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</si>
  <si>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</si>
  <si>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</si>
  <si>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Comunidad de Madrid</t>
  </si>
  <si>
    <t>Comunidad Foral de Navarra</t>
  </si>
  <si>
    <t>Comunidad Valenciana</t>
  </si>
  <si>
    <t>Extremadura</t>
  </si>
  <si>
    <t>Galicia</t>
  </si>
  <si>
    <t>Islas Baleares</t>
  </si>
  <si>
    <t xml:space="preserve">                                                                                   </t>
  </si>
  <si>
    <t>La Rioja</t>
  </si>
  <si>
    <t>País Vasco</t>
  </si>
  <si>
    <t>Principado de Asturias</t>
  </si>
  <si>
    <t>Región de Murcia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</si>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</sst>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F0F0F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1" numFmtId="0" xfId="0" applyFont="1"/>
    <xf borderId="0" fillId="0" fontId="2" numFmtId="3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1" sheet="Full 1"/>
  </cacheSource>
  <cacheFields>
    <cacheField name="Municipio" numFmtId="0">
      <sharedItems>
        <s v="Madrid"/>
        <s v="Barcelona"/>
        <s v="Valencia"/>
        <s v="Sevilla"/>
        <s v="Zaragoza"/>
        <s v="Málaga"/>
        <s v="Murcia"/>
        <s v="Palma de Mallorca"/>
        <s v="Las Palmas de Gran Canaria"/>
        <s v="Bilbao"/>
        <s v="Alicante"/>
        <s v="Córdoba"/>
        <s v="Valladolid"/>
        <s v="Vigo"/>
        <s v="Gijón"/>
        <s v="Vitoria-Gasteiz"/>
        <s v="A Coruña"/>
        <s v="Elche"/>
        <s v="Granada"/>
        <s v="Terrassa"/>
        <s v="Badalona"/>
        <s v="Oviedo"/>
        <s v="Cartagena"/>
        <s v="Sabadell"/>
        <s v="Jerez de la Frontera"/>
        <s v="Móstoles"/>
        <s v="Santa Cruz de Tenerife"/>
        <s v="Pamplona"/>
        <s v="Almería"/>
        <s v="Alcalá de Henares"/>
        <s v="Fuenlabrada"/>
        <s v="Leganés"/>
        <s v="San Sebastián"/>
        <s v="Getafe"/>
        <s v="Burgos"/>
        <s v="Albacete"/>
        <s v="Santander"/>
        <s v="Castellón"/>
        <s v="Alcorcón"/>
        <s v="La Laguna"/>
        <s v="Logroño"/>
        <s v="Badajoz"/>
        <s v="Salamanca"/>
        <s v="Huelva"/>
        <s v="Marbella"/>
        <s v="Lleida"/>
        <s v="Tarragona"/>
        <s v="Dos Hermanas"/>
        <s v="Torrejón de Ardoz"/>
        <s v="Parla"/>
        <s v="Mataró"/>
        <s v="León"/>
        <s v="Algeciras"/>
        <s v="Santa Coloma de Gramenet"/>
        <s v="Alcobendas"/>
        <s v="Cádiz"/>
        <s v="Jaén"/>
        <s v="Ourense"/>
        <s v="Reus"/>
        <s v="Girona"/>
        <s v="Barakaldo"/>
        <s v="Lugo"/>
        <s v="Santiago de Compostela"/>
        <s v="Roquetas de Mar"/>
        <s v="Cáceres"/>
        <s v="Las Rozas"/>
        <s v="San Fernando"/>
        <s v="Lorca"/>
        <s v="Sant Cugat del Vallès"/>
        <s v="San Sebastián de los Reyes"/>
        <s v="Cornellà de Llobregat"/>
        <s v="El Puerto de Santa María"/>
        <s v="Rivas-Vaciamadrid"/>
        <s v="Guadalajara"/>
        <s v="Toledo"/>
        <s v="Sant Boi de Llobregat"/>
        <s v="El Ejido"/>
        <s v="Talavera de la Reina"/>
        <s v="Torrevieja"/>
        <s v="Pontevedra"/>
        <s v="Mijas"/>
        <s v="Torrent"/>
        <s v="Coslada"/>
        <s v="Vélez-Málaga"/>
        <s v="Arona"/>
        <s v="Fuengirola"/>
        <s v="Palencia"/>
        <s v="Avilés"/>
        <s v="Getxo"/>
        <s v="Manresa"/>
        <s v="Rubí"/>
        <s v="Orihuela"/>
        <s v="Valdemoro"/>
        <s v="Alcalá de Guadaíra"/>
        <s v="Ciudad Real"/>
        <s v="Gandía"/>
        <s v="Santa Lucía de Tirajana"/>
        <s v="Molina de Segura"/>
        <s v="Majadahonda"/>
        <s v="Paterna"/>
        <s v="Benidorm"/>
        <s v="Sanlúcar de Barrameda"/>
        <s v="Torremolinos"/>
        <s v="Estepona"/>
        <s v="Benalmádena"/>
        <s v="Vilanova i la Geltrú"/>
        <s v="Castelldefels"/>
        <s v="Viladecans"/>
        <s v="Sagunto"/>
        <s v="Ferrol"/>
        <s v="Ponferrada"/>
        <s v="El Prat de Llobregat"/>
        <s v="Collado Villalba"/>
        <s v="La Línea de la Concepción"/>
        <s v="Arrecife"/>
        <s v="Irún"/>
        <s v="Zamora"/>
        <s v="Granollers"/>
        <s v="Aranjuez"/>
        <s v="Mérida"/>
        <s v="Alcoy"/>
        <s v="Sant Vicent del Raspeig"/>
        <s v="Motril"/>
        <s v="Ávila"/>
        <s v="Linares"/>
        <s v="Cerdanyola del Vallès"/>
        <s v="Arganda del Rey"/>
        <s v="Cuenca"/>
        <s v="Boadilla del Monte"/>
        <s v="San Bartolomé de Tirajana"/>
        <s v="Huesca"/>
        <s v="Elda"/>
        <s v="Pinto"/>
        <s v="Segovia"/>
        <s v="Siero"/>
        <s v="Torrelavega"/>
        <s v="Mollet del Vallès"/>
        <s v="Vila-real"/>
        <s v="Colmenar Viejo"/>
        <s v="Utrera"/>
        <s v="Calvià"/>
        <s v="Granadilla de Abona"/>
        <s v="Ibiza"/>
        <s v="Tres Cantos"/>
        <s v="Rincón de la Victoria"/>
        <s v="Puertollano"/>
        <s v="Gavà"/>
        <s v="Esplugues de Llobregat"/>
        <s v="Figueres"/>
        <s v="Vic"/>
        <s v="Santurtzi"/>
        <s v="Portugalete"/>
        <s v="Sant Feliu de Llobregat"/>
        <s v="Alzira"/>
        <s v="Manacor"/>
        <s v="Mislata"/>
        <s v="Lucena"/>
        <s v="Dénia"/>
        <s v="Alcantarilla"/>
        <s v="La Orotava"/>
        <s v="Puerto Real"/>
        <s v="Antequera"/>
        <s v="Puerto del Rosario"/>
        <s v="Basauri"/>
        <s v="Alhaurín de la Torre"/>
        <s v="Igualada"/>
        <s v="Plasencia"/>
        <s v="Écija"/>
        <s v="Vilafranca del Penedès"/>
        <s v="Errenteria"/>
        <s v="San Fernando de Henares"/>
        <s v="Llangréu"/>
        <s v="Soria"/>
        <s v="Narón"/>
        <s v="Blanes"/>
        <s v="Ripollet"/>
        <s v="La Rinconada"/>
        <s v="Lloret de Mar"/>
        <s v="Los Palacios y Villafranca"/>
        <s v="Arucas"/>
        <s v="Burjassot"/>
        <s v="Santa Eulalia del Río"/>
        <s v="Mieres"/>
        <s v="El Vendrell"/>
        <s v="Vilagarcía de Arousa"/>
        <s v="Marratxí"/>
        <s v="Don Benito"/>
        <s v="Sant Adrià de Besòs"/>
        <s v="Llucmajor"/>
        <s v="Andújar"/>
        <s v="Los Realejos"/>
        <s v="Tudela"/>
        <s v="Montcada i Reixac"/>
        <s v="Oleiros"/>
        <s v="Teruel"/>
        <s v="Tomelloso"/>
        <s v="Torre-Pacheco"/>
        <s v="Miranda de Ebro"/>
        <s v="Ontinyent"/>
        <s v="Águilas"/>
        <s v="Olot"/>
        <s v="Azuqueca de Henares"/>
        <s v="Cieza"/>
        <s v="Burriana"/>
        <s v="Villajoyosa"/>
        <s v="Yecla"/>
        <s v="Úbeda"/>
        <s v="Petrer"/>
        <s v="Sant Joan Despí"/>
        <s v="Villena"/>
        <s v="Cambrils"/>
        <s v="Ronda"/>
        <s v="Galapagar"/>
        <s v="Almendralejo"/>
        <s v="Tortosa"/>
        <s v="Inca"/>
        <s v="Barberà del Vallès"/>
        <s v="Aranda de Duero"/>
        <s v="San Javier"/>
        <s v="Santa Pola"/>
        <s v="Arteixo"/>
        <s v="Mazarrón"/>
        <s v="Castro-Urdiales"/>
        <s v="Totana"/>
        <s v="Aldaia"/>
        <s v="Leioa"/>
        <s v="Ames"/>
        <s v="La Vall d'Uixó"/>
        <s v="Agüimes"/>
        <s v="Arroyomolinos"/>
        <s v="Salt"/>
        <s v="Carballo"/>
        <s v="Ingenio"/>
        <s v="San Roque"/>
        <s v="Manises"/>
        <s v="Coria del Río"/>
        <s v="Sant Pere de Ribes"/>
        <s v="Arcos de la Frontera"/>
        <s v="San Andrés del Rabanedo"/>
        <s v="Alcázar de San Juan"/>
        <s v="Puerto de la Cruz"/>
        <s v="Culleredo"/>
        <s v="Hellín"/>
        <s v="Camargo"/>
        <s v="Valdepeñas"/>
        <s v="Puente Genil"/>
        <s v="Ciutadella de Menorca"/>
        <s v="Durango"/>
        <s v="Xirivella"/>
        <s v="Alaquàs"/>
        <s v="Galdakao"/>
        <s v="Sitges"/>
        <s v="Navalcarnero"/>
        <s v="Xàtiva"/>
        <s v="Redondela"/>
        <s v="Rota"/>
        <s v="Maó"/>
        <s v="Crevillent"/>
        <s v="Illescas"/>
        <s v="Vinaròs"/>
        <s v="Carmona"/>
        <s v="El Campello"/>
        <s v="Martorell"/>
        <s v="Catarroja"/>
        <s v="Premià de Mar"/>
        <s v="Sant Vicenç dels Horts"/>
        <s v="Candelaria"/>
        <s v="Villaviciosa de Odón"/>
        <s v="Morón de la Frontera"/>
        <s v="Jávea"/>
        <s v="Sant Andreu de la Barca"/>
        <s v="Lebrija"/>
        <s v="Eibar"/>
        <s v="Camas"/>
        <s v="Sueca"/>
        <s v="Salou"/>
        <s v="Lepe"/>
        <s v="Sant Josep de sa Talaia"/>
        <s v="Algemesí"/>
        <s v="Sestao"/>
        <s v="Pineda de Mar"/>
        <s v="Benicarló"/>
        <s v="Ribeira"/>
        <s v="La Oliva"/>
        <s v="Cangas"/>
        <s v="Calafell"/>
        <s v="Almuñécar"/>
        <s v="Sant Antoni de Portmany"/>
        <s v="Almazora"/>
        <s v="Cártama"/>
        <s v="Paiporta"/>
        <s v="Vícar"/>
        <s v="Molins de Rei"/>
        <s v="Seseña"/>
        <s v="Santa Perpètua de Mogoda"/>
        <s v="Caravaca de la Cruz"/>
        <s v="Villanueva de la Serena"/>
        <s v="Novelda"/>
        <s v="Jumilla"/>
        <s v="Piélagos"/>
        <s v="San Pedro del Pinatar"/>
        <s v="Tomares"/>
        <s v="Mutxamel"/>
        <s v="Paracuellos del Jarama"/>
        <s v="Villarrobledo"/>
        <s v="Adra"/>
        <s v="Oliva"/>
        <s v="Onda"/>
        <s v="Quart de Poblet"/>
        <s v="Alhaurín el Grande"/>
        <s v="Cambre"/>
        <s v="Ciempozuelos"/>
        <s v="Alboraia"/>
        <s v="La Pobla de Vallbona"/>
        <s v="Almansa"/>
        <s v="Valls"/>
        <s v="Erandio"/>
        <s v="Marín"/>
        <s v="Bétera"/>
        <s v="Gáldar"/>
        <s v="Calahorra"/>
        <s v="Martos"/>
        <s v="Almonte"/>
        <s v="Castellar del Vallès"/>
        <s v="Armilla"/>
        <s v="Tacoronte"/>
        <s v="Sant Joan d'Alacant"/>
        <s v="Olesa de Montserrat"/>
        <s v="Torrelodones"/>
        <s v="Los Barrios"/>
        <s v="Mairena del Alcor"/>
        <s v="El Masnou"/>
        <s v="Ibi (Alicante)"/>
        <s v="Zarautz"/>
        <s v="Mejorada del Campo"/>
        <s v="Icod de los Vinos"/>
        <s v="Llíria"/>
        <s v="Palafrugell"/>
        <s v="Ponteareas"/>
        <s v="Montilla"/>
        <s v="Calpe"/>
        <s v="Laguna de Duero"/>
        <s v="Conil de la Frontera"/>
        <s v="Barbate"/>
        <s v="Priego de Córdoba"/>
        <s v="Castrillón"/>
        <s v="Teguise"/>
        <s v="Altea"/>
        <s v="Riba-roja de Túria"/>
        <s v="Esparreguera"/>
        <s v="Vila-seca"/>
        <s v="Coín"/>
        <s v="Cullera"/>
        <s v="Maracena"/>
        <s v="Moguer"/>
        <s v="Alhama de Murcia"/>
        <s v="Arrasate"/>
        <s v="Bormujos"/>
        <s v="Moncada"/>
        <s v="Sant Feliu de Guíxols"/>
        <s v="Pilar de la Horadada"/>
        <s v="Alcalá la Real"/>
        <s v="Las Torres de Cotillas"/>
        <s v="Villanueva de la Cañada"/>
        <s v="San Juan de Aznalfarache"/>
        <s v="Guía de Isora"/>
        <s v="Isla Cristina"/>
        <s v="Aljaraque"/>
        <s v="Egüés"/>
        <s v="Las Gabias"/>
        <s v="Pájara"/>
        <s v="Nerja"/>
        <s v="Palma del Río"/>
        <s v="Ayamonte"/>
        <s v="Picassent"/>
        <s v="Alfafar"/>
        <s v="San Miguel de Abona"/>
        <s v="Vilassar de Mar"/>
        <s v="Almoradí"/>
        <s v="Amposta"/>
        <s v="Aspe"/>
        <s v="Algete"/>
        <s v="Manlleu"/>
        <s v="Medina del Campo"/>
        <s v="L'Alfàs del Pi"/>
        <s v="A Estrada"/>
        <s v="Los Llanos de Aridane"/>
        <s v="Baza"/>
        <s v="Carcaixent"/>
        <s v="Hernani"/>
        <s v="Loja"/>
        <s v="Cabra (Córdoba)"/>
        <s v="Requena"/>
        <s v="Alcúdia"/>
        <s v="La Unión"/>
        <s v="Lalín"/>
        <s v="Barañain"/>
        <s v="Güímar"/>
        <s v="Arroyo de la Encomienda"/>
        <s v="Tías"/>
        <s v="Sant Quirze del Vallès"/>
        <s v="Les Franqueses del Vallès"/>
        <s v="Mogán"/>
        <s v="Calatayud"/>
        <s v="Cartaya"/>
        <s v="O Porriño"/>
        <s v="Banyoles"/>
        <s v="Humanes de Madrid"/>
        <s v="Tolosa"/>
        <s v="Roses"/>
        <s v="Puçol"/>
        <s v="Marchena"/>
        <s v="Moaña"/>
        <s v="Amorebieta-Etxano"/>
        <s v="Archena"/>
        <s v="Baena"/>
        <s v="El Viso del Alcor"/>
        <s v="San Martín de la Vega"/>
        <s v="La Zubia"/>
        <s v="Huércal-Overa"/>
        <s v="Chipiona"/>
        <s v="Burlada"/>
        <s v="Parets del Vallès"/>
        <s v="Calella"/>
        <s v="Callosa de Segura"/>
        <s v="Boiro"/>
        <s v="San Bartolomé"/>
        <s v="Albolote"/>
        <s v="Silla"/>
        <s v="Atarfe"/>
        <s v="Utebo"/>
        <s v="Lora del Río"/>
        <s v="Villaquilambre"/>
        <s v="La Nucia"/>
        <s v="Malgrat de Mar"/>
        <s v="Teo"/>
        <s v="Monforte de Lemos"/>
        <s v="Guadix"/>
        <s v="Lasarte-Oria"/>
        <s v="San Lorenzo del Escorial"/>
        <s v="Cardedeu"/>
        <s v="Santa Brígida"/>
        <s v="L'Eliana"/>
        <s v="Benicassim"/>
        <s v="Tarifa"/>
        <s v="El Astillero"/>
        <s v="Laudio/Llodio"/>
        <s v="Manzanares"/>
        <s v="Benavente"/>
        <s v="Daimiel"/>
        <s v="Palamós"/>
        <s v="Sant Celoni"/>
        <s v="Sant Just Desvern"/>
        <s v="Felanitx"/>
        <s v="Mungia"/>
        <s v="Nigrán"/>
        <s v="Bailén"/>
        <s v="Huércal de Almería"/>
        <s v="Osuna"/>
        <s v="Caldes de Montbui"/>
        <s v="Castilleja de la Cuesta"/>
        <s v="El Rosario"/>
        <s v="Sanxenxo"/>
        <s v="Monzón"/>
        <s v="Torrox"/>
        <s v="Tordera"/>
        <s v="Pozoblanco"/>
        <s v="Tavernes de la Valldigna"/>
        <s v="Villanueva del Pardillo"/>
        <s v="Balaguer"/>
        <s v="Navalmoral de la Mata"/>
        <s v="Tàrrega"/>
        <s v="Poio"/>
        <s v="Gernika-Lumo"/>
        <s v="Barbastro"/>
        <s v="Rojales"/>
        <s v="Mula"/>
        <s v="Hondarribia"/>
        <s v="Zafra"/>
        <s v="Exeya"/>
        <s v="Bermeo"/>
        <s v="Tui"/>
        <s v="Canovelles"/>
        <s v="Ubrique"/>
        <s v="Fuente Álamo de Murcia"/>
        <s v="Yaiza"/>
        <s v="La Garriga"/>
        <s v="Berga"/>
        <s v="Vera"/>
        <s v="Las Cabezas de San Juan"/>
        <s v="Albal"/>
        <s v="Montornès del Vallès"/>
        <s v="La Algaba"/>
        <s v="Pollença"/>
        <s v="Santomera"/>
        <s v="Torredembarra"/>
        <s v="El Escorial"/>
        <s v="Pasaia"/>
        <s v="Los Alcázares"/>
        <s v="Samartín del Rei Aurelio"/>
        <s v="Guadarrama"/>
        <s v="Massamagrell"/>
        <s v="Alcañiz"/>
        <s v="Ermua"/>
        <s v="Baeza"/>
        <s v="Sada"/>
        <s v="Espartinas"/>
        <s v="Arenys de Mar"/>
        <s v="Santa Cruz de la Palma"/>
        <s v="Piera"/>
        <s v="Carlet"/>
        <s v="Corvera de Asturias"/>
        <s v="Manilva"/>
        <s v="La Solana"/>
        <s v="La Roda"/>
        <s v="Viveiro"/>
        <s v="Montijo"/>
        <s v="Puerto Lumbreras"/>
        <s v="Miguelturra"/>
        <s v="Guardamar del Segura"/>
        <s v="Cubelles"/>
        <s v="Tarancón"/>
        <s v="La Carolina"/>
        <s v="Lliçà d'Amunt"/>
        <s v="Punta Umbría"/>
        <s v="Tuineje"/>
        <s v="Churriana de la Vega"/>
        <s v="Santa Fe"/>
        <s v="Chiva"/>
        <s v="Mos"/>
        <s v="Fraga (Huesca)"/>
        <s v="Vallirana"/>
        <s v="Cehegín"/>
        <s v="Azpeitia"/>
        <s v="Zizur Mayor/Zizur Nagusia"/>
        <s v="Arnedo"/>
        <s v="Corbera de Llobregat"/>
        <s v="Santa Marta de Tormes"/>
        <s v="Benetússer"/>
        <s v="Sant Carles de la Ràpita"/>
        <s v="Palau-solità i Plegamans"/>
        <s v="Mollerussa"/>
        <s v="Santa Úrsula"/>
        <s v="Andoain"/>
        <s v="Bergara"/>
        <s v="Alpedrete"/>
        <s v="Canet de Mar"/>
        <s v="Villaviciosa"/>
        <s v="Torelló"/>
        <s v="Meco"/>
        <s v="Gondomar"/>
        <s v="Bollullos Par del Condado"/>
        <s v="Noia"/>
        <s v="Torredelcampo"/>
        <s v="Ogíjares"/>
        <s v="Cuevas del Almanzora"/>
        <s v="Vilalba"/>
        <s v="La Carlota"/>
        <s v="O Carballiño"/>
        <s v="Pilas"/>
        <s v="Beasain"/>
        <s v="Villalbilla"/>
        <s v="Sopela"/>
        <s v="Santa María de Guía de Gran Canaria"/>
        <s v="Estella/Lizarra"/>
        <s v="Sanlúcar la Mayor"/>
        <s v="Cambados"/>
        <s v="Verín"/>
        <s v="Sóller"/>
        <s v="Llanera"/>
        <s v="Torredonjimeno"/>
        <s v="Canals"/>
        <s v="Llanes"/>
        <s v="Tomiño"/>
        <s v="La Llagosta"/>
        <s v="Sa Pobla"/>
        <s v="Torrijos"/>
        <s v="Gines"/>
        <s v="Campo de Criptana"/>
        <s v="O Barco de Valdeorras"/>
        <s v="Alginet"/>
        <s v="Badia del Vallès"/>
        <s v="San Agustín del Guadalix"/>
        <s v="Sarria (Lugo)"/>
        <s v="Aguilar de la Frontera"/>
        <s v="Cuarte de Huerva"/>
        <s v="Santa Coloma de Farners"/>
        <s v="Nules"/>
        <s v="Santa Cruz de Bezana"/>
        <s v="Godella"/>
        <s v="Moralzarzal"/>
        <s v="Jaca"/>
        <s v="Álora"/>
        <s v="Laviana"/>
        <s v="Abarán"/>
        <s v="Betanzos"/>
        <s v="Cunit"/>
        <s v="Fene"/>
        <s v="Sant Sadurní d'Anoia"/>
        <s v="Villafranca de los Barros"/>
        <s v="Valverde del Camino"/>
        <s v="Guillena"/>
        <s v="Béjar"/>
        <s v="Alovera"/>
        <s v="Ordes"/>
        <s v="Vejer de la Frontera"/>
        <s v="Gibraleón"/>
        <s v="Teror"/>
        <s v="Valdemorillo"/>
        <s v="Estepa"/>
        <s v="Abrera"/>
        <s v="Santa Margalida"/>
        <s v="Coria"/>
        <s v="Brenes"/>
        <s v="Antigua"/>
        <s v="Vilanova del Camí"/>
        <s v="Argentona"/>
        <s v="Berja"/>
        <s v="Castellbisbal"/>
        <s v="Salobreña"/>
        <s v="Cangas del Narcea"/>
        <s v="Ciudad Rodrigo"/>
        <s v="Albatera"/>
        <s v="Santanyí"/>
        <s v="Velilla de San Antonio"/>
        <s v="Monóvar"/>
        <s v="Arrigorriaga"/>
        <s v="Villamartín"/>
        <s v="Socuéllamos"/>
        <s v="Mont-roig del Camp"/>
        <s v="Baiona"/>
        <s v="Formentera"/>
        <s v="La Seu d'Urgell"/>
        <s v="El Casar"/>
        <s v="Montgat"/>
        <s v="Huétor Vega"/>
        <s v="Alcalá del Río"/>
        <s v="Bueu"/>
        <s v="La Alcudia"/>
        <s v="Valle de Trápaga"/>
        <s v="Olivenza"/>
        <s v="Benifaió"/>
        <s v="Bolaños de Calatrava"/>
        <s v="La Puebla del Río"/>
        <s v="Capdepera"/>
        <s v="Albox"/>
        <s v="Ceutí"/>
        <s v="Medina-Sidonia"/>
        <s v="Jódar"/>
        <s v="Torroella de Montgrí"/>
        <s v="Azkoitia"/>
        <s v="Elgoibar"/>
        <s v="Ocaña"/>
        <s v="Son Servera"/>
        <s v="Etxebarri"/>
        <s v="Utiel"/>
        <s v="Bullas"/>
        <s v="Picanya"/>
        <s v="Cocentaina"/>
        <s v="Pallejà"/>
        <s v="Valdés"/>
        <s v="Deltebre"/>
        <s v="Haro"/>
        <s v="Peligros"/>
        <s v="Oñati"/>
        <s v="Fuensalida"/>
        <s v="A Laracha"/>
        <s v="Beniel"/>
        <s v="Tegueste"/>
        <s v="Palos de la Frontera"/>
        <s v="Andratx"/>
        <s v="Mancha Real"/>
        <s v="Yuncos"/>
        <s v="Vegas del Genil"/>
        <s v="Teulada"/>
        <s v="Santiago del Teide"/>
        <s v="Calonge"/>
        <s v="Sonseca"/>
        <s v="Barbadás"/>
        <s v="Rianxo"/>
        <s v="Quintanar de la Orden"/>
        <s v="Laredo"/>
        <s v="Santoña"/>
        <s v="Benissa"/>
        <s v="Benaguasil"/>
        <s v="La Puebla de Cazalla"/>
        <s v="La Bisbal d'Empordà"/>
        <s v="Sant Andreu de Llavaneres"/>
        <s v="Sant Joan de Vilatorrada"/>
        <s v="Castelló d'Empúries"/>
        <s v="Lena"/>
        <s v="Astorga"/>
        <s v="Campos"/>
        <s v="Castell-Platja d'Aro"/>
        <s v="Aranguren"/>
        <s v="Los Corrales de Buelna"/>
        <s v="Ansoáin"/>
        <s v="Meliana"/>
        <s v="Bollullos de la Mitación"/>
        <s v="La Palma del Condado"/>
        <s v="Brunete"/>
        <s v="Villacarrillo"/>
        <s v="Peñarroya-Pueblonuevo"/>
        <s v="Ripoll"/>
        <s v="Cantillana"/>
        <s v="La Roca del Vallès"/>
        <s v="O Grove"/>
        <s v="Aller"/>
        <s v="Tafalla"/>
        <s v="Tarazona"/>
        <s v="Alberic"/>
        <s v="Alcaudete"/>
        <s v="Madridejos"/>
        <s v="Premià de Dalt"/>
        <s v="Cabanillas del Campo"/>
        <s v="Berriozar"/>
        <s v="L'Alcora"/>
        <s v="Ordizia"/>
        <s v="Cassà de la Selva"/>
        <s v="Huétor Tájar"/>
        <s v="Amurrio"/>
        <s v="La Escala"/>
        <s v="La Bañeza"/>
        <s v="Carreño"/>
        <s v="Sedaví"/>
        <s v="Gozón"/>
        <s v="Bargas"/>
        <s v="Griñón"/>
        <s v="Vilanova de Arousa"/>
        <s v="Oyarzun"/>
        <s v="Daganzo de Arriba"/>
        <s v="Villava"/>
        <s v="Gelves"/>
        <s v="Calasparra"/>
        <s v="As Pontes de García Rodríguez"/>
        <s v="Pego"/>
        <s v="Castalla"/>
        <s v="Fortuna (Murcia)"/>
        <s v="Zumaia"/>
        <s v="Pulpí"/>
        <s v="Illora"/>
        <s v="Alcàsser"/>
        <s v="Consuegra"/>
        <s v="Foz"/>
        <s v="Santa Margarida de Montbui"/>
        <s v="A Guarda"/>
        <s v="Caudete"/>
        <s v="Mengíbar"/>
        <s v="Llinars del Vallès"/>
        <s v="Pinos Puente"/>
        <s v="Ribadeo"/>
        <s v="Sax"/>
        <s v="Rute"/>
        <s v="Salvaterra de Miño"/>
        <s v="Villarrubia de los Ojos"/>
        <s v="Alella"/>
        <s v="Caldas de Reis"/>
        <s v="Grado"/>
        <s v="Fuente Palmera"/>
        <s v="Caspe"/>
        <s v="Zumarraga"/>
        <s v="Mora"/>
        <s v="Vilamarxant"/>
        <s v="Xinzo de Limia"/>
        <s v="Massanassa"/>
        <s v="Fernán-Núñez"/>
        <s v="Alguazas"/>
        <s v="Miajadas"/>
        <s v="Burela"/>
        <s v="Cuéllar"/>
        <s v="Binéfar"/>
        <s v="Villacañas"/>
        <s v="Sant Vicenç de Castellet"/>
        <s v="Alcarràs"/>
        <s v="Tocina"/>
        <s v="Alfaro"/>
        <s v="El Álamo (Madrid)"/>
        <s v="Abanto y Ciérvana"/>
        <s v="Santa Comba"/>
        <s v="Santa Maria de Palautordera"/>
        <s v="Alcanar"/>
        <s v="Buñol"/>
        <s v="Palafolls"/>
        <s v="Olivares"/>
        <s v="Tineo"/>
        <s v="Montoro (Córdoba)"/>
        <s v="Alhendín"/>
        <s v="Valsequillo de Gran Canaria"/>
        <s v="A Pobra do Caramiñal"/>
        <s v="Matadepera"/>
        <s v="Muro de Alcoy"/>
        <s v="Sevilla La Nueva"/>
        <s v="Jerez de los Caballeros"/>
        <s v="San Juan del Puerto"/>
        <s v="Puigcerdà"/>
        <s v="Samianigo"/>
        <s v="Pizarra"/>
        <s v="Garrucha"/>
        <s v="Masquefa"/>
        <s v="La Victoria de Acentejo"/>
        <s v="Cervera"/>
        <s v="Porto do Son"/>
        <s v="Salceda de Caselas"/>
        <s v="Santa María de Cayón"/>
        <s v="Colmenarejo"/>
        <s v="Tavernes Blanques"/>
        <s v="Solsona"/>
        <s v="San Sebastián de La Gomera"/>
        <s v="Bigues i Riells"/>
        <s v="San Antonio de Benagéber"/>
        <s v="Sentmenat"/>
        <s v="Oropesa del Mar"/>
        <s v="Alaior"/>
        <s v="La Matanza de Acentejo"/>
        <s v="Cervelló"/>
        <s v="Vilassar de Dalt"/>
        <s v="La Cistérniga"/>
        <s v="La Mojonera"/>
        <s v="Trujillo"/>
        <s v="Reinosa"/>
        <s v="El Espinar"/>
        <s v="Segorbe"/>
        <s v="Almussafes"/>
        <s v="Rafelbuñol"/>
        <s v="El Molar (Madrid)"/>
        <s v="El Sauzal"/>
        <s v="Arenys de Munt"/>
        <s v="Almagro"/>
        <s v="Umbrete"/>
        <s v="Torrejón de la Calzada"/>
        <s v="Tiana"/>
        <s v="Manzanares el Real"/>
        <s v="Soto del Real"/>
        <s v="Loeches"/>
        <s v="Suances"/>
        <s v="Palomares del Río"/>
        <s v="Montmeló"/>
        <s v="Tordesillas"/>
        <s v="Sant Fost de Campsentelles"/>
        <s v="Villanueva de Córdoba"/>
        <s v="Toro"/>
        <s v="Bembibre"/>
        <s v="Sant Fruitós de Bages"/>
        <s v="Silleda"/>
        <s v="Catral"/>
        <s v="El Puig de Santa Maria"/>
        <s v="Villablino"/>
        <s v="El Cuervo de Sevilla"/>
        <s v="Binissalem"/>
        <s v="Zuera"/>
        <s v="Tudela de Duero"/>
        <s v="Muros (A Coruña)"/>
        <s v="Santiponce"/>
        <s v="Cheste"/>
        <s v="Colindres"/>
        <s v="Polinyà"/>
        <s v="L' Ametlla del Vallès"/>
        <s v="San Martín de Valdeiglesias"/>
        <s v="Llagostera"/>
        <s v="Zalla"/>
        <s v="Campillos"/>
        <s v="Hoyo de Manzanares"/>
        <s v="Sant Llorenç des Cardassar"/>
        <s v="Padul"/>
        <s v="Ondarroa"/>
        <s v="Ortuella"/>
        <s v="Herencia"/>
        <s v="Padrón"/>
        <s v="Reocín"/>
        <s v="Navia"/>
        <s v="Legazpia"/>
        <s v="Noáin"/>
        <s v="Cabezón de la Sal"/>
        <s v="Ollería"/>
        <s v="Tona"/>
        <s v="Archidona"/>
        <s v="Santa Coloma de Cervelló"/>
        <s v="Villanueva del Arzobispo"/>
        <s v="Chantada"/>
        <s v="Monforte del Cid"/>
        <s v="Olvera"/>
        <s v="Pravia"/>
        <s v="Aracena"/>
        <s v="Los Santos de Maimona"/>
        <s v="Benahavís"/>
        <s v="Villamediana de Iregua"/>
        <s v="Nájera"/>
        <s v="Colmenar de Oreja"/>
        <s v="Carboneras"/>
        <s v="Cenes de la Vega"/>
        <s v="Malagón"/>
        <s v="Arico"/>
        <s v="Arévalo"/>
        <s v="La Pobla de Farnals"/>
        <s v="Roquetes"/>
        <s v="Corella"/>
        <s v="Pinoso"/>
        <s v="La Almunia de Doña Godina"/>
        <s v="Monachil"/>
        <s v="Almodóvar del Río"/>
        <s v="Cintruénigo"/>
        <s v="Olías del Rey"/>
        <s v="Montserrat"/>
        <s v="Redován"/>
        <s v="La Puebla de Montalbán"/>
        <s v="San Fulgencio"/>
        <s v="Rociana del Condado"/>
        <s v="Azuaga"/>
        <s v="Artà"/>
        <s v="Moratalla"/>
        <s v="Brión"/>
        <s v="Villaverde del Río"/>
        <s v="Castro del Río"/>
        <s v="Vidreres"/>
        <s v="Torres de la Alameda"/>
        <s v="Pontedeume"/>
        <s v="Baztan"/>
        <s v="Valencina de la Concepción"/>
        <s v="Trigueros"/>
        <s v="Pedreguer"/>
        <s v="Balmaseda"/>
        <s v="Moya"/>
        <s v="Tobarra"/>
        <s v="Morata de Tajuña"/>
        <s v="Bornos"/>
        <s v="Caldes de Malavella"/>
        <s v="El Paso"/>
        <s v="Sant Esteve Sesrovires"/>
        <s v="Peñíscola"/>
        <s v="Santa Margarida i els Monjos"/>
        <s v="Abadiño"/>
        <s v="Quintanar del Rey"/>
        <s v="Gerena"/>
        <s v="Medio Cudeyo"/>
        <s v="Vega de San Mateo"/>
        <s v="Santpedor"/>
        <s v="Cee (A Coruña)"/>
        <s v="Gelida"/>
        <s v="Viladecavalls"/>
        <s v="El Boalo"/>
        <s v="Onil"/>
        <s v="Muskiz"/>
        <s v="La Aldea de San Nicolás"/>
        <s v="Oroso"/>
        <s v="La Rambla"/>
        <s v="Marchamalo"/>
        <s v="Andorra (Teruel)"/>
        <s v="Dolores"/>
        <s v="Firgas"/>
        <s v="Alsasua"/>
        <s v="Cazorla"/>
        <s v="Cabrils"/>
        <s v="Es Castell"/>
        <s v="Cúllar Vega"/>
        <s v="Cobeña"/>
        <s v="Bujalance"/>
        <s v="Mellid"/>
        <s v="Centelles"/>
        <s v="Soutomaior"/>
        <s v="Santa María del Camí"/>
        <s v="Callosa d'En Sarrià"/>
        <s v="Elorrio"/>
        <s v="Talayuela"/>
        <s v="Foios"/>
        <s v="Montblanc"/>
        <s v="Almàssera"/>
        <s v="Camarma de Esteruelas"/>
        <s v="Villarejo de Salvanés"/>
        <s v="Valverde de la Virgen"/>
        <s v="Posadas"/>
        <s v="Lekeitio"/>
        <s v="Cox"/>
        <s v="Pedro Muñoz"/>
        <s v="Santa Eulàlia de Ronçana"/>
        <s v="Torreperogil"/>
        <s v="Berrioplano"/>
        <s v="Huéscar"/>
        <s v="Benacazón"/>
        <s v="Rocafort"/>
        <s v="Albuñol"/>
        <s v="Breña Alta"/>
        <s v="Villamayor"/>
        <s v="Berango"/>
        <s v="Alagón"/>
        <s v="Lorquí"/>
        <s v="Guissona"/>
        <s v="Aretxabaleta"/>
        <s v="Carbajosa de la Sagrada"/>
        <s v="Fuentes de Andalucía"/>
        <s v="Villa del Río"/>
        <s v="Huarte/Uharte"/>
        <s v="Begues"/>
        <s v="Muro"/>
        <s v="Banyeres de Mariola"/>
        <s v="Vimianzo"/>
        <s v="Montellano"/>
        <s v="Villanueva de Castellón"/>
        <s v="Trebujena"/>
        <s v="Cercedilla"/>
        <s v="Dúrcal"/>
      </sharedItems>
    </cacheField>
    <cacheField name="Comarca" numFmtId="0">
      <sharedItems containsBlank="1">
        <s v="Área Metropolitana de Madrid&#10;Corredor del Henares"/>
        <s v="Barcelonès"/>
        <s v="Comarca de Valencia"/>
        <s v="Comarca Metropolitana de Sevilla"/>
        <s v="Comarca de Zaragoza"/>
        <s v="Málaga-Costa del Sol"/>
        <s v="Huerta de Murcia"/>
        <s v="Palma de Mallorca"/>
        <s v="Gran Canaria"/>
        <s v="Gran Bilbao"/>
        <s v="Campo de Alicante"/>
        <m/>
        <s v="Campiña del Pisuerga"/>
        <s v="Comarca de Vigo"/>
        <s v="Comarca de Gijón"/>
        <s v="Comarcas de Álava"/>
        <s v="Comarca de La Coruña"/>
        <s v="Bajo Vinalopó"/>
        <s v="Vega de Granada"/>
        <s v="Vallès Occidental"/>
        <s v="Barcelonés"/>
        <s v="Campo de Cartagena"/>
        <s v="Campiña de Jerez"/>
        <s v="Área metropolitana de Madrid"/>
        <s v="Comarca del Área Metropolitana (Tenerife)"/>
        <s v="Cuenca de Pamplona"/>
        <s v="Comarca Metropolitana de Almería&#10;Costa de Almería"/>
        <s v="Comarca de Alcalá"/>
        <s v="Comarca de San Sebastián"/>
        <s v="Alfoz de Burgos"/>
        <s v="Llanos de Albacete"/>
        <s v="Comarca de Santander"/>
        <s v="Plana Alta"/>
        <s v="Logroño"/>
        <s v="Tierra de Badajoz"/>
        <s v="Campo de Salamanca"/>
        <s v="Comarca metropolitana de Huelva"/>
        <s v="Costa del Sol Occidental"/>
        <s v="Segriá"/>
        <s v="Tarragonés"/>
        <s v="Maresme"/>
        <s v="Tierra de León"/>
        <s v="Campo de Gibraltar"/>
        <s v="Bahía de Cádiz (comarca)"/>
        <s v="Metropolitana de Jaén"/>
        <s v="Comarca de Orense"/>
        <s v="Bajo Campo"/>
        <s v="Gironès"/>
        <s v="Comarca de Lugo"/>
        <s v="Comarca de Santiago"/>
        <s v="Poniente Almeriense"/>
        <s v="Alto Guadalentín"/>
        <s v="Bajo Llobregat"/>
        <s v="Bahía de Cádiz"/>
        <s v="La Alcarria"/>
        <s v="Tierras de Talavera"/>
        <s v="Vega Baja del Segura"/>
        <s v="Comarca de Pontevedra"/>
        <s v="L'Horta Oest"/>
        <s v="La Axarquía"/>
        <s v="Comarca de Abona"/>
        <s v="Tierra de Campos"/>
        <s v="Principado de Asturias"/>
        <s v="Bages"/>
        <s v="La Sagra"/>
        <s v="Campo de Calatrava"/>
        <s v="Safor"/>
        <s v="Vega Media del Segura"/>
        <s v="Marina Baja"/>
        <s v="Costa Noroeste de Cádiz"/>
        <s v="Garraf"/>
        <s v="Camp de Morvedre"/>
        <s v="Comarca de Ferrol"/>
        <s v="Arrecife"/>
        <s v="Bajo Bidasoa"/>
        <s v="Tierra del Pan"/>
        <s v="Vallès Oriental"/>
        <s v="Comarca de Las Vegas"/>
        <s v="Tierra de Mérida - Vegas Bajas"/>
        <s v="Hoya de Alcoy"/>
        <s v="Alacantí"/>
        <s v="Costa Granadina"/>
        <s v="Comarca de Ávila"/>
        <s v="Sierra Morena"/>
        <s v="Serranía Media"/>
        <s v="Hoya de Huesca"/>
        <s v="Medio Vinalopó"/>
        <s v="Comarca de Oviedo"/>
        <s v="Comarca del Besaya"/>
        <s v="Plana Baja"/>
        <s v="La Campiña (Sevilla)"/>
        <s v="Sierra de Tramontana"/>
        <s v="Baix Llobregat"/>
        <s v="Alto Ampurdán"/>
        <s v="Osona"/>
        <s v="Ribera Alta (Valencia)"/>
        <s v="Levante (Mallorca)"/>
        <s v="Subbética (Córdoba)"/>
        <s v="Marina Alta"/>
        <s v="Comarca del Valle de La Orotava"/>
        <s v="Comarca de Antequera"/>
        <s v="Fuerteventura"/>
        <s v="Valle del Guadalhorce"/>
        <s v="Anoia"/>
        <s v="Comarca de Écija"/>
        <s v="Alto Panadés"/>
        <s v="Comarca del Nalón"/>
        <s v="Comarca de Soria"/>
        <s v="La Selva"/>
        <s v="Metropolitana de Sevilla"/>
        <s v="Selva (comarca)"/>
        <s v="Bajo Guadalquivir (comarca)"/>
        <s v="Huerta Norte"/>
        <s v="Comarca del Caudal"/>
        <s v="Baix Penedès"/>
        <s v="Salnés"/>
        <s v="Raiguer"/>
        <s v="Vegas Altas"/>
        <s v="Migjorn"/>
        <s v="Campiña"/>
        <s v="Comunidad de Teruel"/>
        <s v="La Mancha (Ciudad Real)"/>
        <s v="Comarca del Ebro"/>
        <s v="Valle de Albaida"/>
        <s v="La Garrocha"/>
        <s v="Campiña del Henares"/>
        <s v="Vega Alta del Segura"/>
        <s v="Comarca del Altiplano"/>
        <s v="La Loma (Jaén)"/>
        <s v="Alt Vinalopó"/>
        <s v="Serranía de Ronda"/>
        <s v="Cuenca del Guadarrama"/>
        <s v="Tierra de Barros"/>
        <s v="Bajo Ebro"/>
        <s v="Ribera del Duero"/>
        <s v="Comarca de la Costa Oriental"/>
        <s v="Bajo Guadalentín"/>
        <s v="Santiago de Compostela"/>
        <s v="Bergantiños"/>
        <s v="Sierra de Cádiz"/>
        <s v="Campos de Hellín"/>
        <s v="Campiña Sur Cordobesa"/>
        <s v="Duranguesado"/>
        <s v="La Costera"/>
        <s v="Bajo Maestrazgo"/>
        <s v="Campiña de Carmona"/>
        <s v="Huerta Sur"/>
        <s v="Comarca del Valle de Güímar"/>
        <s v="Campiña de Morón y Marchena"/>
        <s v="Debabarrena"/>
        <s v="Ribera Baja (Valencia)"/>
        <s v="Costa Occidental"/>
        <s v="Ribera Alta"/>
        <s v="Comarca del Barbanza"/>
        <s v="Comarca de El Morrazo"/>
        <s v="La Sagra (Toledo)"/>
        <s v="Comarca del Noroeste"/>
        <s v="La Serena (Badajoz)"/>
        <s v="Vinalopó Medio"/>
        <s v="Altiplano murciano"/>
        <s v="Aljarafe"/>
        <s v="Mancha Alta Albaceteña"/>
        <s v="Campo del Turia"/>
        <s v="Altiplanicie de Almansa"/>
        <s v="Alt Camp"/>
        <s v="Comarca del Morrazo"/>
        <s v="Campo de Turia"/>
        <s v="Comarca de Calahorra"/>
        <s v="Comarca Metropolitana de Jaén"/>
        <s v="El Condado (Huelva)"/>
        <s v="Comarca de Acentejo"/>
        <s v="Urola Costa"/>
        <s v="Comarca de Icod-Daute-Isla Baja"/>
        <s v="Baix Empordà"/>
        <s v="Comarca del Condado"/>
        <s v="Tierra de Pinares"/>
        <s v="La Janda"/>
        <s v="Comarca de Avilés"/>
        <s v="Ribera Baixa"/>
        <s v="Alto Deva"/>
        <s v="Horta Nord"/>
        <s v="Sierra Sur"/>
        <s v="La Encina"/>
        <s v="Comarca del Suroeste (Tenerife)"/>
        <s v="Axarquía - Costa del Sol"/>
        <s v="Valle Medio del Guadalquivir"/>
        <s v="Costa Occidental de Huelva"/>
        <s v="El Maresme"/>
        <s v="Montsiá"/>
        <s v="Tierras de Medina"/>
        <s v="Comarca de Tabeirós - Tierra de Montes"/>
        <s v="Comarca de Baza"/>
        <s v="Comarca de Loja"/>
        <s v="Requena-Utiel"/>
        <s v="Raiguer&#10;Mallorca"/>
        <s v="Comunidad de Calatayud"/>
        <s v="Pla de l'Estany"/>
        <s v="Comarca Sur"/>
        <s v="Tolosaldea"/>
        <s v="Valle de Ricote"/>
        <s v="Campiña de Baena"/>
        <s v="Los Alcores"/>
        <s v="Levante Almeriense"/>
        <s v="Zaragoza (comarca)"/>
        <s v="Vega del Guadalquivir"/>
        <s v="Terra de Lemos"/>
        <s v="Comarca de Guadix"/>
        <s v="Cuadrilla de Ayala"/>
        <s v="La Mancha"/>
        <s v="Benavente y Los Valles"/>
        <s v="Uribe (España)"/>
        <s v="Sierra Morena (Jaén)"/>
        <s v="Comarca Metropolitana de Almería"/>
        <s v="Sierra Sur de Sevilla"/>
        <s v="O Salnés"/>
        <s v="Cinca Medio"/>
        <s v="Los Pedroches"/>
        <s v="Noguera"/>
        <s v="Campo Arañuelo"/>
        <s v="Urgell"/>
        <s v="Busturialdea - Urdaibai"/>
        <s v="Somontano de Barbastro"/>
        <s v="Comarca del Río Mula"/>
        <s v="Zafra - Río Bodión"/>
        <s v="Zinco Billas"/>
        <s v="Bajo Miño"/>
        <s v="Berguedá"/>
        <s v="Nalón"/>
        <s v="Bajo Aragón"/>
        <s v="Durangaldea"/>
        <s v="La Loma"/>
        <s v="Campo de Montiel (histórico)"/>
        <s v="Mariña Occidental"/>
        <s v="Mancha Alta"/>
        <s v="Hoya de Buñol"/>
        <s v="Bajo Cinca"/>
        <s v="Urola-Costa"/>
        <s v="Comarca de Arnedo"/>
        <s v="Plana de Urgel"/>
        <s v="Comarca de Noya"/>
        <s v="Terra Chá"/>
        <s v="Goyerri"/>
        <s v="Cuenca del Henares"/>
        <s v="Estella Oriental"/>
        <s v="Comarca de Verín"/>
        <s v="Comarca de Torrijos"/>
        <s v="Valdeorras"/>
        <s v="Cuenca del Medio Jarama"/>
        <s v="La Jacetania"/>
        <s v="Comarca de Betanzos"/>
        <s v="Ferrol"/>
        <s v="Alt Penedès"/>
        <s v="El Andévalo"/>
        <s v="Sierra Norte de Sevilla"/>
        <s v="Sierra de Béjar"/>
        <s v="Campiña de Guadalajara"/>
        <s v="Comarca de Ordes"/>
        <s v="Pla de Mallorca"/>
        <s v="Vegas del Alagón"/>
        <s v="Comarca del Narcea"/>
        <s v="Comarca de Ciudad Rodrigo"/>
        <s v="Alto Urgel"/>
        <s v="Llanos de Olivenza"/>
        <s v="Llevant"/>
        <s v="Valle del Almanzora"/>
        <s v="Comarca de Sierra Mágina"/>
        <s v="Bajo Deva"/>
        <s v="Mesa de Ocaña"/>
        <s v="Condado de Cocentaina"/>
        <s v="Baix Ebre"/>
        <s v="Comarca de Haro"/>
        <s v="La Sisla (comarca)"/>
        <s v="Mancha de Toledo"/>
        <s v="Trasmiera"/>
        <s v="Tierra de Astorga"/>
        <s v="Las Villas (Jaén)"/>
        <s v="Valle del Guadiato"/>
        <s v="Ripollés"/>
        <s v="Tafalla (comarca)"/>
        <s v="Tarassona i el Moncayo"/>
        <s v="Sierra Sur (Jaén)"/>
        <s v="Alcalatén"/>
        <s v="Aiaraldea"/>
        <s v="Tierra de La Bañeza"/>
        <s v="Comarca del Eume"/>
        <s v="Comarca Oriental"/>
        <s v="A Mariña"/>
        <s v="Baixo Miño"/>
        <s v="Mariña Oriental"/>
        <s v="Alto Vinalopó"/>
        <s v="Bajo Aragón-Caspe"/>
        <s v="Alto Urola"/>
        <s v="Comarca de La Limia"/>
        <s v="La Mariña Central"/>
        <s v="La Litera"/>
        <s v="Comarca de Alfaro"/>
        <s v="Navalcarnero"/>
        <s v="Comarca del Xallas"/>
        <s v="El Aljarafe"/>
        <s v="Alto Guadalquivir (Córdoba)"/>
        <s v="Sierra Suroeste"/>
        <s v="Baja Cerdaña"/>
        <s v="Alto Galligo"/>
        <s v="Segarra"/>
        <s v="Comarca de los Valles Pasiegos"/>
        <s v="Solsonés"/>
        <s v="Miajadas-Trujillo"/>
        <s v="Comarca de Campoo-Los Valles"/>
        <s v="Comunidad de Ciudad y Tierra de Segovia"/>
        <s v="Alto Palancia"/>
        <s v="Sierra Norte (Madrid)"/>
        <s v="Cuenca Alta del Manzanares"/>
        <s v="Tierra del Vino (Valladolid)"/>
        <s v="Alfoz de Toro"/>
        <s v="Laciana"/>
        <s v="Comarca de Muros"/>
        <s v="Alberche-Tiétar"/>
        <s v="Las Encartaciones"/>
        <s v="Valle de Lecrín"/>
        <s v="Lea Artibai"/>
        <s v="Campo de San Juan"/>
        <s v="Comarca del Saja-Nansa"/>
        <s v="Comarca de Chantada"/>
        <s v="Sierra de Aracena"/>
        <s v="Comarca de Logroño"/>
        <s v="Comarca de Nájera"/>
        <s v="Comarca del Sureste (Tenerife)"/>
        <s v="La Moraña"/>
        <s v="Comarca de Tudela"/>
        <s v="Valdejalón"/>
        <s v="Ribera de Navarra"/>
        <s v="Campiña Sur (Badajoz)"/>
        <s v="Campiña Este - Guadajoz"/>
        <s v="Baztán (comarca)"/>
        <s v="Alto Penedés"/>
        <s v="La Manchuela"/>
        <s v="Corredor de la Plata"/>
        <s v="Comarca de Trasmiera"/>
        <s v="Comarca de Finisterre"/>
        <s v="Zona Minera"/>
        <s v="Comarca de Órdenes"/>
        <s v="Andorra-Sierra de Arcos"/>
        <s v="La Barranca (Navarra)"/>
        <s v="Comarca de Sierra de Cazorla"/>
        <s v="Comarca de Tierra de Mellid"/>
        <s v="Cuenca de Barberá"/>
        <s v="Lea-Artibai"/>
        <s v="Comarca de Huéscar"/>
        <s v="La Armuña"/>
        <s v="Ribera Alta del Ebro"/>
        <s v="Comarca del Alto Guadalquivir"/>
        <s v="Comarca de Tierra de Soneira"/>
      </sharedItems>
    </cacheField>
    <cacheField name="Provincia" numFmtId="0">
      <sharedItems>
        <s v="Provincia de Madrid"/>
        <s v="Provincia de Barcelona"/>
        <s v="Provincia de València"/>
        <s v="Provincia de Sevilla"/>
        <s v="Provincia de Zaragoza"/>
        <s v="Provincia de Málaga"/>
        <s v="Provincia de Murcia"/>
        <s v="Provincia de Baleares"/>
        <s v="Provincia de Las Palmas"/>
        <s v="Provincia de Bizkaia"/>
        <s v="Provincia de Alicante"/>
        <s v="Provincia de Córdoba"/>
        <s v="Provincia de Valladolid"/>
        <s v="Provincia de Pontevedra"/>
        <s v="Provincia de Asturias"/>
        <s v="Provincia de Araba"/>
        <s v="Provincia de A Coruña"/>
        <s v="Provincia de Granada"/>
        <s v="Provincia de Cádiz"/>
        <s v="Provincia de Santa Cruz de Tenerife"/>
        <s v="Provincia de Navarra"/>
        <s v="Provincia de Almería"/>
        <s v="Provincia de Gipuzkoa"/>
        <s v="Provincia de Burgos"/>
        <s v="Provincia de Albacete"/>
        <s v="Provincia de Cantabria"/>
        <s v="Provincia de Castellón"/>
        <s v="Provincia de La Rioja"/>
        <s v="Provincia de Badajoz"/>
        <s v="Provincia de Salamanca"/>
        <s v="Provincia de Huelva"/>
        <s v="Provincia de Lleida"/>
        <s v="Provincia de Tarragona"/>
        <s v="Provincia de León"/>
        <s v="Provincia de Jaén"/>
        <s v="Provincia de Ourense"/>
        <s v="Provincia de Girona"/>
        <s v="Provincia de Lugo"/>
        <s v="Provincia de Cáceres"/>
        <s v="Provincia de Guadalajara"/>
        <s v="Provincia de Toledo"/>
        <s v="Provincia de Palencia"/>
        <s v="Provincia de Ciudad Real"/>
        <s v="Provincia de Zamora"/>
        <s v="Provincia de Ávila"/>
        <s v="Provincia de Cuenca"/>
        <s v="Provincia de Huesca"/>
        <s v="Provincia de Segovia"/>
        <s v="Provincia de Soria"/>
        <s v="Provincia de Teruel"/>
      </sharedItems>
    </cacheField>
    <cacheField name="CC.AA." numFmtId="0">
      <sharedItems>
        <s v="Comunidad de Madrid"/>
        <s v="Cataluña"/>
        <s v="Comunidad Valenciana"/>
        <s v="Andalucía"/>
        <s v="Aragón"/>
        <s v="Región de Murcia"/>
        <s v="Islas Baleares"/>
        <s v="Canarias"/>
        <s v="País Vasco"/>
        <s v="Castilla y León"/>
        <s v="Galicia"/>
        <s v="Principado de Asturias"/>
        <s v="Comunidad Foral de Navarra"/>
        <s v="Castilla-La Mancha"/>
        <s v="Cantabria"/>
        <s v="La Rioja"/>
        <s v="Extremadura"/>
      </sharedItems>
    </cacheField>
    <cacheField name="Altitud (m.s.n.m.)" numFmtId="0">
      <sharedItems containsString="0" containsBlank="1" containsNumber="1">
        <n v="667.0"/>
        <n v="9.0"/>
        <n v="15.0"/>
        <n v="12.0"/>
        <n v="200.0"/>
        <n v="11.0"/>
        <n v="43.0"/>
        <n v="13.0"/>
        <n v="8.0"/>
        <n v="19.0"/>
        <n v="3.0"/>
        <n v="120.0"/>
        <n v="698.0"/>
        <n v="28.0"/>
        <n v="525.0"/>
        <n v="21.0"/>
        <n v="86.0"/>
        <n v="738.0"/>
        <n v="277.0"/>
        <n v="6.0"/>
        <n v="232.0"/>
        <n v="10.0"/>
        <n v="190.0"/>
        <n v="56.0"/>
        <n v="620.0"/>
        <n v="4.0"/>
        <n v="446.0"/>
        <n v="27.0"/>
        <n v="588.0"/>
        <n v="664.0"/>
        <n v="666.0"/>
        <n v="622.0"/>
        <n v="859.0"/>
        <n v="686.0"/>
        <n v="30.0"/>
        <n v="711.0"/>
        <n v="543.0"/>
        <n v="384.0"/>
        <n v="185.0"/>
        <n v="802.0"/>
        <n v="54.0"/>
        <n v="22.0"/>
        <n v="155.0"/>
        <n v="68.0"/>
        <n v="42.0"/>
        <n v="568.0"/>
        <n v="648.5"/>
        <n v="837.0"/>
        <n v="20.0"/>
        <n v="700.0"/>
        <n v="573.0"/>
        <n v="145.0"/>
        <n v="117.0"/>
        <n v="70.0"/>
        <n v="39.0"/>
        <n v="465.0"/>
        <n v="260.0"/>
        <n v="459.0"/>
        <n v="718.0"/>
        <n v="353.0"/>
        <n v="124.0"/>
        <n v="705.0"/>
        <n v="0.0"/>
        <n v="590.0"/>
        <n v="708.0"/>
        <m/>
        <n v="80.0"/>
        <n v="373.0"/>
        <n v="7.0"/>
        <n v="428.0"/>
        <n v="66.0"/>
        <n v="621.0"/>
        <n v="60.0"/>
        <n v="630.0"/>
        <n v="749.0"/>
        <n v="139.0"/>
        <n v="50.0"/>
        <n v="238.0"/>
        <n v="123.0"/>
        <n v="236.0"/>
        <n v="615.0"/>
        <n v="46.0"/>
        <n v="680.0"/>
        <n v="125.0"/>
        <n v="743.0"/>
        <n v="49.0"/>
        <n v="69.0"/>
        <n v="280.0"/>
        <n v="18.0"/>
        <n v="544.0"/>
        <n v="903.0"/>
        <n v="5.0"/>
        <n v="652.0"/>
        <n v="494.0"/>
        <n v="217.0"/>
        <n v="561.0"/>
        <n v="109.0"/>
        <n v="45.0"/>
        <n v="1132.0"/>
        <n v="419.0"/>
        <n v="82.0"/>
        <n v="618.0"/>
        <n v="946.0"/>
        <n v="689.0"/>
        <n v="1900.0"/>
        <n v="488.0"/>
        <n v="395.0"/>
        <n v="604.0"/>
        <n v="1000.0"/>
        <n v="25.0"/>
        <n v="65.0"/>
        <n v="800.0"/>
        <n v="154.0"/>
        <n v="650.0"/>
        <n v="99.0"/>
        <n v="710.0"/>
        <n v="110.0"/>
        <n v="498.0"/>
        <n v="2.0"/>
        <n v="26.0"/>
        <n v="14.0"/>
        <n v="29.0"/>
        <n v="485.0"/>
        <n v="62.0"/>
        <n v="360.0"/>
        <n v="575.0"/>
        <n v="16.0"/>
        <n v="64.0"/>
        <n v="104.0"/>
        <n v="313.0"/>
        <n v="415.0"/>
        <n v="100.0"/>
        <n v="223.0"/>
        <n v="580.0"/>
        <n v="1021.0"/>
        <n v="1063.0"/>
        <n v="79.0"/>
        <n v="240.0"/>
        <n v="59.0"/>
        <n v="52.0"/>
        <n v="386.0"/>
        <n v="126.0"/>
        <n v="151.0"/>
        <n v="212.0"/>
        <n v="420.0"/>
        <n v="264.0"/>
        <n v="36.0"/>
        <n v="915.0"/>
        <n v="662.0"/>
        <n v="40.0"/>
        <n v="471.0"/>
        <n v="382.0"/>
        <n v="443.0"/>
        <n v="627.0"/>
        <n v="188.0"/>
        <n v="602.0"/>
        <n v="748.0"/>
        <n v="505.0"/>
        <n v="24.0"/>
        <n v="739.0"/>
        <n v="890.0"/>
        <n v="337.0"/>
        <n v="146.0"/>
        <n v="798.0"/>
        <n v="55.0"/>
        <n v="255.0"/>
        <n v="63.0"/>
        <n v="118.0"/>
        <n v="275.0"/>
        <n v="674.0"/>
        <n v="83.0"/>
        <n v="106.0"/>
        <n v="558.0"/>
        <n v="108.0"/>
        <n v="44.0"/>
        <n v="854.0"/>
        <n v="644.0"/>
        <n v="570.0"/>
        <n v="555.0"/>
        <n v="35.0"/>
        <n v="216.0"/>
        <n v="119.0"/>
        <n v="17.0"/>
        <n v="670.0"/>
        <n v="115.0"/>
        <n v="72.0"/>
        <n v="130.0"/>
        <n v="583.0"/>
        <n v="235.0"/>
        <n v="297.0"/>
        <n v="37.0"/>
        <n v="121.0"/>
        <n v="475.0"/>
        <n v="48.0"/>
        <n v="219.0"/>
        <n v="67.0"/>
        <n v="31.0"/>
        <n v="96.0"/>
        <n v="288.0"/>
        <n v="598.0"/>
        <n v="74.0"/>
        <n v="241.0"/>
        <n v="510.0"/>
        <n v="78.0"/>
        <n v="656.0"/>
        <n v="721.0"/>
        <n v="194.0"/>
        <n v="270.0"/>
        <n v="102.0"/>
        <n v="712.0"/>
        <n v="215.0"/>
        <n v="358.0"/>
        <n v="753.0"/>
        <n v="75.0"/>
        <n v="331.0"/>
        <n v="671.0"/>
        <n v="844.0"/>
        <n v="23.0"/>
        <n v="135.0"/>
        <n v="755.0"/>
        <n v="578.0"/>
        <n v="164.0"/>
        <n v="371.0"/>
        <n v="704.0"/>
        <n v="41.0"/>
        <n v="434.0"/>
        <n v="61.0"/>
        <n v="187.0"/>
        <n v="202.0"/>
        <n v="660.0"/>
        <n v="51.0"/>
        <n v="176.0"/>
        <n v="98.0"/>
        <n v="918.0"/>
        <n v="540.0"/>
        <n v="503.0"/>
        <n v="677.0"/>
        <n v="196.0"/>
        <n v="741.0"/>
        <n v="461.0"/>
        <n v="720.0"/>
        <n v="88.0"/>
        <n v="281.0"/>
        <n v="340.0"/>
        <n v="448.0"/>
        <n v="458.0"/>
        <n v="692.0"/>
        <n v="541.0"/>
        <n v="289.0"/>
        <n v="690.0"/>
        <n v="181.0"/>
        <n v="253.0"/>
        <n v="530.0"/>
        <n v="172.0"/>
        <n v="150.0"/>
        <n v="133.0"/>
        <n v="405.0"/>
        <n v="143.0"/>
        <n v="515.0"/>
        <n v="740.0"/>
        <n v="423.0"/>
        <n v="32.0"/>
        <n v="655.0"/>
        <n v="207.0"/>
        <n v="38.0"/>
        <n v="226.0"/>
        <n v="79.65"/>
        <n v="949.0"/>
        <n v="1032.0"/>
        <n v="193.0"/>
        <n v="520.0"/>
        <n v="93.0"/>
        <n v="654.0"/>
        <n v="152.0"/>
        <n v="122.0"/>
        <n v="95.0"/>
        <n v="350.0"/>
        <n v="343.0"/>
        <n v="94.0"/>
        <n v="328.0"/>
        <n v="203.0"/>
        <n v="905.0"/>
        <n v="273.0"/>
        <n v="34.0"/>
        <n v="233.0"/>
        <n v="291.0"/>
        <n v="91.0"/>
        <n v="341.0"/>
        <n v="508.0"/>
        <n v="346.0"/>
        <n v="175.0"/>
        <n v="330.0"/>
        <n v="127.0"/>
        <n v="192.0"/>
        <n v="252.0"/>
        <n v="76.0"/>
        <n v="116.0"/>
        <n v="47.0"/>
        <n v="909.0"/>
        <n v="981.0"/>
        <n v="165.0"/>
        <n v="769.0"/>
        <n v="132.0"/>
        <n v="362.0"/>
        <n v="128.0"/>
        <n v="745.0"/>
        <n v="716.0"/>
        <n v="201.0"/>
        <n v="635.0"/>
        <n v="595.0"/>
        <n v="205.0"/>
        <n v="582.0"/>
        <n v="399.0"/>
        <n v="177.0"/>
        <n v="470.0"/>
        <n v="550.0"/>
        <n v="342.0"/>
        <n v="778.0"/>
        <n v="250.0"/>
        <n v="290.0"/>
        <n v="919.0"/>
        <n v="673.0"/>
        <n v="131.0"/>
        <n v="640.0"/>
        <n v="732.0"/>
        <n v="480.0"/>
        <n v="228.0"/>
        <n v="397.0"/>
        <n v="159.0"/>
        <n v="747.0"/>
        <n v="180.0"/>
        <n v="421.0"/>
        <n v="148.0"/>
        <n v="586.0"/>
        <n v="160.0"/>
        <n v="1177.0"/>
        <n v="303.0"/>
        <n v="529.0"/>
        <n v="707.0"/>
        <n v="325.0"/>
        <n v="684.0"/>
        <n v="299.0"/>
        <n v="142.0"/>
        <n v="979.0"/>
        <n v="820.0"/>
        <n v="222.0"/>
        <n v="162.0"/>
        <n v="410.0"/>
        <n v="959.0"/>
        <n v="292.0"/>
        <n v="815.0"/>
        <n v="105.0"/>
        <n v="254.0"/>
        <n v="302.0"/>
        <n v="335.0"/>
        <n v="376.0"/>
        <n v="658.0"/>
        <n v="553.0"/>
        <n v="58.0"/>
        <n v="167.0"/>
        <n v="600.0"/>
        <n v="691.0"/>
        <n v="831.0"/>
        <n v="724.0"/>
        <n v="239.0"/>
        <n v="327.0"/>
        <n v="646.0"/>
        <n v="111.0"/>
        <n v="647.0"/>
        <n v="113.0"/>
        <n v="730.0"/>
        <n v="103.0"/>
        <n v="430.0"/>
        <n v="479.0"/>
        <n v="230.0"/>
        <n v="593.0"/>
        <n v="390.0"/>
        <n v="101.0"/>
        <n v="770.0"/>
        <n v="551.0"/>
        <n v="617.0"/>
        <n v="925.0"/>
        <n v="754.0"/>
        <n v="206.0"/>
        <n v="114.0"/>
        <n v="306.0"/>
        <n v="870.0"/>
        <n v="442.0"/>
        <n v="426.0"/>
        <n v="812.0"/>
        <n v="537.0"/>
        <n v="2123.0"/>
        <n v="676.0"/>
        <n v="697.0"/>
        <n v="694.0"/>
        <n v="279.0"/>
        <n v="153.0"/>
        <n v="137.0"/>
        <n v="484.0"/>
        <n v="772.0"/>
        <n v="1.0"/>
        <n v="500.0"/>
        <n v="675.0"/>
        <n v="197.0"/>
        <n v="759.0"/>
        <n v="316.0"/>
        <n v="557.0"/>
        <n v="323.0"/>
        <n v="198.0"/>
        <n v="576.0"/>
        <n v="571.0"/>
        <n v="472.0"/>
        <n v="624.0"/>
        <n v="90.0"/>
        <n v="158.0"/>
        <n v="356.9"/>
        <n v="717.0"/>
        <n v="322.0"/>
        <n v="857.93"/>
        <n v="286.0"/>
        <n v="310.0"/>
        <n v="608.0"/>
        <n v="300.0"/>
        <n v="208.0"/>
        <n v="441.0"/>
        <n v="169.0"/>
        <n v="195.0"/>
        <n v="560.0"/>
        <n v="506.0"/>
        <n v="1202.0"/>
        <n v="780.0"/>
        <n v="257.0"/>
        <n v="548.0"/>
        <n v="899.0"/>
        <n v="307.0"/>
        <n v="33.0"/>
        <n v="425.0"/>
        <n v="736.0"/>
        <n v="564.0"/>
        <n v="851.0"/>
        <n v="1191.0"/>
        <n v="850.0"/>
        <n v="629.0"/>
        <n v="136.0"/>
        <n v="908.0"/>
        <n v="921.0"/>
        <n v="112.0"/>
        <n v="725.0"/>
        <n v="247.0"/>
        <n v="524.0"/>
        <n v="1003.0"/>
        <n v="581.0"/>
        <n v="681.0"/>
        <n v="1001.0"/>
        <n v="744.0"/>
        <n v="642.0"/>
        <n v="400.0"/>
        <n v="450.0"/>
        <n v="596.0"/>
        <n v="73.0"/>
        <n v="688.0"/>
        <n v="643.0"/>
        <n v="714.0"/>
        <n v="449.0"/>
        <n v="761.0"/>
        <n v="556.0"/>
        <n v="336.0"/>
        <n v="792.0"/>
        <n v="393.0"/>
        <n v="453.0"/>
        <n v="227.0"/>
        <n v="432.0"/>
        <n v="490.0"/>
        <n v="661.0"/>
        <n v="182.0"/>
        <n v="183.0"/>
        <n v="161.0"/>
        <n v="144.0"/>
        <n v="728.0"/>
        <n v="274.0"/>
        <n v="980.0"/>
        <n v="528.0"/>
        <n v="826.0"/>
        <n v="147.0"/>
        <n v="641.0"/>
        <n v="357.0"/>
        <n v="454.0"/>
        <n v="496.0"/>
        <n v="287.0"/>
        <n v="838.0"/>
        <n v="456.0"/>
        <n v="953.0"/>
        <n v="782.0"/>
        <n v="89.0"/>
        <n v="789.0"/>
        <n v="816.0"/>
        <n v="1118.0"/>
      </sharedItems>
    </cacheField>
    <cacheField name="Superficie (km²)" numFmtId="0">
      <sharedItems containsSemiMixedTypes="0" containsString="0" containsNumber="1">
        <n v="605.77"/>
        <n v="99.11"/>
        <n v="139.31"/>
        <n v="141.59"/>
        <n v="973.78"/>
        <n v="395.71"/>
        <n v="885.11"/>
        <n v="208.63"/>
        <n v="103.32"/>
        <n v="41.39"/>
        <n v="201.27"/>
        <n v="1254.25"/>
        <n v="197.37"/>
        <n v="109.06"/>
        <n v="181.71"/>
        <n v="276.66"/>
        <n v="37.83"/>
        <n v="326.5"/>
        <n v="88.11"/>
        <n v="70.29"/>
        <n v="20.95"/>
        <n v="186.65"/>
        <n v="560.19"/>
        <n v="37.53"/>
        <n v="1187.92"/>
        <n v="45.28"/>
        <n v="150.44"/>
        <n v="25.14"/>
        <n v="295.72"/>
        <n v="87.72"/>
        <n v="39.49"/>
        <n v="43.09"/>
        <n v="60.89"/>
        <n v="78.38"/>
        <n v="107.06"/>
        <n v="1126.99"/>
        <n v="36.08"/>
        <n v="111.33"/>
        <n v="33.73"/>
        <n v="102.45"/>
        <n v="78.97"/>
        <n v="1440.37"/>
        <n v="39.34"/>
        <n v="152.03"/>
        <n v="117.15"/>
        <n v="212.01"/>
        <n v="58.82"/>
        <n v="160.15"/>
        <n v="32.62"/>
        <n v="24.51"/>
        <n v="22.3"/>
        <n v="39.03"/>
        <n v="87.96"/>
        <n v="7.09"/>
        <n v="44.98"/>
        <n v="12.3"/>
        <n v="424.23"/>
        <n v="84.74"/>
        <n v="52.93"/>
        <n v="38.97"/>
        <n v="25.12"/>
        <n v="329.78"/>
        <n v="220.01"/>
        <n v="59.65"/>
        <n v="1750.23"/>
        <n v="58.31"/>
        <n v="30.65"/>
        <n v="1675.27"/>
        <n v="48.2"/>
        <n v="58.66"/>
        <n v="6.82"/>
        <n v="159.09"/>
        <n v="67.38"/>
        <n v="235.49"/>
        <n v="232.14"/>
        <n v="22.13"/>
        <n v="226.13"/>
        <n v="185.83"/>
        <n v="71.76"/>
        <n v="118.47"/>
        <n v="148.73"/>
        <n v="69.23"/>
        <n v="12.01"/>
        <n v="158.19"/>
        <n v="81.6"/>
        <n v="10.37"/>
        <n v="94.95"/>
        <n v="26.81"/>
        <n v="11.87"/>
        <n v="41.64"/>
        <n v="32.2"/>
        <n v="365.36"/>
        <n v="64.17"/>
        <n v="285.43"/>
        <n v="285.15"/>
        <n v="60.83"/>
        <n v="62.53"/>
        <n v="169.37"/>
        <n v="38.47"/>
        <n v="35.85"/>
        <n v="38.51"/>
        <n v="170.27"/>
        <n v="19.91"/>
        <n v="137.37"/>
        <n v="26.93"/>
        <n v="33.87"/>
        <n v="12.81"/>
        <n v="20.06"/>
        <n v="133.92"/>
        <n v="82.65"/>
        <n v="283.17"/>
        <n v="31.53"/>
        <n v="26.52"/>
        <n v="26.67"/>
        <n v="24.28"/>
        <n v="42.4"/>
        <n v="149.28"/>
        <n v="14.95"/>
        <n v="201.11"/>
        <n v="865.19"/>
        <n v="129.86"/>
        <n v="40.55"/>
        <n v="103.31"/>
        <n v="230.7"/>
        <n v="196.7"/>
        <n v="30.83"/>
        <n v="79.65"/>
        <n v="910.6"/>
        <n v="47.2"/>
        <n v="332.42"/>
        <n v="161.04"/>
        <n v="45.79"/>
        <n v="62.04"/>
        <n v="163.59"/>
        <n v="211.23"/>
        <n v="35.53"/>
        <n v="10.8"/>
        <n v="55.12"/>
        <n v="182.56"/>
        <n v="651.27"/>
        <n v="145.02"/>
        <n v="162.5"/>
        <n v="11.14"/>
        <n v="37.93"/>
        <n v="28.0"/>
        <n v="226.74"/>
        <n v="30.89"/>
        <n v="4.55"/>
        <n v="19.09"/>
        <n v="30.79"/>
        <n v="8.88"/>
        <n v="3.18"/>
        <n v="11.95"/>
        <n v="110.49"/>
        <n v="260.31"/>
        <n v="2.03"/>
        <n v="352.05"/>
        <n v="66.18"/>
        <n v="16.24"/>
        <n v="206.89"/>
        <n v="196.02"/>
        <n v="748.49"/>
        <n v="290.77"/>
        <n v="7.01"/>
        <n v="82.7"/>
        <n v="8.2"/>
        <n v="217.94"/>
        <n v="978.47"/>
        <n v="32.26"/>
        <n v="39.86"/>
        <n v="83.54"/>
        <n v="271.77"/>
        <n v="66.91"/>
        <n v="17.77"/>
        <n v="4.4"/>
        <n v="138.7"/>
        <n v="48.38"/>
        <n v="109.47"/>
        <n v="32.84"/>
        <n v="3.44"/>
        <n v="153.58"/>
        <n v="146.04"/>
        <n v="36.5"/>
        <n v="44.24"/>
        <n v="54.22"/>
        <n v="561.69"/>
        <n v="3.78"/>
        <n v="327.33"/>
        <n v="964.9"/>
        <n v="56.47"/>
        <n v="215.06"/>
        <n v="23.49"/>
        <n v="43.66"/>
        <n v="440.41"/>
        <n v="242.15"/>
        <n v="189.61"/>
        <n v="101.33"/>
        <n v="125.43"/>
        <n v="251.77"/>
        <n v="29.05"/>
        <n v="19.68"/>
        <n v="366.2"/>
        <n v="46.99"/>
        <n v="59.25"/>
        <n v="605.28"/>
        <n v="403.98"/>
        <n v="104.09"/>
        <n v="5.58"/>
        <n v="345.38"/>
        <n v="35.08"/>
        <n v="397.31"/>
        <n v="64.99"/>
        <n v="164.25"/>
        <n v="219.15"/>
        <n v="58.34"/>
        <n v="8.18"/>
        <n v="127.28"/>
        <n v="75.36"/>
        <n v="58.16"/>
        <n v="93.68"/>
        <n v="318.17"/>
        <n v="96.06"/>
        <n v="287.28"/>
        <n v="16.05"/>
        <n v="8.4"/>
        <n v="80.1"/>
        <n v="67.08"/>
        <n v="78.9"/>
        <n v="20.66"/>
        <n v="6.61"/>
        <n v="186.09"/>
        <n v="39.09"/>
        <n v="39.56"/>
        <n v="19.65"/>
        <n v="62.0"/>
        <n v="40.88"/>
        <n v="526.81"/>
        <n v="64.84"/>
        <n v="666.5"/>
        <n v="8.83"/>
        <n v="61.73"/>
        <n v="781.66"/>
        <n v="36.98"/>
        <n v="489.26"/>
        <n v="171.05"/>
        <n v="186.34"/>
        <n v="10.73"/>
        <n v="5.13"/>
        <n v="3.9"/>
        <n v="31.47"/>
        <n v="43.7"/>
        <n v="100.22"/>
        <n v="76.56"/>
        <n v="52.08"/>
        <n v="84.19"/>
        <n v="117.31"/>
        <n v="104.55"/>
        <n v="57.35"/>
        <n v="95.46"/>
        <n v="922.07"/>
        <n v="55.27"/>
        <n v="12.84"/>
        <n v="13.16"/>
        <n v="1.96"/>
        <n v="9.26"/>
        <n v="49.48"/>
        <n v="68.05"/>
        <n v="431.93"/>
        <n v="68.59"/>
        <n v="5.67"/>
        <n v="375.2"/>
        <n v="24.78"/>
        <n v="11.65"/>
        <n v="92.52"/>
        <n v="15.07"/>
        <n v="127.94"/>
        <n v="159.38"/>
        <n v="41.3"/>
        <n v="3.52"/>
        <n v="10.46"/>
        <n v="47.86"/>
        <n v="68.83"/>
        <n v="356.13"/>
        <n v="38.08"/>
        <n v="20.18"/>
        <n v="83.36"/>
        <n v="126.8"/>
        <n v="32.97"/>
        <n v="105.1"/>
        <n v="3.96"/>
        <n v="64.34"/>
        <n v="15.72"/>
        <n v="72.68"/>
        <n v="15.69"/>
        <n v="860.2"/>
        <n v="152.86"/>
        <n v="75.72"/>
        <n v="969.72"/>
        <n v="84.31"/>
        <n v="22.35"/>
        <n v="5.16"/>
        <n v="47.65"/>
        <n v="43.92"/>
        <n v="862.41"/>
        <n v="89.69"/>
        <n v="59.93"/>
        <n v="108.2"/>
        <n v="19.72"/>
        <n v="73.1"/>
        <n v="40.74"/>
        <n v="49.64"/>
        <n v="8.34"/>
        <n v="33.1"/>
        <n v="531.82"/>
        <n v="55.35"/>
        <n v="18.17"/>
        <n v="36.66"/>
        <n v="75.1"/>
        <n v="62.55"/>
        <n v="93.57"/>
        <n v="261.1"/>
        <n v="859.21"/>
        <n v="45.17"/>
        <n v="4.31"/>
        <n v="30.0"/>
        <n v="9.64"/>
        <n v="16.69"/>
        <n v="21.95"/>
        <n v="330.44"/>
        <n v="69.92"/>
        <n v="3.21"/>
        <n v="62.52"/>
        <n v="14.35"/>
        <n v="17.21"/>
        <n v="95.94"/>
        <n v="228.04"/>
        <n v="125.53"/>
        <n v="169.03"/>
        <n v="23.61"/>
        <n v="29.23"/>
        <n v="88.07"/>
        <n v="142.17"/>
        <n v="288.27"/>
        <n v="55.34"/>
        <n v="263.03"/>
        <n v="34.43"/>
        <n v="57.49"/>
        <n v="27.32"/>
        <n v="21.78"/>
        <n v="127.37"/>
        <n v="53.82"/>
        <n v="4.89"/>
        <n v="203.74"/>
        <n v="313.03"/>
        <n v="30.8"/>
        <n v="12.32"/>
        <n v="15.83"/>
        <n v="15.92"/>
        <n v="77.81"/>
        <n v="261.36"/>
        <n v="38.76"/>
        <n v="34.92"/>
        <n v="4.11"/>
        <n v="144.1"/>
        <n v="49.36"/>
        <n v="33.82"/>
        <n v="53.26"/>
        <n v="39.06"/>
        <n v="383.52"/>
        <n v="85.12"/>
        <n v="200.19"/>
        <n v="141.29"/>
        <n v="85.79"/>
        <n v="10.04"/>
        <n v="42.04"/>
        <n v="42.69"/>
        <n v="137.65"/>
        <n v="70.57"/>
        <n v="37.88"/>
        <n v="17.29"/>
        <n v="153.14"/>
        <n v="19.26"/>
        <n v="280.74"/>
        <n v="35.6"/>
        <n v="545.39"/>
        <n v="39.81"/>
        <n v="447.53"/>
        <n v="229.08"/>
        <n v="814.4"/>
        <n v="60.02"/>
        <n v="25.75"/>
        <n v="326.83"/>
        <n v="1.39"/>
        <n v="102.89"/>
        <n v="11.91"/>
        <n v="64.32"/>
        <n v="14.46"/>
        <n v="29.74"/>
        <n v="171.42"/>
        <n v="154.25"/>
        <n v="225.32"/>
        <n v="61.17"/>
        <n v="11.02"/>
        <n v="19.46"/>
        <n v="37.39"/>
        <n v="45.97"/>
        <n v="18.1"/>
        <n v="378.55"/>
        <n v="35.06"/>
        <n v="58.84"/>
        <n v="16.38"/>
        <n v="362.31"/>
        <n v="20.22"/>
        <n v="105.93"/>
        <n v="20.11"/>
        <n v="318.46"/>
        <n v="32.9"/>
        <n v="2.11"/>
        <n v="9.16"/>
        <n v="7.86"/>
        <n v="24.91"/>
        <n v="86.58"/>
        <n v="40.76"/>
        <n v="78.58"/>
        <n v="25.02"/>
        <n v="47.25"/>
        <n v="17.72"/>
        <n v="294.25"/>
        <n v="52.69"/>
        <n v="21.36"/>
        <n v="8.75"/>
        <n v="79.25"/>
        <n v="199.52"/>
        <n v="324.2"/>
        <n v="6.01"/>
        <n v="56.4"/>
        <n v="12.24"/>
        <n v="23.83"/>
        <n v="8.77"/>
        <n v="36.29"/>
        <n v="419.76"/>
        <n v="6.56"/>
        <n v="37.56"/>
        <n v="474.22"/>
        <n v="45.12"/>
        <n v="438.06"/>
        <n v="13.96"/>
        <n v="65.49"/>
        <n v="7.78"/>
        <n v="169.79"/>
        <n v="44.46"/>
        <n v="34.77"/>
        <n v="117.14"/>
        <n v="20.93"/>
        <n v="592.25"/>
        <n v="37.65"/>
        <n v="2.17"/>
        <n v="39.31"/>
        <n v="45.08"/>
        <n v="155.02"/>
        <n v="50.05"/>
        <n v="84.6"/>
        <n v="329.91"/>
        <n v="49.23"/>
        <n v="25.35"/>
        <n v="57.17"/>
        <n v="155.96"/>
        <n v="33.93"/>
        <n v="8.53"/>
        <n v="107.6"/>
        <n v="27.73"/>
        <n v="633.84"/>
        <n v="28.63"/>
        <n v="62.6"/>
        <n v="609.92"/>
        <n v="33.81"/>
        <n v="68.32"/>
        <n v="6.76"/>
        <n v="69.75"/>
        <n v="274.19"/>
        <n v="212.09"/>
        <n v="18.99"/>
        <n v="22.54"/>
        <n v="57.59"/>
        <n v="229.7"/>
        <n v="7.33"/>
        <n v="10.25"/>
        <n v="17.69"/>
        <n v="151.65"/>
        <n v="44.12"/>
        <n v="8.66"/>
        <n v="68.75"/>
        <n v="11.34"/>
        <n v="55.05"/>
        <n v="56.98"/>
        <n v="6.16"/>
        <n v="472.12"/>
        <n v="6.47"/>
        <n v="192.77"/>
        <n v="27.49"/>
        <n v="22.68"/>
        <n v="6.45"/>
        <n v="43.41"/>
        <n v="57.22"/>
        <n v="45.62"/>
        <n v="46.01"/>
        <n v="35.58"/>
        <n v="134.27"/>
        <n v="398.89"/>
        <n v="109.34"/>
        <n v="119.68"/>
        <n v="144.63"/>
        <n v="118.12"/>
        <n v="33.94"/>
        <n v="13.33"/>
        <n v="106.84"/>
        <n v="201.37"/>
        <n v="38.77"/>
        <n v="276.3"/>
        <n v="6.57"/>
        <n v="38.3"/>
        <n v="178.73"/>
        <n v="53.29"/>
        <n v="437.64"/>
        <n v="23.81"/>
        <n v="300.12"/>
        <n v="69.39"/>
        <n v="5.05"/>
        <n v="85.4"/>
        <n v="18.31"/>
        <n v="10.01"/>
        <n v="0.78"/>
        <n v="53.23"/>
        <n v="15.08"/>
        <n v="6.95"/>
        <n v="22.37"/>
        <n v="27.17"/>
        <n v="75.95"/>
        <n v="12.64"/>
        <n v="6.32"/>
        <n v="276.23"/>
        <n v="13.52"/>
        <n v="35.11"/>
        <n v="74.51"/>
        <n v="49.31"/>
        <n v="37.21"/>
        <n v="182.16"/>
        <n v="263.98"/>
        <n v="379.36"/>
        <n v="79.08"/>
        <n v="54.33"/>
        <n v="45.94"/>
        <n v="29.99"/>
        <n v="34.63"/>
        <n v="8.43"/>
        <n v="42.62"/>
        <n v="15.45"/>
        <n v="136.16"/>
        <n v="23.44"/>
        <n v="94.07"/>
        <n v="42.8"/>
        <n v="106.69"/>
        <n v="157.78"/>
        <n v="21.86"/>
        <n v="262.93"/>
        <n v="106.61"/>
        <n v="3.01"/>
        <n v="48.59"/>
        <n v="17.34"/>
        <n v="2.9"/>
        <n v="303.39"/>
        <n v="85.43"/>
        <n v="24.07"/>
        <n v="0.93"/>
        <n v="38.28"/>
        <n v="184.62"/>
        <n v="166.06"/>
        <n v="8.95"/>
        <n v="70.67"/>
        <n v="50.53"/>
        <n v="42.56"/>
        <n v="406.34"/>
        <n v="169.62"/>
        <n v="130.59"/>
        <n v="115.04"/>
        <n v="24.21"/>
        <n v="9.65"/>
        <n v="26.31"/>
        <n v="18.95"/>
        <n v="104.42"/>
        <n v="218.67"/>
        <n v="226.9"/>
        <n v="45.74"/>
        <n v="13.65"/>
        <n v="157.23"/>
        <n v="263.94"/>
        <n v="328.33"/>
        <n v="25.81"/>
        <n v="189.97"/>
        <n v="19.98"/>
        <n v="86.51"/>
        <n v="103.46"/>
        <n v="21.45"/>
        <n v="250.25"/>
        <n v="10.48"/>
        <n v="25.26"/>
        <n v="185.81"/>
        <n v="30.98"/>
        <n v="34.91"/>
        <n v="823.58"/>
        <n v="240.13"/>
        <n v="61.54"/>
        <n v="124.86"/>
        <n v="152.36"/>
        <n v="16.23"/>
        <n v="211.85"/>
        <n v="373.16"/>
        <n v="63.58"/>
        <n v="34.47"/>
        <n v="83.24"/>
        <n v="15.19"/>
        <n v="51.84"/>
        <n v="2.86"/>
        <n v="4.24"/>
        <n v="82.57"/>
        <n v="30.84"/>
        <n v="23.67"/>
        <n v="12.85"/>
        <n v="430.14"/>
        <n v="20.15"/>
        <n v="87.89"/>
        <n v="374.8"/>
        <n v="54.92"/>
        <n v="168.28"/>
        <n v="10.3"/>
        <n v="487.23"/>
        <n v="148.78"/>
        <n v="66.11"/>
        <n v="54.71"/>
        <n v="39.11"/>
        <n v="147.9"/>
        <n v="3.27"/>
        <n v="236.91"/>
        <n v="82.5"/>
        <n v="7.2"/>
        <n v="52.94"/>
        <n v="8.47"/>
        <n v="353.52"/>
        <n v="103.48"/>
        <n v="40.53"/>
        <n v="10.14"/>
        <n v="107.32"/>
        <n v="68.37"/>
        <n v="125.95"/>
        <n v="10.11"/>
        <n v="26.44"/>
        <n v="49.25"/>
        <n v="81.46"/>
        <n v="97.7"/>
        <n v="15.1"/>
        <n v="14.14"/>
        <n v="32.25"/>
        <n v="52.11"/>
        <n v="33.59"/>
        <n v="59.56"/>
        <n v="30.12"/>
        <n v="58.79"/>
        <n v="87.87"/>
        <n v="15.3"/>
        <n v="69.71"/>
        <n v="25.4"/>
        <n v="189.81"/>
        <n v="20.62"/>
        <n v="11.86"/>
        <n v="16.43"/>
        <n v="42.25"/>
        <n v="316.0"/>
        <n v="46.78"/>
        <n v="149.69"/>
        <n v="21.68"/>
        <n v="40.61"/>
        <n v="1.93"/>
        <n v="4.73"/>
        <n v="60.42"/>
        <n v="48.94"/>
        <n v="239.55"/>
        <n v="64.88"/>
        <n v="73.68"/>
        <n v="107.03"/>
        <n v="36.79"/>
        <n v="21.89"/>
        <n v="375.89"/>
        <n v="98.08"/>
        <n v="244.01"/>
        <n v="26.79"/>
        <n v="236.84"/>
        <n v="262.01"/>
        <n v="6.54"/>
        <n v="34.82"/>
        <n v="2.71"/>
        <n v="95.18"/>
        <n v="5.66"/>
        <n v="45.43"/>
        <n v="39.94"/>
        <n v="96.35"/>
        <n v="16.25"/>
        <n v="19.71"/>
        <n v="66.75"/>
        <n v="1.83"/>
        <n v="81.73"/>
        <n v="89.71"/>
        <n v="17.42"/>
        <n v="33.65"/>
        <n v="59.71"/>
        <n v="43.77"/>
        <n v="1.06"/>
        <n v="8.06"/>
        <n v="185.59"/>
        <n v="249.37"/>
        <n v="52.85"/>
        <n v="114.6"/>
        <n v="149.39"/>
        <n v="11.28"/>
        <n v="94.6"/>
        <n v="197.43"/>
        <n v="9.0"/>
        <n v="358.49"/>
        <n v="100.29"/>
        <n v="27.7"/>
        <n v="20.5"/>
        <n v="141.63"/>
        <n v="62.34"/>
        <n v="27.72"/>
        <n v="92.94"/>
        <n v="109.14"/>
        <n v="63.48"/>
        <n v="131.93"/>
        <n v="62.54"/>
        <n v="281.86"/>
        <n v="9.7"/>
        <n v="68.25"/>
        <n v="216.71"/>
        <n v="65.38"/>
        <n v="503.15"/>
        <n v="18.42"/>
        <n v="168.57"/>
        <n v="71.08"/>
        <n v="132.67"/>
        <n v="5.59"/>
        <n v="30.18"/>
        <n v="23.84"/>
        <n v="120.75"/>
        <n v="273.33"/>
        <n v="25.1"/>
        <n v="268.51"/>
        <n v="17.38"/>
        <n v="114.65"/>
        <n v="15.62"/>
        <n v="194.12"/>
        <n v="22.25"/>
        <n v="16.18"/>
        <n v="203.7"/>
        <n v="16.97"/>
        <n v="47.1"/>
        <n v="112.4"/>
        <n v="16.42"/>
        <n v="45.49"/>
        <n v="540.83"/>
        <n v="585.55"/>
        <n v="50.56"/>
        <n v="38.8"/>
        <n v="32.51"/>
        <n v="25.29"/>
        <n v="30.24"/>
        <n v="25.13"/>
        <n v="739.93"/>
        <n v="18.62"/>
        <n v="586.82"/>
        <n v="63.61"/>
        <n v="7.77"/>
        <n v="17.15"/>
        <n v="18.09"/>
        <n v="55.21"/>
        <n v="94.58"/>
        <n v="35.92"/>
        <n v="47.64"/>
        <n v="31.7"/>
        <n v="0.74"/>
        <n v="17.71"/>
        <n v="113.13"/>
        <n v="29.15"/>
        <n v="8.74"/>
        <n v="28.31"/>
        <n v="26.55"/>
        <n v="109.86"/>
        <n v="14.05"/>
        <n v="8.92"/>
        <n v="31.77"/>
        <n v="23.87"/>
        <n v="649.53"/>
        <n v="4.06"/>
        <n v="205.1"/>
        <n v="106.2"/>
        <n v="10.76"/>
        <n v="4.2"/>
        <n v="50.29"/>
        <n v="18.2"/>
        <n v="20.73"/>
        <n v="249.95"/>
        <n v="12.42"/>
        <n v="8.98"/>
        <n v="7.94"/>
        <n v="126.7"/>
        <n v="43.21"/>
        <n v="44.06"/>
        <n v="24.56"/>
        <n v="13.11"/>
        <n v="3.88"/>
        <n v="141.68"/>
        <n v="13.2"/>
        <n v="429.52"/>
        <n v="324.86"/>
        <n v="63.42"/>
        <n v="22.03"/>
        <n v="167.96"/>
        <n v="20.02"/>
        <n v="26.8"/>
        <n v="228.24"/>
        <n v="30.44"/>
        <n v="29.77"/>
        <n v="332.25"/>
        <n v="60.52"/>
        <n v="72.91"/>
        <n v="8.39"/>
        <n v="71.44"/>
        <n v="5.92"/>
        <n v="8.81"/>
        <n v="14.21"/>
        <n v="115.48"/>
        <n v="77.07"/>
        <n v="31.1"/>
        <n v="187.44"/>
        <n v="45.31"/>
        <n v="82.08"/>
        <n v="89.15"/>
        <n v="4.3"/>
        <n v="7.95"/>
        <n v="227.31"/>
        <n v="48.37"/>
        <n v="32.1"/>
        <n v="63.11"/>
        <n v="41.84"/>
        <n v="48.15"/>
        <n v="33.23"/>
        <n v="32.22"/>
        <n v="16.5"/>
        <n v="186.46"/>
        <n v="7.49"/>
        <n v="177.81"/>
        <n v="176.73"/>
        <n v="79.52"/>
        <n v="193.69"/>
        <n v="102.96"/>
        <n v="184.45"/>
        <n v="108.62"/>
        <n v="145.39"/>
        <n v="20.46"/>
        <n v="37.44"/>
        <n v="114.32"/>
        <n v="6.49"/>
        <n v="364.8"/>
        <n v="178.93"/>
        <n v="45.71"/>
        <n v="3.62"/>
        <n v="137.23"/>
        <n v="81.35"/>
        <n v="126.46"/>
        <n v="56.65"/>
        <n v="88.92"/>
        <n v="172.53"/>
        <n v="37.34"/>
        <n v="40.09"/>
        <n v="45.58"/>
        <n v="9.45"/>
        <n v="141.34"/>
        <n v="20.7"/>
        <n v="71.95"/>
        <n v="497.89"/>
        <n v="139.79"/>
        <n v="952.61"/>
        <n v="74.73"/>
        <n v="41.14"/>
        <n v="219.74"/>
        <n v="43.79"/>
        <n v="29.26"/>
        <n v="370.99"/>
        <n v="117.98"/>
        <n v="29.58"/>
        <n v="22.32"/>
        <n v="324.65"/>
        <n v="45.2"/>
        <n v="55.09"/>
        <n v="135.94"/>
        <n v="18.47"/>
        <n v="17.48"/>
        <n v="35.93"/>
        <n v="79.92"/>
        <n v="129.08"/>
        <n v="26.43"/>
        <n v="38.21"/>
        <n v="16.74"/>
        <n v="57.45"/>
        <n v="26.68"/>
        <n v="20.08"/>
        <n v="39.59"/>
        <n v="48.41"/>
        <n v="21.01"/>
        <n v="123.71"/>
        <n v="72.59"/>
        <n v="135.67"/>
        <n v="30.94"/>
        <n v="141.36"/>
        <n v="18.7"/>
        <n v="16.03"/>
        <n v="26.72"/>
        <n v="305.4"/>
        <n v="6.99"/>
        <n v="11.63"/>
        <n v="4.27"/>
        <n v="20.84"/>
        <n v="124.81"/>
        <n v="101.3"/>
        <n v="15.35"/>
        <n v="24.99"/>
        <n v="37.62"/>
        <n v="34.66"/>
        <n v="37.04"/>
        <n v="181.21"/>
        <n v="6.48"/>
        <n v="91.43"/>
        <n v="2.74"/>
        <n v="35.43"/>
        <n v="118.62"/>
        <n v="63.63"/>
        <n v="160.28"/>
        <n v="1.79"/>
        <n v="16.71"/>
        <n v="101.06"/>
        <n v="90.94"/>
        <n v="26.13"/>
        <n v="473.44"/>
        <n v="32.13"/>
        <n v="2.34"/>
        <n v="62.94"/>
        <n v="20.19"/>
        <n v="8.73"/>
        <n v="24.18"/>
        <n v="15.73"/>
        <n v="18.18"/>
        <n v="29.13"/>
        <n v="13.71"/>
        <n v="150.52"/>
        <n v="22.07"/>
        <n v="3.86"/>
        <n v="50.39"/>
        <n v="58.61"/>
        <n v="50.28"/>
        <n v="187.27"/>
        <n v="116.71"/>
        <n v="20.3"/>
        <n v="70.72"/>
        <n v="35.78"/>
        <n v="76.63"/>
      </sharedItems>
    </cacheField>
    <cacheField name="Población (2019)" numFmtId="3">
      <sharedItems containsSemiMixedTypes="0" containsString="0" containsNumber="1" containsInteger="1">
        <n v="3266126.0"/>
        <n v="1636762.0"/>
        <n v="794288.0"/>
        <n v="688592.0"/>
        <n v="674997.0"/>
        <n v="574654.0"/>
        <n v="453258.0"/>
        <n v="416065.0"/>
        <n v="379925.0"/>
        <n v="346843.0"/>
        <n v="334887.0"/>
        <n v="325701.0"/>
        <n v="298412.0"/>
        <n v="295364.0"/>
        <n v="271780.0"/>
        <n v="251774.0"/>
        <n v="245711.0"/>
        <n v="232517.0"/>
        <n v="232462.0"/>
        <n v="220556.0"/>
        <n v="220440.0"/>
        <n v="219686.0"/>
        <n v="214802.0"/>
        <n v="213644.0"/>
        <n v="212749.0"/>
        <n v="209184.0"/>
        <n v="207312.0"/>
        <n v="201653.0"/>
        <n v="198533.0"/>
        <n v="195649.0"/>
        <n v="193700.0"/>
        <n v="189861.0"/>
        <n v="187415.0"/>
        <n v="183374.0"/>
        <n v="175821.0"/>
        <n v="173329.0"/>
        <n v="172539.0"/>
        <n v="171728.0"/>
        <n v="170514.0"/>
        <n v="157503.0"/>
        <n v="151136.0"/>
        <n v="150702.0"/>
        <n v="144228.0"/>
        <n v="143663.0"/>
        <n v="143386.0"/>
        <n v="138956.0"/>
        <n v="134515.0"/>
        <n v="133968.0"/>
        <n v="131376.0"/>
        <n v="130124.0"/>
        <n v="128265.0"/>
        <n v="124303.0"/>
        <n v="121957.0"/>
        <n v="119215.0"/>
        <n v="117040.0"/>
        <n v="116027.0"/>
        <n v="112999.0"/>
        <n v="105233.0"/>
        <n v="104373.0"/>
        <n v="101852.0"/>
        <n v="100881.0"/>
        <n v="98276.0"/>
        <n v="97260.0"/>
        <n v="96800.0"/>
        <n v="96126.0"/>
        <n v="95814.0"/>
        <n v="94979.0"/>
        <n v="94404.0"/>
        <n v="91006.0"/>
        <n v="89276.0"/>
        <n v="88592.0"/>
        <n v="88405.0"/>
        <n v="88150.0"/>
        <n v="85871.0"/>
        <n v="84873.0"/>
        <n v="83605.0"/>
        <n v="83594.0"/>
        <n v="83417.0"/>
        <n v="83337.0"/>
        <n v="83029.0"/>
        <n v="82742.0"/>
        <n v="82208.0"/>
        <n v="81661.0"/>
        <n v="81643.0"/>
        <n v="81216.0"/>
        <n v="80309.0"/>
        <n v="78412.0"/>
        <n v="78182.0"/>
        <n v="77946.0"/>
        <n v="77714.0"/>
        <n v="77464.0"/>
        <n v="77414.0"/>
        <n v="75983.0"/>
        <n v="75279.0"/>
        <n v="74746.0"/>
        <n v="74562.0"/>
        <n v="73328.0"/>
        <n v="71890.0"/>
        <n v="71826.0"/>
        <n v="70195.0"/>
        <n v="68721.0"/>
        <n v="68684.0"/>
        <n v="68661.0"/>
        <n v="68286.0"/>
        <n v="68128.0"/>
        <n v="67086.0"/>
        <n v="67004.0"/>
        <n v="66611.0"/>
        <n v="66140.0"/>
        <n v="66065.0"/>
        <n v="64674.0"/>
        <n v="64599.0"/>
        <n v="63679.0"/>
        <n v="63147.0"/>
        <n v="62988.0"/>
        <n v="62401.0"/>
        <n v="61406.0"/>
        <n v="61275.0"/>
        <n v="59607.0"/>
        <n v="59335.0"/>
        <n v="58994.0"/>
        <n v="58385.0"/>
        <n v="58020.0"/>
        <n v="57744.0"/>
        <n v="57414.0"/>
        <n v="57403.0"/>
        <n v="55389.0"/>
        <n v="54690.0"/>
        <n v="54570.0"/>
        <n v="53443.0"/>
        <n v="53132.0"/>
        <n v="52618.0"/>
        <n v="52526.0"/>
        <n v="51674.0"/>
        <n v="51667.0"/>
        <n v="51494.0"/>
        <n v="51318.0"/>
        <n v="50893.0"/>
        <n v="50752.0"/>
        <n v="50728.0"/>
        <n v="50559.0"/>
        <n v="50146.0"/>
        <n v="49783.0"/>
        <n v="47722.0"/>
        <n v="47179.0"/>
        <n v="47035.0"/>
        <n v="46771.0"/>
        <n v="46680.0"/>
        <n v="46654.0"/>
        <n v="46214.0"/>
        <n v="45853.0"/>
        <n v="45766.0"/>
        <n v="44860.0"/>
        <n v="44352.0"/>
        <n v="43808.0"/>
        <n v="43691.0"/>
        <n v="42605.0"/>
        <n v="42166.0"/>
        <n v="42048.0"/>
        <n v="42029.0"/>
        <n v="41627.0"/>
        <n v="41239.0"/>
        <n v="40753.0"/>
        <n v="40589.0"/>
        <n v="40345.0"/>
        <n v="39967.0"/>
        <n v="39913.0"/>
        <n v="39873.0"/>
        <n v="39746.0"/>
        <n v="39471.0"/>
        <n v="39432.0"/>
        <n v="39420.0"/>
        <n v="39398.0"/>
        <n v="39080.0"/>
        <n v="39028.0"/>
        <n v="38665.0"/>
        <n v="38628.0"/>
        <n v="38373.0"/>
        <n v="38354.0"/>
        <n v="38138.0"/>
        <n v="38024.0"/>
        <n v="38015.0"/>
        <n v="37959.0"/>
        <n v="37606.0"/>
        <n v="37456.0"/>
        <n v="37193.0"/>
        <n v="37151.0"/>
        <n v="37097.0"/>
        <n v="36914.0"/>
        <n v="36793.0"/>
        <n v="36402.0"/>
        <n v="36258.0"/>
        <n v="36239.0"/>
        <n v="36075.0"/>
        <n v="35890.0"/>
        <n v="35873.0"/>
        <n v="35676.0"/>
        <n v="35522.0"/>
        <n v="35347.0"/>
        <n v="35301.0"/>
        <n v="35228.0"/>
        <n v="35009.0"/>
        <n v="34988.0"/>
        <n v="34683.0"/>
        <n v="34673.0"/>
        <n v="34432.0"/>
        <n v="34345.0"/>
        <n v="34276.0"/>
        <n v="34123.0"/>
        <n v="33964.0"/>
        <n v="33898.0"/>
        <n v="33877.0"/>
        <n v="33742.0"/>
        <n v="33474.0"/>
        <n v="33372.0"/>
        <n v="33319.0"/>
        <n v="33091.0"/>
        <n v="32856.0"/>
        <n v="32489.0"/>
        <n v="32306.0"/>
        <n v="32262.0"/>
        <n v="32209.0"/>
        <n v="32069.0"/>
        <n v="32008.0"/>
        <n v="31864.0"/>
        <n v="31795.0"/>
        <n v="31793.0"/>
        <n v="31660.0"/>
        <n v="31619.0"/>
        <n v="31396.0"/>
        <n v="31362.0"/>
        <n v="31349.0"/>
        <n v="31321.0"/>
        <n v="31218.0"/>
        <n v="30919.0"/>
        <n v="30777.0"/>
        <n v="30719.0"/>
        <n v="30700.0"/>
        <n v="30615.0"/>
        <n v="30576.0"/>
        <n v="30468.0"/>
        <n v="30402.0"/>
        <n v="30306.0"/>
        <n v="30260.0"/>
        <n v="30077.0"/>
        <n v="30048.0"/>
        <n v="29840.0"/>
        <n v="29791.0"/>
        <n v="29623.0"/>
        <n v="29561.0"/>
        <n v="29326.0"/>
        <n v="29307.0"/>
        <n v="29298.0"/>
        <n v="29231.0"/>
        <n v="29218.0"/>
        <n v="29109.0"/>
        <n v="29040.0"/>
        <n v="28952.0"/>
        <n v="28894.0"/>
        <n v="28682.0"/>
        <n v="28531.0"/>
        <n v="28349.0"/>
        <n v="28189.0"/>
        <n v="28120.0"/>
        <n v="28119.0"/>
        <n v="28117.0"/>
        <n v="27985.0"/>
        <n v="27835.0"/>
        <n v="27627.0"/>
        <n v="27604.0"/>
        <n v="27558.0"/>
        <n v="27524.0"/>
        <n v="27522.0"/>
        <n v="27509.0"/>
        <n v="27479.0"/>
        <n v="27476.0"/>
        <n v="27431.0"/>
        <n v="27413.0"/>
        <n v="27331.0"/>
        <n v="27296.0"/>
        <n v="27272.0"/>
        <n v="26912.0"/>
        <n v="26886.0"/>
        <n v="26580.0"/>
        <n v="26542.0"/>
        <n v="26538.0"/>
        <n v="26514.0"/>
        <n v="26306.0"/>
        <n v="26270.0"/>
        <n v="26259.0"/>
        <n v="26088.0"/>
        <n v="26028.0"/>
        <n v="25868.0"/>
        <n v="25835.0"/>
        <n v="25799.0"/>
        <n v="25760.0"/>
        <n v="25667.0"/>
        <n v="25651.0"/>
        <n v="25600.0"/>
        <n v="25559.0"/>
        <n v="25476.0"/>
        <n v="25359.0"/>
        <n v="25352.0"/>
        <n v="25269.0"/>
        <n v="25184.0"/>
        <n v="25148.0"/>
        <n v="25101.0"/>
        <n v="24859.0"/>
        <n v="24760.0"/>
        <n v="24705.0"/>
        <n v="24648.0"/>
        <n v="24592.0"/>
        <n v="24454.0"/>
        <n v="24433.0"/>
        <n v="24419.0"/>
        <n v="24359.0"/>
        <n v="24350.0"/>
        <n v="24319.0"/>
        <n v="24272.0"/>
        <n v="24242.0"/>
        <n v="24220.0"/>
        <n v="24215.0"/>
        <n v="24191.0"/>
        <n v="24187.0"/>
        <n v="24174.0"/>
        <n v="24134.0"/>
        <n v="23915.0"/>
        <n v="23904.0"/>
        <n v="23717.0"/>
        <n v="23642.0"/>
        <n v="23550.0"/>
        <n v="23515.0"/>
        <n v="23489.0"/>
        <n v="23323.0"/>
        <n v="23274.0"/>
        <n v="23254.0"/>
        <n v="23253.0"/>
        <n v="22974.0"/>
        <n v="22877.0"/>
        <n v="22859.0"/>
        <n v="22725.0"/>
        <n v="22529.0"/>
        <n v="22518.0"/>
        <n v="22408.0"/>
        <n v="22376.0"/>
        <n v="22342.0"/>
        <n v="22290.0"/>
        <n v="22264.0"/>
        <n v="22251.0"/>
        <n v="22187.0"/>
        <n v="22147.0"/>
        <n v="22145.0"/>
        <n v="22116.0"/>
        <n v="22088.0"/>
        <n v="22077.0"/>
        <n v="22001.0"/>
        <n v="21972.0"/>
        <n v="21935.0"/>
        <n v="21925.0"/>
        <n v="21905.0"/>
        <n v="21605.0"/>
        <n v="21471.0"/>
        <n v="21445.0"/>
        <n v="21416.0"/>
        <n v="21368.0"/>
        <n v="21264.0"/>
        <n v="21260.0"/>
        <n v="21128.0"/>
        <n v="21115.0"/>
        <n v="21093.0"/>
        <n v="21091.0"/>
        <n v="21064.0"/>
        <n v="20946.0"/>
        <n v="20942.0"/>
        <n v="20890.0"/>
        <n v="20886.0"/>
        <n v="20837.0"/>
        <n v="20803.0"/>
        <n v="20738.0"/>
        <n v="20714.0"/>
        <n v="20611.0"/>
        <n v="20573.0"/>
        <n v="20510.0"/>
        <n v="20482.0"/>
        <n v="20479.0"/>
        <n v="20467.0"/>
        <n v="20412.0"/>
        <n v="20358.0"/>
        <n v="20354.0"/>
        <n v="20342.0"/>
        <n v="20341.0"/>
        <n v="20254.0"/>
        <n v="20241.0"/>
        <n v="20225.0"/>
        <n v="20218.0"/>
        <n v="20199.0"/>
        <n v="20190.0"/>
        <n v="20179.0"/>
        <n v="20170.0"/>
        <n v="20141.0"/>
        <n v="20092.0"/>
        <n v="20072.0"/>
        <n v="20024.0"/>
        <n v="19974.0"/>
        <n v="19848.0"/>
        <n v="19826.0"/>
        <n v="19743.0"/>
        <n v="19667.0"/>
        <n v="19550.0"/>
        <n v="19495.0"/>
        <n v="19457.0"/>
        <n v="19399.0"/>
        <n v="19339.0"/>
        <n v="19301.0"/>
        <n v="19284.0"/>
        <n v="19266.0"/>
        <n v="19170.0"/>
        <n v="19155.0"/>
        <n v="19127.0"/>
        <n v="19123.0"/>
        <n v="19096.0"/>
        <n v="19082.0"/>
        <n v="19069.0"/>
        <n v="19038.0"/>
        <n v="18838.0"/>
        <n v="18816.0"/>
        <n v="18808.0"/>
        <n v="18771.0"/>
        <n v="18706.0"/>
        <n v="18691.0"/>
        <n v="18662.0"/>
        <n v="18638.0"/>
        <n v="18603.0"/>
        <n v="18579.0"/>
        <n v="18433.0"/>
        <n v="18422.0"/>
        <n v="18380.0"/>
        <n v="18369.0"/>
        <n v="18357.0"/>
        <n v="18263.0"/>
        <n v="18235.0"/>
        <n v="18192.0"/>
        <n v="18162.0"/>
        <n v="18111.0"/>
        <n v="18102.0"/>
        <n v="17997.0"/>
        <n v="17935.0"/>
        <n v="17929.0"/>
        <n v="17910.0"/>
        <n v="17904.0"/>
        <n v="17805.0"/>
        <n v="17780.0"/>
        <n v="17691.0"/>
        <n v="17675.0"/>
        <n v="17667.0"/>
        <n v="17651.0"/>
        <n v="17560.0"/>
        <n v="17554.0"/>
        <n v="17418.0"/>
        <n v="17370.0"/>
        <n v="17347.0"/>
        <n v="17236.0"/>
        <n v="17234.0"/>
        <n v="17216.0"/>
        <n v="17210.0"/>
        <n v="17201.0"/>
        <n v="17180.0"/>
        <n v="17162.0"/>
        <n v="17129.0"/>
        <n v="17098.0"/>
        <n v="17082.0"/>
        <n v="17016.0"/>
        <n v="16979.0"/>
        <n v="16963.0"/>
        <n v="16883.0"/>
        <n v="16828.0"/>
        <n v="16797.0"/>
        <n v="16783.0"/>
        <n v="16765.0"/>
        <n v="16701.0"/>
        <n v="16629.0"/>
        <n v="16597.0"/>
        <n v="16583.0"/>
        <n v="16571.0"/>
        <n v="16514.0"/>
        <n v="16494.0"/>
        <n v="16452.0"/>
        <n v="16417.0"/>
        <n v="16399.0"/>
        <n v="16393.0"/>
        <n v="16374.0"/>
        <n v="16283.0"/>
        <n v="16206.0"/>
        <n v="16184.0"/>
        <n v="16162.0"/>
        <n v="16156.0"/>
        <n v="16138.0"/>
        <n v="16074.0"/>
        <n v="16032.0"/>
        <n v="15952.0"/>
        <n v="15947.0"/>
        <n v="15880.0"/>
        <n v="15841.0"/>
        <n v="15791.0"/>
        <n v="15776.0"/>
        <n v="15716.0"/>
        <n v="15603.0"/>
        <n v="15598.0"/>
        <n v="15549.0"/>
        <n v="15528.0"/>
        <n v="15479.0"/>
        <n v="15476.0"/>
        <n v="15466.0"/>
        <n v="15457.0"/>
        <n v="15394.0"/>
        <n v="15368.0"/>
        <n v="15348.0"/>
        <n v="15329.0"/>
        <n v="15271.0"/>
        <n v="15261.0"/>
        <n v="15256.0"/>
        <n v="15242.0"/>
        <n v="15241.0"/>
        <n v="15200.0"/>
        <n v="15157.0"/>
        <n v="15123.0"/>
        <n v="15078.0"/>
        <n v="15033.0"/>
        <n v="15006.0"/>
        <n v="14983.0"/>
        <n v="14936.0"/>
        <n v="14894.0"/>
        <n v="14875.0"/>
        <n v="14822.0"/>
        <n v="14805.0"/>
        <n v="14799.0"/>
        <n v="14789.0"/>
        <n v="14771.0"/>
        <n v="14683.0"/>
        <n v="14679.0"/>
        <n v="14637.0"/>
        <n v="14575.0"/>
        <n v="14526.0"/>
        <n v="14439.0"/>
        <n v="14347.0"/>
        <n v="14305.0"/>
        <n v="14286.0"/>
        <n v="14272.0"/>
        <n v="14263.0"/>
        <n v="14247.0"/>
        <n v="14160.0"/>
        <n v="14081.0"/>
        <n v="14072.0"/>
        <n v="14061.0"/>
        <n v="14027.0"/>
        <n v="13974.0"/>
        <n v="13880.0"/>
        <n v="13878.0"/>
        <n v="13850.0"/>
        <n v="13810.0"/>
        <n v="13808.0"/>
        <n v="13744.0"/>
        <n v="13723.0"/>
        <n v="13705.0"/>
        <n v="13702.0"/>
        <n v="13696.0"/>
        <n v="13587.0"/>
        <n v="13568.0"/>
        <n v="13499.0"/>
        <n v="13480.0"/>
        <n v="13475.0"/>
        <n v="13466.0"/>
        <n v="13420.0"/>
        <n v="13414.0"/>
        <n v="13395.0"/>
        <n v="13380.0"/>
        <n v="13379.0"/>
        <n v="13330.0"/>
        <n v="13328.0"/>
        <n v="13303.0"/>
        <n v="13143.0"/>
        <n v="13103.0"/>
        <n v="13095.0"/>
        <n v="13088.0"/>
        <n v="13026.0"/>
        <n v="12988.0"/>
        <n v="12985.0"/>
        <n v="12977.0"/>
        <n v="12964.0"/>
        <n v="12959.0"/>
        <n v="12952.0"/>
        <n v="12944.0"/>
        <n v="12887.0"/>
        <n v="12835.0"/>
        <n v="12820.0"/>
        <n v="12788.0"/>
        <n v="12739.0"/>
        <n v="12735.0"/>
        <n v="12674.0"/>
        <n v="12624.0"/>
        <n v="12607.0"/>
        <n v="12519.0"/>
        <n v="12518.0"/>
        <n v="12505.0"/>
        <n v="12489.0"/>
        <n v="12485.0"/>
        <n v="12478.0"/>
        <n v="12471.0"/>
        <n v="12461.0"/>
        <n v="12458.0"/>
        <n v="12452.0"/>
        <n v="12415.0"/>
        <n v="12390.0"/>
        <n v="12381.0"/>
        <n v="12347.0"/>
        <n v="12344.0"/>
        <n v="12279.0"/>
        <n v="12237.0"/>
        <n v="12236.0"/>
        <n v="12167.0"/>
        <n v="12160.0"/>
        <n v="12150.0"/>
        <n v="12139.0"/>
        <n v="12136.0"/>
        <n v="12122.0"/>
        <n v="12111.0"/>
        <n v="12089.0"/>
        <n v="12062.0"/>
        <n v="12041.0"/>
        <n v="12039.0"/>
        <n v="12029.0"/>
        <n v="12009.0"/>
        <n v="11985.0"/>
        <n v="11963.0"/>
        <n v="11962.0"/>
        <n v="11934.0"/>
        <n v="11868.0"/>
        <n v="11805.0"/>
        <n v="11787.0"/>
        <n v="11708.0"/>
        <n v="11667.0"/>
        <n v="11645.0"/>
        <n v="11633.0"/>
        <n v="11613.0"/>
        <n v="11597.0"/>
        <n v="11568.0"/>
        <n v="11563.0"/>
        <n v="11531.0"/>
        <n v="11530.0"/>
        <n v="11513.0"/>
        <n v="11511.0"/>
        <n v="11508.0"/>
        <n v="11504.0"/>
        <n v="11482.0"/>
        <n v="11408.0"/>
        <n v="11394.0"/>
        <n v="11380.0"/>
        <n v="11370.0"/>
        <n v="11347.0"/>
        <n v="11318.0"/>
        <n v="11294.0"/>
        <n v="11289.0"/>
        <n v="11271.0"/>
        <n v="11264.0"/>
        <n v="11222.0"/>
        <n v="11166.0"/>
        <n v="11112.0"/>
        <n v="11111.0"/>
        <n v="11092.0"/>
        <n v="11067.0"/>
        <n v="11037.0"/>
        <n v="11033.0"/>
        <n v="11030.0"/>
        <n v="11025.0"/>
        <n v="11024.0"/>
        <n v="11005.0"/>
        <n v="10988.0"/>
        <n v="10979.0"/>
        <n v="10974.0"/>
        <n v="10968.0"/>
        <n v="10936.0"/>
        <n v="10906.0"/>
        <n v="10890.0"/>
        <n v="10867.0"/>
        <n v="10862.0"/>
        <n v="10860.0"/>
        <n v="10859.0"/>
        <n v="10841.0"/>
        <n v="10833.0"/>
        <n v="10822.0"/>
        <n v="10787.0"/>
        <n v="10761.0"/>
        <n v="10736.0"/>
        <n v="10726.0"/>
        <n v="10695.0"/>
        <n v="10686.0"/>
        <n v="10684.0"/>
        <n v="10650.0"/>
        <n v="10613.0"/>
        <n v="10595.0"/>
        <n v="10533.0"/>
        <n v="10526.0"/>
        <n v="10498.0"/>
        <n v="10453.0"/>
        <n v="10448.0"/>
        <n v="10442.0"/>
        <n v="10426.0"/>
        <n v="10405.0"/>
        <n v="10394.0"/>
        <n v="10380.0"/>
        <n v="10352.0"/>
        <n v="10350.0"/>
        <n v="10339.0"/>
        <n v="10338.0"/>
        <n v="10337.0"/>
        <n v="10333.0"/>
        <n v="10332.0"/>
        <n v="10319.0"/>
        <n v="10302.0"/>
        <n v="10293.0"/>
        <n v="10205.0"/>
        <n v="10204.0"/>
        <n v="10184.0"/>
        <n v="10178.0"/>
        <n v="10138.0"/>
        <n v="10128.0"/>
        <n v="10124.0"/>
        <n v="10112.0"/>
        <n v="10098.0"/>
        <n v="10055.0"/>
        <n v="10054.0"/>
        <n v="10039.0"/>
        <n v="9998.0"/>
        <n v="9980.0"/>
        <n v="9977.0"/>
        <n v="9963.0"/>
        <n v="9941.0"/>
        <n v="9938.0"/>
        <n v="9930.0"/>
        <n v="9854.0"/>
        <n v="9845.0"/>
        <n v="9819.0"/>
        <n v="9814.0"/>
        <n v="9801.0"/>
        <n v="9785.0"/>
        <n v="9784.0"/>
        <n v="9783.0"/>
        <n v="9748.0"/>
        <n v="9728.0"/>
        <n v="9718.0"/>
        <n v="9717.0"/>
        <n v="9715.0"/>
        <n v="9667.0"/>
        <n v="9663.0"/>
        <n v="9638.0"/>
        <n v="9607.0"/>
        <n v="9588.0"/>
        <n v="9583.0"/>
        <n v="9561.0"/>
        <n v="9548.0"/>
        <n v="9523.0"/>
        <n v="9514.0"/>
        <n v="9501.0"/>
        <n v="9476.0"/>
        <n v="9470.0"/>
        <n v="9444.0"/>
        <n v="9426.0"/>
        <n v="9423.0"/>
        <n v="9418.0"/>
        <n v="9408.0"/>
        <n v="9405.0"/>
        <n v="9394.0"/>
        <n v="9389.0"/>
        <n v="9364.0"/>
        <n v="9349.0"/>
        <n v="9340.0"/>
        <n v="9338.0"/>
        <n v="9326.0"/>
        <n v="9324.0"/>
        <n v="9318.0"/>
        <n v="9303.0"/>
        <n v="9300.0"/>
        <n v="9258.0"/>
        <n v="9238.0"/>
        <n v="9226.0"/>
        <n v="9212.0"/>
        <n v="9211.0"/>
        <n v="9185.0"/>
        <n v="9180.0"/>
        <n v="9171.0"/>
        <n v="9164.0"/>
        <n v="9159.0"/>
        <n v="9130.0"/>
        <n v="9120.0"/>
        <n v="9094.0"/>
        <n v="9093.0"/>
        <n v="9092.0"/>
        <n v="9089.0"/>
        <n v="9078.0"/>
        <n v="9076.0"/>
        <n v="9065.0"/>
        <n v="9061.0"/>
        <n v="9054.0"/>
        <n v="9043.0"/>
        <n v="9034.0"/>
        <n v="9021.0"/>
        <n v="9012.0"/>
        <n v="9003.0"/>
        <n v="8986.0"/>
        <n v="8978.0"/>
        <n v="8967.0"/>
        <n v="8941.0"/>
        <n v="8938.0"/>
        <n v="8934.0"/>
        <n v="8931.0"/>
        <n v="8896.0"/>
        <n v="8894.0"/>
        <n v="8872.0"/>
        <n v="8840.0"/>
        <n v="8799.0"/>
        <n v="8791.0"/>
        <n v="8782.0"/>
        <n v="8767.0"/>
        <n v="8755.0"/>
        <n v="8750.0"/>
        <n v="8737.0"/>
        <n v="8729.0"/>
        <n v="8713.0"/>
        <n v="8705.0"/>
        <n v="8703.0"/>
        <n v="8687.0"/>
        <n v="8639.0"/>
        <n v="8630.0"/>
        <n v="8620.0"/>
        <n v="8610.0"/>
        <n v="8567.0"/>
        <n v="8565.0"/>
        <n v="8564.0"/>
        <n v="8556.0"/>
        <n v="8554.0"/>
        <n v="8494.0"/>
        <n v="8484.0"/>
        <n v="8479.0"/>
        <n v="8462.0"/>
        <n v="8459.0"/>
        <n v="8453.0"/>
        <n v="8447.0"/>
        <n v="8444.0"/>
        <n v="8434.0"/>
        <n v="8431.0"/>
        <n v="8420.0"/>
        <n v="8400.0"/>
        <n v="8395.0"/>
        <n v="8390.0"/>
        <n v="8384.0"/>
        <n v="8380.0"/>
        <n v="8371.0"/>
        <n v="8320.0"/>
        <n v="8301.0"/>
        <n v="8281.0"/>
        <n v="8241.0"/>
        <n v="8238.0"/>
        <n v="8218.0"/>
        <n v="8193.0"/>
        <n v="8192.0"/>
        <n v="8165.0"/>
        <n v="8113.0"/>
        <n v="8107.0"/>
        <n v="8091.0"/>
        <n v="8085.0"/>
        <n v="8070.0"/>
        <n v="8045.0"/>
        <n v="8032.0"/>
        <n v="8004.0"/>
        <n v="8002.0"/>
        <n v="7998.0"/>
        <n v="7988.0"/>
        <n v="7986.0"/>
        <n v="7978.0"/>
        <n v="7973.0"/>
        <n v="7971.0"/>
        <n v="7966.0"/>
        <n v="7951.0"/>
        <n v="7939.0"/>
        <n v="7937.0"/>
        <n v="7903.0"/>
        <n v="7880.0"/>
        <n v="7878.0"/>
        <n v="7869.0"/>
        <n v="7861.0"/>
        <n v="7855.0"/>
        <n v="7853.0"/>
        <n v="7845.0"/>
        <n v="7839.0"/>
        <n v="7837.0"/>
        <n v="7818.0"/>
        <n v="7809.0"/>
        <n v="7797.0"/>
        <n v="7779.0"/>
        <n v="7777.0"/>
        <n v="7751.0"/>
        <n v="7713.0"/>
        <n v="7699.0"/>
        <n v="7697.0"/>
        <n v="7696.0"/>
        <n v="7684.0"/>
        <n v="7683.0"/>
        <n v="7670.0"/>
        <n v="7641.0"/>
        <n v="7622.0"/>
        <n v="7612.0"/>
        <n v="7611.0"/>
        <n v="7599.0"/>
        <n v="7586.0"/>
        <n v="7585.0"/>
        <n v="7556.0"/>
        <n v="7554.0"/>
        <n v="7546.0"/>
        <n v="7533.0"/>
        <n v="7512.0"/>
        <n v="7508.0"/>
        <n v="7507.0"/>
        <n v="7504.0"/>
        <n v="7500.0"/>
        <n v="7493.0"/>
        <n v="7474.0"/>
        <n v="7472.0"/>
        <n v="7470.0"/>
        <n v="7455.0"/>
        <n v="7443.0"/>
        <n v="7441.0"/>
        <n v="7439.0"/>
        <n v="7434.0"/>
        <n v="7429.0"/>
        <n v="7428.0"/>
        <n v="7417.0"/>
        <n v="7406.0"/>
        <n v="7404.0"/>
        <n v="7395.0"/>
        <n v="7375.0"/>
        <n v="7373.0"/>
        <n v="7372.0"/>
        <n v="7371.0"/>
        <n v="7367.0"/>
        <n v="7364.0"/>
        <n v="7349.0"/>
        <n v="7336.0"/>
        <n v="7335.0"/>
        <n v="7328.0"/>
        <n v="7325.0"/>
        <n v="7307.0"/>
        <n v="7297.0"/>
        <n v="7293.0"/>
        <n v="7288.0"/>
        <n v="7276.0"/>
        <n v="7256.0"/>
        <n v="7253.0"/>
        <n v="7241.0"/>
        <n v="7240.0"/>
        <n v="7233.0"/>
        <n v="7204.0"/>
        <n v="7202.0"/>
        <n v="7195.0"/>
        <n v="7163.0"/>
        <n v="7141.0"/>
        <n v="7136.0"/>
        <n v="7128.0"/>
        <n v="7116.0"/>
        <n v="7111.0"/>
        <n v="7104.0"/>
        <n v="7101.0"/>
        <n v="7098.0"/>
        <n v="7085.0"/>
        <n v="7068.0"/>
        <n v="7057.0"/>
        <n v="7056.0"/>
        <n v="7049.0"/>
        <n v="7028.0"/>
        <n v="7026.0"/>
        <n v="7015.0"/>
      </sharedItems>
    </cacheField>
    <cacheField name="Densidad (hab./km²)" numFmtId="4">
      <sharedItems containsSemiMixedTypes="0" containsString="0" containsNumber="1">
        <n v="5391.69"/>
        <n v="16514.6"/>
        <n v="5701.59"/>
        <n v="4863.28"/>
        <n v="693.17"/>
        <n v="1452.21"/>
        <n v="512.09"/>
        <n v="1994.27"/>
        <n v="3677.17"/>
        <n v="8379.87"/>
        <n v="1663.87"/>
        <n v="259.68"/>
        <n v="1511.94"/>
        <n v="2708.27"/>
        <n v="1495.68"/>
        <n v="910.05"/>
        <n v="6495.14"/>
        <n v="712.15"/>
        <n v="2638.32"/>
        <n v="3137.8"/>
        <n v="10522.2"/>
        <n v="1176.99"/>
        <n v="383.44"/>
        <n v="5692.62"/>
        <n v="179.09"/>
        <n v="4619.79"/>
        <n v="1378.04"/>
        <n v="8021.2"/>
        <n v="671.35"/>
        <n v="2230.38"/>
        <n v="4905.04"/>
        <n v="4406.15"/>
        <n v="3077.93"/>
        <n v="2339.55"/>
        <n v="1642.27"/>
        <n v="153.8"/>
        <n v="4782.12"/>
        <n v="1542.51"/>
        <n v="5055.26"/>
        <n v="1537.36"/>
        <n v="1913.84"/>
        <n v="104.63"/>
        <n v="3666.19"/>
        <n v="944.96"/>
        <n v="1223.95"/>
        <n v="655.42"/>
        <n v="2286.89"/>
        <n v="836.52"/>
        <n v="4027.47"/>
        <n v="5309.02"/>
        <n v="5751.79"/>
        <n v="3184.81"/>
        <n v="1386.51"/>
        <n v="16814.53"/>
        <n v="2602.05"/>
        <n v="9433.09"/>
        <n v="266.36"/>
        <n v="1241.83"/>
        <n v="1971.91"/>
        <n v="2613.6"/>
        <n v="4015.96"/>
        <n v="298.0"/>
        <n v="442.07"/>
        <n v="1622.8"/>
        <n v="54.92"/>
        <n v="1643.18"/>
        <n v="3098.83"/>
        <n v="56.35"/>
        <n v="1888.09"/>
        <n v="1521.92"/>
        <n v="12990.03"/>
        <n v="555.69"/>
        <n v="1308.25"/>
        <n v="364.65"/>
        <n v="365.61"/>
        <n v="3777.9"/>
        <n v="369.67"/>
        <n v="448.89"/>
        <n v="1161.33"/>
        <n v="700.84"/>
        <n v="556.32"/>
        <n v="1187.46"/>
        <n v="6799.42"/>
        <n v="516.11"/>
        <n v="995.29"/>
        <n v="7744.36"/>
        <n v="825.82"/>
        <n v="2916.15"/>
        <n v="6566.64"/>
        <n v="1866.33"/>
        <n v="2405.71"/>
        <n v="211.88"/>
        <n v="1184.09"/>
        <n v="263.74"/>
        <n v="262.13"/>
        <n v="1225.74"/>
        <n v="1172.69"/>
        <n v="424.46"/>
        <n v="1867.07"/>
        <n v="1958.02"/>
        <n v="1784.5"/>
        <n v="403.38"/>
        <n v="3448.57"/>
        <n v="497.1"/>
        <n v="2529.82"/>
        <n v="1980.69"/>
        <n v="5230.6"/>
        <n v="3320.59"/>
        <n v="493.88"/>
        <n v="799.33"/>
        <n v="228.39"/>
        <n v="2048.81"/>
        <n v="2401.17"/>
        <n v="2367.72"/>
        <n v="2594.23"/>
        <n v="1471.72"/>
        <n v="411.35"/>
        <n v="4098.66"/>
        <n v="296.39"/>
        <n v="68.58"/>
        <n v="454.29"/>
        <n v="1439.83"/>
        <n v="561.61"/>
        <n v="250.3"/>
        <n v="291.89"/>
        <n v="1861.92"/>
        <n v="695.4"/>
        <n v="60.06"/>
        <n v="1156.14"/>
        <n v="160.77"/>
        <n v="329.93"/>
        <n v="1149.12"/>
        <n v="846.65"/>
        <n v="315.88"/>
        <n v="244.6"/>
        <n v="1449.31"/>
        <n v="4751.67"/>
        <n v="923.31"/>
        <n v="278.0"/>
        <n v="77.89"/>
        <n v="348.63"/>
        <n v="308.59"/>
        <n v="4468.85"/>
        <n v="1258.16"/>
        <n v="1684.96"/>
        <n v="207.44"/>
        <n v="1514.11"/>
        <n v="10259.34"/>
        <n v="2443.9"/>
        <n v="1500.94"/>
        <n v="5163.63"/>
        <n v="14391.82"/>
        <n v="3753.97"/>
        <n v="401.41"/>
        <n v="168.29"/>
        <n v="21522.66"/>
        <n v="121.02"/>
        <n v="637.14"/>
        <n v="2589.16"/>
        <n v="203.15"/>
        <n v="212.36"/>
        <n v="55.1"/>
        <n v="140.16"/>
        <n v="5790.16"/>
        <n v="487.85"/>
        <n v="4874.02"/>
        <n v="183.14"/>
        <n v="40.75"/>
        <n v="1996.28"/>
        <n v="1223.53"/>
        <n v="989.26"/>
        <n v="471.87"/>
        <n v="144.97"/>
        <n v="584.07"/>
        <n v="2196.29"/>
        <n v="8787.5"/>
        <n v="278.5"/>
        <n v="793.16"/>
        <n v="350.36"/>
        <n v="11053.49"/>
        <n v="247.53"/>
        <n v="259.92"/>
        <n v="1030.3"/>
        <n v="685.96"/>
        <n v="66.14"/>
        <n v="9814.02"/>
        <n v="112.77"/>
        <n v="38.13"/>
        <n v="644.63"/>
        <n v="168.59"/>
        <n v="1542.74"/>
        <n v="826.27"/>
        <n v="81.49"/>
        <n v="148.14"/>
        <n v="188.15"/>
        <n v="350.56"/>
        <n v="281.81"/>
        <n v="140.21"/>
        <n v="1212.67"/>
        <n v="1778.91"/>
        <n v="95.54"/>
        <n v="738.09"/>
        <n v="585.2"/>
        <n v="56.89"/>
        <n v="85.02"/>
        <n v="329.29"/>
        <n v="6115.23"/>
        <n v="98.34"/>
        <n v="966.31"/>
        <n v="85.27"/>
        <n v="519.19"/>
        <n v="203.8"/>
        <n v="152.28"/>
        <n v="571.12"/>
        <n v="4045.35"/>
        <n v="258.14"/>
        <n v="431.12"/>
        <n v="555.47"/>
        <n v="344.39"/>
        <n v="101.23"/>
        <n v="333.84"/>
        <n v="111.42"/>
        <n v="1985.3"/>
        <n v="3785.12"/>
        <n v="396.92"/>
        <n v="471.97"/>
        <n v="400.75"/>
        <n v="1519.65"/>
        <n v="4744.63"/>
        <n v="168.46"/>
        <n v="801.25"/>
        <n v="789.13"/>
        <n v="1573.49"/>
        <n v="496.4"/>
        <n v="751.44"/>
        <n v="58.28"/>
        <n v="472.16"/>
        <n v="45.88"/>
        <n v="3450.51"/>
        <n v="492.5"/>
        <n v="38.77"/>
        <n v="818.28"/>
        <n v="61.47"/>
        <n v="175.67"/>
        <n v="160.14"/>
        <n v="2776.42"/>
        <n v="5774.46"/>
        <n v="7579.74"/>
        <n v="931.87"/>
        <n v="670.64"/>
        <n v="292.34"/>
        <n v="381.81"/>
        <n v="561.02"/>
        <n v="345.75"/>
        <n v="247.55"/>
        <n v="276.92"/>
        <n v="503.82"/>
        <n v="300.46"/>
        <n v="30.94"/>
        <n v="512.92"/>
        <n v="2195.4"/>
        <n v="2136.78"/>
        <n v="14346.43"/>
        <n v="3036.39"/>
        <n v="565.58"/>
        <n v="409.04"/>
        <n v="63.96"/>
        <n v="402.45"/>
        <n v="4860.32"/>
        <n v="73.36"/>
        <n v="1110.65"/>
        <n v="2361.29"/>
        <n v="297.01"/>
        <n v="1823.22"/>
        <n v="214.41"/>
        <n v="172.0"/>
        <n v="661.77"/>
        <n v="7754.55"/>
        <n v="2607.27"/>
        <n v="562.31"/>
        <n v="390.61"/>
        <n v="74.64"/>
        <n v="697.01"/>
        <n v="1315.06"/>
        <n v="318.07"/>
        <n v="207.46"/>
        <n v="796.78"/>
        <n v="249.85"/>
        <n v="6587.88"/>
        <n v="404.54"/>
        <n v="1645.55"/>
        <n v="355.46"/>
        <n v="1644.3"/>
        <n v="29.95"/>
        <n v="167.91"/>
        <n v="338.76"/>
        <n v="26.4"/>
        <n v="303.16"/>
        <n v="1139.87"/>
        <n v="4914.53"/>
        <n v="532.05"/>
        <n v="575.34"/>
        <n v="29.2"/>
        <n v="280.39"/>
        <n v="418.84"/>
        <n v="229.75"/>
        <n v="1255.58"/>
        <n v="337.96"/>
        <n v="605.01"/>
        <n v="495.41"/>
        <n v="2932.13"/>
        <n v="738.16"/>
        <n v="45.92"/>
        <n v="440.09"/>
        <n v="1340.12"/>
        <n v="663.37"/>
        <n v="323.2"/>
        <n v="387.56"/>
        <n v="258.84"/>
        <n v="92.74"/>
        <n v="28.15"/>
        <n v="535.47"/>
        <n v="5608.82"/>
        <n v="804.47"/>
        <n v="2480.81"/>
        <n v="1432.23"/>
        <n v="1080.5"/>
        <n v="71.55"/>
        <n v="336.81"/>
        <n v="7325.55"/>
        <n v="375.7"/>
        <n v="1625.3"/>
        <n v="1352.35"/>
        <n v="242.38"/>
        <n v="101.97"/>
        <n v="853.1"/>
        <n v="182.24"/>
        <n v="135.24"/>
        <n v="962.52"/>
        <n v="777.45"/>
        <n v="255.81"/>
        <n v="158.39"/>
        <n v="77.73"/>
        <n v="404.34"/>
        <n v="84.94"/>
        <n v="647.4"/>
        <n v="387.27"/>
        <n v="814.46"/>
        <n v="1018.69"/>
        <n v="173.88"/>
        <n v="411.46"/>
        <n v="4522.7"/>
        <n v="108.41"/>
        <n v="70.53"/>
        <n v="714.32"/>
        <n v="1783.44"/>
        <n v="1385.66"/>
        <n v="1377.2"/>
        <n v="281.52"/>
        <n v="82.66"/>
        <n v="553.95"/>
        <n v="614.12"/>
        <n v="5210.71"/>
        <n v="148.29"/>
        <n v="430.79"/>
        <n v="628.62"/>
        <n v="396.7"/>
        <n v="540.58"/>
        <n v="55.0"/>
        <n v="247.78"/>
        <n v="105.22"/>
        <n v="148.25"/>
        <n v="244.11"/>
        <n v="2080.68"/>
        <n v="496.81"/>
        <n v="5261.87"/>
        <n v="487.3"/>
        <n v="150.66"/>
        <n v="293.52"/>
        <n v="544.11"/>
        <n v="1189.88"/>
        <n v="133.93"/>
        <n v="1063.45"/>
        <n v="72.95"/>
        <n v="574.92"/>
        <n v="37.43"/>
        <n v="343.59"/>
        <n v="511.28"/>
        <n v="45.45"/>
        <n v="88.79"/>
        <n v="24.87"/>
        <n v="337.24"/>
        <n v="785.44"/>
        <n v="61.86"/>
        <n v="14531.65"/>
        <n v="196.23"/>
        <n v="1694.29"/>
        <n v="313.59"/>
        <n v="1392.88"/>
        <n v="675.59"/>
        <n v="117.09"/>
        <n v="129.82"/>
        <n v="88.65"/>
        <n v="324.47"/>
        <n v="1799.09"/>
        <n v="1014.54"/>
        <n v="526.0"/>
        <n v="425.28"/>
        <n v="1077.07"/>
        <n v="51.4"/>
        <n v="553.31"/>
        <n v="328.67"/>
        <n v="1178.33"/>
        <n v="53.23"/>
        <n v="952.82"/>
        <n v="180.97"/>
        <n v="952.51"/>
        <n v="581.25"/>
        <n v="9050.24"/>
        <n v="2083.19"/>
        <n v="2426.08"/>
        <n v="764.27"/>
        <n v="217.58"/>
        <n v="461.63"/>
        <n v="239.35"/>
        <n v="750.24"/>
        <n v="395.89"/>
        <n v="1054.8"/>
        <n v="63.42"/>
        <n v="353.73"/>
        <n v="870.93"/>
        <n v="2123.31"/>
        <n v="234.44"/>
        <n v="92.39"/>
        <n v="56.82"/>
        <n v="3058.24"/>
        <n v="325.69"/>
        <n v="1499.75"/>
        <n v="766.39"/>
        <n v="2079.25"/>
        <n v="501.3"/>
        <n v="43.27"/>
        <n v="2760.82"/>
        <n v="481.95"/>
        <n v="37.95"/>
        <n v="397.5"/>
        <n v="40.93"/>
        <n v="1282.95"/>
        <n v="273.39"/>
        <n v="2288.56"/>
        <n v="104.72"/>
        <n v="397.91"/>
        <n v="508.34"/>
        <n v="150.82"/>
        <n v="843.33"/>
        <n v="29.65"/>
        <n v="466.24"/>
        <n v="8026.73"/>
        <n v="441.87"/>
        <n v="384.8"/>
        <n v="111.19"/>
        <n v="344.34"/>
        <n v="203.5"/>
        <n v="52.17"/>
        <n v="349.4"/>
        <n v="677.71"/>
        <n v="300.19"/>
        <n v="109.83"/>
        <n v="194.38"/>
        <n v="503.45"/>
        <n v="1994.84"/>
        <n v="157.8"/>
        <n v="611.72"/>
        <n v="26.64"/>
        <n v="587.78"/>
        <n v="268.32"/>
        <n v="27.52"/>
        <n v="495.86"/>
        <n v="244.45"/>
        <n v="2459.91"/>
        <n v="237.95"/>
        <n v="60.48"/>
        <n v="78.13"/>
        <n v="869.62"/>
        <n v="731.77"/>
        <n v="285.67"/>
        <n v="71.47"/>
        <n v="2237.24"/>
        <n v="1599.32"/>
        <n v="925.61"/>
        <n v="107.37"/>
        <n v="367.32"/>
        <n v="1868.82"/>
        <n v="235.08"/>
        <n v="1424.69"/>
        <n v="804.49"/>
        <n v="291.99"/>
        <n v="281.36"/>
        <n v="2589.61"/>
        <n v="33.78"/>
        <n v="2454.4"/>
        <n v="82.18"/>
        <n v="576.25"/>
        <n v="696.25"/>
        <n v="2445.89"/>
        <n v="362.04"/>
        <n v="272.68"/>
        <n v="341.91"/>
        <n v="337.95"/>
        <n v="436.42"/>
        <n v="115.28"/>
        <n v="38.8"/>
        <n v="141.45"/>
        <n v="129.15"/>
        <n v="106.44"/>
        <n v="130.1"/>
        <n v="452.21"/>
        <n v="1149.96"/>
        <n v="142.93"/>
        <n v="75.79"/>
        <n v="682.6"/>
        <n v="393.14"/>
        <n v="55.16"/>
        <n v="2313.55"/>
        <n v="395.74"/>
        <n v="84.61"/>
        <n v="282.94"/>
        <n v="34.35"/>
        <n v="630.24"/>
        <n v="49.92"/>
        <n v="215.25"/>
        <n v="2949.31"/>
        <n v="174.18"/>
        <n v="809.5"/>
        <n v="1479.02"/>
        <n v="18973.08"/>
        <n v="277.83"/>
        <n v="979.51"/>
        <n v="2112.66"/>
        <n v="656.19"/>
        <n v="538.72"/>
        <n v="192.72"/>
        <n v="1153.09"/>
        <n v="2298.42"/>
        <n v="52.27"/>
        <n v="1061.17"/>
        <n v="407.43"/>
        <n v="191.73"/>
        <n v="289.43"/>
        <n v="383.31"/>
        <n v="78.21"/>
        <n v="2037.41"/>
        <n v="53.34"/>
        <n v="37.09"/>
        <n v="177.81"/>
        <n v="258.18"/>
        <n v="304.18"/>
        <n v="462.82"/>
        <n v="1646.26"/>
        <n v="324.96"/>
        <n v="893.85"/>
        <n v="101.41"/>
        <n v="586.35"/>
        <n v="145.88"/>
        <n v="320.21"/>
        <n v="128.43"/>
        <n v="86.8"/>
        <n v="621.55"/>
        <n v="51.6"/>
        <n v="126.62"/>
        <n v="4478.41"/>
        <n v="277.32"/>
        <n v="776.59"/>
        <n v="4627.59"/>
        <n v="44.21"/>
        <n v="156.8"/>
        <n v="555.88"/>
        <n v="14387.1"/>
        <n v="349.5"/>
        <n v="72.2"/>
        <n v="80.26"/>
        <n v="1486.37"/>
        <n v="185.98"/>
        <n v="259.31"/>
        <n v="755.19"/>
        <n v="1558.1"/>
        <n v="306.06"/>
        <n v="31.96"/>
        <n v="76.55"/>
        <n v="99.37"/>
        <n v="112.69"/>
        <n v="535.27"/>
        <n v="1342.18"/>
        <n v="491.98"/>
        <n v="680.05"/>
        <n v="122.92"/>
        <n v="58.63"/>
        <n v="56.36"/>
        <n v="278.51"/>
        <n v="932.97"/>
        <n v="80.61"/>
        <n v="47.83"/>
        <n v="38.4"/>
        <n v="485.04"/>
        <n v="133.63"/>
        <n v="65.83"/>
        <n v="625.08"/>
        <n v="144.32"/>
        <n v="120.61"/>
        <n v="581.4"/>
        <n v="49.79"/>
        <n v="1188.74"/>
        <n v="492.95"/>
        <n v="66.82"/>
        <n v="399.94"/>
        <n v="354.65"/>
        <n v="14.99"/>
        <n v="51.41"/>
        <n v="199.53"/>
        <n v="98.01"/>
        <n v="852.68"/>
        <n v="79.86"/>
        <n v="749.23"/>
        <n v="57.35"/>
        <n v="32.53"/>
        <n v="190.88"/>
        <n v="351.67"/>
        <n v="145.49"/>
        <n v="795.85"/>
        <n v="232.68"/>
        <n v="4210.14"/>
        <n v="2839.39"/>
        <n v="145.68"/>
        <n v="389.4"/>
        <n v="507.35"/>
        <n v="932.68"/>
        <n v="27.81"/>
        <n v="593.65"/>
        <n v="135.78"/>
        <n v="31.66"/>
        <n v="216.1"/>
        <n v="70.15"/>
        <n v="1144.37"/>
        <n v="24.03"/>
        <n v="78.42"/>
        <n v="176.15"/>
        <n v="212.63"/>
        <n v="296.93"/>
        <n v="78.41"/>
        <n v="271.8"/>
        <n v="3536.09"/>
        <n v="48.67"/>
        <n v="139.76"/>
        <n v="1599.03"/>
        <n v="217.43"/>
        <n v="1358.68"/>
        <n v="32.54"/>
        <n v="110.96"/>
        <n v="281.47"/>
        <n v="1123.67"/>
        <n v="106.04"/>
        <n v="166.3"/>
        <n v="90.09"/>
        <n v="1119.49"/>
        <n v="427.16"/>
        <n v="229.22"/>
        <n v="138.36"/>
        <n v="115.29"/>
        <n v="743.18"/>
        <n v="789.67"/>
        <n v="344.56"/>
        <n v="213.22"/>
        <n v="330.22"/>
        <n v="185.81"/>
        <n v="366.43"/>
        <n v="187.67"/>
        <n v="125.53"/>
        <n v="720.59"/>
        <n v="972.13"/>
        <n v="157.87"/>
        <n v="432.6"/>
        <n v="57.84"/>
        <n v="532.2"/>
        <n v="924.79"/>
        <n v="665.61"/>
        <n v="258.13"/>
        <n v="34.46"/>
        <n v="232.3"/>
        <n v="72.56"/>
        <n v="500.92"/>
        <n v="267.4"/>
        <n v="239.42"/>
        <n v="5612.95"/>
        <n v="2287.95"/>
        <n v="172.54"/>
        <n v="178.1"/>
        <n v="219.37"/>
        <n v="44.78"/>
        <n v="164.84"/>
        <n v="145.03"/>
        <n v="99.82"/>
        <n v="289.48"/>
        <n v="486.52"/>
        <n v="28.23"/>
        <n v="108.02"/>
        <n v="43.17"/>
        <n v="392.91"/>
        <n v="44.33"/>
        <n v="39.9"/>
        <n v="1597.55"/>
        <n v="299.89"/>
        <n v="3847.23"/>
        <n v="109.32"/>
        <n v="1836.4"/>
        <n v="228.48"/>
        <n v="259.19"/>
        <n v="107.42"/>
        <n v="636.25"/>
        <n v="524.51"/>
        <n v="154.86"/>
        <n v="5646.45"/>
        <n v="126.43"/>
        <n v="115.17"/>
        <n v="592.37"/>
        <n v="306.15"/>
        <n v="172.38"/>
        <n v="233.15"/>
        <n v="9626.42"/>
        <n v="1263.52"/>
        <n v="54.84"/>
        <n v="40.65"/>
        <n v="191.64"/>
        <n v="88.34"/>
        <n v="67.69"/>
        <n v="895.21"/>
        <n v="106.29"/>
        <n v="50.92"/>
        <n v="1115.44"/>
        <n v="27.89"/>
        <n v="99.51"/>
        <n v="360.29"/>
        <n v="486.68"/>
        <n v="70.35"/>
        <n v="159.46"/>
        <n v="358.51"/>
        <n v="106.84"/>
        <n v="90.29"/>
        <n v="155.09"/>
        <n v="74.62"/>
        <n v="157.0"/>
        <n v="34.82"/>
        <n v="1010.41"/>
        <n v="143.37"/>
        <n v="45.15"/>
        <n v="149.63"/>
        <n v="19.37"/>
        <n v="528.12"/>
        <n v="57.65"/>
        <n v="136.71"/>
        <n v="73.23"/>
        <n v="1729.34"/>
        <n v="320.18"/>
        <n v="404.28"/>
        <n v="79.56"/>
        <n v="1232.39"/>
        <n v="35.06"/>
        <n v="380.92"/>
        <n v="35.56"/>
        <n v="547.93"/>
        <n v="82.98"/>
        <n v="608.26"/>
        <n v="48.82"/>
        <n v="425.62"/>
        <n v="583.68"/>
        <n v="46.27"/>
        <n v="555.27"/>
        <n v="199.96"/>
        <n v="83.7"/>
        <n v="572.78"/>
        <n v="206.51"/>
        <n v="17.36"/>
        <n v="15.99"/>
        <n v="184.91"/>
        <n v="240.72"/>
        <n v="287.23"/>
        <n v="368.76"/>
        <n v="308.33"/>
        <n v="370.79"/>
        <n v="12.57"/>
        <n v="205.39"/>
        <n v="497.21"/>
        <n v="15.74"/>
        <n v="145.04"/>
        <n v="1185.59"/>
        <n v="537.08"/>
        <n v="507.74"/>
        <n v="166.27"/>
        <n v="96.97"/>
        <n v="255.12"/>
        <n v="192.25"/>
        <n v="288.01"/>
        <n v="12324.32"/>
        <n v="513.5"/>
        <n v="80.38"/>
        <n v="311.9"/>
        <n v="1039.93"/>
        <n v="320.66"/>
        <n v="341.85"/>
        <n v="82.51"/>
        <n v="644.91"/>
        <n v="373.98"/>
        <n v="1013.79"/>
        <n v="284.36"/>
        <n v="377.92"/>
        <n v="13.87"/>
        <n v="2217.49"/>
        <n v="43.81"/>
        <n v="84.54"/>
        <n v="833.36"/>
        <n v="2128.81"/>
        <n v="177.73"/>
        <n v="490.88"/>
        <n v="430.82"/>
        <n v="35.59"/>
        <n v="716.1"/>
        <n v="987.97"/>
        <n v="1113.35"/>
        <n v="69.77"/>
        <n v="203.63"/>
        <n v="199.52"/>
        <n v="357.57"/>
        <n v="668.73"/>
        <n v="2256.44"/>
        <n v="61.76"/>
        <n v="661.89"/>
        <n v="20.32"/>
        <n v="26.82"/>
        <n v="137.26"/>
        <n v="395.05"/>
        <n v="51.72"/>
        <n v="431.52"/>
        <n v="322.01"/>
        <n v="37.77"/>
        <n v="282.85"/>
        <n v="287.77"/>
        <n v="25.78"/>
        <n v="141.51"/>
        <n v="117.35"/>
        <n v="1019.55"/>
        <n v="118.9"/>
        <n v="1433.11"/>
        <n v="962.43"/>
        <n v="595.5"/>
        <n v="73.25"/>
        <n v="109.68"/>
        <n v="271.61"/>
        <n v="45.05"/>
        <n v="186.14"/>
        <n v="102.72"/>
        <n v="94.45"/>
        <n v="1953.49"/>
        <n v="1055.97"/>
        <n v="36.91"/>
        <n v="173.33"/>
        <n v="261.18"/>
        <n v="132.78"/>
        <n v="200.07"/>
        <n v="172.79"/>
        <n v="249.8"/>
        <n v="257.01"/>
        <n v="499.45"/>
        <n v="44.18"/>
        <n v="1097.2"/>
        <n v="46.08"/>
        <n v="46.35"/>
        <n v="102.68"/>
        <n v="41.89"/>
        <n v="78.8"/>
        <n v="43.95"/>
        <n v="74.49"/>
        <n v="55.61"/>
        <n v="394.43"/>
        <n v="214.88"/>
        <n v="70.26"/>
        <n v="83.85"/>
        <n v="1232.97"/>
        <n v="21.92"/>
        <n v="44.64"/>
        <n v="174.71"/>
        <n v="2203.87"/>
        <n v="58.1"/>
        <n v="97.98"/>
        <n v="62.99"/>
        <n v="140.35"/>
        <n v="89.28"/>
        <n v="46.0"/>
        <n v="211.65"/>
        <n v="196.56"/>
        <n v="172.84"/>
        <n v="832.7"/>
        <n v="55.62"/>
        <n v="379.47"/>
        <n v="109.17"/>
        <n v="15.77"/>
        <n v="56.12"/>
        <n v="8.23"/>
        <n v="104.87"/>
        <n v="190.03"/>
        <n v="35.54"/>
        <n v="161.19"/>
        <n v="177.64"/>
        <n v="265.79"/>
        <n v="20.96"/>
        <n v="308.44"/>
        <n v="65.38"/>
        <n v="260.28"/>
        <n v="344.85"/>
        <n v="239.01"/>
        <n v="23.67"/>
        <n v="169.98"/>
        <n v="139.23"/>
        <n v="134.1"/>
        <n v="56.07"/>
        <n v="412.13"/>
        <n v="96.39"/>
        <n v="435.41"/>
        <n v="211.49"/>
        <n v="94.92"/>
        <n v="58.76"/>
        <n v="285.89"/>
        <n v="197.75"/>
        <n v="451.25"/>
        <n v="131.35"/>
        <n v="282.35"/>
        <n v="374.1"/>
        <n v="189.64"/>
        <n v="155.07"/>
        <n v="357.31"/>
        <n v="60.66"/>
        <n v="103.32"/>
        <n v="55.23"/>
        <n v="241.56"/>
        <n v="52.86"/>
        <n v="399.47"/>
        <n v="465.07"/>
        <n v="278.56"/>
        <n v="24.36"/>
        <n v="1064.23"/>
        <n v="639.21"/>
        <n v="1739.81"/>
        <n v="356.43"/>
        <n v="59.43"/>
        <n v="73.11"/>
        <n v="482.35"/>
        <n v="295.92"/>
        <n v="196.04"/>
        <n v="212.72"/>
        <n v="199.03"/>
        <n v="40.68"/>
        <n v="1136.88"/>
        <n v="80.54"/>
        <n v="2682.12"/>
        <n v="207.06"/>
        <n v="61.84"/>
        <n v="45.7"/>
        <n v="4082.12"/>
        <n v="436.68"/>
        <n v="72.17"/>
        <n v="522.06"/>
        <n v="80.01"/>
        <n v="277.69"/>
        <n v="15.32"/>
        <n v="225.37"/>
        <n v="3094.02"/>
        <n v="114.92"/>
        <n v="233.21"/>
        <n v="356.71"/>
        <n v="824.17"/>
        <n v="296.24"/>
        <n v="453.97"/>
        <n v="392.52"/>
        <n v="244.7"/>
        <n v="519.04"/>
        <n v="47.24"/>
        <n v="321.88"/>
        <n v="1839.64"/>
        <n v="140.86"/>
        <n v="120.88"/>
        <n v="140.57"/>
        <n v="37.68"/>
        <n v="60.46"/>
        <n v="347.24"/>
        <n v="99.38"/>
        <n v="196.37"/>
        <n v="91.5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ula dinàmica 1" cacheId="0" dataCaption="" compact="0" compactData="0">
  <location ref="A1:D19" firstHeaderRow="0" firstDataRow="2" firstDataCol="0"/>
  <pivotFields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Co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Provi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C.AA." axis="axisRow" compact="0" outline="0" multipleItemSelectionAllowed="1" showAll="0" sortType="ascending">
      <items>
        <item x="3"/>
        <item x="4"/>
        <item x="7"/>
        <item x="14"/>
        <item x="9"/>
        <item x="13"/>
        <item x="1"/>
        <item x="0"/>
        <item x="12"/>
        <item x="2"/>
        <item x="16"/>
        <item x="10"/>
        <item x="6"/>
        <item x="15"/>
        <item x="8"/>
        <item x="11"/>
        <item x="5"/>
        <item t="default"/>
      </items>
    </pivotField>
    <pivotField name="Altitud (m.s.n.m.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Superficie (km²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t="default"/>
      </items>
    </pivotField>
    <pivotField name="Población (2019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  <pivotField name="Densidad (hab./km²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</pivotFields>
  <rowFields>
    <field x="3"/>
  </rowFields>
  <colFields>
    <field x="-2"/>
  </colFields>
  <dataFields>
    <dataField name="MAX of Altitud (m.s.n.m.)" fld="4" subtotal="max" baseField="0"/>
    <dataField name="MIN of Altitud (m.s.n.m.)" fld="4" subtotal="min" baseField="0"/>
    <dataField name="AVERAGE of Población (2019)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tr">
        <f>IFERROR(__xludf.DUMMYFUNCTION("IMPORTHTML(""https://15mpedia.org/wiki/Lista_de_municipios_de_Espa%C3%B1a_por_poblaci%C3%B3n"",""table"",1)"),"Municipio")</f>
        <v>Municipio</v>
      </c>
      <c r="B1" s="2" t="str">
        <f>IFERROR(__xludf.DUMMYFUNCTION("""COMPUTED_VALUE"""),"Comarca")</f>
        <v>Comarca</v>
      </c>
      <c r="C1" s="2" t="str">
        <f>IFERROR(__xludf.DUMMYFUNCTION("""COMPUTED_VALUE"""),"Provincia")</f>
        <v>Provincia</v>
      </c>
      <c r="D1" s="2" t="str">
        <f>IFERROR(__xludf.DUMMYFUNCTION("""COMPUTED_VALUE"""),"CC.AA.")</f>
        <v>CC.AA.</v>
      </c>
      <c r="E1" s="2" t="str">
        <f>IFERROR(__xludf.DUMMYFUNCTION("""COMPUTED_VALUE"""),"Altitud (m.s.n.m.)")</f>
        <v>Altitud (m.s.n.m.)</v>
      </c>
      <c r="F1" s="2" t="str">
        <f>IFERROR(__xludf.DUMMYFUNCTION("""COMPUTED_VALUE"""),"Superficie (km²)")</f>
        <v>Superficie (km²)</v>
      </c>
      <c r="G1" s="2" t="str">
        <f>IFERROR(__xludf.DUMMYFUNCTION("""COMPUTED_VALUE"""),"Población (2019)")</f>
        <v>Población (2019)</v>
      </c>
      <c r="H1" s="2" t="str">
        <f>IFERROR(__xludf.DUMMYFUNCTION("""COMPUTED_VALUE"""),"Densidad (hab./km²)")</f>
        <v>Densidad (hab./km²)</v>
      </c>
    </row>
    <row r="2">
      <c r="A2" s="3" t="str">
        <f>IFERROR(__xludf.DUMMYFUNCTION("""COMPUTED_VALUE"""),"Madrid")</f>
        <v>Madrid</v>
      </c>
      <c r="B2" s="2" t="str">
        <f>IFERROR(__xludf.DUMMYFUNCTION("""COMPUTED_VALUE"""),"Área Metropolitana de Madrid
Corredor del Henares")</f>
        <v>Área Metropolitana de Madrid
Corredor del Henares</v>
      </c>
      <c r="C2" s="2" t="str">
        <f>IFERROR(__xludf.DUMMYFUNCTION("""COMPUTED_VALUE"""),"Provincia de Madrid")</f>
        <v>Provincia de Madrid</v>
      </c>
      <c r="D2" s="2" t="str">
        <f>IFERROR(__xludf.DUMMYFUNCTION("""COMPUTED_VALUE"""),"Comunidad de Madrid")</f>
        <v>Comunidad de Madrid</v>
      </c>
      <c r="E2" s="2">
        <f>IFERROR(__xludf.DUMMYFUNCTION("""COMPUTED_VALUE"""),667.0)</f>
        <v>667</v>
      </c>
      <c r="F2" s="2">
        <f>IFERROR(__xludf.DUMMYFUNCTION("""COMPUTED_VALUE"""),605.77)</f>
        <v>605.77</v>
      </c>
      <c r="G2" s="4">
        <f>IFERROR(__xludf.DUMMYFUNCTION("""COMPUTED_VALUE"""),3266126.0)</f>
        <v>3266126</v>
      </c>
      <c r="H2" s="5">
        <f>IFERROR(__xludf.DUMMYFUNCTION("""COMPUTED_VALUE"""),5391.69)</f>
        <v>5391.69</v>
      </c>
    </row>
    <row r="3">
      <c r="A3" s="2" t="str">
        <f>IFERROR(__xludf.DUMMYFUNCTION("""COMPUTED_VALUE"""),"Barcelona")</f>
        <v>Barcelona</v>
      </c>
      <c r="B3" s="2" t="str">
        <f>IFERROR(__xludf.DUMMYFUNCTION("""COMPUTED_VALUE"""),"Barcelonès")</f>
        <v>Barcelonès</v>
      </c>
      <c r="C3" s="2" t="str">
        <f>IFERROR(__xludf.DUMMYFUNCTION("""COMPUTED_VALUE"""),"Provincia de Barcelona")</f>
        <v>Provincia de Barcelona</v>
      </c>
      <c r="D3" s="2" t="str">
        <f>IFERROR(__xludf.DUMMYFUNCTION("""COMPUTED_VALUE"""),"Cataluña")</f>
        <v>Cataluña</v>
      </c>
      <c r="E3" s="2">
        <f>IFERROR(__xludf.DUMMYFUNCTION("""COMPUTED_VALUE"""),9.0)</f>
        <v>9</v>
      </c>
      <c r="F3" s="2">
        <f>IFERROR(__xludf.DUMMYFUNCTION("""COMPUTED_VALUE"""),99.11)</f>
        <v>99.11</v>
      </c>
      <c r="G3" s="4">
        <f>IFERROR(__xludf.DUMMYFUNCTION("""COMPUTED_VALUE"""),1636762.0)</f>
        <v>1636762</v>
      </c>
      <c r="H3" s="5">
        <f>IFERROR(__xludf.DUMMYFUNCTION("""COMPUTED_VALUE"""),16514.6)</f>
        <v>16514.6</v>
      </c>
    </row>
    <row r="4">
      <c r="A4" s="2" t="str">
        <f>IFERROR(__xludf.DUMMYFUNCTION("""COMPUTED_VALUE"""),"Valencia")</f>
        <v>Valencia</v>
      </c>
      <c r="B4" s="2" t="str">
        <f>IFERROR(__xludf.DUMMYFUNCTION("""COMPUTED_VALUE"""),"Comarca de Valencia")</f>
        <v>Comarca de Valencia</v>
      </c>
      <c r="C4" s="2" t="str">
        <f>IFERROR(__xludf.DUMMYFUNCTION("""COMPUTED_VALUE"""),"Provincia de València")</f>
        <v>Provincia de València</v>
      </c>
      <c r="D4" s="2" t="str">
        <f>IFERROR(__xludf.DUMMYFUNCTION("""COMPUTED_VALUE"""),"Comunidad Valenciana")</f>
        <v>Comunidad Valenciana</v>
      </c>
      <c r="E4" s="2">
        <f>IFERROR(__xludf.DUMMYFUNCTION("""COMPUTED_VALUE"""),15.0)</f>
        <v>15</v>
      </c>
      <c r="F4" s="2">
        <f>IFERROR(__xludf.DUMMYFUNCTION("""COMPUTED_VALUE"""),139.31)</f>
        <v>139.31</v>
      </c>
      <c r="G4" s="4">
        <f>IFERROR(__xludf.DUMMYFUNCTION("""COMPUTED_VALUE"""),794288.0)</f>
        <v>794288</v>
      </c>
      <c r="H4" s="5">
        <f>IFERROR(__xludf.DUMMYFUNCTION("""COMPUTED_VALUE"""),5701.59)</f>
        <v>5701.59</v>
      </c>
    </row>
    <row r="5">
      <c r="A5" s="2" t="str">
        <f>IFERROR(__xludf.DUMMYFUNCTION("""COMPUTED_VALUE"""),"Sevilla")</f>
        <v>Sevilla</v>
      </c>
      <c r="B5" s="2" t="str">
        <f>IFERROR(__xludf.DUMMYFUNCTION("""COMPUTED_VALUE"""),"Comarca Metropolitana de Sevilla")</f>
        <v>Comarca Metropolitana de Sevilla</v>
      </c>
      <c r="C5" s="2" t="str">
        <f>IFERROR(__xludf.DUMMYFUNCTION("""COMPUTED_VALUE"""),"Provincia de Sevilla")</f>
        <v>Provincia de Sevilla</v>
      </c>
      <c r="D5" s="2" t="str">
        <f>IFERROR(__xludf.DUMMYFUNCTION("""COMPUTED_VALUE"""),"Andalucía")</f>
        <v>Andalucía</v>
      </c>
      <c r="E5" s="2">
        <f>IFERROR(__xludf.DUMMYFUNCTION("""COMPUTED_VALUE"""),12.0)</f>
        <v>12</v>
      </c>
      <c r="F5" s="2">
        <f>IFERROR(__xludf.DUMMYFUNCTION("""COMPUTED_VALUE"""),141.59)</f>
        <v>141.59</v>
      </c>
      <c r="G5" s="4">
        <f>IFERROR(__xludf.DUMMYFUNCTION("""COMPUTED_VALUE"""),688592.0)</f>
        <v>688592</v>
      </c>
      <c r="H5" s="5">
        <f>IFERROR(__xludf.DUMMYFUNCTION("""COMPUTED_VALUE"""),4863.28)</f>
        <v>4863.28</v>
      </c>
    </row>
    <row r="6">
      <c r="A6" s="2" t="str">
        <f>IFERROR(__xludf.DUMMYFUNCTION("""COMPUTED_VALUE"""),"Zaragoza")</f>
        <v>Zaragoza</v>
      </c>
      <c r="B6" s="2" t="str">
        <f>IFERROR(__xludf.DUMMYFUNCTION("""COMPUTED_VALUE"""),"Comarca de Zaragoza")</f>
        <v>Comarca de Zaragoza</v>
      </c>
      <c r="C6" s="2" t="str">
        <f>IFERROR(__xludf.DUMMYFUNCTION("""COMPUTED_VALUE"""),"Provincia de Zaragoza")</f>
        <v>Provincia de Zaragoza</v>
      </c>
      <c r="D6" s="2" t="str">
        <f>IFERROR(__xludf.DUMMYFUNCTION("""COMPUTED_VALUE"""),"Aragón")</f>
        <v>Aragón</v>
      </c>
      <c r="E6" s="2">
        <f>IFERROR(__xludf.DUMMYFUNCTION("""COMPUTED_VALUE"""),200.0)</f>
        <v>200</v>
      </c>
      <c r="F6" s="2">
        <f>IFERROR(__xludf.DUMMYFUNCTION("""COMPUTED_VALUE"""),973.78)</f>
        <v>973.78</v>
      </c>
      <c r="G6" s="4">
        <f>IFERROR(__xludf.DUMMYFUNCTION("""COMPUTED_VALUE"""),674997.0)</f>
        <v>674997</v>
      </c>
      <c r="H6" s="2">
        <f>IFERROR(__xludf.DUMMYFUNCTION("""COMPUTED_VALUE"""),693.17)</f>
        <v>693.17</v>
      </c>
    </row>
    <row r="7">
      <c r="A7" s="2" t="str">
        <f>IFERROR(__xludf.DUMMYFUNCTION("""COMPUTED_VALUE"""),"Málaga")</f>
        <v>Málaga</v>
      </c>
      <c r="B7" s="2" t="str">
        <f>IFERROR(__xludf.DUMMYFUNCTION("""COMPUTED_VALUE"""),"Málaga-Costa del Sol")</f>
        <v>Málaga-Costa del Sol</v>
      </c>
      <c r="C7" s="2" t="str">
        <f>IFERROR(__xludf.DUMMYFUNCTION("""COMPUTED_VALUE"""),"Provincia de Málaga")</f>
        <v>Provincia de Málaga</v>
      </c>
      <c r="D7" s="2" t="str">
        <f>IFERROR(__xludf.DUMMYFUNCTION("""COMPUTED_VALUE"""),"Andalucía")</f>
        <v>Andalucía</v>
      </c>
      <c r="E7" s="2">
        <f>IFERROR(__xludf.DUMMYFUNCTION("""COMPUTED_VALUE"""),11.0)</f>
        <v>11</v>
      </c>
      <c r="F7" s="2">
        <f>IFERROR(__xludf.DUMMYFUNCTION("""COMPUTED_VALUE"""),395.71)</f>
        <v>395.71</v>
      </c>
      <c r="G7" s="4">
        <f>IFERROR(__xludf.DUMMYFUNCTION("""COMPUTED_VALUE"""),574654.0)</f>
        <v>574654</v>
      </c>
      <c r="H7" s="5">
        <f>IFERROR(__xludf.DUMMYFUNCTION("""COMPUTED_VALUE"""),1452.21)</f>
        <v>1452.21</v>
      </c>
    </row>
    <row r="8">
      <c r="A8" s="2" t="str">
        <f>IFERROR(__xludf.DUMMYFUNCTION("""COMPUTED_VALUE"""),"Murcia")</f>
        <v>Murcia</v>
      </c>
      <c r="B8" s="2" t="str">
        <f>IFERROR(__xludf.DUMMYFUNCTION("""COMPUTED_VALUE"""),"Huerta de Murcia")</f>
        <v>Huerta de Murcia</v>
      </c>
      <c r="C8" s="2" t="str">
        <f>IFERROR(__xludf.DUMMYFUNCTION("""COMPUTED_VALUE"""),"Provincia de Murcia")</f>
        <v>Provincia de Murcia</v>
      </c>
      <c r="D8" s="2" t="str">
        <f>IFERROR(__xludf.DUMMYFUNCTION("""COMPUTED_VALUE"""),"Región de Murcia")</f>
        <v>Región de Murcia</v>
      </c>
      <c r="E8" s="2">
        <f>IFERROR(__xludf.DUMMYFUNCTION("""COMPUTED_VALUE"""),43.0)</f>
        <v>43</v>
      </c>
      <c r="F8" s="2">
        <f>IFERROR(__xludf.DUMMYFUNCTION("""COMPUTED_VALUE"""),885.11)</f>
        <v>885.11</v>
      </c>
      <c r="G8" s="4">
        <f>IFERROR(__xludf.DUMMYFUNCTION("""COMPUTED_VALUE"""),453258.0)</f>
        <v>453258</v>
      </c>
      <c r="H8" s="2">
        <f>IFERROR(__xludf.DUMMYFUNCTION("""COMPUTED_VALUE"""),512.09)</f>
        <v>512.09</v>
      </c>
    </row>
    <row r="9">
      <c r="A9" s="2" t="str">
        <f>IFERROR(__xludf.DUMMYFUNCTION("""COMPUTED_VALUE"""),"Palma de Mallorca")</f>
        <v>Palma de Mallorca</v>
      </c>
      <c r="B9" s="2" t="str">
        <f>IFERROR(__xludf.DUMMYFUNCTION("""COMPUTED_VALUE"""),"Palma de Mallorca")</f>
        <v>Palma de Mallorca</v>
      </c>
      <c r="C9" s="2" t="str">
        <f>IFERROR(__xludf.DUMMYFUNCTION("""COMPUTED_VALUE"""),"Provincia de Baleares")</f>
        <v>Provincia de Baleares</v>
      </c>
      <c r="D9" s="2" t="str">
        <f>IFERROR(__xludf.DUMMYFUNCTION("""COMPUTED_VALUE"""),"Islas Baleares")</f>
        <v>Islas Baleares</v>
      </c>
      <c r="E9" s="2">
        <f>IFERROR(__xludf.DUMMYFUNCTION("""COMPUTED_VALUE"""),13.0)</f>
        <v>13</v>
      </c>
      <c r="F9" s="2">
        <f>IFERROR(__xludf.DUMMYFUNCTION("""COMPUTED_VALUE"""),208.63)</f>
        <v>208.63</v>
      </c>
      <c r="G9" s="4">
        <f>IFERROR(__xludf.DUMMYFUNCTION("""COMPUTED_VALUE"""),416065.0)</f>
        <v>416065</v>
      </c>
      <c r="H9" s="5">
        <f>IFERROR(__xludf.DUMMYFUNCTION("""COMPUTED_VALUE"""),1994.27)</f>
        <v>1994.27</v>
      </c>
    </row>
    <row r="10">
      <c r="A10" s="2" t="str">
        <f>IFERROR(__xludf.DUMMYFUNCTION("""COMPUTED_VALUE"""),"Las Palmas de Gran Canaria")</f>
        <v>Las Palmas de Gran Canaria</v>
      </c>
      <c r="B10" s="2" t="str">
        <f>IFERROR(__xludf.DUMMYFUNCTION("""COMPUTED_VALUE"""),"Gran Canaria")</f>
        <v>Gran Canaria</v>
      </c>
      <c r="C10" s="2" t="str">
        <f>IFERROR(__xludf.DUMMYFUNCTION("""COMPUTED_VALUE"""),"Provincia de Las Palmas")</f>
        <v>Provincia de Las Palmas</v>
      </c>
      <c r="D10" s="2" t="str">
        <f>IFERROR(__xludf.DUMMYFUNCTION("""COMPUTED_VALUE"""),"Canarias")</f>
        <v>Canarias</v>
      </c>
      <c r="E10" s="2">
        <f>IFERROR(__xludf.DUMMYFUNCTION("""COMPUTED_VALUE"""),8.0)</f>
        <v>8</v>
      </c>
      <c r="F10" s="2">
        <f>IFERROR(__xludf.DUMMYFUNCTION("""COMPUTED_VALUE"""),103.32)</f>
        <v>103.32</v>
      </c>
      <c r="G10" s="4">
        <f>IFERROR(__xludf.DUMMYFUNCTION("""COMPUTED_VALUE"""),379925.0)</f>
        <v>379925</v>
      </c>
      <c r="H10" s="5">
        <f>IFERROR(__xludf.DUMMYFUNCTION("""COMPUTED_VALUE"""),3677.17)</f>
        <v>3677.17</v>
      </c>
    </row>
    <row r="11">
      <c r="A11" s="2" t="str">
        <f>IFERROR(__xludf.DUMMYFUNCTION("""COMPUTED_VALUE"""),"Bilbao")</f>
        <v>Bilbao</v>
      </c>
      <c r="B11" s="2" t="str">
        <f>IFERROR(__xludf.DUMMYFUNCTION("""COMPUTED_VALUE"""),"Gran Bilbao")</f>
        <v>Gran Bilbao</v>
      </c>
      <c r="C11" s="2" t="str">
        <f>IFERROR(__xludf.DUMMYFUNCTION("""COMPUTED_VALUE"""),"Provincia de Bizkaia")</f>
        <v>Provincia de Bizkaia</v>
      </c>
      <c r="D11" s="2" t="str">
        <f>IFERROR(__xludf.DUMMYFUNCTION("""COMPUTED_VALUE"""),"País Vasco")</f>
        <v>País Vasco</v>
      </c>
      <c r="E11" s="2">
        <f>IFERROR(__xludf.DUMMYFUNCTION("""COMPUTED_VALUE"""),19.0)</f>
        <v>19</v>
      </c>
      <c r="F11" s="2">
        <f>IFERROR(__xludf.DUMMYFUNCTION("""COMPUTED_VALUE"""),41.39)</f>
        <v>41.39</v>
      </c>
      <c r="G11" s="4">
        <f>IFERROR(__xludf.DUMMYFUNCTION("""COMPUTED_VALUE"""),346843.0)</f>
        <v>346843</v>
      </c>
      <c r="H11" s="5">
        <f>IFERROR(__xludf.DUMMYFUNCTION("""COMPUTED_VALUE"""),8379.87)</f>
        <v>8379.87</v>
      </c>
    </row>
    <row r="12">
      <c r="A12" s="2" t="str">
        <f>IFERROR(__xludf.DUMMYFUNCTION("""COMPUTED_VALUE"""),"Alicante")</f>
        <v>Alicante</v>
      </c>
      <c r="B12" s="2" t="str">
        <f>IFERROR(__xludf.DUMMYFUNCTION("""COMPUTED_VALUE"""),"Campo de Alicante")</f>
        <v>Campo de Alicante</v>
      </c>
      <c r="C12" s="2" t="str">
        <f>IFERROR(__xludf.DUMMYFUNCTION("""COMPUTED_VALUE"""),"Provincia de Alicante")</f>
        <v>Provincia de Alicante</v>
      </c>
      <c r="D12" s="2" t="str">
        <f>IFERROR(__xludf.DUMMYFUNCTION("""COMPUTED_VALUE"""),"Comunidad Valenciana")</f>
        <v>Comunidad Valenciana</v>
      </c>
      <c r="E12" s="2">
        <f>IFERROR(__xludf.DUMMYFUNCTION("""COMPUTED_VALUE"""),3.0)</f>
        <v>3</v>
      </c>
      <c r="F12" s="2">
        <f>IFERROR(__xludf.DUMMYFUNCTION("""COMPUTED_VALUE"""),201.27)</f>
        <v>201.27</v>
      </c>
      <c r="G12" s="4">
        <f>IFERROR(__xludf.DUMMYFUNCTION("""COMPUTED_VALUE"""),334887.0)</f>
        <v>334887</v>
      </c>
      <c r="H12" s="5">
        <f>IFERROR(__xludf.DUMMYFUNCTION("""COMPUTED_VALUE"""),1663.87)</f>
        <v>1663.87</v>
      </c>
    </row>
    <row r="13">
      <c r="A13" s="2" t="str">
        <f>IFERROR(__xludf.DUMMYFUNCTION("""COMPUTED_VALUE"""),"Córdoba")</f>
        <v>Córdoba</v>
      </c>
      <c r="B13" s="2"/>
      <c r="C13" s="2" t="str">
        <f>IFERROR(__xludf.DUMMYFUNCTION("""COMPUTED_VALUE"""),"Provincia de Córdoba")</f>
        <v>Provincia de Córdoba</v>
      </c>
      <c r="D13" s="2" t="str">
        <f>IFERROR(__xludf.DUMMYFUNCTION("""COMPUTED_VALUE"""),"Andalucía")</f>
        <v>Andalucía</v>
      </c>
      <c r="E13" s="2">
        <f>IFERROR(__xludf.DUMMYFUNCTION("""COMPUTED_VALUE"""),120.0)</f>
        <v>120</v>
      </c>
      <c r="F13" s="5">
        <f>IFERROR(__xludf.DUMMYFUNCTION("""COMPUTED_VALUE"""),1254.25)</f>
        <v>1254.25</v>
      </c>
      <c r="G13" s="4">
        <f>IFERROR(__xludf.DUMMYFUNCTION("""COMPUTED_VALUE"""),325701.0)</f>
        <v>325701</v>
      </c>
      <c r="H13" s="2">
        <f>IFERROR(__xludf.DUMMYFUNCTION("""COMPUTED_VALUE"""),259.68)</f>
        <v>259.68</v>
      </c>
    </row>
    <row r="14">
      <c r="A14" s="2" t="str">
        <f>IFERROR(__xludf.DUMMYFUNCTION("""COMPUTED_VALUE"""),"Valladolid")</f>
        <v>Valladolid</v>
      </c>
      <c r="B14" s="2" t="str">
        <f>IFERROR(__xludf.DUMMYFUNCTION("""COMPUTED_VALUE"""),"Campiña del Pisuerga")</f>
        <v>Campiña del Pisuerga</v>
      </c>
      <c r="C14" s="2" t="str">
        <f>IFERROR(__xludf.DUMMYFUNCTION("""COMPUTED_VALUE"""),"Provincia de Valladolid")</f>
        <v>Provincia de Valladolid</v>
      </c>
      <c r="D14" s="2" t="str">
        <f>IFERROR(__xludf.DUMMYFUNCTION("""COMPUTED_VALUE"""),"Castilla y León")</f>
        <v>Castilla y León</v>
      </c>
      <c r="E14" s="2">
        <f>IFERROR(__xludf.DUMMYFUNCTION("""COMPUTED_VALUE"""),698.0)</f>
        <v>698</v>
      </c>
      <c r="F14" s="2">
        <f>IFERROR(__xludf.DUMMYFUNCTION("""COMPUTED_VALUE"""),197.37)</f>
        <v>197.37</v>
      </c>
      <c r="G14" s="4">
        <f>IFERROR(__xludf.DUMMYFUNCTION("""COMPUTED_VALUE"""),298412.0)</f>
        <v>298412</v>
      </c>
      <c r="H14" s="5">
        <f>IFERROR(__xludf.DUMMYFUNCTION("""COMPUTED_VALUE"""),1511.94)</f>
        <v>1511.94</v>
      </c>
    </row>
    <row r="15">
      <c r="A15" s="2" t="str">
        <f>IFERROR(__xludf.DUMMYFUNCTION("""COMPUTED_VALUE"""),"Vigo")</f>
        <v>Vigo</v>
      </c>
      <c r="B15" s="2" t="str">
        <f>IFERROR(__xludf.DUMMYFUNCTION("""COMPUTED_VALUE"""),"Comarca de Vigo")</f>
        <v>Comarca de Vigo</v>
      </c>
      <c r="C15" s="2" t="str">
        <f>IFERROR(__xludf.DUMMYFUNCTION("""COMPUTED_VALUE"""),"Provincia de Pontevedra")</f>
        <v>Provincia de Pontevedra</v>
      </c>
      <c r="D15" s="2" t="str">
        <f>IFERROR(__xludf.DUMMYFUNCTION("""COMPUTED_VALUE"""),"Galicia")</f>
        <v>Galicia</v>
      </c>
      <c r="E15" s="2">
        <f>IFERROR(__xludf.DUMMYFUNCTION("""COMPUTED_VALUE"""),28.0)</f>
        <v>28</v>
      </c>
      <c r="F15" s="2">
        <f>IFERROR(__xludf.DUMMYFUNCTION("""COMPUTED_VALUE"""),109.06)</f>
        <v>109.06</v>
      </c>
      <c r="G15" s="4">
        <f>IFERROR(__xludf.DUMMYFUNCTION("""COMPUTED_VALUE"""),295364.0)</f>
        <v>295364</v>
      </c>
      <c r="H15" s="5">
        <f>IFERROR(__xludf.DUMMYFUNCTION("""COMPUTED_VALUE"""),2708.27)</f>
        <v>2708.27</v>
      </c>
    </row>
    <row r="16">
      <c r="A16" s="2" t="str">
        <f>IFERROR(__xludf.DUMMYFUNCTION("""COMPUTED_VALUE"""),"Gijón")</f>
        <v>Gijón</v>
      </c>
      <c r="B16" s="2" t="str">
        <f>IFERROR(__xludf.DUMMYFUNCTION("""COMPUTED_VALUE"""),"Comarca de Gijón")</f>
        <v>Comarca de Gijón</v>
      </c>
      <c r="C16" s="2" t="str">
        <f>IFERROR(__xludf.DUMMYFUNCTION("""COMPUTED_VALUE"""),"Provincia de Asturias")</f>
        <v>Provincia de Asturias</v>
      </c>
      <c r="D16" s="2" t="str">
        <f>IFERROR(__xludf.DUMMYFUNCTION("""COMPUTED_VALUE"""),"Principado de Asturias")</f>
        <v>Principado de Asturias</v>
      </c>
      <c r="E16" s="2">
        <f>IFERROR(__xludf.DUMMYFUNCTION("""COMPUTED_VALUE"""),3.0)</f>
        <v>3</v>
      </c>
      <c r="F16" s="2">
        <f>IFERROR(__xludf.DUMMYFUNCTION("""COMPUTED_VALUE"""),181.71)</f>
        <v>181.71</v>
      </c>
      <c r="G16" s="4">
        <f>IFERROR(__xludf.DUMMYFUNCTION("""COMPUTED_VALUE"""),271780.0)</f>
        <v>271780</v>
      </c>
      <c r="H16" s="5">
        <f>IFERROR(__xludf.DUMMYFUNCTION("""COMPUTED_VALUE"""),1495.68)</f>
        <v>1495.68</v>
      </c>
    </row>
    <row r="17">
      <c r="A17" s="2" t="str">
        <f>IFERROR(__xludf.DUMMYFUNCTION("""COMPUTED_VALUE"""),"Vitoria-Gasteiz")</f>
        <v>Vitoria-Gasteiz</v>
      </c>
      <c r="B17" s="2" t="str">
        <f>IFERROR(__xludf.DUMMYFUNCTION("""COMPUTED_VALUE"""),"Comarcas de Álava")</f>
        <v>Comarcas de Álava</v>
      </c>
      <c r="C17" s="2" t="str">
        <f>IFERROR(__xludf.DUMMYFUNCTION("""COMPUTED_VALUE"""),"Provincia de Araba")</f>
        <v>Provincia de Araba</v>
      </c>
      <c r="D17" s="2" t="str">
        <f>IFERROR(__xludf.DUMMYFUNCTION("""COMPUTED_VALUE"""),"País Vasco")</f>
        <v>País Vasco</v>
      </c>
      <c r="E17" s="2">
        <f>IFERROR(__xludf.DUMMYFUNCTION("""COMPUTED_VALUE"""),525.0)</f>
        <v>525</v>
      </c>
      <c r="F17" s="2">
        <f>IFERROR(__xludf.DUMMYFUNCTION("""COMPUTED_VALUE"""),276.66)</f>
        <v>276.66</v>
      </c>
      <c r="G17" s="4">
        <f>IFERROR(__xludf.DUMMYFUNCTION("""COMPUTED_VALUE"""),251774.0)</f>
        <v>251774</v>
      </c>
      <c r="H17" s="2">
        <f>IFERROR(__xludf.DUMMYFUNCTION("""COMPUTED_VALUE"""),910.05)</f>
        <v>910.05</v>
      </c>
    </row>
    <row r="18">
      <c r="A18" s="2" t="str">
        <f>IFERROR(__xludf.DUMMYFUNCTION("""COMPUTED_VALUE"""),"A Coruña")</f>
        <v>A Coruña</v>
      </c>
      <c r="B18" s="2" t="str">
        <f>IFERROR(__xludf.DUMMYFUNCTION("""COMPUTED_VALUE"""),"Comarca de La Coruña")</f>
        <v>Comarca de La Coruña</v>
      </c>
      <c r="C18" s="2" t="str">
        <f>IFERROR(__xludf.DUMMYFUNCTION("""COMPUTED_VALUE"""),"Provincia de A Coruña")</f>
        <v>Provincia de A Coruña</v>
      </c>
      <c r="D18" s="2" t="str">
        <f>IFERROR(__xludf.DUMMYFUNCTION("""COMPUTED_VALUE"""),"Galicia")</f>
        <v>Galicia</v>
      </c>
      <c r="E18" s="2">
        <f>IFERROR(__xludf.DUMMYFUNCTION("""COMPUTED_VALUE"""),21.0)</f>
        <v>21</v>
      </c>
      <c r="F18" s="2">
        <f>IFERROR(__xludf.DUMMYFUNCTION("""COMPUTED_VALUE"""),37.83)</f>
        <v>37.83</v>
      </c>
      <c r="G18" s="4">
        <f>IFERROR(__xludf.DUMMYFUNCTION("""COMPUTED_VALUE"""),245711.0)</f>
        <v>245711</v>
      </c>
      <c r="H18" s="5">
        <f>IFERROR(__xludf.DUMMYFUNCTION("""COMPUTED_VALUE"""),6495.14)</f>
        <v>6495.14</v>
      </c>
    </row>
    <row r="19">
      <c r="A19" s="2" t="str">
        <f>IFERROR(__xludf.DUMMYFUNCTION("""COMPUTED_VALUE"""),"Elche")</f>
        <v>Elche</v>
      </c>
      <c r="B19" s="2" t="str">
        <f>IFERROR(__xludf.DUMMYFUNCTION("""COMPUTED_VALUE"""),"Bajo Vinalopó")</f>
        <v>Bajo Vinalopó</v>
      </c>
      <c r="C19" s="2" t="str">
        <f>IFERROR(__xludf.DUMMYFUNCTION("""COMPUTED_VALUE"""),"Provincia de Alicante")</f>
        <v>Provincia de Alicante</v>
      </c>
      <c r="D19" s="2" t="str">
        <f>IFERROR(__xludf.DUMMYFUNCTION("""COMPUTED_VALUE"""),"Comunidad Valenciana")</f>
        <v>Comunidad Valenciana</v>
      </c>
      <c r="E19" s="2">
        <f>IFERROR(__xludf.DUMMYFUNCTION("""COMPUTED_VALUE"""),86.0)</f>
        <v>86</v>
      </c>
      <c r="F19" s="2">
        <f>IFERROR(__xludf.DUMMYFUNCTION("""COMPUTED_VALUE"""),326.5)</f>
        <v>326.5</v>
      </c>
      <c r="G19" s="4">
        <f>IFERROR(__xludf.DUMMYFUNCTION("""COMPUTED_VALUE"""),232517.0)</f>
        <v>232517</v>
      </c>
      <c r="H19" s="2">
        <f>IFERROR(__xludf.DUMMYFUNCTION("""COMPUTED_VALUE"""),712.15)</f>
        <v>712.15</v>
      </c>
    </row>
    <row r="20">
      <c r="A20" s="2" t="str">
        <f>IFERROR(__xludf.DUMMYFUNCTION("""COMPUTED_VALUE"""),"Granada")</f>
        <v>Granada</v>
      </c>
      <c r="B20" s="2" t="str">
        <f>IFERROR(__xludf.DUMMYFUNCTION("""COMPUTED_VALUE"""),"Vega de Granada")</f>
        <v>Vega de Granada</v>
      </c>
      <c r="C20" s="2" t="str">
        <f>IFERROR(__xludf.DUMMYFUNCTION("""COMPUTED_VALUE"""),"Provincia de Granada")</f>
        <v>Provincia de Granada</v>
      </c>
      <c r="D20" s="2" t="str">
        <f>IFERROR(__xludf.DUMMYFUNCTION("""COMPUTED_VALUE"""),"Andalucía")</f>
        <v>Andalucía</v>
      </c>
      <c r="E20" s="2">
        <f>IFERROR(__xludf.DUMMYFUNCTION("""COMPUTED_VALUE"""),738.0)</f>
        <v>738</v>
      </c>
      <c r="F20" s="2">
        <f>IFERROR(__xludf.DUMMYFUNCTION("""COMPUTED_VALUE"""),88.11)</f>
        <v>88.11</v>
      </c>
      <c r="G20" s="4">
        <f>IFERROR(__xludf.DUMMYFUNCTION("""COMPUTED_VALUE"""),232462.0)</f>
        <v>232462</v>
      </c>
      <c r="H20" s="5">
        <f>IFERROR(__xludf.DUMMYFUNCTION("""COMPUTED_VALUE"""),2638.32)</f>
        <v>2638.32</v>
      </c>
    </row>
    <row r="21">
      <c r="A21" s="2" t="str">
        <f>IFERROR(__xludf.DUMMYFUNCTION("""COMPUTED_VALUE"""),"Terrassa")</f>
        <v>Terrassa</v>
      </c>
      <c r="B21" s="2" t="str">
        <f>IFERROR(__xludf.DUMMYFUNCTION("""COMPUTED_VALUE"""),"Vallès Occidental")</f>
        <v>Vallès Occidental</v>
      </c>
      <c r="C21" s="2" t="str">
        <f>IFERROR(__xludf.DUMMYFUNCTION("""COMPUTED_VALUE"""),"Provincia de Barcelona")</f>
        <v>Provincia de Barcelona</v>
      </c>
      <c r="D21" s="2" t="str">
        <f>IFERROR(__xludf.DUMMYFUNCTION("""COMPUTED_VALUE"""),"Cataluña")</f>
        <v>Cataluña</v>
      </c>
      <c r="E21" s="2">
        <f>IFERROR(__xludf.DUMMYFUNCTION("""COMPUTED_VALUE"""),277.0)</f>
        <v>277</v>
      </c>
      <c r="F21" s="2">
        <f>IFERROR(__xludf.DUMMYFUNCTION("""COMPUTED_VALUE"""),70.29)</f>
        <v>70.29</v>
      </c>
      <c r="G21" s="4">
        <f>IFERROR(__xludf.DUMMYFUNCTION("""COMPUTED_VALUE"""),220556.0)</f>
        <v>220556</v>
      </c>
      <c r="H21" s="5">
        <f>IFERROR(__xludf.DUMMYFUNCTION("""COMPUTED_VALUE"""),3137.8)</f>
        <v>3137.8</v>
      </c>
    </row>
    <row r="22">
      <c r="A22" s="2" t="str">
        <f>IFERROR(__xludf.DUMMYFUNCTION("""COMPUTED_VALUE"""),"Badalona")</f>
        <v>Badalona</v>
      </c>
      <c r="B22" s="2" t="str">
        <f>IFERROR(__xludf.DUMMYFUNCTION("""COMPUTED_VALUE"""),"Barcelonés")</f>
        <v>Barcelonés</v>
      </c>
      <c r="C22" s="2" t="str">
        <f>IFERROR(__xludf.DUMMYFUNCTION("""COMPUTED_VALUE"""),"Provincia de Barcelona")</f>
        <v>Provincia de Barcelona</v>
      </c>
      <c r="D22" s="2" t="str">
        <f>IFERROR(__xludf.DUMMYFUNCTION("""COMPUTED_VALUE"""),"Cataluña")</f>
        <v>Cataluña</v>
      </c>
      <c r="E22" s="2">
        <f>IFERROR(__xludf.DUMMYFUNCTION("""COMPUTED_VALUE"""),6.0)</f>
        <v>6</v>
      </c>
      <c r="F22" s="2">
        <f>IFERROR(__xludf.DUMMYFUNCTION("""COMPUTED_VALUE"""),20.95)</f>
        <v>20.95</v>
      </c>
      <c r="G22" s="4">
        <f>IFERROR(__xludf.DUMMYFUNCTION("""COMPUTED_VALUE"""),220440.0)</f>
        <v>220440</v>
      </c>
      <c r="H22" s="5">
        <f>IFERROR(__xludf.DUMMYFUNCTION("""COMPUTED_VALUE"""),10522.2)</f>
        <v>10522.2</v>
      </c>
    </row>
    <row r="23">
      <c r="A23" s="2" t="str">
        <f>IFERROR(__xludf.DUMMYFUNCTION("""COMPUTED_VALUE"""),"Oviedo")</f>
        <v>Oviedo</v>
      </c>
      <c r="B23" s="2"/>
      <c r="C23" s="2" t="str">
        <f>IFERROR(__xludf.DUMMYFUNCTION("""COMPUTED_VALUE"""),"Provincia de Asturias")</f>
        <v>Provincia de Asturias</v>
      </c>
      <c r="D23" s="2" t="str">
        <f>IFERROR(__xludf.DUMMYFUNCTION("""COMPUTED_VALUE"""),"Principado de Asturias")</f>
        <v>Principado de Asturias</v>
      </c>
      <c r="E23" s="2">
        <f>IFERROR(__xludf.DUMMYFUNCTION("""COMPUTED_VALUE"""),232.0)</f>
        <v>232</v>
      </c>
      <c r="F23" s="2">
        <f>IFERROR(__xludf.DUMMYFUNCTION("""COMPUTED_VALUE"""),186.65)</f>
        <v>186.65</v>
      </c>
      <c r="G23" s="4">
        <f>IFERROR(__xludf.DUMMYFUNCTION("""COMPUTED_VALUE"""),219686.0)</f>
        <v>219686</v>
      </c>
      <c r="H23" s="5">
        <f>IFERROR(__xludf.DUMMYFUNCTION("""COMPUTED_VALUE"""),1176.99)</f>
        <v>1176.99</v>
      </c>
    </row>
    <row r="24">
      <c r="A24" s="2" t="str">
        <f>IFERROR(__xludf.DUMMYFUNCTION("""COMPUTED_VALUE"""),"Cartagena")</f>
        <v>Cartagena</v>
      </c>
      <c r="B24" s="2" t="str">
        <f>IFERROR(__xludf.DUMMYFUNCTION("""COMPUTED_VALUE"""),"Campo de Cartagena")</f>
        <v>Campo de Cartagena</v>
      </c>
      <c r="C24" s="2" t="str">
        <f>IFERROR(__xludf.DUMMYFUNCTION("""COMPUTED_VALUE"""),"Provincia de Murcia")</f>
        <v>Provincia de Murcia</v>
      </c>
      <c r="D24" s="2" t="str">
        <f>IFERROR(__xludf.DUMMYFUNCTION("""COMPUTED_VALUE"""),"Región de Murcia")</f>
        <v>Región de Murcia</v>
      </c>
      <c r="E24" s="2">
        <f>IFERROR(__xludf.DUMMYFUNCTION("""COMPUTED_VALUE"""),10.0)</f>
        <v>10</v>
      </c>
      <c r="F24" s="2">
        <f>IFERROR(__xludf.DUMMYFUNCTION("""COMPUTED_VALUE"""),560.19)</f>
        <v>560.19</v>
      </c>
      <c r="G24" s="4">
        <f>IFERROR(__xludf.DUMMYFUNCTION("""COMPUTED_VALUE"""),214802.0)</f>
        <v>214802</v>
      </c>
      <c r="H24" s="2">
        <f>IFERROR(__xludf.DUMMYFUNCTION("""COMPUTED_VALUE"""),383.44)</f>
        <v>383.44</v>
      </c>
    </row>
    <row r="25">
      <c r="A25" s="2" t="str">
        <f>IFERROR(__xludf.DUMMYFUNCTION("""COMPUTED_VALUE"""),"Sabadell")</f>
        <v>Sabadell</v>
      </c>
      <c r="B25" s="2" t="str">
        <f>IFERROR(__xludf.DUMMYFUNCTION("""COMPUTED_VALUE"""),"Vallès Occidental")</f>
        <v>Vallès Occidental</v>
      </c>
      <c r="C25" s="2" t="str">
        <f>IFERROR(__xludf.DUMMYFUNCTION("""COMPUTED_VALUE"""),"Provincia de Barcelona")</f>
        <v>Provincia de Barcelona</v>
      </c>
      <c r="D25" s="2" t="str">
        <f>IFERROR(__xludf.DUMMYFUNCTION("""COMPUTED_VALUE"""),"Cataluña")</f>
        <v>Cataluña</v>
      </c>
      <c r="E25" s="2">
        <f>IFERROR(__xludf.DUMMYFUNCTION("""COMPUTED_VALUE"""),190.0)</f>
        <v>190</v>
      </c>
      <c r="F25" s="2">
        <f>IFERROR(__xludf.DUMMYFUNCTION("""COMPUTED_VALUE"""),37.53)</f>
        <v>37.53</v>
      </c>
      <c r="G25" s="4">
        <f>IFERROR(__xludf.DUMMYFUNCTION("""COMPUTED_VALUE"""),213644.0)</f>
        <v>213644</v>
      </c>
      <c r="H25" s="5">
        <f>IFERROR(__xludf.DUMMYFUNCTION("""COMPUTED_VALUE"""),5692.62)</f>
        <v>5692.62</v>
      </c>
    </row>
    <row r="26">
      <c r="A26" s="2" t="str">
        <f>IFERROR(__xludf.DUMMYFUNCTION("""COMPUTED_VALUE"""),"Jerez de la Frontera")</f>
        <v>Jerez de la Frontera</v>
      </c>
      <c r="B26" s="2" t="str">
        <f>IFERROR(__xludf.DUMMYFUNCTION("""COMPUTED_VALUE"""),"Campiña de Jerez")</f>
        <v>Campiña de Jerez</v>
      </c>
      <c r="C26" s="2" t="str">
        <f>IFERROR(__xludf.DUMMYFUNCTION("""COMPUTED_VALUE"""),"Provincia de Cádiz")</f>
        <v>Provincia de Cádiz</v>
      </c>
      <c r="D26" s="2" t="str">
        <f>IFERROR(__xludf.DUMMYFUNCTION("""COMPUTED_VALUE"""),"Andalucía")</f>
        <v>Andalucía</v>
      </c>
      <c r="E26" s="2">
        <f>IFERROR(__xludf.DUMMYFUNCTION("""COMPUTED_VALUE"""),56.0)</f>
        <v>56</v>
      </c>
      <c r="F26" s="5">
        <f>IFERROR(__xludf.DUMMYFUNCTION("""COMPUTED_VALUE"""),1187.92)</f>
        <v>1187.92</v>
      </c>
      <c r="G26" s="4">
        <f>IFERROR(__xludf.DUMMYFUNCTION("""COMPUTED_VALUE"""),212749.0)</f>
        <v>212749</v>
      </c>
      <c r="H26" s="2">
        <f>IFERROR(__xludf.DUMMYFUNCTION("""COMPUTED_VALUE"""),179.09)</f>
        <v>179.09</v>
      </c>
    </row>
    <row r="27">
      <c r="A27" s="2" t="str">
        <f>IFERROR(__xludf.DUMMYFUNCTION("""COMPUTED_VALUE"""),"Móstoles")</f>
        <v>Móstoles</v>
      </c>
      <c r="B27" s="2" t="str">
        <f>IFERROR(__xludf.DUMMYFUNCTION("""COMPUTED_VALUE"""),"Área metropolitana de Madrid")</f>
        <v>Área metropolitana de Madrid</v>
      </c>
      <c r="C27" s="2" t="str">
        <f>IFERROR(__xludf.DUMMYFUNCTION("""COMPUTED_VALUE"""),"Provincia de Madrid")</f>
        <v>Provincia de Madrid</v>
      </c>
      <c r="D27" s="2" t="str">
        <f>IFERROR(__xludf.DUMMYFUNCTION("""COMPUTED_VALUE"""),"Comunidad de Madrid")</f>
        <v>Comunidad de Madrid</v>
      </c>
      <c r="E27" s="2">
        <f>IFERROR(__xludf.DUMMYFUNCTION("""COMPUTED_VALUE"""),620.0)</f>
        <v>620</v>
      </c>
      <c r="F27" s="2">
        <f>IFERROR(__xludf.DUMMYFUNCTION("""COMPUTED_VALUE"""),45.28)</f>
        <v>45.28</v>
      </c>
      <c r="G27" s="4">
        <f>IFERROR(__xludf.DUMMYFUNCTION("""COMPUTED_VALUE"""),209184.0)</f>
        <v>209184</v>
      </c>
      <c r="H27" s="5">
        <f>IFERROR(__xludf.DUMMYFUNCTION("""COMPUTED_VALUE"""),4619.79)</f>
        <v>4619.79</v>
      </c>
    </row>
    <row r="28">
      <c r="A28" s="2" t="str">
        <f>IFERROR(__xludf.DUMMYFUNCTION("""COMPUTED_VALUE"""),"Santa Cruz de Tenerife")</f>
        <v>Santa Cruz de Tenerife</v>
      </c>
      <c r="B28" s="2" t="str">
        <f>IFERROR(__xludf.DUMMYFUNCTION("""COMPUTED_VALUE"""),"Comarca del Área Metropolitana (Tenerife)")</f>
        <v>Comarca del Área Metropolitana (Tenerife)</v>
      </c>
      <c r="C28" s="2" t="str">
        <f>IFERROR(__xludf.DUMMYFUNCTION("""COMPUTED_VALUE"""),"Provincia de Santa Cruz de Tenerife")</f>
        <v>Provincia de Santa Cruz de Tenerife</v>
      </c>
      <c r="D28" s="2" t="str">
        <f>IFERROR(__xludf.DUMMYFUNCTION("""COMPUTED_VALUE"""),"Canarias")</f>
        <v>Canarias</v>
      </c>
      <c r="E28" s="2">
        <f>IFERROR(__xludf.DUMMYFUNCTION("""COMPUTED_VALUE"""),4.0)</f>
        <v>4</v>
      </c>
      <c r="F28" s="2">
        <f>IFERROR(__xludf.DUMMYFUNCTION("""COMPUTED_VALUE"""),150.44)</f>
        <v>150.44</v>
      </c>
      <c r="G28" s="4">
        <f>IFERROR(__xludf.DUMMYFUNCTION("""COMPUTED_VALUE"""),207312.0)</f>
        <v>207312</v>
      </c>
      <c r="H28" s="5">
        <f>IFERROR(__xludf.DUMMYFUNCTION("""COMPUTED_VALUE"""),1378.04)</f>
        <v>1378.04</v>
      </c>
    </row>
    <row r="29">
      <c r="A29" s="2" t="str">
        <f>IFERROR(__xludf.DUMMYFUNCTION("""COMPUTED_VALUE"""),"Pamplona")</f>
        <v>Pamplona</v>
      </c>
      <c r="B29" s="2" t="str">
        <f>IFERROR(__xludf.DUMMYFUNCTION("""COMPUTED_VALUE"""),"Cuenca de Pamplona")</f>
        <v>Cuenca de Pamplona</v>
      </c>
      <c r="C29" s="2" t="str">
        <f>IFERROR(__xludf.DUMMYFUNCTION("""COMPUTED_VALUE"""),"Provincia de Navarra")</f>
        <v>Provincia de Navarra</v>
      </c>
      <c r="D29" s="2" t="str">
        <f>IFERROR(__xludf.DUMMYFUNCTION("""COMPUTED_VALUE"""),"Comunidad Foral de Navarra")</f>
        <v>Comunidad Foral de Navarra</v>
      </c>
      <c r="E29" s="2">
        <f>IFERROR(__xludf.DUMMYFUNCTION("""COMPUTED_VALUE"""),446.0)</f>
        <v>446</v>
      </c>
      <c r="F29" s="2">
        <f>IFERROR(__xludf.DUMMYFUNCTION("""COMPUTED_VALUE"""),25.14)</f>
        <v>25.14</v>
      </c>
      <c r="G29" s="4">
        <f>IFERROR(__xludf.DUMMYFUNCTION("""COMPUTED_VALUE"""),201653.0)</f>
        <v>201653</v>
      </c>
      <c r="H29" s="5">
        <f>IFERROR(__xludf.DUMMYFUNCTION("""COMPUTED_VALUE"""),8021.2)</f>
        <v>8021.2</v>
      </c>
    </row>
    <row r="30">
      <c r="A30" s="2" t="str">
        <f>IFERROR(__xludf.DUMMYFUNCTION("""COMPUTED_VALUE"""),"Almería")</f>
        <v>Almería</v>
      </c>
      <c r="B30" s="2" t="str">
        <f>IFERROR(__xludf.DUMMYFUNCTION("""COMPUTED_VALUE"""),"Comarca Metropolitana de Almería
Costa de Almería")</f>
        <v>Comarca Metropolitana de Almería
Costa de Almería</v>
      </c>
      <c r="C30" s="2" t="str">
        <f>IFERROR(__xludf.DUMMYFUNCTION("""COMPUTED_VALUE"""),"Provincia de Almería")</f>
        <v>Provincia de Almería</v>
      </c>
      <c r="D30" s="2" t="str">
        <f>IFERROR(__xludf.DUMMYFUNCTION("""COMPUTED_VALUE"""),"Andalucía")</f>
        <v>Andalucía</v>
      </c>
      <c r="E30" s="2">
        <f>IFERROR(__xludf.DUMMYFUNCTION("""COMPUTED_VALUE"""),27.0)</f>
        <v>27</v>
      </c>
      <c r="F30" s="2">
        <f>IFERROR(__xludf.DUMMYFUNCTION("""COMPUTED_VALUE"""),295.72)</f>
        <v>295.72</v>
      </c>
      <c r="G30" s="4">
        <f>IFERROR(__xludf.DUMMYFUNCTION("""COMPUTED_VALUE"""),198533.0)</f>
        <v>198533</v>
      </c>
      <c r="H30" s="2">
        <f>IFERROR(__xludf.DUMMYFUNCTION("""COMPUTED_VALUE"""),671.35)</f>
        <v>671.35</v>
      </c>
    </row>
    <row r="31">
      <c r="A31" s="2" t="str">
        <f>IFERROR(__xludf.DUMMYFUNCTION("""COMPUTED_VALUE"""),"Alcalá de Henares")</f>
        <v>Alcalá de Henares</v>
      </c>
      <c r="B31" s="2" t="str">
        <f>IFERROR(__xludf.DUMMYFUNCTION("""COMPUTED_VALUE"""),"Comarca de Alcalá")</f>
        <v>Comarca de Alcalá</v>
      </c>
      <c r="C31" s="2" t="str">
        <f>IFERROR(__xludf.DUMMYFUNCTION("""COMPUTED_VALUE"""),"Provincia de Madrid")</f>
        <v>Provincia de Madrid</v>
      </c>
      <c r="D31" s="2" t="str">
        <f>IFERROR(__xludf.DUMMYFUNCTION("""COMPUTED_VALUE"""),"Comunidad de Madrid")</f>
        <v>Comunidad de Madrid</v>
      </c>
      <c r="E31" s="2">
        <f>IFERROR(__xludf.DUMMYFUNCTION("""COMPUTED_VALUE"""),588.0)</f>
        <v>588</v>
      </c>
      <c r="F31" s="2">
        <f>IFERROR(__xludf.DUMMYFUNCTION("""COMPUTED_VALUE"""),87.72)</f>
        <v>87.72</v>
      </c>
      <c r="G31" s="4">
        <f>IFERROR(__xludf.DUMMYFUNCTION("""COMPUTED_VALUE"""),195649.0)</f>
        <v>195649</v>
      </c>
      <c r="H31" s="5">
        <f>IFERROR(__xludf.DUMMYFUNCTION("""COMPUTED_VALUE"""),2230.38)</f>
        <v>2230.38</v>
      </c>
    </row>
    <row r="32">
      <c r="A32" s="2" t="str">
        <f>IFERROR(__xludf.DUMMYFUNCTION("""COMPUTED_VALUE"""),"Fuenlabrada")</f>
        <v>Fuenlabrada</v>
      </c>
      <c r="B32" s="2" t="str">
        <f>IFERROR(__xludf.DUMMYFUNCTION("""COMPUTED_VALUE"""),"Área Metropolitana de Madrid")</f>
        <v>Área Metropolitana de Madrid</v>
      </c>
      <c r="C32" s="2" t="str">
        <f>IFERROR(__xludf.DUMMYFUNCTION("""COMPUTED_VALUE"""),"Provincia de Madrid")</f>
        <v>Provincia de Madrid</v>
      </c>
      <c r="D32" s="2" t="str">
        <f>IFERROR(__xludf.DUMMYFUNCTION("""COMPUTED_VALUE"""),"Comunidad de Madrid")</f>
        <v>Comunidad de Madrid</v>
      </c>
      <c r="E32" s="2">
        <f>IFERROR(__xludf.DUMMYFUNCTION("""COMPUTED_VALUE"""),664.0)</f>
        <v>664</v>
      </c>
      <c r="F32" s="2">
        <f>IFERROR(__xludf.DUMMYFUNCTION("""COMPUTED_VALUE"""),39.49)</f>
        <v>39.49</v>
      </c>
      <c r="G32" s="4">
        <f>IFERROR(__xludf.DUMMYFUNCTION("""COMPUTED_VALUE"""),193700.0)</f>
        <v>193700</v>
      </c>
      <c r="H32" s="5">
        <f>IFERROR(__xludf.DUMMYFUNCTION("""COMPUTED_VALUE"""),4905.04)</f>
        <v>4905.04</v>
      </c>
    </row>
    <row r="33">
      <c r="A33" s="2" t="str">
        <f>IFERROR(__xludf.DUMMYFUNCTION("""COMPUTED_VALUE"""),"Leganés")</f>
        <v>Leganés</v>
      </c>
      <c r="B33" s="2" t="str">
        <f>IFERROR(__xludf.DUMMYFUNCTION("""COMPUTED_VALUE"""),"Área metropolitana de Madrid")</f>
        <v>Área metropolitana de Madrid</v>
      </c>
      <c r="C33" s="2" t="str">
        <f>IFERROR(__xludf.DUMMYFUNCTION("""COMPUTED_VALUE"""),"Provincia de Madrid")</f>
        <v>Provincia de Madrid</v>
      </c>
      <c r="D33" s="2" t="str">
        <f>IFERROR(__xludf.DUMMYFUNCTION("""COMPUTED_VALUE"""),"Comunidad de Madrid")</f>
        <v>Comunidad de Madrid</v>
      </c>
      <c r="E33" s="2">
        <f>IFERROR(__xludf.DUMMYFUNCTION("""COMPUTED_VALUE"""),666.0)</f>
        <v>666</v>
      </c>
      <c r="F33" s="2">
        <f>IFERROR(__xludf.DUMMYFUNCTION("""COMPUTED_VALUE"""),43.09)</f>
        <v>43.09</v>
      </c>
      <c r="G33" s="4">
        <f>IFERROR(__xludf.DUMMYFUNCTION("""COMPUTED_VALUE"""),189861.0)</f>
        <v>189861</v>
      </c>
      <c r="H33" s="5">
        <f>IFERROR(__xludf.DUMMYFUNCTION("""COMPUTED_VALUE"""),4406.15)</f>
        <v>4406.15</v>
      </c>
    </row>
    <row r="34">
      <c r="A34" s="2" t="str">
        <f>IFERROR(__xludf.DUMMYFUNCTION("""COMPUTED_VALUE"""),"San Sebastián")</f>
        <v>San Sebastián</v>
      </c>
      <c r="B34" s="2" t="str">
        <f>IFERROR(__xludf.DUMMYFUNCTION("""COMPUTED_VALUE"""),"Comarca de San Sebastián")</f>
        <v>Comarca de San Sebastián</v>
      </c>
      <c r="C34" s="2" t="str">
        <f>IFERROR(__xludf.DUMMYFUNCTION("""COMPUTED_VALUE"""),"Provincia de Gipuzkoa")</f>
        <v>Provincia de Gipuzkoa</v>
      </c>
      <c r="D34" s="2" t="str">
        <f>IFERROR(__xludf.DUMMYFUNCTION("""COMPUTED_VALUE"""),"País Vasco")</f>
        <v>País Vasco</v>
      </c>
      <c r="E34" s="2">
        <f>IFERROR(__xludf.DUMMYFUNCTION("""COMPUTED_VALUE"""),6.0)</f>
        <v>6</v>
      </c>
      <c r="F34" s="2">
        <f>IFERROR(__xludf.DUMMYFUNCTION("""COMPUTED_VALUE"""),60.89)</f>
        <v>60.89</v>
      </c>
      <c r="G34" s="4">
        <f>IFERROR(__xludf.DUMMYFUNCTION("""COMPUTED_VALUE"""),187415.0)</f>
        <v>187415</v>
      </c>
      <c r="H34" s="5">
        <f>IFERROR(__xludf.DUMMYFUNCTION("""COMPUTED_VALUE"""),3077.93)</f>
        <v>3077.93</v>
      </c>
    </row>
    <row r="35">
      <c r="A35" s="2" t="str">
        <f>IFERROR(__xludf.DUMMYFUNCTION("""COMPUTED_VALUE"""),"Getafe")</f>
        <v>Getafe</v>
      </c>
      <c r="B35" s="2" t="str">
        <f>IFERROR(__xludf.DUMMYFUNCTION("""COMPUTED_VALUE"""),"Área metropolitana de Madrid")</f>
        <v>Área metropolitana de Madrid</v>
      </c>
      <c r="C35" s="2" t="str">
        <f>IFERROR(__xludf.DUMMYFUNCTION("""COMPUTED_VALUE"""),"Provincia de Madrid")</f>
        <v>Provincia de Madrid</v>
      </c>
      <c r="D35" s="2" t="str">
        <f>IFERROR(__xludf.DUMMYFUNCTION("""COMPUTED_VALUE"""),"Comunidad de Madrid")</f>
        <v>Comunidad de Madrid</v>
      </c>
      <c r="E35" s="2">
        <f>IFERROR(__xludf.DUMMYFUNCTION("""COMPUTED_VALUE"""),622.0)</f>
        <v>622</v>
      </c>
      <c r="F35" s="2">
        <f>IFERROR(__xludf.DUMMYFUNCTION("""COMPUTED_VALUE"""),78.38)</f>
        <v>78.38</v>
      </c>
      <c r="G35" s="4">
        <f>IFERROR(__xludf.DUMMYFUNCTION("""COMPUTED_VALUE"""),183374.0)</f>
        <v>183374</v>
      </c>
      <c r="H35" s="5">
        <f>IFERROR(__xludf.DUMMYFUNCTION("""COMPUTED_VALUE"""),2339.55)</f>
        <v>2339.55</v>
      </c>
    </row>
    <row r="36">
      <c r="A36" s="2" t="str">
        <f>IFERROR(__xludf.DUMMYFUNCTION("""COMPUTED_VALUE"""),"Burgos")</f>
        <v>Burgos</v>
      </c>
      <c r="B36" s="2" t="str">
        <f>IFERROR(__xludf.DUMMYFUNCTION("""COMPUTED_VALUE"""),"Alfoz de Burgos")</f>
        <v>Alfoz de Burgos</v>
      </c>
      <c r="C36" s="2" t="str">
        <f>IFERROR(__xludf.DUMMYFUNCTION("""COMPUTED_VALUE"""),"Provincia de Burgos")</f>
        <v>Provincia de Burgos</v>
      </c>
      <c r="D36" s="2" t="str">
        <f>IFERROR(__xludf.DUMMYFUNCTION("""COMPUTED_VALUE"""),"Castilla y León")</f>
        <v>Castilla y León</v>
      </c>
      <c r="E36" s="2">
        <f>IFERROR(__xludf.DUMMYFUNCTION("""COMPUTED_VALUE"""),859.0)</f>
        <v>859</v>
      </c>
      <c r="F36" s="2">
        <f>IFERROR(__xludf.DUMMYFUNCTION("""COMPUTED_VALUE"""),107.06)</f>
        <v>107.06</v>
      </c>
      <c r="G36" s="4">
        <f>IFERROR(__xludf.DUMMYFUNCTION("""COMPUTED_VALUE"""),175821.0)</f>
        <v>175821</v>
      </c>
      <c r="H36" s="5">
        <f>IFERROR(__xludf.DUMMYFUNCTION("""COMPUTED_VALUE"""),1642.27)</f>
        <v>1642.27</v>
      </c>
    </row>
    <row r="37">
      <c r="A37" s="2" t="str">
        <f>IFERROR(__xludf.DUMMYFUNCTION("""COMPUTED_VALUE"""),"Albacete")</f>
        <v>Albacete</v>
      </c>
      <c r="B37" s="2" t="str">
        <f>IFERROR(__xludf.DUMMYFUNCTION("""COMPUTED_VALUE"""),"Llanos de Albacete")</f>
        <v>Llanos de Albacete</v>
      </c>
      <c r="C37" s="2" t="str">
        <f>IFERROR(__xludf.DUMMYFUNCTION("""COMPUTED_VALUE"""),"Provincia de Albacete")</f>
        <v>Provincia de Albacete</v>
      </c>
      <c r="D37" s="2" t="str">
        <f>IFERROR(__xludf.DUMMYFUNCTION("""COMPUTED_VALUE"""),"Castilla-La Mancha")</f>
        <v>Castilla-La Mancha</v>
      </c>
      <c r="E37" s="2">
        <f>IFERROR(__xludf.DUMMYFUNCTION("""COMPUTED_VALUE"""),686.0)</f>
        <v>686</v>
      </c>
      <c r="F37" s="5">
        <f>IFERROR(__xludf.DUMMYFUNCTION("""COMPUTED_VALUE"""),1126.99)</f>
        <v>1126.99</v>
      </c>
      <c r="G37" s="4">
        <f>IFERROR(__xludf.DUMMYFUNCTION("""COMPUTED_VALUE"""),173329.0)</f>
        <v>173329</v>
      </c>
      <c r="H37" s="2">
        <f>IFERROR(__xludf.DUMMYFUNCTION("""COMPUTED_VALUE"""),153.8)</f>
        <v>153.8</v>
      </c>
    </row>
    <row r="38">
      <c r="A38" s="2" t="str">
        <f>IFERROR(__xludf.DUMMYFUNCTION("""COMPUTED_VALUE"""),"Santander")</f>
        <v>Santander</v>
      </c>
      <c r="B38" s="2" t="str">
        <f>IFERROR(__xludf.DUMMYFUNCTION("""COMPUTED_VALUE"""),"Comarca de Santander")</f>
        <v>Comarca de Santander</v>
      </c>
      <c r="C38" s="2" t="str">
        <f>IFERROR(__xludf.DUMMYFUNCTION("""COMPUTED_VALUE"""),"Provincia de Cantabria")</f>
        <v>Provincia de Cantabria</v>
      </c>
      <c r="D38" s="2" t="str">
        <f>IFERROR(__xludf.DUMMYFUNCTION("""COMPUTED_VALUE"""),"Cantabria")</f>
        <v>Cantabria</v>
      </c>
      <c r="E38" s="2">
        <f>IFERROR(__xludf.DUMMYFUNCTION("""COMPUTED_VALUE"""),15.0)</f>
        <v>15</v>
      </c>
      <c r="F38" s="2">
        <f>IFERROR(__xludf.DUMMYFUNCTION("""COMPUTED_VALUE"""),36.08)</f>
        <v>36.08</v>
      </c>
      <c r="G38" s="4">
        <f>IFERROR(__xludf.DUMMYFUNCTION("""COMPUTED_VALUE"""),172539.0)</f>
        <v>172539</v>
      </c>
      <c r="H38" s="5">
        <f>IFERROR(__xludf.DUMMYFUNCTION("""COMPUTED_VALUE"""),4782.12)</f>
        <v>4782.12</v>
      </c>
    </row>
    <row r="39">
      <c r="A39" s="2" t="str">
        <f>IFERROR(__xludf.DUMMYFUNCTION("""COMPUTED_VALUE"""),"Castellón")</f>
        <v>Castellón</v>
      </c>
      <c r="B39" s="2" t="str">
        <f>IFERROR(__xludf.DUMMYFUNCTION("""COMPUTED_VALUE"""),"Plana Alta")</f>
        <v>Plana Alta</v>
      </c>
      <c r="C39" s="2" t="str">
        <f>IFERROR(__xludf.DUMMYFUNCTION("""COMPUTED_VALUE"""),"Provincia de Castellón")</f>
        <v>Provincia de Castellón</v>
      </c>
      <c r="D39" s="2" t="str">
        <f>IFERROR(__xludf.DUMMYFUNCTION("""COMPUTED_VALUE"""),"Comunidad Valenciana")</f>
        <v>Comunidad Valenciana</v>
      </c>
      <c r="E39" s="2">
        <f>IFERROR(__xludf.DUMMYFUNCTION("""COMPUTED_VALUE"""),30.0)</f>
        <v>30</v>
      </c>
      <c r="F39" s="2">
        <f>IFERROR(__xludf.DUMMYFUNCTION("""COMPUTED_VALUE"""),111.33)</f>
        <v>111.33</v>
      </c>
      <c r="G39" s="4">
        <f>IFERROR(__xludf.DUMMYFUNCTION("""COMPUTED_VALUE"""),171728.0)</f>
        <v>171728</v>
      </c>
      <c r="H39" s="5">
        <f>IFERROR(__xludf.DUMMYFUNCTION("""COMPUTED_VALUE"""),1542.51)</f>
        <v>1542.51</v>
      </c>
    </row>
    <row r="40">
      <c r="A40" s="2" t="str">
        <f>IFERROR(__xludf.DUMMYFUNCTION("""COMPUTED_VALUE"""),"Alcorcón")</f>
        <v>Alcorcón</v>
      </c>
      <c r="B40" s="2" t="str">
        <f>IFERROR(__xludf.DUMMYFUNCTION("""COMPUTED_VALUE"""),"Área metropolitana de Madrid")</f>
        <v>Área metropolitana de Madrid</v>
      </c>
      <c r="C40" s="2" t="str">
        <f>IFERROR(__xludf.DUMMYFUNCTION("""COMPUTED_VALUE"""),"Provincia de Madrid")</f>
        <v>Provincia de Madrid</v>
      </c>
      <c r="D40" s="2" t="str">
        <f>IFERROR(__xludf.DUMMYFUNCTION("""COMPUTED_VALUE"""),"Comunidad de Madrid")</f>
        <v>Comunidad de Madrid</v>
      </c>
      <c r="E40" s="2">
        <f>IFERROR(__xludf.DUMMYFUNCTION("""COMPUTED_VALUE"""),711.0)</f>
        <v>711</v>
      </c>
      <c r="F40" s="2">
        <f>IFERROR(__xludf.DUMMYFUNCTION("""COMPUTED_VALUE"""),33.73)</f>
        <v>33.73</v>
      </c>
      <c r="G40" s="4">
        <f>IFERROR(__xludf.DUMMYFUNCTION("""COMPUTED_VALUE"""),170514.0)</f>
        <v>170514</v>
      </c>
      <c r="H40" s="5">
        <f>IFERROR(__xludf.DUMMYFUNCTION("""COMPUTED_VALUE"""),5055.26)</f>
        <v>5055.26</v>
      </c>
    </row>
    <row r="41">
      <c r="A41" s="2" t="str">
        <f>IFERROR(__xludf.DUMMYFUNCTION("""COMPUTED_VALUE"""),"La Laguna")</f>
        <v>La Laguna</v>
      </c>
      <c r="B41" s="2" t="str">
        <f>IFERROR(__xludf.DUMMYFUNCTION("""COMPUTED_VALUE"""),"Comarca del Área Metropolitana (Tenerife)")</f>
        <v>Comarca del Área Metropolitana (Tenerife)</v>
      </c>
      <c r="C41" s="2" t="str">
        <f>IFERROR(__xludf.DUMMYFUNCTION("""COMPUTED_VALUE"""),"Provincia de Santa Cruz de Tenerife")</f>
        <v>Provincia de Santa Cruz de Tenerife</v>
      </c>
      <c r="D41" s="2" t="str">
        <f>IFERROR(__xludf.DUMMYFUNCTION("""COMPUTED_VALUE"""),"Canarias")</f>
        <v>Canarias</v>
      </c>
      <c r="E41" s="2">
        <f>IFERROR(__xludf.DUMMYFUNCTION("""COMPUTED_VALUE"""),543.0)</f>
        <v>543</v>
      </c>
      <c r="F41" s="2">
        <f>IFERROR(__xludf.DUMMYFUNCTION("""COMPUTED_VALUE"""),102.45)</f>
        <v>102.45</v>
      </c>
      <c r="G41" s="4">
        <f>IFERROR(__xludf.DUMMYFUNCTION("""COMPUTED_VALUE"""),157503.0)</f>
        <v>157503</v>
      </c>
      <c r="H41" s="5">
        <f>IFERROR(__xludf.DUMMYFUNCTION("""COMPUTED_VALUE"""),1537.36)</f>
        <v>1537.36</v>
      </c>
    </row>
    <row r="42">
      <c r="A42" s="2" t="str">
        <f>IFERROR(__xludf.DUMMYFUNCTION("""COMPUTED_VALUE"""),"Logroño")</f>
        <v>Logroño</v>
      </c>
      <c r="B42" s="2" t="str">
        <f>IFERROR(__xludf.DUMMYFUNCTION("""COMPUTED_VALUE"""),"Logroño")</f>
        <v>Logroño</v>
      </c>
      <c r="C42" s="2" t="str">
        <f>IFERROR(__xludf.DUMMYFUNCTION("""COMPUTED_VALUE"""),"Provincia de La Rioja")</f>
        <v>Provincia de La Rioja</v>
      </c>
      <c r="D42" s="2" t="str">
        <f>IFERROR(__xludf.DUMMYFUNCTION("""COMPUTED_VALUE"""),"La Rioja")</f>
        <v>La Rioja</v>
      </c>
      <c r="E42" s="2">
        <f>IFERROR(__xludf.DUMMYFUNCTION("""COMPUTED_VALUE"""),384.0)</f>
        <v>384</v>
      </c>
      <c r="F42" s="2">
        <f>IFERROR(__xludf.DUMMYFUNCTION("""COMPUTED_VALUE"""),78.97)</f>
        <v>78.97</v>
      </c>
      <c r="G42" s="4">
        <f>IFERROR(__xludf.DUMMYFUNCTION("""COMPUTED_VALUE"""),151136.0)</f>
        <v>151136</v>
      </c>
      <c r="H42" s="5">
        <f>IFERROR(__xludf.DUMMYFUNCTION("""COMPUTED_VALUE"""),1913.84)</f>
        <v>1913.84</v>
      </c>
    </row>
    <row r="43">
      <c r="A43" s="2" t="str">
        <f>IFERROR(__xludf.DUMMYFUNCTION("""COMPUTED_VALUE"""),"Badajoz")</f>
        <v>Badajoz</v>
      </c>
      <c r="B43" s="2" t="str">
        <f>IFERROR(__xludf.DUMMYFUNCTION("""COMPUTED_VALUE"""),"Tierra de Badajoz")</f>
        <v>Tierra de Badajoz</v>
      </c>
      <c r="C43" s="2" t="str">
        <f>IFERROR(__xludf.DUMMYFUNCTION("""COMPUTED_VALUE"""),"Provincia de Badajoz")</f>
        <v>Provincia de Badajoz</v>
      </c>
      <c r="D43" s="2" t="str">
        <f>IFERROR(__xludf.DUMMYFUNCTION("""COMPUTED_VALUE"""),"Extremadura")</f>
        <v>Extremadura</v>
      </c>
      <c r="E43" s="2">
        <f>IFERROR(__xludf.DUMMYFUNCTION("""COMPUTED_VALUE"""),185.0)</f>
        <v>185</v>
      </c>
      <c r="F43" s="5">
        <f>IFERROR(__xludf.DUMMYFUNCTION("""COMPUTED_VALUE"""),1440.37)</f>
        <v>1440.37</v>
      </c>
      <c r="G43" s="4">
        <f>IFERROR(__xludf.DUMMYFUNCTION("""COMPUTED_VALUE"""),150702.0)</f>
        <v>150702</v>
      </c>
      <c r="H43" s="2">
        <f>IFERROR(__xludf.DUMMYFUNCTION("""COMPUTED_VALUE"""),104.63)</f>
        <v>104.63</v>
      </c>
    </row>
    <row r="44">
      <c r="A44" s="2" t="str">
        <f>IFERROR(__xludf.DUMMYFUNCTION("""COMPUTED_VALUE"""),"Salamanca")</f>
        <v>Salamanca</v>
      </c>
      <c r="B44" s="2" t="str">
        <f>IFERROR(__xludf.DUMMYFUNCTION("""COMPUTED_VALUE"""),"Campo de Salamanca")</f>
        <v>Campo de Salamanca</v>
      </c>
      <c r="C44" s="2" t="str">
        <f>IFERROR(__xludf.DUMMYFUNCTION("""COMPUTED_VALUE"""),"Provincia de Salamanca")</f>
        <v>Provincia de Salamanca</v>
      </c>
      <c r="D44" s="2" t="str">
        <f>IFERROR(__xludf.DUMMYFUNCTION("""COMPUTED_VALUE"""),"Castilla y León")</f>
        <v>Castilla y León</v>
      </c>
      <c r="E44" s="2">
        <f>IFERROR(__xludf.DUMMYFUNCTION("""COMPUTED_VALUE"""),802.0)</f>
        <v>802</v>
      </c>
      <c r="F44" s="2">
        <f>IFERROR(__xludf.DUMMYFUNCTION("""COMPUTED_VALUE"""),39.34)</f>
        <v>39.34</v>
      </c>
      <c r="G44" s="4">
        <f>IFERROR(__xludf.DUMMYFUNCTION("""COMPUTED_VALUE"""),144228.0)</f>
        <v>144228</v>
      </c>
      <c r="H44" s="5">
        <f>IFERROR(__xludf.DUMMYFUNCTION("""COMPUTED_VALUE"""),3666.19)</f>
        <v>3666.19</v>
      </c>
    </row>
    <row r="45">
      <c r="A45" s="2" t="str">
        <f>IFERROR(__xludf.DUMMYFUNCTION("""COMPUTED_VALUE"""),"Huelva")</f>
        <v>Huelva</v>
      </c>
      <c r="B45" s="2" t="str">
        <f>IFERROR(__xludf.DUMMYFUNCTION("""COMPUTED_VALUE"""),"Comarca metropolitana de Huelva")</f>
        <v>Comarca metropolitana de Huelva</v>
      </c>
      <c r="C45" s="2" t="str">
        <f>IFERROR(__xludf.DUMMYFUNCTION("""COMPUTED_VALUE"""),"Provincia de Huelva")</f>
        <v>Provincia de Huelva</v>
      </c>
      <c r="D45" s="2" t="str">
        <f>IFERROR(__xludf.DUMMYFUNCTION("""COMPUTED_VALUE"""),"Andalucía")</f>
        <v>Andalucía</v>
      </c>
      <c r="E45" s="2">
        <f>IFERROR(__xludf.DUMMYFUNCTION("""COMPUTED_VALUE"""),54.0)</f>
        <v>54</v>
      </c>
      <c r="F45" s="2">
        <f>IFERROR(__xludf.DUMMYFUNCTION("""COMPUTED_VALUE"""),152.03)</f>
        <v>152.03</v>
      </c>
      <c r="G45" s="4">
        <f>IFERROR(__xludf.DUMMYFUNCTION("""COMPUTED_VALUE"""),143663.0)</f>
        <v>143663</v>
      </c>
      <c r="H45" s="2">
        <f>IFERROR(__xludf.DUMMYFUNCTION("""COMPUTED_VALUE"""),944.96)</f>
        <v>944.96</v>
      </c>
    </row>
    <row r="46">
      <c r="A46" s="2" t="str">
        <f>IFERROR(__xludf.DUMMYFUNCTION("""COMPUTED_VALUE"""),"Marbella")</f>
        <v>Marbella</v>
      </c>
      <c r="B46" s="2" t="str">
        <f>IFERROR(__xludf.DUMMYFUNCTION("""COMPUTED_VALUE"""),"Costa del Sol Occidental")</f>
        <v>Costa del Sol Occidental</v>
      </c>
      <c r="C46" s="2" t="str">
        <f>IFERROR(__xludf.DUMMYFUNCTION("""COMPUTED_VALUE"""),"Provincia de Málaga")</f>
        <v>Provincia de Málaga</v>
      </c>
      <c r="D46" s="2" t="str">
        <f>IFERROR(__xludf.DUMMYFUNCTION("""COMPUTED_VALUE"""),"Andalucía")</f>
        <v>Andalucía</v>
      </c>
      <c r="E46" s="2">
        <f>IFERROR(__xludf.DUMMYFUNCTION("""COMPUTED_VALUE"""),22.0)</f>
        <v>22</v>
      </c>
      <c r="F46" s="2">
        <f>IFERROR(__xludf.DUMMYFUNCTION("""COMPUTED_VALUE"""),117.15)</f>
        <v>117.15</v>
      </c>
      <c r="G46" s="4">
        <f>IFERROR(__xludf.DUMMYFUNCTION("""COMPUTED_VALUE"""),143386.0)</f>
        <v>143386</v>
      </c>
      <c r="H46" s="5">
        <f>IFERROR(__xludf.DUMMYFUNCTION("""COMPUTED_VALUE"""),1223.95)</f>
        <v>1223.95</v>
      </c>
    </row>
    <row r="47">
      <c r="A47" s="2" t="str">
        <f>IFERROR(__xludf.DUMMYFUNCTION("""COMPUTED_VALUE"""),"Lleida")</f>
        <v>Lleida</v>
      </c>
      <c r="B47" s="2" t="str">
        <f>IFERROR(__xludf.DUMMYFUNCTION("""COMPUTED_VALUE"""),"Segriá")</f>
        <v>Segriá</v>
      </c>
      <c r="C47" s="2" t="str">
        <f>IFERROR(__xludf.DUMMYFUNCTION("""COMPUTED_VALUE"""),"Provincia de Lleida")</f>
        <v>Provincia de Lleida</v>
      </c>
      <c r="D47" s="2" t="str">
        <f>IFERROR(__xludf.DUMMYFUNCTION("""COMPUTED_VALUE"""),"Cataluña")</f>
        <v>Cataluña</v>
      </c>
      <c r="E47" s="2">
        <f>IFERROR(__xludf.DUMMYFUNCTION("""COMPUTED_VALUE"""),155.0)</f>
        <v>155</v>
      </c>
      <c r="F47" s="2">
        <f>IFERROR(__xludf.DUMMYFUNCTION("""COMPUTED_VALUE"""),212.01)</f>
        <v>212.01</v>
      </c>
      <c r="G47" s="4">
        <f>IFERROR(__xludf.DUMMYFUNCTION("""COMPUTED_VALUE"""),138956.0)</f>
        <v>138956</v>
      </c>
      <c r="H47" s="2">
        <f>IFERROR(__xludf.DUMMYFUNCTION("""COMPUTED_VALUE"""),655.42)</f>
        <v>655.42</v>
      </c>
    </row>
    <row r="48">
      <c r="A48" s="2" t="str">
        <f>IFERROR(__xludf.DUMMYFUNCTION("""COMPUTED_VALUE"""),"Tarragona")</f>
        <v>Tarragona</v>
      </c>
      <c r="B48" s="2" t="str">
        <f>IFERROR(__xludf.DUMMYFUNCTION("""COMPUTED_VALUE"""),"Tarragonés")</f>
        <v>Tarragonés</v>
      </c>
      <c r="C48" s="2" t="str">
        <f>IFERROR(__xludf.DUMMYFUNCTION("""COMPUTED_VALUE"""),"Provincia de Tarragona")</f>
        <v>Provincia de Tarragona</v>
      </c>
      <c r="D48" s="2" t="str">
        <f>IFERROR(__xludf.DUMMYFUNCTION("""COMPUTED_VALUE"""),"Cataluña")</f>
        <v>Cataluña</v>
      </c>
      <c r="E48" s="2">
        <f>IFERROR(__xludf.DUMMYFUNCTION("""COMPUTED_VALUE"""),68.0)</f>
        <v>68</v>
      </c>
      <c r="F48" s="2">
        <f>IFERROR(__xludf.DUMMYFUNCTION("""COMPUTED_VALUE"""),58.82)</f>
        <v>58.82</v>
      </c>
      <c r="G48" s="4">
        <f>IFERROR(__xludf.DUMMYFUNCTION("""COMPUTED_VALUE"""),134515.0)</f>
        <v>134515</v>
      </c>
      <c r="H48" s="5">
        <f>IFERROR(__xludf.DUMMYFUNCTION("""COMPUTED_VALUE"""),2286.89)</f>
        <v>2286.89</v>
      </c>
    </row>
    <row r="49">
      <c r="A49" s="2" t="str">
        <f>IFERROR(__xludf.DUMMYFUNCTION("""COMPUTED_VALUE"""),"Dos Hermanas")</f>
        <v>Dos Hermanas</v>
      </c>
      <c r="B49" s="2" t="str">
        <f>IFERROR(__xludf.DUMMYFUNCTION("""COMPUTED_VALUE"""),"Comarca Metropolitana de Sevilla")</f>
        <v>Comarca Metropolitana de Sevilla</v>
      </c>
      <c r="C49" s="2" t="str">
        <f>IFERROR(__xludf.DUMMYFUNCTION("""COMPUTED_VALUE"""),"Provincia de Sevilla")</f>
        <v>Provincia de Sevilla</v>
      </c>
      <c r="D49" s="2" t="str">
        <f>IFERROR(__xludf.DUMMYFUNCTION("""COMPUTED_VALUE"""),"Andalucía")</f>
        <v>Andalucía</v>
      </c>
      <c r="E49" s="2">
        <f>IFERROR(__xludf.DUMMYFUNCTION("""COMPUTED_VALUE"""),42.0)</f>
        <v>42</v>
      </c>
      <c r="F49" s="2">
        <f>IFERROR(__xludf.DUMMYFUNCTION("""COMPUTED_VALUE"""),160.15)</f>
        <v>160.15</v>
      </c>
      <c r="G49" s="4">
        <f>IFERROR(__xludf.DUMMYFUNCTION("""COMPUTED_VALUE"""),133968.0)</f>
        <v>133968</v>
      </c>
      <c r="H49" s="2">
        <f>IFERROR(__xludf.DUMMYFUNCTION("""COMPUTED_VALUE"""),836.52)</f>
        <v>836.52</v>
      </c>
    </row>
    <row r="50">
      <c r="A50" s="2" t="str">
        <f>IFERROR(__xludf.DUMMYFUNCTION("""COMPUTED_VALUE"""),"Torrejón de Ardoz")</f>
        <v>Torrejón de Ardoz</v>
      </c>
      <c r="B50" s="2" t="str">
        <f>IFERROR(__xludf.DUMMYFUNCTION("""COMPUTED_VALUE"""),"Comarca de Alcalá")</f>
        <v>Comarca de Alcalá</v>
      </c>
      <c r="C50" s="2" t="str">
        <f>IFERROR(__xludf.DUMMYFUNCTION("""COMPUTED_VALUE"""),"Provincia de Madrid")</f>
        <v>Provincia de Madrid</v>
      </c>
      <c r="D50" s="2" t="str">
        <f>IFERROR(__xludf.DUMMYFUNCTION("""COMPUTED_VALUE"""),"Comunidad de Madrid")</f>
        <v>Comunidad de Madrid</v>
      </c>
      <c r="E50" s="2">
        <f>IFERROR(__xludf.DUMMYFUNCTION("""COMPUTED_VALUE"""),568.0)</f>
        <v>568</v>
      </c>
      <c r="F50" s="2">
        <f>IFERROR(__xludf.DUMMYFUNCTION("""COMPUTED_VALUE"""),32.62)</f>
        <v>32.62</v>
      </c>
      <c r="G50" s="4">
        <f>IFERROR(__xludf.DUMMYFUNCTION("""COMPUTED_VALUE"""),131376.0)</f>
        <v>131376</v>
      </c>
      <c r="H50" s="5">
        <f>IFERROR(__xludf.DUMMYFUNCTION("""COMPUTED_VALUE"""),4027.47)</f>
        <v>4027.47</v>
      </c>
    </row>
    <row r="51">
      <c r="A51" s="2" t="str">
        <f>IFERROR(__xludf.DUMMYFUNCTION("""COMPUTED_VALUE"""),"Parla")</f>
        <v>Parla</v>
      </c>
      <c r="B51" s="2" t="str">
        <f>IFERROR(__xludf.DUMMYFUNCTION("""COMPUTED_VALUE"""),"Área Metropolitana de Madrid")</f>
        <v>Área Metropolitana de Madrid</v>
      </c>
      <c r="C51" s="2" t="str">
        <f>IFERROR(__xludf.DUMMYFUNCTION("""COMPUTED_VALUE"""),"Provincia de Madrid")</f>
        <v>Provincia de Madrid</v>
      </c>
      <c r="D51" s="2" t="str">
        <f>IFERROR(__xludf.DUMMYFUNCTION("""COMPUTED_VALUE"""),"Comunidad de Madrid")</f>
        <v>Comunidad de Madrid</v>
      </c>
      <c r="E51" s="2">
        <f>IFERROR(__xludf.DUMMYFUNCTION("""COMPUTED_VALUE"""),648.5)</f>
        <v>648.5</v>
      </c>
      <c r="F51" s="2">
        <f>IFERROR(__xludf.DUMMYFUNCTION("""COMPUTED_VALUE"""),24.51)</f>
        <v>24.51</v>
      </c>
      <c r="G51" s="4">
        <f>IFERROR(__xludf.DUMMYFUNCTION("""COMPUTED_VALUE"""),130124.0)</f>
        <v>130124</v>
      </c>
      <c r="H51" s="5">
        <f>IFERROR(__xludf.DUMMYFUNCTION("""COMPUTED_VALUE"""),5309.02)</f>
        <v>5309.02</v>
      </c>
    </row>
    <row r="52">
      <c r="A52" s="2" t="str">
        <f>IFERROR(__xludf.DUMMYFUNCTION("""COMPUTED_VALUE"""),"Mataró")</f>
        <v>Mataró</v>
      </c>
      <c r="B52" s="2" t="str">
        <f>IFERROR(__xludf.DUMMYFUNCTION("""COMPUTED_VALUE"""),"Maresme")</f>
        <v>Maresme</v>
      </c>
      <c r="C52" s="2" t="str">
        <f>IFERROR(__xludf.DUMMYFUNCTION("""COMPUTED_VALUE"""),"Provincia de Barcelona")</f>
        <v>Provincia de Barcelona</v>
      </c>
      <c r="D52" s="2" t="str">
        <f>IFERROR(__xludf.DUMMYFUNCTION("""COMPUTED_VALUE"""),"Cataluña")</f>
        <v>Cataluña</v>
      </c>
      <c r="E52" s="2">
        <f>IFERROR(__xludf.DUMMYFUNCTION("""COMPUTED_VALUE"""),28.0)</f>
        <v>28</v>
      </c>
      <c r="F52" s="2">
        <f>IFERROR(__xludf.DUMMYFUNCTION("""COMPUTED_VALUE"""),22.3)</f>
        <v>22.3</v>
      </c>
      <c r="G52" s="4">
        <f>IFERROR(__xludf.DUMMYFUNCTION("""COMPUTED_VALUE"""),128265.0)</f>
        <v>128265</v>
      </c>
      <c r="H52" s="5">
        <f>IFERROR(__xludf.DUMMYFUNCTION("""COMPUTED_VALUE"""),5751.79)</f>
        <v>5751.79</v>
      </c>
    </row>
    <row r="53">
      <c r="A53" s="2" t="str">
        <f>IFERROR(__xludf.DUMMYFUNCTION("""COMPUTED_VALUE"""),"León")</f>
        <v>León</v>
      </c>
      <c r="B53" s="2" t="str">
        <f>IFERROR(__xludf.DUMMYFUNCTION("""COMPUTED_VALUE"""),"Tierra de León")</f>
        <v>Tierra de León</v>
      </c>
      <c r="C53" s="2" t="str">
        <f>IFERROR(__xludf.DUMMYFUNCTION("""COMPUTED_VALUE"""),"Provincia de León")</f>
        <v>Provincia de León</v>
      </c>
      <c r="D53" s="2" t="str">
        <f>IFERROR(__xludf.DUMMYFUNCTION("""COMPUTED_VALUE"""),"Castilla y León")</f>
        <v>Castilla y León</v>
      </c>
      <c r="E53" s="2">
        <f>IFERROR(__xludf.DUMMYFUNCTION("""COMPUTED_VALUE"""),837.0)</f>
        <v>837</v>
      </c>
      <c r="F53" s="2">
        <f>IFERROR(__xludf.DUMMYFUNCTION("""COMPUTED_VALUE"""),39.03)</f>
        <v>39.03</v>
      </c>
      <c r="G53" s="4">
        <f>IFERROR(__xludf.DUMMYFUNCTION("""COMPUTED_VALUE"""),124303.0)</f>
        <v>124303</v>
      </c>
      <c r="H53" s="5">
        <f>IFERROR(__xludf.DUMMYFUNCTION("""COMPUTED_VALUE"""),3184.81)</f>
        <v>3184.81</v>
      </c>
    </row>
    <row r="54">
      <c r="A54" s="2" t="str">
        <f>IFERROR(__xludf.DUMMYFUNCTION("""COMPUTED_VALUE"""),"Algeciras")</f>
        <v>Algeciras</v>
      </c>
      <c r="B54" s="2" t="str">
        <f>IFERROR(__xludf.DUMMYFUNCTION("""COMPUTED_VALUE"""),"Campo de Gibraltar")</f>
        <v>Campo de Gibraltar</v>
      </c>
      <c r="C54" s="2" t="str">
        <f>IFERROR(__xludf.DUMMYFUNCTION("""COMPUTED_VALUE"""),"Provincia de Cádiz")</f>
        <v>Provincia de Cádiz</v>
      </c>
      <c r="D54" s="2" t="str">
        <f>IFERROR(__xludf.DUMMYFUNCTION("""COMPUTED_VALUE"""),"Andalucía")</f>
        <v>Andalucía</v>
      </c>
      <c r="E54" s="2">
        <f>IFERROR(__xludf.DUMMYFUNCTION("""COMPUTED_VALUE"""),20.0)</f>
        <v>20</v>
      </c>
      <c r="F54" s="2">
        <f>IFERROR(__xludf.DUMMYFUNCTION("""COMPUTED_VALUE"""),87.96)</f>
        <v>87.96</v>
      </c>
      <c r="G54" s="4">
        <f>IFERROR(__xludf.DUMMYFUNCTION("""COMPUTED_VALUE"""),121957.0)</f>
        <v>121957</v>
      </c>
      <c r="H54" s="5">
        <f>IFERROR(__xludf.DUMMYFUNCTION("""COMPUTED_VALUE"""),1386.51)</f>
        <v>1386.51</v>
      </c>
    </row>
    <row r="55">
      <c r="A55" s="2" t="str">
        <f>IFERROR(__xludf.DUMMYFUNCTION("""COMPUTED_VALUE"""),"Santa Coloma de Gramenet")</f>
        <v>Santa Coloma de Gramenet</v>
      </c>
      <c r="B55" s="2" t="str">
        <f>IFERROR(__xludf.DUMMYFUNCTION("""COMPUTED_VALUE"""),"Barcelonès")</f>
        <v>Barcelonès</v>
      </c>
      <c r="C55" s="2" t="str">
        <f>IFERROR(__xludf.DUMMYFUNCTION("""COMPUTED_VALUE"""),"Provincia de Barcelona")</f>
        <v>Provincia de Barcelona</v>
      </c>
      <c r="D55" s="2" t="str">
        <f>IFERROR(__xludf.DUMMYFUNCTION("""COMPUTED_VALUE"""),"Cataluña")</f>
        <v>Cataluña</v>
      </c>
      <c r="E55" s="2">
        <f>IFERROR(__xludf.DUMMYFUNCTION("""COMPUTED_VALUE"""),56.0)</f>
        <v>56</v>
      </c>
      <c r="F55" s="2">
        <f>IFERROR(__xludf.DUMMYFUNCTION("""COMPUTED_VALUE"""),7.09)</f>
        <v>7.09</v>
      </c>
      <c r="G55" s="4">
        <f>IFERROR(__xludf.DUMMYFUNCTION("""COMPUTED_VALUE"""),119215.0)</f>
        <v>119215</v>
      </c>
      <c r="H55" s="5">
        <f>IFERROR(__xludf.DUMMYFUNCTION("""COMPUTED_VALUE"""),16814.53)</f>
        <v>16814.53</v>
      </c>
    </row>
    <row r="56">
      <c r="A56" s="2" t="str">
        <f>IFERROR(__xludf.DUMMYFUNCTION("""COMPUTED_VALUE"""),"Alcobendas")</f>
        <v>Alcobendas</v>
      </c>
      <c r="B56" s="2" t="str">
        <f>IFERROR(__xludf.DUMMYFUNCTION("""COMPUTED_VALUE"""),"Área metropolitana de Madrid")</f>
        <v>Área metropolitana de Madrid</v>
      </c>
      <c r="C56" s="2" t="str">
        <f>IFERROR(__xludf.DUMMYFUNCTION("""COMPUTED_VALUE"""),"Provincia de Madrid")</f>
        <v>Provincia de Madrid</v>
      </c>
      <c r="D56" s="2" t="str">
        <f>IFERROR(__xludf.DUMMYFUNCTION("""COMPUTED_VALUE"""),"Comunidad de Madrid")</f>
        <v>Comunidad de Madrid</v>
      </c>
      <c r="E56" s="2">
        <f>IFERROR(__xludf.DUMMYFUNCTION("""COMPUTED_VALUE"""),700.0)</f>
        <v>700</v>
      </c>
      <c r="F56" s="2">
        <f>IFERROR(__xludf.DUMMYFUNCTION("""COMPUTED_VALUE"""),44.98)</f>
        <v>44.98</v>
      </c>
      <c r="G56" s="4">
        <f>IFERROR(__xludf.DUMMYFUNCTION("""COMPUTED_VALUE"""),117040.0)</f>
        <v>117040</v>
      </c>
      <c r="H56" s="5">
        <f>IFERROR(__xludf.DUMMYFUNCTION("""COMPUTED_VALUE"""),2602.05)</f>
        <v>2602.05</v>
      </c>
    </row>
    <row r="57">
      <c r="A57" s="2" t="str">
        <f>IFERROR(__xludf.DUMMYFUNCTION("""COMPUTED_VALUE"""),"Cádiz")</f>
        <v>Cádiz</v>
      </c>
      <c r="B57" s="2" t="str">
        <f>IFERROR(__xludf.DUMMYFUNCTION("""COMPUTED_VALUE"""),"Bahía de Cádiz (comarca)")</f>
        <v>Bahía de Cádiz (comarca)</v>
      </c>
      <c r="C57" s="2" t="str">
        <f>IFERROR(__xludf.DUMMYFUNCTION("""COMPUTED_VALUE"""),"Provincia de Cádiz")</f>
        <v>Provincia de Cádiz</v>
      </c>
      <c r="D57" s="2" t="str">
        <f>IFERROR(__xludf.DUMMYFUNCTION("""COMPUTED_VALUE"""),"Andalucía")</f>
        <v>Andalucía</v>
      </c>
      <c r="E57" s="2">
        <f>IFERROR(__xludf.DUMMYFUNCTION("""COMPUTED_VALUE"""),11.0)</f>
        <v>11</v>
      </c>
      <c r="F57" s="2">
        <f>IFERROR(__xludf.DUMMYFUNCTION("""COMPUTED_VALUE"""),12.3)</f>
        <v>12.3</v>
      </c>
      <c r="G57" s="4">
        <f>IFERROR(__xludf.DUMMYFUNCTION("""COMPUTED_VALUE"""),116027.0)</f>
        <v>116027</v>
      </c>
      <c r="H57" s="5">
        <f>IFERROR(__xludf.DUMMYFUNCTION("""COMPUTED_VALUE"""),9433.09)</f>
        <v>9433.09</v>
      </c>
    </row>
    <row r="58">
      <c r="A58" s="2" t="str">
        <f>IFERROR(__xludf.DUMMYFUNCTION("""COMPUTED_VALUE"""),"Jaén")</f>
        <v>Jaén</v>
      </c>
      <c r="B58" s="2" t="str">
        <f>IFERROR(__xludf.DUMMYFUNCTION("""COMPUTED_VALUE"""),"Metropolitana de Jaén")</f>
        <v>Metropolitana de Jaén</v>
      </c>
      <c r="C58" s="2" t="str">
        <f>IFERROR(__xludf.DUMMYFUNCTION("""COMPUTED_VALUE"""),"Provincia de Jaén")</f>
        <v>Provincia de Jaén</v>
      </c>
      <c r="D58" s="2" t="str">
        <f>IFERROR(__xludf.DUMMYFUNCTION("""COMPUTED_VALUE"""),"Andalucía")</f>
        <v>Andalucía</v>
      </c>
      <c r="E58" s="2">
        <f>IFERROR(__xludf.DUMMYFUNCTION("""COMPUTED_VALUE"""),573.0)</f>
        <v>573</v>
      </c>
      <c r="F58" s="2">
        <f>IFERROR(__xludf.DUMMYFUNCTION("""COMPUTED_VALUE"""),424.23)</f>
        <v>424.23</v>
      </c>
      <c r="G58" s="4">
        <f>IFERROR(__xludf.DUMMYFUNCTION("""COMPUTED_VALUE"""),112999.0)</f>
        <v>112999</v>
      </c>
      <c r="H58" s="2">
        <f>IFERROR(__xludf.DUMMYFUNCTION("""COMPUTED_VALUE"""),266.36)</f>
        <v>266.36</v>
      </c>
    </row>
    <row r="59">
      <c r="A59" s="2" t="str">
        <f>IFERROR(__xludf.DUMMYFUNCTION("""COMPUTED_VALUE"""),"Ourense")</f>
        <v>Ourense</v>
      </c>
      <c r="B59" s="2" t="str">
        <f>IFERROR(__xludf.DUMMYFUNCTION("""COMPUTED_VALUE"""),"Comarca de Orense")</f>
        <v>Comarca de Orense</v>
      </c>
      <c r="C59" s="2" t="str">
        <f>IFERROR(__xludf.DUMMYFUNCTION("""COMPUTED_VALUE"""),"Provincia de Ourense")</f>
        <v>Provincia de Ourense</v>
      </c>
      <c r="D59" s="2" t="str">
        <f>IFERROR(__xludf.DUMMYFUNCTION("""COMPUTED_VALUE"""),"Galicia")</f>
        <v>Galicia</v>
      </c>
      <c r="E59" s="2">
        <f>IFERROR(__xludf.DUMMYFUNCTION("""COMPUTED_VALUE"""),145.0)</f>
        <v>145</v>
      </c>
      <c r="F59" s="2">
        <f>IFERROR(__xludf.DUMMYFUNCTION("""COMPUTED_VALUE"""),84.74)</f>
        <v>84.74</v>
      </c>
      <c r="G59" s="4">
        <f>IFERROR(__xludf.DUMMYFUNCTION("""COMPUTED_VALUE"""),105233.0)</f>
        <v>105233</v>
      </c>
      <c r="H59" s="5">
        <f>IFERROR(__xludf.DUMMYFUNCTION("""COMPUTED_VALUE"""),1241.83)</f>
        <v>1241.83</v>
      </c>
    </row>
    <row r="60">
      <c r="A60" s="2" t="str">
        <f>IFERROR(__xludf.DUMMYFUNCTION("""COMPUTED_VALUE"""),"Reus")</f>
        <v>Reus</v>
      </c>
      <c r="B60" s="2" t="str">
        <f>IFERROR(__xludf.DUMMYFUNCTION("""COMPUTED_VALUE"""),"Bajo Campo")</f>
        <v>Bajo Campo</v>
      </c>
      <c r="C60" s="2" t="str">
        <f>IFERROR(__xludf.DUMMYFUNCTION("""COMPUTED_VALUE"""),"Provincia de Tarragona")</f>
        <v>Provincia de Tarragona</v>
      </c>
      <c r="D60" s="2" t="str">
        <f>IFERROR(__xludf.DUMMYFUNCTION("""COMPUTED_VALUE"""),"Cataluña")</f>
        <v>Cataluña</v>
      </c>
      <c r="E60" s="2">
        <f>IFERROR(__xludf.DUMMYFUNCTION("""COMPUTED_VALUE"""),117.0)</f>
        <v>117</v>
      </c>
      <c r="F60" s="2">
        <f>IFERROR(__xludf.DUMMYFUNCTION("""COMPUTED_VALUE"""),52.93)</f>
        <v>52.93</v>
      </c>
      <c r="G60" s="4">
        <f>IFERROR(__xludf.DUMMYFUNCTION("""COMPUTED_VALUE"""),104373.0)</f>
        <v>104373</v>
      </c>
      <c r="H60" s="5">
        <f>IFERROR(__xludf.DUMMYFUNCTION("""COMPUTED_VALUE"""),1971.91)</f>
        <v>1971.91</v>
      </c>
    </row>
    <row r="61">
      <c r="A61" s="2" t="str">
        <f>IFERROR(__xludf.DUMMYFUNCTION("""COMPUTED_VALUE"""),"Girona")</f>
        <v>Girona</v>
      </c>
      <c r="B61" s="2" t="str">
        <f>IFERROR(__xludf.DUMMYFUNCTION("""COMPUTED_VALUE"""),"Gironès")</f>
        <v>Gironès</v>
      </c>
      <c r="C61" s="2" t="str">
        <f>IFERROR(__xludf.DUMMYFUNCTION("""COMPUTED_VALUE"""),"Provincia de Girona")</f>
        <v>Provincia de Girona</v>
      </c>
      <c r="D61" s="2" t="str">
        <f>IFERROR(__xludf.DUMMYFUNCTION("""COMPUTED_VALUE"""),"Cataluña")</f>
        <v>Cataluña</v>
      </c>
      <c r="E61" s="2">
        <f>IFERROR(__xludf.DUMMYFUNCTION("""COMPUTED_VALUE"""),70.0)</f>
        <v>70</v>
      </c>
      <c r="F61" s="2">
        <f>IFERROR(__xludf.DUMMYFUNCTION("""COMPUTED_VALUE"""),38.97)</f>
        <v>38.97</v>
      </c>
      <c r="G61" s="4">
        <f>IFERROR(__xludf.DUMMYFUNCTION("""COMPUTED_VALUE"""),101852.0)</f>
        <v>101852</v>
      </c>
      <c r="H61" s="5">
        <f>IFERROR(__xludf.DUMMYFUNCTION("""COMPUTED_VALUE"""),2613.6)</f>
        <v>2613.6</v>
      </c>
    </row>
    <row r="62">
      <c r="A62" s="2" t="str">
        <f>IFERROR(__xludf.DUMMYFUNCTION("""COMPUTED_VALUE"""),"Barakaldo")</f>
        <v>Barakaldo</v>
      </c>
      <c r="B62" s="2" t="str">
        <f>IFERROR(__xludf.DUMMYFUNCTION("""COMPUTED_VALUE"""),"Gran Bilbao")</f>
        <v>Gran Bilbao</v>
      </c>
      <c r="C62" s="2" t="str">
        <f>IFERROR(__xludf.DUMMYFUNCTION("""COMPUTED_VALUE"""),"Provincia de Bizkaia")</f>
        <v>Provincia de Bizkaia</v>
      </c>
      <c r="D62" s="2" t="str">
        <f>IFERROR(__xludf.DUMMYFUNCTION("""COMPUTED_VALUE"""),"País Vasco")</f>
        <v>País Vasco</v>
      </c>
      <c r="E62" s="2">
        <f>IFERROR(__xludf.DUMMYFUNCTION("""COMPUTED_VALUE"""),39.0)</f>
        <v>39</v>
      </c>
      <c r="F62" s="2">
        <f>IFERROR(__xludf.DUMMYFUNCTION("""COMPUTED_VALUE"""),25.12)</f>
        <v>25.12</v>
      </c>
      <c r="G62" s="4">
        <f>IFERROR(__xludf.DUMMYFUNCTION("""COMPUTED_VALUE"""),100881.0)</f>
        <v>100881</v>
      </c>
      <c r="H62" s="5">
        <f>IFERROR(__xludf.DUMMYFUNCTION("""COMPUTED_VALUE"""),4015.96)</f>
        <v>4015.96</v>
      </c>
    </row>
    <row r="63">
      <c r="A63" s="2" t="str">
        <f>IFERROR(__xludf.DUMMYFUNCTION("""COMPUTED_VALUE"""),"Lugo")</f>
        <v>Lugo</v>
      </c>
      <c r="B63" s="2" t="str">
        <f>IFERROR(__xludf.DUMMYFUNCTION("""COMPUTED_VALUE"""),"Comarca de Lugo")</f>
        <v>Comarca de Lugo</v>
      </c>
      <c r="C63" s="2" t="str">
        <f>IFERROR(__xludf.DUMMYFUNCTION("""COMPUTED_VALUE"""),"Provincia de Lugo")</f>
        <v>Provincia de Lugo</v>
      </c>
      <c r="D63" s="2" t="str">
        <f>IFERROR(__xludf.DUMMYFUNCTION("""COMPUTED_VALUE"""),"Galicia")</f>
        <v>Galicia</v>
      </c>
      <c r="E63" s="2">
        <f>IFERROR(__xludf.DUMMYFUNCTION("""COMPUTED_VALUE"""),465.0)</f>
        <v>465</v>
      </c>
      <c r="F63" s="2">
        <f>IFERROR(__xludf.DUMMYFUNCTION("""COMPUTED_VALUE"""),329.78)</f>
        <v>329.78</v>
      </c>
      <c r="G63" s="4">
        <f>IFERROR(__xludf.DUMMYFUNCTION("""COMPUTED_VALUE"""),98276.0)</f>
        <v>98276</v>
      </c>
      <c r="H63" s="2">
        <f>IFERROR(__xludf.DUMMYFUNCTION("""COMPUTED_VALUE"""),298.0)</f>
        <v>298</v>
      </c>
    </row>
    <row r="64">
      <c r="A64" s="2" t="str">
        <f>IFERROR(__xludf.DUMMYFUNCTION("""COMPUTED_VALUE"""),"Santiago de Compostela")</f>
        <v>Santiago de Compostela</v>
      </c>
      <c r="B64" s="2" t="str">
        <f>IFERROR(__xludf.DUMMYFUNCTION("""COMPUTED_VALUE"""),"Comarca de Santiago")</f>
        <v>Comarca de Santiago</v>
      </c>
      <c r="C64" s="2" t="str">
        <f>IFERROR(__xludf.DUMMYFUNCTION("""COMPUTED_VALUE"""),"Provincia de A Coruña")</f>
        <v>Provincia de A Coruña</v>
      </c>
      <c r="D64" s="2" t="str">
        <f>IFERROR(__xludf.DUMMYFUNCTION("""COMPUTED_VALUE"""),"Galicia")</f>
        <v>Galicia</v>
      </c>
      <c r="E64" s="2">
        <f>IFERROR(__xludf.DUMMYFUNCTION("""COMPUTED_VALUE"""),260.0)</f>
        <v>260</v>
      </c>
      <c r="F64" s="2">
        <f>IFERROR(__xludf.DUMMYFUNCTION("""COMPUTED_VALUE"""),220.01)</f>
        <v>220.01</v>
      </c>
      <c r="G64" s="4">
        <f>IFERROR(__xludf.DUMMYFUNCTION("""COMPUTED_VALUE"""),97260.0)</f>
        <v>97260</v>
      </c>
      <c r="H64" s="2">
        <f>IFERROR(__xludf.DUMMYFUNCTION("""COMPUTED_VALUE"""),442.07)</f>
        <v>442.07</v>
      </c>
    </row>
    <row r="65">
      <c r="A65" s="2" t="str">
        <f>IFERROR(__xludf.DUMMYFUNCTION("""COMPUTED_VALUE"""),"Roquetas de Mar")</f>
        <v>Roquetas de Mar</v>
      </c>
      <c r="B65" s="2" t="str">
        <f>IFERROR(__xludf.DUMMYFUNCTION("""COMPUTED_VALUE"""),"Poniente Almeriense")</f>
        <v>Poniente Almeriense</v>
      </c>
      <c r="C65" s="2" t="str">
        <f>IFERROR(__xludf.DUMMYFUNCTION("""COMPUTED_VALUE"""),"Provincia de Almería")</f>
        <v>Provincia de Almería</v>
      </c>
      <c r="D65" s="2" t="str">
        <f>IFERROR(__xludf.DUMMYFUNCTION("""COMPUTED_VALUE"""),"Andalucía")</f>
        <v>Andalucía</v>
      </c>
      <c r="E65" s="2">
        <f>IFERROR(__xludf.DUMMYFUNCTION("""COMPUTED_VALUE"""),10.0)</f>
        <v>10</v>
      </c>
      <c r="F65" s="2">
        <f>IFERROR(__xludf.DUMMYFUNCTION("""COMPUTED_VALUE"""),59.65)</f>
        <v>59.65</v>
      </c>
      <c r="G65" s="4">
        <f>IFERROR(__xludf.DUMMYFUNCTION("""COMPUTED_VALUE"""),96800.0)</f>
        <v>96800</v>
      </c>
      <c r="H65" s="5">
        <f>IFERROR(__xludf.DUMMYFUNCTION("""COMPUTED_VALUE"""),1622.8)</f>
        <v>1622.8</v>
      </c>
    </row>
    <row r="66">
      <c r="A66" s="2" t="str">
        <f>IFERROR(__xludf.DUMMYFUNCTION("""COMPUTED_VALUE"""),"Cáceres")</f>
        <v>Cáceres</v>
      </c>
      <c r="B66" s="2"/>
      <c r="C66" s="2" t="str">
        <f>IFERROR(__xludf.DUMMYFUNCTION("""COMPUTED_VALUE"""),"Provincia de Cáceres")</f>
        <v>Provincia de Cáceres</v>
      </c>
      <c r="D66" s="2" t="str">
        <f>IFERROR(__xludf.DUMMYFUNCTION("""COMPUTED_VALUE"""),"Extremadura")</f>
        <v>Extremadura</v>
      </c>
      <c r="E66" s="2">
        <f>IFERROR(__xludf.DUMMYFUNCTION("""COMPUTED_VALUE"""),459.0)</f>
        <v>459</v>
      </c>
      <c r="F66" s="5">
        <f>IFERROR(__xludf.DUMMYFUNCTION("""COMPUTED_VALUE"""),1750.23)</f>
        <v>1750.23</v>
      </c>
      <c r="G66" s="4">
        <f>IFERROR(__xludf.DUMMYFUNCTION("""COMPUTED_VALUE"""),96126.0)</f>
        <v>96126</v>
      </c>
      <c r="H66" s="2">
        <f>IFERROR(__xludf.DUMMYFUNCTION("""COMPUTED_VALUE"""),54.92)</f>
        <v>54.92</v>
      </c>
    </row>
    <row r="67">
      <c r="A67" s="2" t="str">
        <f>IFERROR(__xludf.DUMMYFUNCTION("""COMPUTED_VALUE"""),"Las Rozas")</f>
        <v>Las Rozas</v>
      </c>
      <c r="B67" s="2" t="str">
        <f>IFERROR(__xludf.DUMMYFUNCTION("""COMPUTED_VALUE"""),"Área metropolitana de Madrid")</f>
        <v>Área metropolitana de Madrid</v>
      </c>
      <c r="C67" s="2" t="str">
        <f>IFERROR(__xludf.DUMMYFUNCTION("""COMPUTED_VALUE"""),"Provincia de Madrid")</f>
        <v>Provincia de Madrid</v>
      </c>
      <c r="D67" s="2" t="str">
        <f>IFERROR(__xludf.DUMMYFUNCTION("""COMPUTED_VALUE"""),"Comunidad de Madrid")</f>
        <v>Comunidad de Madrid</v>
      </c>
      <c r="E67" s="2">
        <f>IFERROR(__xludf.DUMMYFUNCTION("""COMPUTED_VALUE"""),718.0)</f>
        <v>718</v>
      </c>
      <c r="F67" s="2">
        <f>IFERROR(__xludf.DUMMYFUNCTION("""COMPUTED_VALUE"""),58.31)</f>
        <v>58.31</v>
      </c>
      <c r="G67" s="4">
        <f>IFERROR(__xludf.DUMMYFUNCTION("""COMPUTED_VALUE"""),95814.0)</f>
        <v>95814</v>
      </c>
      <c r="H67" s="5">
        <f>IFERROR(__xludf.DUMMYFUNCTION("""COMPUTED_VALUE"""),1643.18)</f>
        <v>1643.18</v>
      </c>
    </row>
    <row r="68">
      <c r="A68" s="2" t="str">
        <f>IFERROR(__xludf.DUMMYFUNCTION("""COMPUTED_VALUE"""),"San Fernando")</f>
        <v>San Fernando</v>
      </c>
      <c r="B68" s="2" t="str">
        <f>IFERROR(__xludf.DUMMYFUNCTION("""COMPUTED_VALUE"""),"Bahía de Cádiz (comarca)")</f>
        <v>Bahía de Cádiz (comarca)</v>
      </c>
      <c r="C68" s="2" t="str">
        <f>IFERROR(__xludf.DUMMYFUNCTION("""COMPUTED_VALUE"""),"Provincia de Cádiz")</f>
        <v>Provincia de Cádiz</v>
      </c>
      <c r="D68" s="2" t="str">
        <f>IFERROR(__xludf.DUMMYFUNCTION("""COMPUTED_VALUE"""),"Andalucía")</f>
        <v>Andalucía</v>
      </c>
      <c r="E68" s="2">
        <f>IFERROR(__xludf.DUMMYFUNCTION("""COMPUTED_VALUE"""),8.0)</f>
        <v>8</v>
      </c>
      <c r="F68" s="2">
        <f>IFERROR(__xludf.DUMMYFUNCTION("""COMPUTED_VALUE"""),30.65)</f>
        <v>30.65</v>
      </c>
      <c r="G68" s="4">
        <f>IFERROR(__xludf.DUMMYFUNCTION("""COMPUTED_VALUE"""),94979.0)</f>
        <v>94979</v>
      </c>
      <c r="H68" s="5">
        <f>IFERROR(__xludf.DUMMYFUNCTION("""COMPUTED_VALUE"""),3098.83)</f>
        <v>3098.83</v>
      </c>
    </row>
    <row r="69">
      <c r="A69" s="2" t="str">
        <f>IFERROR(__xludf.DUMMYFUNCTION("""COMPUTED_VALUE"""),"Lorca")</f>
        <v>Lorca</v>
      </c>
      <c r="B69" s="2" t="str">
        <f>IFERROR(__xludf.DUMMYFUNCTION("""COMPUTED_VALUE"""),"Alto Guadalentín")</f>
        <v>Alto Guadalentín</v>
      </c>
      <c r="C69" s="2" t="str">
        <f>IFERROR(__xludf.DUMMYFUNCTION("""COMPUTED_VALUE"""),"Provincia de Murcia")</f>
        <v>Provincia de Murcia</v>
      </c>
      <c r="D69" s="2" t="str">
        <f>IFERROR(__xludf.DUMMYFUNCTION("""COMPUTED_VALUE"""),"Región de Murcia")</f>
        <v>Región de Murcia</v>
      </c>
      <c r="E69" s="2">
        <f>IFERROR(__xludf.DUMMYFUNCTION("""COMPUTED_VALUE"""),353.0)</f>
        <v>353</v>
      </c>
      <c r="F69" s="5">
        <f>IFERROR(__xludf.DUMMYFUNCTION("""COMPUTED_VALUE"""),1675.27)</f>
        <v>1675.27</v>
      </c>
      <c r="G69" s="4">
        <f>IFERROR(__xludf.DUMMYFUNCTION("""COMPUTED_VALUE"""),94404.0)</f>
        <v>94404</v>
      </c>
      <c r="H69" s="2">
        <f>IFERROR(__xludf.DUMMYFUNCTION("""COMPUTED_VALUE"""),56.35)</f>
        <v>56.35</v>
      </c>
    </row>
    <row r="70">
      <c r="A70" s="2" t="str">
        <f>IFERROR(__xludf.DUMMYFUNCTION("""COMPUTED_VALUE"""),"Sant Cugat del Vallès")</f>
        <v>Sant Cugat del Vallès</v>
      </c>
      <c r="B70" s="2" t="str">
        <f>IFERROR(__xludf.DUMMYFUNCTION("""COMPUTED_VALUE"""),"Vallès Occidental")</f>
        <v>Vallès Occidental</v>
      </c>
      <c r="C70" s="2" t="str">
        <f>IFERROR(__xludf.DUMMYFUNCTION("""COMPUTED_VALUE"""),"Provincia de Barcelona")</f>
        <v>Provincia de Barcelona</v>
      </c>
      <c r="D70" s="2" t="str">
        <f>IFERROR(__xludf.DUMMYFUNCTION("""COMPUTED_VALUE"""),"Cataluña")</f>
        <v>Cataluña</v>
      </c>
      <c r="E70" s="2">
        <f>IFERROR(__xludf.DUMMYFUNCTION("""COMPUTED_VALUE"""),124.0)</f>
        <v>124</v>
      </c>
      <c r="F70" s="2">
        <f>IFERROR(__xludf.DUMMYFUNCTION("""COMPUTED_VALUE"""),48.2)</f>
        <v>48.2</v>
      </c>
      <c r="G70" s="4">
        <f>IFERROR(__xludf.DUMMYFUNCTION("""COMPUTED_VALUE"""),91006.0)</f>
        <v>91006</v>
      </c>
      <c r="H70" s="5">
        <f>IFERROR(__xludf.DUMMYFUNCTION("""COMPUTED_VALUE"""),1888.09)</f>
        <v>1888.09</v>
      </c>
    </row>
    <row r="71">
      <c r="A71" s="2" t="str">
        <f>IFERROR(__xludf.DUMMYFUNCTION("""COMPUTED_VALUE"""),"San Sebastián de los Reyes")</f>
        <v>San Sebastián de los Reyes</v>
      </c>
      <c r="B71" s="2" t="str">
        <f>IFERROR(__xludf.DUMMYFUNCTION("""COMPUTED_VALUE"""),"Área metropolitana de Madrid")</f>
        <v>Área metropolitana de Madrid</v>
      </c>
      <c r="C71" s="2" t="str">
        <f>IFERROR(__xludf.DUMMYFUNCTION("""COMPUTED_VALUE"""),"Provincia de Madrid")</f>
        <v>Provincia de Madrid</v>
      </c>
      <c r="D71" s="2" t="str">
        <f>IFERROR(__xludf.DUMMYFUNCTION("""COMPUTED_VALUE"""),"Comunidad de Madrid")</f>
        <v>Comunidad de Madrid</v>
      </c>
      <c r="E71" s="2">
        <f>IFERROR(__xludf.DUMMYFUNCTION("""COMPUTED_VALUE"""),705.0)</f>
        <v>705</v>
      </c>
      <c r="F71" s="2">
        <f>IFERROR(__xludf.DUMMYFUNCTION("""COMPUTED_VALUE"""),58.66)</f>
        <v>58.66</v>
      </c>
      <c r="G71" s="4">
        <f>IFERROR(__xludf.DUMMYFUNCTION("""COMPUTED_VALUE"""),89276.0)</f>
        <v>89276</v>
      </c>
      <c r="H71" s="5">
        <f>IFERROR(__xludf.DUMMYFUNCTION("""COMPUTED_VALUE"""),1521.92)</f>
        <v>1521.92</v>
      </c>
    </row>
    <row r="72">
      <c r="A72" s="2" t="str">
        <f>IFERROR(__xludf.DUMMYFUNCTION("""COMPUTED_VALUE"""),"Cornellà de Llobregat")</f>
        <v>Cornellà de Llobregat</v>
      </c>
      <c r="B72" s="2" t="str">
        <f>IFERROR(__xludf.DUMMYFUNCTION("""COMPUTED_VALUE"""),"Bajo Llobregat")</f>
        <v>Bajo Llobregat</v>
      </c>
      <c r="C72" s="2" t="str">
        <f>IFERROR(__xludf.DUMMYFUNCTION("""COMPUTED_VALUE"""),"Provincia de Barcelona")</f>
        <v>Provincia de Barcelona</v>
      </c>
      <c r="D72" s="2" t="str">
        <f>IFERROR(__xludf.DUMMYFUNCTION("""COMPUTED_VALUE"""),"Cataluña")</f>
        <v>Cataluña</v>
      </c>
      <c r="E72" s="2">
        <f>IFERROR(__xludf.DUMMYFUNCTION("""COMPUTED_VALUE"""),27.0)</f>
        <v>27</v>
      </c>
      <c r="F72" s="2">
        <f>IFERROR(__xludf.DUMMYFUNCTION("""COMPUTED_VALUE"""),6.82)</f>
        <v>6.82</v>
      </c>
      <c r="G72" s="4">
        <f>IFERROR(__xludf.DUMMYFUNCTION("""COMPUTED_VALUE"""),88592.0)</f>
        <v>88592</v>
      </c>
      <c r="H72" s="5">
        <f>IFERROR(__xludf.DUMMYFUNCTION("""COMPUTED_VALUE"""),12990.03)</f>
        <v>12990.03</v>
      </c>
    </row>
    <row r="73">
      <c r="A73" s="2" t="str">
        <f>IFERROR(__xludf.DUMMYFUNCTION("""COMPUTED_VALUE"""),"El Puerto de Santa María")</f>
        <v>El Puerto de Santa María</v>
      </c>
      <c r="B73" s="2" t="str">
        <f>IFERROR(__xludf.DUMMYFUNCTION("""COMPUTED_VALUE"""),"Bahía de Cádiz")</f>
        <v>Bahía de Cádiz</v>
      </c>
      <c r="C73" s="2" t="str">
        <f>IFERROR(__xludf.DUMMYFUNCTION("""COMPUTED_VALUE"""),"Provincia de Cádiz")</f>
        <v>Provincia de Cádiz</v>
      </c>
      <c r="D73" s="2" t="str">
        <f>IFERROR(__xludf.DUMMYFUNCTION("""COMPUTED_VALUE"""),"Andalucía")</f>
        <v>Andalucía</v>
      </c>
      <c r="E73" s="2">
        <f>IFERROR(__xludf.DUMMYFUNCTION("""COMPUTED_VALUE"""),0.0)</f>
        <v>0</v>
      </c>
      <c r="F73" s="2">
        <f>IFERROR(__xludf.DUMMYFUNCTION("""COMPUTED_VALUE"""),159.09)</f>
        <v>159.09</v>
      </c>
      <c r="G73" s="4">
        <f>IFERROR(__xludf.DUMMYFUNCTION("""COMPUTED_VALUE"""),88405.0)</f>
        <v>88405</v>
      </c>
      <c r="H73" s="2">
        <f>IFERROR(__xludf.DUMMYFUNCTION("""COMPUTED_VALUE"""),555.69)</f>
        <v>555.69</v>
      </c>
    </row>
    <row r="74">
      <c r="A74" s="2" t="str">
        <f>IFERROR(__xludf.DUMMYFUNCTION("""COMPUTED_VALUE"""),"Rivas-Vaciamadrid")</f>
        <v>Rivas-Vaciamadrid</v>
      </c>
      <c r="B74" s="2" t="str">
        <f>IFERROR(__xludf.DUMMYFUNCTION("""COMPUTED_VALUE"""),"Comarca de Alcalá")</f>
        <v>Comarca de Alcalá</v>
      </c>
      <c r="C74" s="2" t="str">
        <f>IFERROR(__xludf.DUMMYFUNCTION("""COMPUTED_VALUE"""),"Provincia de Madrid")</f>
        <v>Provincia de Madrid</v>
      </c>
      <c r="D74" s="2" t="str">
        <f>IFERROR(__xludf.DUMMYFUNCTION("""COMPUTED_VALUE"""),"Comunidad de Madrid")</f>
        <v>Comunidad de Madrid</v>
      </c>
      <c r="E74" s="2">
        <f>IFERROR(__xludf.DUMMYFUNCTION("""COMPUTED_VALUE"""),590.0)</f>
        <v>590</v>
      </c>
      <c r="F74" s="2">
        <f>IFERROR(__xludf.DUMMYFUNCTION("""COMPUTED_VALUE"""),67.38)</f>
        <v>67.38</v>
      </c>
      <c r="G74" s="4">
        <f>IFERROR(__xludf.DUMMYFUNCTION("""COMPUTED_VALUE"""),88150.0)</f>
        <v>88150</v>
      </c>
      <c r="H74" s="5">
        <f>IFERROR(__xludf.DUMMYFUNCTION("""COMPUTED_VALUE"""),1308.25)</f>
        <v>1308.25</v>
      </c>
    </row>
    <row r="75">
      <c r="A75" s="2" t="str">
        <f>IFERROR(__xludf.DUMMYFUNCTION("""COMPUTED_VALUE"""),"Guadalajara")</f>
        <v>Guadalajara</v>
      </c>
      <c r="B75" s="2" t="str">
        <f>IFERROR(__xludf.DUMMYFUNCTION("""COMPUTED_VALUE"""),"La Alcarria")</f>
        <v>La Alcarria</v>
      </c>
      <c r="C75" s="2" t="str">
        <f>IFERROR(__xludf.DUMMYFUNCTION("""COMPUTED_VALUE"""),"Provincia de Guadalajara")</f>
        <v>Provincia de Guadalajara</v>
      </c>
      <c r="D75" s="2" t="str">
        <f>IFERROR(__xludf.DUMMYFUNCTION("""COMPUTED_VALUE"""),"Castilla-La Mancha")</f>
        <v>Castilla-La Mancha</v>
      </c>
      <c r="E75" s="2">
        <f>IFERROR(__xludf.DUMMYFUNCTION("""COMPUTED_VALUE"""),708.0)</f>
        <v>708</v>
      </c>
      <c r="F75" s="2">
        <f>IFERROR(__xludf.DUMMYFUNCTION("""COMPUTED_VALUE"""),235.49)</f>
        <v>235.49</v>
      </c>
      <c r="G75" s="4">
        <f>IFERROR(__xludf.DUMMYFUNCTION("""COMPUTED_VALUE"""),85871.0)</f>
        <v>85871</v>
      </c>
      <c r="H75" s="2">
        <f>IFERROR(__xludf.DUMMYFUNCTION("""COMPUTED_VALUE"""),364.65)</f>
        <v>364.65</v>
      </c>
    </row>
    <row r="76">
      <c r="A76" s="2" t="str">
        <f>IFERROR(__xludf.DUMMYFUNCTION("""COMPUTED_VALUE"""),"Toledo")</f>
        <v>Toledo</v>
      </c>
      <c r="B76" s="2"/>
      <c r="C76" s="2" t="str">
        <f>IFERROR(__xludf.DUMMYFUNCTION("""COMPUTED_VALUE"""),"Provincia de Toledo")</f>
        <v>Provincia de Toledo</v>
      </c>
      <c r="D76" s="2" t="str">
        <f>IFERROR(__xludf.DUMMYFUNCTION("""COMPUTED_VALUE"""),"Castilla-La Mancha")</f>
        <v>Castilla-La Mancha</v>
      </c>
      <c r="E76" s="2"/>
      <c r="F76" s="2">
        <f>IFERROR(__xludf.DUMMYFUNCTION("""COMPUTED_VALUE"""),232.14)</f>
        <v>232.14</v>
      </c>
      <c r="G76" s="4">
        <f>IFERROR(__xludf.DUMMYFUNCTION("""COMPUTED_VALUE"""),84873.0)</f>
        <v>84873</v>
      </c>
      <c r="H76" s="2">
        <f>IFERROR(__xludf.DUMMYFUNCTION("""COMPUTED_VALUE"""),365.61)</f>
        <v>365.61</v>
      </c>
    </row>
    <row r="77">
      <c r="A77" s="2" t="str">
        <f>IFERROR(__xludf.DUMMYFUNCTION("""COMPUTED_VALUE"""),"Sant Boi de Llobregat")</f>
        <v>Sant Boi de Llobregat</v>
      </c>
      <c r="B77" s="2" t="str">
        <f>IFERROR(__xludf.DUMMYFUNCTION("""COMPUTED_VALUE"""),"Bajo Llobregat")</f>
        <v>Bajo Llobregat</v>
      </c>
      <c r="C77" s="2" t="str">
        <f>IFERROR(__xludf.DUMMYFUNCTION("""COMPUTED_VALUE"""),"Provincia de Barcelona")</f>
        <v>Provincia de Barcelona</v>
      </c>
      <c r="D77" s="2" t="str">
        <f>IFERROR(__xludf.DUMMYFUNCTION("""COMPUTED_VALUE"""),"Cataluña")</f>
        <v>Cataluña</v>
      </c>
      <c r="E77" s="2">
        <f>IFERROR(__xludf.DUMMYFUNCTION("""COMPUTED_VALUE"""),30.0)</f>
        <v>30</v>
      </c>
      <c r="F77" s="2">
        <f>IFERROR(__xludf.DUMMYFUNCTION("""COMPUTED_VALUE"""),22.13)</f>
        <v>22.13</v>
      </c>
      <c r="G77" s="4">
        <f>IFERROR(__xludf.DUMMYFUNCTION("""COMPUTED_VALUE"""),83605.0)</f>
        <v>83605</v>
      </c>
      <c r="H77" s="5">
        <f>IFERROR(__xludf.DUMMYFUNCTION("""COMPUTED_VALUE"""),3777.9)</f>
        <v>3777.9</v>
      </c>
    </row>
    <row r="78">
      <c r="A78" s="2" t="str">
        <f>IFERROR(__xludf.DUMMYFUNCTION("""COMPUTED_VALUE"""),"El Ejido")</f>
        <v>El Ejido</v>
      </c>
      <c r="B78" s="2" t="str">
        <f>IFERROR(__xludf.DUMMYFUNCTION("""COMPUTED_VALUE"""),"Poniente Almeriense")</f>
        <v>Poniente Almeriense</v>
      </c>
      <c r="C78" s="2" t="str">
        <f>IFERROR(__xludf.DUMMYFUNCTION("""COMPUTED_VALUE"""),"Provincia de Almería")</f>
        <v>Provincia de Almería</v>
      </c>
      <c r="D78" s="2" t="str">
        <f>IFERROR(__xludf.DUMMYFUNCTION("""COMPUTED_VALUE"""),"Andalucía")</f>
        <v>Andalucía</v>
      </c>
      <c r="E78" s="2">
        <f>IFERROR(__xludf.DUMMYFUNCTION("""COMPUTED_VALUE"""),80.0)</f>
        <v>80</v>
      </c>
      <c r="F78" s="2">
        <f>IFERROR(__xludf.DUMMYFUNCTION("""COMPUTED_VALUE"""),226.13)</f>
        <v>226.13</v>
      </c>
      <c r="G78" s="4">
        <f>IFERROR(__xludf.DUMMYFUNCTION("""COMPUTED_VALUE"""),83594.0)</f>
        <v>83594</v>
      </c>
      <c r="H78" s="2">
        <f>IFERROR(__xludf.DUMMYFUNCTION("""COMPUTED_VALUE"""),369.67)</f>
        <v>369.67</v>
      </c>
    </row>
    <row r="79">
      <c r="A79" s="2" t="str">
        <f>IFERROR(__xludf.DUMMYFUNCTION("""COMPUTED_VALUE"""),"Talavera de la Reina")</f>
        <v>Talavera de la Reina</v>
      </c>
      <c r="B79" s="2" t="str">
        <f>IFERROR(__xludf.DUMMYFUNCTION("""COMPUTED_VALUE"""),"Tierras de Talavera")</f>
        <v>Tierras de Talavera</v>
      </c>
      <c r="C79" s="2" t="str">
        <f>IFERROR(__xludf.DUMMYFUNCTION("""COMPUTED_VALUE"""),"Provincia de Toledo")</f>
        <v>Provincia de Toledo</v>
      </c>
      <c r="D79" s="2" t="str">
        <f>IFERROR(__xludf.DUMMYFUNCTION("""COMPUTED_VALUE"""),"Castilla-La Mancha")</f>
        <v>Castilla-La Mancha</v>
      </c>
      <c r="E79" s="2">
        <f>IFERROR(__xludf.DUMMYFUNCTION("""COMPUTED_VALUE"""),373.0)</f>
        <v>373</v>
      </c>
      <c r="F79" s="2">
        <f>IFERROR(__xludf.DUMMYFUNCTION("""COMPUTED_VALUE"""),185.83)</f>
        <v>185.83</v>
      </c>
      <c r="G79" s="4">
        <f>IFERROR(__xludf.DUMMYFUNCTION("""COMPUTED_VALUE"""),83417.0)</f>
        <v>83417</v>
      </c>
      <c r="H79" s="2">
        <f>IFERROR(__xludf.DUMMYFUNCTION("""COMPUTED_VALUE"""),448.89)</f>
        <v>448.89</v>
      </c>
    </row>
    <row r="80">
      <c r="A80" s="2" t="str">
        <f>IFERROR(__xludf.DUMMYFUNCTION("""COMPUTED_VALUE"""),"Torrevieja")</f>
        <v>Torrevieja</v>
      </c>
      <c r="B80" s="2" t="str">
        <f>IFERROR(__xludf.DUMMYFUNCTION("""COMPUTED_VALUE"""),"Vega Baja del Segura")</f>
        <v>Vega Baja del Segura</v>
      </c>
      <c r="C80" s="2" t="str">
        <f>IFERROR(__xludf.DUMMYFUNCTION("""COMPUTED_VALUE"""),"Provincia de Alicante")</f>
        <v>Provincia de Alicante</v>
      </c>
      <c r="D80" s="2" t="str">
        <f>IFERROR(__xludf.DUMMYFUNCTION("""COMPUTED_VALUE"""),"Comunidad Valenciana")</f>
        <v>Comunidad Valenciana</v>
      </c>
      <c r="E80" s="2">
        <f>IFERROR(__xludf.DUMMYFUNCTION("""COMPUTED_VALUE"""),7.0)</f>
        <v>7</v>
      </c>
      <c r="F80" s="2">
        <f>IFERROR(__xludf.DUMMYFUNCTION("""COMPUTED_VALUE"""),71.76)</f>
        <v>71.76</v>
      </c>
      <c r="G80" s="4">
        <f>IFERROR(__xludf.DUMMYFUNCTION("""COMPUTED_VALUE"""),83337.0)</f>
        <v>83337</v>
      </c>
      <c r="H80" s="5">
        <f>IFERROR(__xludf.DUMMYFUNCTION("""COMPUTED_VALUE"""),1161.33)</f>
        <v>1161.33</v>
      </c>
    </row>
    <row r="81">
      <c r="A81" s="2" t="str">
        <f>IFERROR(__xludf.DUMMYFUNCTION("""COMPUTED_VALUE"""),"Pontevedra")</f>
        <v>Pontevedra</v>
      </c>
      <c r="B81" s="2" t="str">
        <f>IFERROR(__xludf.DUMMYFUNCTION("""COMPUTED_VALUE"""),"Comarca de Pontevedra")</f>
        <v>Comarca de Pontevedra</v>
      </c>
      <c r="C81" s="2" t="str">
        <f>IFERROR(__xludf.DUMMYFUNCTION("""COMPUTED_VALUE"""),"Provincia de Pontevedra")</f>
        <v>Provincia de Pontevedra</v>
      </c>
      <c r="D81" s="2" t="str">
        <f>IFERROR(__xludf.DUMMYFUNCTION("""COMPUTED_VALUE"""),"Galicia")</f>
        <v>Galicia</v>
      </c>
      <c r="E81" s="2">
        <f>IFERROR(__xludf.DUMMYFUNCTION("""COMPUTED_VALUE"""),20.0)</f>
        <v>20</v>
      </c>
      <c r="F81" s="2">
        <f>IFERROR(__xludf.DUMMYFUNCTION("""COMPUTED_VALUE"""),118.47)</f>
        <v>118.47</v>
      </c>
      <c r="G81" s="4">
        <f>IFERROR(__xludf.DUMMYFUNCTION("""COMPUTED_VALUE"""),83029.0)</f>
        <v>83029</v>
      </c>
      <c r="H81" s="2">
        <f>IFERROR(__xludf.DUMMYFUNCTION("""COMPUTED_VALUE"""),700.84)</f>
        <v>700.84</v>
      </c>
    </row>
    <row r="82">
      <c r="A82" s="2" t="str">
        <f>IFERROR(__xludf.DUMMYFUNCTION("""COMPUTED_VALUE"""),"Mijas")</f>
        <v>Mijas</v>
      </c>
      <c r="B82" s="2" t="str">
        <f>IFERROR(__xludf.DUMMYFUNCTION("""COMPUTED_VALUE"""),"Costa del Sol Occidental")</f>
        <v>Costa del Sol Occidental</v>
      </c>
      <c r="C82" s="2" t="str">
        <f>IFERROR(__xludf.DUMMYFUNCTION("""COMPUTED_VALUE"""),"Provincia de Málaga")</f>
        <v>Provincia de Málaga</v>
      </c>
      <c r="D82" s="2" t="str">
        <f>IFERROR(__xludf.DUMMYFUNCTION("""COMPUTED_VALUE"""),"Andalucía")</f>
        <v>Andalucía</v>
      </c>
      <c r="E82" s="2">
        <f>IFERROR(__xludf.DUMMYFUNCTION("""COMPUTED_VALUE"""),428.0)</f>
        <v>428</v>
      </c>
      <c r="F82" s="2">
        <f>IFERROR(__xludf.DUMMYFUNCTION("""COMPUTED_VALUE"""),148.73)</f>
        <v>148.73</v>
      </c>
      <c r="G82" s="4">
        <f>IFERROR(__xludf.DUMMYFUNCTION("""COMPUTED_VALUE"""),82742.0)</f>
        <v>82742</v>
      </c>
      <c r="H82" s="2">
        <f>IFERROR(__xludf.DUMMYFUNCTION("""COMPUTED_VALUE"""),556.32)</f>
        <v>556.32</v>
      </c>
    </row>
    <row r="83">
      <c r="A83" s="2" t="str">
        <f>IFERROR(__xludf.DUMMYFUNCTION("""COMPUTED_VALUE"""),"Torrent")</f>
        <v>Torrent</v>
      </c>
      <c r="B83" s="2" t="str">
        <f>IFERROR(__xludf.DUMMYFUNCTION("""COMPUTED_VALUE"""),"L'Horta Oest")</f>
        <v>L'Horta Oest</v>
      </c>
      <c r="C83" s="2" t="str">
        <f>IFERROR(__xludf.DUMMYFUNCTION("""COMPUTED_VALUE"""),"Provincia de València")</f>
        <v>Provincia de València</v>
      </c>
      <c r="D83" s="2" t="str">
        <f>IFERROR(__xludf.DUMMYFUNCTION("""COMPUTED_VALUE"""),"Comunidad Valenciana")</f>
        <v>Comunidad Valenciana</v>
      </c>
      <c r="E83" s="2">
        <f>IFERROR(__xludf.DUMMYFUNCTION("""COMPUTED_VALUE"""),66.0)</f>
        <v>66</v>
      </c>
      <c r="F83" s="2">
        <f>IFERROR(__xludf.DUMMYFUNCTION("""COMPUTED_VALUE"""),69.23)</f>
        <v>69.23</v>
      </c>
      <c r="G83" s="4">
        <f>IFERROR(__xludf.DUMMYFUNCTION("""COMPUTED_VALUE"""),82208.0)</f>
        <v>82208</v>
      </c>
      <c r="H83" s="5">
        <f>IFERROR(__xludf.DUMMYFUNCTION("""COMPUTED_VALUE"""),1187.46)</f>
        <v>1187.46</v>
      </c>
    </row>
    <row r="84">
      <c r="A84" s="2" t="str">
        <f>IFERROR(__xludf.DUMMYFUNCTION("""COMPUTED_VALUE"""),"Coslada")</f>
        <v>Coslada</v>
      </c>
      <c r="B84" s="2" t="str">
        <f>IFERROR(__xludf.DUMMYFUNCTION("""COMPUTED_VALUE"""),"Comarca de Alcalá")</f>
        <v>Comarca de Alcalá</v>
      </c>
      <c r="C84" s="2" t="str">
        <f>IFERROR(__xludf.DUMMYFUNCTION("""COMPUTED_VALUE"""),"Provincia de Madrid")</f>
        <v>Provincia de Madrid</v>
      </c>
      <c r="D84" s="2" t="str">
        <f>IFERROR(__xludf.DUMMYFUNCTION("""COMPUTED_VALUE"""),"Comunidad de Madrid")</f>
        <v>Comunidad de Madrid</v>
      </c>
      <c r="E84" s="2">
        <f>IFERROR(__xludf.DUMMYFUNCTION("""COMPUTED_VALUE"""),621.0)</f>
        <v>621</v>
      </c>
      <c r="F84" s="2">
        <f>IFERROR(__xludf.DUMMYFUNCTION("""COMPUTED_VALUE"""),12.01)</f>
        <v>12.01</v>
      </c>
      <c r="G84" s="4">
        <f>IFERROR(__xludf.DUMMYFUNCTION("""COMPUTED_VALUE"""),81661.0)</f>
        <v>81661</v>
      </c>
      <c r="H84" s="5">
        <f>IFERROR(__xludf.DUMMYFUNCTION("""COMPUTED_VALUE"""),6799.42)</f>
        <v>6799.42</v>
      </c>
    </row>
    <row r="85">
      <c r="A85" s="2" t="str">
        <f>IFERROR(__xludf.DUMMYFUNCTION("""COMPUTED_VALUE"""),"Vélez-Málaga")</f>
        <v>Vélez-Málaga</v>
      </c>
      <c r="B85" s="2" t="str">
        <f>IFERROR(__xludf.DUMMYFUNCTION("""COMPUTED_VALUE"""),"La Axarquía")</f>
        <v>La Axarquía</v>
      </c>
      <c r="C85" s="2" t="str">
        <f>IFERROR(__xludf.DUMMYFUNCTION("""COMPUTED_VALUE"""),"Provincia de Málaga")</f>
        <v>Provincia de Málaga</v>
      </c>
      <c r="D85" s="2" t="str">
        <f>IFERROR(__xludf.DUMMYFUNCTION("""COMPUTED_VALUE"""),"Andalucía")</f>
        <v>Andalucía</v>
      </c>
      <c r="E85" s="2">
        <f>IFERROR(__xludf.DUMMYFUNCTION("""COMPUTED_VALUE"""),60.0)</f>
        <v>60</v>
      </c>
      <c r="F85" s="2">
        <f>IFERROR(__xludf.DUMMYFUNCTION("""COMPUTED_VALUE"""),158.19)</f>
        <v>158.19</v>
      </c>
      <c r="G85" s="4">
        <f>IFERROR(__xludf.DUMMYFUNCTION("""COMPUTED_VALUE"""),81643.0)</f>
        <v>81643</v>
      </c>
      <c r="H85" s="2">
        <f>IFERROR(__xludf.DUMMYFUNCTION("""COMPUTED_VALUE"""),516.11)</f>
        <v>516.11</v>
      </c>
    </row>
    <row r="86">
      <c r="A86" s="2" t="str">
        <f>IFERROR(__xludf.DUMMYFUNCTION("""COMPUTED_VALUE"""),"Arona")</f>
        <v>Arona</v>
      </c>
      <c r="B86" s="2" t="str">
        <f>IFERROR(__xludf.DUMMYFUNCTION("""COMPUTED_VALUE"""),"Comarca de Abona")</f>
        <v>Comarca de Abona</v>
      </c>
      <c r="C86" s="2" t="str">
        <f>IFERROR(__xludf.DUMMYFUNCTION("""COMPUTED_VALUE"""),"Provincia de Santa Cruz de Tenerife")</f>
        <v>Provincia de Santa Cruz de Tenerife</v>
      </c>
      <c r="D86" s="2" t="str">
        <f>IFERROR(__xludf.DUMMYFUNCTION("""COMPUTED_VALUE"""),"Canarias")</f>
        <v>Canarias</v>
      </c>
      <c r="E86" s="2">
        <f>IFERROR(__xludf.DUMMYFUNCTION("""COMPUTED_VALUE"""),630.0)</f>
        <v>630</v>
      </c>
      <c r="F86" s="2">
        <f>IFERROR(__xludf.DUMMYFUNCTION("""COMPUTED_VALUE"""),81.6)</f>
        <v>81.6</v>
      </c>
      <c r="G86" s="4">
        <f>IFERROR(__xludf.DUMMYFUNCTION("""COMPUTED_VALUE"""),81216.0)</f>
        <v>81216</v>
      </c>
      <c r="H86" s="2">
        <f>IFERROR(__xludf.DUMMYFUNCTION("""COMPUTED_VALUE"""),995.29)</f>
        <v>995.29</v>
      </c>
    </row>
    <row r="87">
      <c r="A87" s="2" t="str">
        <f>IFERROR(__xludf.DUMMYFUNCTION("""COMPUTED_VALUE"""),"Fuengirola")</f>
        <v>Fuengirola</v>
      </c>
      <c r="B87" s="2" t="str">
        <f>IFERROR(__xludf.DUMMYFUNCTION("""COMPUTED_VALUE"""),"Costa del Sol Occidental")</f>
        <v>Costa del Sol Occidental</v>
      </c>
      <c r="C87" s="2" t="str">
        <f>IFERROR(__xludf.DUMMYFUNCTION("""COMPUTED_VALUE"""),"Provincia de Málaga")</f>
        <v>Provincia de Málaga</v>
      </c>
      <c r="D87" s="2" t="str">
        <f>IFERROR(__xludf.DUMMYFUNCTION("""COMPUTED_VALUE"""),"Andalucía")</f>
        <v>Andalucía</v>
      </c>
      <c r="E87" s="2">
        <f>IFERROR(__xludf.DUMMYFUNCTION("""COMPUTED_VALUE"""),6.0)</f>
        <v>6</v>
      </c>
      <c r="F87" s="2">
        <f>IFERROR(__xludf.DUMMYFUNCTION("""COMPUTED_VALUE"""),10.37)</f>
        <v>10.37</v>
      </c>
      <c r="G87" s="4">
        <f>IFERROR(__xludf.DUMMYFUNCTION("""COMPUTED_VALUE"""),80309.0)</f>
        <v>80309</v>
      </c>
      <c r="H87" s="5">
        <f>IFERROR(__xludf.DUMMYFUNCTION("""COMPUTED_VALUE"""),7744.36)</f>
        <v>7744.36</v>
      </c>
    </row>
    <row r="88">
      <c r="A88" s="2" t="str">
        <f>IFERROR(__xludf.DUMMYFUNCTION("""COMPUTED_VALUE"""),"Palencia")</f>
        <v>Palencia</v>
      </c>
      <c r="B88" s="2" t="str">
        <f>IFERROR(__xludf.DUMMYFUNCTION("""COMPUTED_VALUE"""),"Tierra de Campos")</f>
        <v>Tierra de Campos</v>
      </c>
      <c r="C88" s="2" t="str">
        <f>IFERROR(__xludf.DUMMYFUNCTION("""COMPUTED_VALUE"""),"Provincia de Palencia")</f>
        <v>Provincia de Palencia</v>
      </c>
      <c r="D88" s="2" t="str">
        <f>IFERROR(__xludf.DUMMYFUNCTION("""COMPUTED_VALUE"""),"Castilla y León")</f>
        <v>Castilla y León</v>
      </c>
      <c r="E88" s="2">
        <f>IFERROR(__xludf.DUMMYFUNCTION("""COMPUTED_VALUE"""),749.0)</f>
        <v>749</v>
      </c>
      <c r="F88" s="2">
        <f>IFERROR(__xludf.DUMMYFUNCTION("""COMPUTED_VALUE"""),94.95)</f>
        <v>94.95</v>
      </c>
      <c r="G88" s="4">
        <f>IFERROR(__xludf.DUMMYFUNCTION("""COMPUTED_VALUE"""),78412.0)</f>
        <v>78412</v>
      </c>
      <c r="H88" s="2">
        <f>IFERROR(__xludf.DUMMYFUNCTION("""COMPUTED_VALUE"""),825.82)</f>
        <v>825.82</v>
      </c>
    </row>
    <row r="89">
      <c r="A89" s="2" t="str">
        <f>IFERROR(__xludf.DUMMYFUNCTION("""COMPUTED_VALUE"""),"Avilés")</f>
        <v>Avilés</v>
      </c>
      <c r="B89" s="2" t="str">
        <f>IFERROR(__xludf.DUMMYFUNCTION("""COMPUTED_VALUE"""),"Principado de Asturias")</f>
        <v>Principado de Asturias</v>
      </c>
      <c r="C89" s="2" t="str">
        <f>IFERROR(__xludf.DUMMYFUNCTION("""COMPUTED_VALUE"""),"Provincia de Asturias")</f>
        <v>Provincia de Asturias</v>
      </c>
      <c r="D89" s="2" t="str">
        <f>IFERROR(__xludf.DUMMYFUNCTION("""COMPUTED_VALUE"""),"Principado de Asturias")</f>
        <v>Principado de Asturias</v>
      </c>
      <c r="E89" s="2">
        <f>IFERROR(__xludf.DUMMYFUNCTION("""COMPUTED_VALUE"""),139.0)</f>
        <v>139</v>
      </c>
      <c r="F89" s="2">
        <f>IFERROR(__xludf.DUMMYFUNCTION("""COMPUTED_VALUE"""),26.81)</f>
        <v>26.81</v>
      </c>
      <c r="G89" s="4">
        <f>IFERROR(__xludf.DUMMYFUNCTION("""COMPUTED_VALUE"""),78182.0)</f>
        <v>78182</v>
      </c>
      <c r="H89" s="5">
        <f>IFERROR(__xludf.DUMMYFUNCTION("""COMPUTED_VALUE"""),2916.15)</f>
        <v>2916.15</v>
      </c>
    </row>
    <row r="90">
      <c r="A90" s="2" t="str">
        <f>IFERROR(__xludf.DUMMYFUNCTION("""COMPUTED_VALUE"""),"Getxo")</f>
        <v>Getxo</v>
      </c>
      <c r="B90" s="2" t="str">
        <f>IFERROR(__xludf.DUMMYFUNCTION("""COMPUTED_VALUE"""),"Gran Bilbao")</f>
        <v>Gran Bilbao</v>
      </c>
      <c r="C90" s="2" t="str">
        <f>IFERROR(__xludf.DUMMYFUNCTION("""COMPUTED_VALUE"""),"Provincia de Bizkaia")</f>
        <v>Provincia de Bizkaia</v>
      </c>
      <c r="D90" s="2" t="str">
        <f>IFERROR(__xludf.DUMMYFUNCTION("""COMPUTED_VALUE"""),"País Vasco")</f>
        <v>País Vasco</v>
      </c>
      <c r="E90" s="2">
        <f>IFERROR(__xludf.DUMMYFUNCTION("""COMPUTED_VALUE"""),50.0)</f>
        <v>50</v>
      </c>
      <c r="F90" s="2">
        <f>IFERROR(__xludf.DUMMYFUNCTION("""COMPUTED_VALUE"""),11.87)</f>
        <v>11.87</v>
      </c>
      <c r="G90" s="4">
        <f>IFERROR(__xludf.DUMMYFUNCTION("""COMPUTED_VALUE"""),77946.0)</f>
        <v>77946</v>
      </c>
      <c r="H90" s="5">
        <f>IFERROR(__xludf.DUMMYFUNCTION("""COMPUTED_VALUE"""),6566.64)</f>
        <v>6566.64</v>
      </c>
    </row>
    <row r="91">
      <c r="A91" s="2" t="str">
        <f>IFERROR(__xludf.DUMMYFUNCTION("""COMPUTED_VALUE"""),"Manresa")</f>
        <v>Manresa</v>
      </c>
      <c r="B91" s="2" t="str">
        <f>IFERROR(__xludf.DUMMYFUNCTION("""COMPUTED_VALUE"""),"Bages")</f>
        <v>Bages</v>
      </c>
      <c r="C91" s="2" t="str">
        <f>IFERROR(__xludf.DUMMYFUNCTION("""COMPUTED_VALUE"""),"Provincia de Barcelona")</f>
        <v>Provincia de Barcelona</v>
      </c>
      <c r="D91" s="2" t="str">
        <f>IFERROR(__xludf.DUMMYFUNCTION("""COMPUTED_VALUE"""),"Cataluña")</f>
        <v>Cataluña</v>
      </c>
      <c r="E91" s="2">
        <f>IFERROR(__xludf.DUMMYFUNCTION("""COMPUTED_VALUE"""),238.0)</f>
        <v>238</v>
      </c>
      <c r="F91" s="2">
        <f>IFERROR(__xludf.DUMMYFUNCTION("""COMPUTED_VALUE"""),41.64)</f>
        <v>41.64</v>
      </c>
      <c r="G91" s="4">
        <f>IFERROR(__xludf.DUMMYFUNCTION("""COMPUTED_VALUE"""),77714.0)</f>
        <v>77714</v>
      </c>
      <c r="H91" s="5">
        <f>IFERROR(__xludf.DUMMYFUNCTION("""COMPUTED_VALUE"""),1866.33)</f>
        <v>1866.33</v>
      </c>
    </row>
    <row r="92">
      <c r="A92" s="2" t="str">
        <f>IFERROR(__xludf.DUMMYFUNCTION("""COMPUTED_VALUE"""),"Rubí")</f>
        <v>Rubí</v>
      </c>
      <c r="B92" s="2" t="str">
        <f>IFERROR(__xludf.DUMMYFUNCTION("""COMPUTED_VALUE"""),"Vallès Occidental")</f>
        <v>Vallès Occidental</v>
      </c>
      <c r="C92" s="2" t="str">
        <f>IFERROR(__xludf.DUMMYFUNCTION("""COMPUTED_VALUE"""),"Provincia de Barcelona")</f>
        <v>Provincia de Barcelona</v>
      </c>
      <c r="D92" s="2" t="str">
        <f>IFERROR(__xludf.DUMMYFUNCTION("""COMPUTED_VALUE"""),"Cataluña")</f>
        <v>Cataluña</v>
      </c>
      <c r="E92" s="2">
        <f>IFERROR(__xludf.DUMMYFUNCTION("""COMPUTED_VALUE"""),123.0)</f>
        <v>123</v>
      </c>
      <c r="F92" s="2">
        <f>IFERROR(__xludf.DUMMYFUNCTION("""COMPUTED_VALUE"""),32.2)</f>
        <v>32.2</v>
      </c>
      <c r="G92" s="4">
        <f>IFERROR(__xludf.DUMMYFUNCTION("""COMPUTED_VALUE"""),77464.0)</f>
        <v>77464</v>
      </c>
      <c r="H92" s="5">
        <f>IFERROR(__xludf.DUMMYFUNCTION("""COMPUTED_VALUE"""),2405.71)</f>
        <v>2405.71</v>
      </c>
    </row>
    <row r="93">
      <c r="A93" s="2" t="str">
        <f>IFERROR(__xludf.DUMMYFUNCTION("""COMPUTED_VALUE"""),"Orihuela")</f>
        <v>Orihuela</v>
      </c>
      <c r="B93" s="2" t="str">
        <f>IFERROR(__xludf.DUMMYFUNCTION("""COMPUTED_VALUE"""),"Vega Baja del Segura")</f>
        <v>Vega Baja del Segura</v>
      </c>
      <c r="C93" s="2" t="str">
        <f>IFERROR(__xludf.DUMMYFUNCTION("""COMPUTED_VALUE"""),"Provincia de Alicante")</f>
        <v>Provincia de Alicante</v>
      </c>
      <c r="D93" s="2" t="str">
        <f>IFERROR(__xludf.DUMMYFUNCTION("""COMPUTED_VALUE"""),"Comunidad Valenciana")</f>
        <v>Comunidad Valenciana</v>
      </c>
      <c r="E93" s="2">
        <f>IFERROR(__xludf.DUMMYFUNCTION("""COMPUTED_VALUE"""),236.0)</f>
        <v>236</v>
      </c>
      <c r="F93" s="2">
        <f>IFERROR(__xludf.DUMMYFUNCTION("""COMPUTED_VALUE"""),365.36)</f>
        <v>365.36</v>
      </c>
      <c r="G93" s="4">
        <f>IFERROR(__xludf.DUMMYFUNCTION("""COMPUTED_VALUE"""),77414.0)</f>
        <v>77414</v>
      </c>
      <c r="H93" s="2">
        <f>IFERROR(__xludf.DUMMYFUNCTION("""COMPUTED_VALUE"""),211.88)</f>
        <v>211.88</v>
      </c>
    </row>
    <row r="94">
      <c r="A94" s="2" t="str">
        <f>IFERROR(__xludf.DUMMYFUNCTION("""COMPUTED_VALUE"""),"Valdemoro")</f>
        <v>Valdemoro</v>
      </c>
      <c r="B94" s="2" t="str">
        <f>IFERROR(__xludf.DUMMYFUNCTION("""COMPUTED_VALUE"""),"La Sagra")</f>
        <v>La Sagra</v>
      </c>
      <c r="C94" s="2" t="str">
        <f>IFERROR(__xludf.DUMMYFUNCTION("""COMPUTED_VALUE"""),"Provincia de Madrid")</f>
        <v>Provincia de Madrid</v>
      </c>
      <c r="D94" s="2" t="str">
        <f>IFERROR(__xludf.DUMMYFUNCTION("""COMPUTED_VALUE"""),"Comunidad de Madrid")</f>
        <v>Comunidad de Madrid</v>
      </c>
      <c r="E94" s="2">
        <f>IFERROR(__xludf.DUMMYFUNCTION("""COMPUTED_VALUE"""),615.0)</f>
        <v>615</v>
      </c>
      <c r="F94" s="2">
        <f>IFERROR(__xludf.DUMMYFUNCTION("""COMPUTED_VALUE"""),64.17)</f>
        <v>64.17</v>
      </c>
      <c r="G94" s="4">
        <f>IFERROR(__xludf.DUMMYFUNCTION("""COMPUTED_VALUE"""),75983.0)</f>
        <v>75983</v>
      </c>
      <c r="H94" s="5">
        <f>IFERROR(__xludf.DUMMYFUNCTION("""COMPUTED_VALUE"""),1184.09)</f>
        <v>1184.09</v>
      </c>
    </row>
    <row r="95">
      <c r="A95" s="2" t="str">
        <f>IFERROR(__xludf.DUMMYFUNCTION("""COMPUTED_VALUE"""),"Alcalá de Guadaíra")</f>
        <v>Alcalá de Guadaíra</v>
      </c>
      <c r="B95" s="2" t="str">
        <f>IFERROR(__xludf.DUMMYFUNCTION("""COMPUTED_VALUE"""),"Comarca Metropolitana de Sevilla")</f>
        <v>Comarca Metropolitana de Sevilla</v>
      </c>
      <c r="C95" s="2" t="str">
        <f>IFERROR(__xludf.DUMMYFUNCTION("""COMPUTED_VALUE"""),"Provincia de Sevilla")</f>
        <v>Provincia de Sevilla</v>
      </c>
      <c r="D95" s="2" t="str">
        <f>IFERROR(__xludf.DUMMYFUNCTION("""COMPUTED_VALUE"""),"Andalucía")</f>
        <v>Andalucía</v>
      </c>
      <c r="E95" s="2">
        <f>IFERROR(__xludf.DUMMYFUNCTION("""COMPUTED_VALUE"""),46.0)</f>
        <v>46</v>
      </c>
      <c r="F95" s="2">
        <f>IFERROR(__xludf.DUMMYFUNCTION("""COMPUTED_VALUE"""),285.43)</f>
        <v>285.43</v>
      </c>
      <c r="G95" s="4">
        <f>IFERROR(__xludf.DUMMYFUNCTION("""COMPUTED_VALUE"""),75279.0)</f>
        <v>75279</v>
      </c>
      <c r="H95" s="2">
        <f>IFERROR(__xludf.DUMMYFUNCTION("""COMPUTED_VALUE"""),263.74)</f>
        <v>263.74</v>
      </c>
    </row>
    <row r="96">
      <c r="A96" s="2" t="str">
        <f>IFERROR(__xludf.DUMMYFUNCTION("""COMPUTED_VALUE"""),"Ciudad Real")</f>
        <v>Ciudad Real</v>
      </c>
      <c r="B96" s="2" t="str">
        <f>IFERROR(__xludf.DUMMYFUNCTION("""COMPUTED_VALUE"""),"Campo de Calatrava")</f>
        <v>Campo de Calatrava</v>
      </c>
      <c r="C96" s="2" t="str">
        <f>IFERROR(__xludf.DUMMYFUNCTION("""COMPUTED_VALUE"""),"Provincia de Ciudad Real")</f>
        <v>Provincia de Ciudad Real</v>
      </c>
      <c r="D96" s="2" t="str">
        <f>IFERROR(__xludf.DUMMYFUNCTION("""COMPUTED_VALUE"""),"Castilla-La Mancha")</f>
        <v>Castilla-La Mancha</v>
      </c>
      <c r="E96" s="2"/>
      <c r="F96" s="2">
        <f>IFERROR(__xludf.DUMMYFUNCTION("""COMPUTED_VALUE"""),285.15)</f>
        <v>285.15</v>
      </c>
      <c r="G96" s="4">
        <f>IFERROR(__xludf.DUMMYFUNCTION("""COMPUTED_VALUE"""),74746.0)</f>
        <v>74746</v>
      </c>
      <c r="H96" s="2">
        <f>IFERROR(__xludf.DUMMYFUNCTION("""COMPUTED_VALUE"""),262.13)</f>
        <v>262.13</v>
      </c>
    </row>
    <row r="97">
      <c r="A97" s="2" t="str">
        <f>IFERROR(__xludf.DUMMYFUNCTION("""COMPUTED_VALUE"""),"Gandía")</f>
        <v>Gandía</v>
      </c>
      <c r="B97" s="2" t="str">
        <f>IFERROR(__xludf.DUMMYFUNCTION("""COMPUTED_VALUE"""),"Safor")</f>
        <v>Safor</v>
      </c>
      <c r="C97" s="2" t="str">
        <f>IFERROR(__xludf.DUMMYFUNCTION("""COMPUTED_VALUE"""),"Provincia de València")</f>
        <v>Provincia de València</v>
      </c>
      <c r="D97" s="2" t="str">
        <f>IFERROR(__xludf.DUMMYFUNCTION("""COMPUTED_VALUE"""),"Comunidad Valenciana")</f>
        <v>Comunidad Valenciana</v>
      </c>
      <c r="E97" s="2">
        <f>IFERROR(__xludf.DUMMYFUNCTION("""COMPUTED_VALUE"""),22.0)</f>
        <v>22</v>
      </c>
      <c r="F97" s="2">
        <f>IFERROR(__xludf.DUMMYFUNCTION("""COMPUTED_VALUE"""),60.83)</f>
        <v>60.83</v>
      </c>
      <c r="G97" s="4">
        <f>IFERROR(__xludf.DUMMYFUNCTION("""COMPUTED_VALUE"""),74562.0)</f>
        <v>74562</v>
      </c>
      <c r="H97" s="5">
        <f>IFERROR(__xludf.DUMMYFUNCTION("""COMPUTED_VALUE"""),1225.74)</f>
        <v>1225.74</v>
      </c>
    </row>
    <row r="98">
      <c r="A98" s="2" t="str">
        <f>IFERROR(__xludf.DUMMYFUNCTION("""COMPUTED_VALUE"""),"Santa Lucía de Tirajana")</f>
        <v>Santa Lucía de Tirajana</v>
      </c>
      <c r="B98" s="2"/>
      <c r="C98" s="2" t="str">
        <f>IFERROR(__xludf.DUMMYFUNCTION("""COMPUTED_VALUE"""),"Provincia de Las Palmas")</f>
        <v>Provincia de Las Palmas</v>
      </c>
      <c r="D98" s="2" t="str">
        <f>IFERROR(__xludf.DUMMYFUNCTION("""COMPUTED_VALUE"""),"Canarias")</f>
        <v>Canarias</v>
      </c>
      <c r="E98" s="2">
        <f>IFERROR(__xludf.DUMMYFUNCTION("""COMPUTED_VALUE"""),680.0)</f>
        <v>680</v>
      </c>
      <c r="F98" s="2">
        <f>IFERROR(__xludf.DUMMYFUNCTION("""COMPUTED_VALUE"""),62.53)</f>
        <v>62.53</v>
      </c>
      <c r="G98" s="4">
        <f>IFERROR(__xludf.DUMMYFUNCTION("""COMPUTED_VALUE"""),73328.0)</f>
        <v>73328</v>
      </c>
      <c r="H98" s="5">
        <f>IFERROR(__xludf.DUMMYFUNCTION("""COMPUTED_VALUE"""),1172.69)</f>
        <v>1172.69</v>
      </c>
    </row>
    <row r="99">
      <c r="A99" s="2" t="str">
        <f>IFERROR(__xludf.DUMMYFUNCTION("""COMPUTED_VALUE"""),"Molina de Segura")</f>
        <v>Molina de Segura</v>
      </c>
      <c r="B99" s="2" t="str">
        <f>IFERROR(__xludf.DUMMYFUNCTION("""COMPUTED_VALUE"""),"Vega Media del Segura")</f>
        <v>Vega Media del Segura</v>
      </c>
      <c r="C99" s="2" t="str">
        <f>IFERROR(__xludf.DUMMYFUNCTION("""COMPUTED_VALUE"""),"Provincia de Murcia")</f>
        <v>Provincia de Murcia</v>
      </c>
      <c r="D99" s="2" t="str">
        <f>IFERROR(__xludf.DUMMYFUNCTION("""COMPUTED_VALUE"""),"Región de Murcia")</f>
        <v>Región de Murcia</v>
      </c>
      <c r="E99" s="2">
        <f>IFERROR(__xludf.DUMMYFUNCTION("""COMPUTED_VALUE"""),125.0)</f>
        <v>125</v>
      </c>
      <c r="F99" s="2">
        <f>IFERROR(__xludf.DUMMYFUNCTION("""COMPUTED_VALUE"""),169.37)</f>
        <v>169.37</v>
      </c>
      <c r="G99" s="4">
        <f>IFERROR(__xludf.DUMMYFUNCTION("""COMPUTED_VALUE"""),71890.0)</f>
        <v>71890</v>
      </c>
      <c r="H99" s="2">
        <f>IFERROR(__xludf.DUMMYFUNCTION("""COMPUTED_VALUE"""),424.46)</f>
        <v>424.46</v>
      </c>
    </row>
    <row r="100">
      <c r="A100" s="2" t="str">
        <f>IFERROR(__xludf.DUMMYFUNCTION("""COMPUTED_VALUE"""),"Majadahonda")</f>
        <v>Majadahonda</v>
      </c>
      <c r="B100" s="2" t="str">
        <f>IFERROR(__xludf.DUMMYFUNCTION("""COMPUTED_VALUE"""),"Área metropolitana de Madrid")</f>
        <v>Área metropolitana de Madrid</v>
      </c>
      <c r="C100" s="2" t="str">
        <f>IFERROR(__xludf.DUMMYFUNCTION("""COMPUTED_VALUE"""),"Provincia de Madrid")</f>
        <v>Provincia de Madrid</v>
      </c>
      <c r="D100" s="2" t="str">
        <f>IFERROR(__xludf.DUMMYFUNCTION("""COMPUTED_VALUE"""),"Comunidad de Madrid")</f>
        <v>Comunidad de Madrid</v>
      </c>
      <c r="E100" s="2">
        <f>IFERROR(__xludf.DUMMYFUNCTION("""COMPUTED_VALUE"""),743.0)</f>
        <v>743</v>
      </c>
      <c r="F100" s="2">
        <f>IFERROR(__xludf.DUMMYFUNCTION("""COMPUTED_VALUE"""),38.47)</f>
        <v>38.47</v>
      </c>
      <c r="G100" s="4">
        <f>IFERROR(__xludf.DUMMYFUNCTION("""COMPUTED_VALUE"""),71826.0)</f>
        <v>71826</v>
      </c>
      <c r="H100" s="5">
        <f>IFERROR(__xludf.DUMMYFUNCTION("""COMPUTED_VALUE"""),1867.07)</f>
        <v>1867.07</v>
      </c>
    </row>
    <row r="101">
      <c r="A101" s="2" t="str">
        <f>IFERROR(__xludf.DUMMYFUNCTION("""COMPUTED_VALUE"""),"Paterna")</f>
        <v>Paterna</v>
      </c>
      <c r="B101" s="2" t="str">
        <f>IFERROR(__xludf.DUMMYFUNCTION("""COMPUTED_VALUE"""),"L'Horta Oest")</f>
        <v>L'Horta Oest</v>
      </c>
      <c r="C101" s="2" t="str">
        <f>IFERROR(__xludf.DUMMYFUNCTION("""COMPUTED_VALUE"""),"Provincia de València")</f>
        <v>Provincia de València</v>
      </c>
      <c r="D101" s="2" t="str">
        <f>IFERROR(__xludf.DUMMYFUNCTION("""COMPUTED_VALUE"""),"Comunidad Valenciana")</f>
        <v>Comunidad Valenciana</v>
      </c>
      <c r="E101" s="2">
        <f>IFERROR(__xludf.DUMMYFUNCTION("""COMPUTED_VALUE"""),70.0)</f>
        <v>70</v>
      </c>
      <c r="F101" s="2">
        <f>IFERROR(__xludf.DUMMYFUNCTION("""COMPUTED_VALUE"""),35.85)</f>
        <v>35.85</v>
      </c>
      <c r="G101" s="4">
        <f>IFERROR(__xludf.DUMMYFUNCTION("""COMPUTED_VALUE"""),70195.0)</f>
        <v>70195</v>
      </c>
      <c r="H101" s="5">
        <f>IFERROR(__xludf.DUMMYFUNCTION("""COMPUTED_VALUE"""),1958.02)</f>
        <v>1958.02</v>
      </c>
    </row>
    <row r="102">
      <c r="A102" s="2" t="str">
        <f>IFERROR(__xludf.DUMMYFUNCTION("""COMPUTED_VALUE"""),"Benidorm")</f>
        <v>Benidorm</v>
      </c>
      <c r="B102" s="2" t="str">
        <f>IFERROR(__xludf.DUMMYFUNCTION("""COMPUTED_VALUE"""),"Marina Baja")</f>
        <v>Marina Baja</v>
      </c>
      <c r="C102" s="2" t="str">
        <f>IFERROR(__xludf.DUMMYFUNCTION("""COMPUTED_VALUE"""),"Provincia de Alicante")</f>
        <v>Provincia de Alicante</v>
      </c>
      <c r="D102" s="2" t="str">
        <f>IFERROR(__xludf.DUMMYFUNCTION("""COMPUTED_VALUE"""),"Comunidad Valenciana")</f>
        <v>Comunidad Valenciana</v>
      </c>
      <c r="E102" s="2">
        <f>IFERROR(__xludf.DUMMYFUNCTION("""COMPUTED_VALUE"""),15.0)</f>
        <v>15</v>
      </c>
      <c r="F102" s="2">
        <f>IFERROR(__xludf.DUMMYFUNCTION("""COMPUTED_VALUE"""),38.51)</f>
        <v>38.51</v>
      </c>
      <c r="G102" s="4">
        <f>IFERROR(__xludf.DUMMYFUNCTION("""COMPUTED_VALUE"""),68721.0)</f>
        <v>68721</v>
      </c>
      <c r="H102" s="5">
        <f>IFERROR(__xludf.DUMMYFUNCTION("""COMPUTED_VALUE"""),1784.5)</f>
        <v>1784.5</v>
      </c>
    </row>
    <row r="103">
      <c r="A103" s="2" t="str">
        <f>IFERROR(__xludf.DUMMYFUNCTION("""COMPUTED_VALUE"""),"Sanlúcar de Barrameda")</f>
        <v>Sanlúcar de Barrameda</v>
      </c>
      <c r="B103" s="2" t="str">
        <f>IFERROR(__xludf.DUMMYFUNCTION("""COMPUTED_VALUE"""),"Costa Noroeste de Cádiz")</f>
        <v>Costa Noroeste de Cádiz</v>
      </c>
      <c r="C103" s="2" t="str">
        <f>IFERROR(__xludf.DUMMYFUNCTION("""COMPUTED_VALUE"""),"Provincia de Cádiz")</f>
        <v>Provincia de Cádiz</v>
      </c>
      <c r="D103" s="2" t="str">
        <f>IFERROR(__xludf.DUMMYFUNCTION("""COMPUTED_VALUE"""),"Andalucía")</f>
        <v>Andalucía</v>
      </c>
      <c r="E103" s="2">
        <f>IFERROR(__xludf.DUMMYFUNCTION("""COMPUTED_VALUE"""),30.0)</f>
        <v>30</v>
      </c>
      <c r="F103" s="2">
        <f>IFERROR(__xludf.DUMMYFUNCTION("""COMPUTED_VALUE"""),170.27)</f>
        <v>170.27</v>
      </c>
      <c r="G103" s="4">
        <f>IFERROR(__xludf.DUMMYFUNCTION("""COMPUTED_VALUE"""),68684.0)</f>
        <v>68684</v>
      </c>
      <c r="H103" s="2">
        <f>IFERROR(__xludf.DUMMYFUNCTION("""COMPUTED_VALUE"""),403.38)</f>
        <v>403.38</v>
      </c>
    </row>
    <row r="104">
      <c r="A104" s="2" t="str">
        <f>IFERROR(__xludf.DUMMYFUNCTION("""COMPUTED_VALUE"""),"Torremolinos")</f>
        <v>Torremolinos</v>
      </c>
      <c r="B104" s="2" t="str">
        <f>IFERROR(__xludf.DUMMYFUNCTION("""COMPUTED_VALUE"""),"Costa del Sol Occidental")</f>
        <v>Costa del Sol Occidental</v>
      </c>
      <c r="C104" s="2" t="str">
        <f>IFERROR(__xludf.DUMMYFUNCTION("""COMPUTED_VALUE"""),"Provincia de Málaga")</f>
        <v>Provincia de Málaga</v>
      </c>
      <c r="D104" s="2" t="str">
        <f>IFERROR(__xludf.DUMMYFUNCTION("""COMPUTED_VALUE"""),"Andalucía")</f>
        <v>Andalucía</v>
      </c>
      <c r="E104" s="2">
        <f>IFERROR(__xludf.DUMMYFUNCTION("""COMPUTED_VALUE"""),49.0)</f>
        <v>49</v>
      </c>
      <c r="F104" s="2">
        <f>IFERROR(__xludf.DUMMYFUNCTION("""COMPUTED_VALUE"""),19.91)</f>
        <v>19.91</v>
      </c>
      <c r="G104" s="4">
        <f>IFERROR(__xludf.DUMMYFUNCTION("""COMPUTED_VALUE"""),68661.0)</f>
        <v>68661</v>
      </c>
      <c r="H104" s="5">
        <f>IFERROR(__xludf.DUMMYFUNCTION("""COMPUTED_VALUE"""),3448.57)</f>
        <v>3448.57</v>
      </c>
    </row>
    <row r="105">
      <c r="A105" s="2" t="str">
        <f>IFERROR(__xludf.DUMMYFUNCTION("""COMPUTED_VALUE"""),"Estepona")</f>
        <v>Estepona</v>
      </c>
      <c r="B105" s="2" t="str">
        <f>IFERROR(__xludf.DUMMYFUNCTION("""COMPUTED_VALUE"""),"Costa del Sol Occidental")</f>
        <v>Costa del Sol Occidental</v>
      </c>
      <c r="C105" s="2" t="str">
        <f>IFERROR(__xludf.DUMMYFUNCTION("""COMPUTED_VALUE"""),"Provincia de Málaga")</f>
        <v>Provincia de Málaga</v>
      </c>
      <c r="D105" s="2" t="str">
        <f>IFERROR(__xludf.DUMMYFUNCTION("""COMPUTED_VALUE"""),"Andalucía")</f>
        <v>Andalucía</v>
      </c>
      <c r="E105" s="2">
        <f>IFERROR(__xludf.DUMMYFUNCTION("""COMPUTED_VALUE"""),69.0)</f>
        <v>69</v>
      </c>
      <c r="F105" s="2">
        <f>IFERROR(__xludf.DUMMYFUNCTION("""COMPUTED_VALUE"""),137.37)</f>
        <v>137.37</v>
      </c>
      <c r="G105" s="4">
        <f>IFERROR(__xludf.DUMMYFUNCTION("""COMPUTED_VALUE"""),68286.0)</f>
        <v>68286</v>
      </c>
      <c r="H105" s="2">
        <f>IFERROR(__xludf.DUMMYFUNCTION("""COMPUTED_VALUE"""),497.1)</f>
        <v>497.1</v>
      </c>
    </row>
    <row r="106">
      <c r="A106" s="2" t="str">
        <f>IFERROR(__xludf.DUMMYFUNCTION("""COMPUTED_VALUE"""),"Benalmádena")</f>
        <v>Benalmádena</v>
      </c>
      <c r="B106" s="2" t="str">
        <f>IFERROR(__xludf.DUMMYFUNCTION("""COMPUTED_VALUE"""),"Costa del Sol Occidental")</f>
        <v>Costa del Sol Occidental</v>
      </c>
      <c r="C106" s="2" t="str">
        <f>IFERROR(__xludf.DUMMYFUNCTION("""COMPUTED_VALUE"""),"Provincia de Málaga")</f>
        <v>Provincia de Málaga</v>
      </c>
      <c r="D106" s="2" t="str">
        <f>IFERROR(__xludf.DUMMYFUNCTION("""COMPUTED_VALUE"""),"Andalucía")</f>
        <v>Andalucía</v>
      </c>
      <c r="E106" s="2">
        <f>IFERROR(__xludf.DUMMYFUNCTION("""COMPUTED_VALUE"""),280.0)</f>
        <v>280</v>
      </c>
      <c r="F106" s="2">
        <f>IFERROR(__xludf.DUMMYFUNCTION("""COMPUTED_VALUE"""),26.93)</f>
        <v>26.93</v>
      </c>
      <c r="G106" s="4">
        <f>IFERROR(__xludf.DUMMYFUNCTION("""COMPUTED_VALUE"""),68128.0)</f>
        <v>68128</v>
      </c>
      <c r="H106" s="5">
        <f>IFERROR(__xludf.DUMMYFUNCTION("""COMPUTED_VALUE"""),2529.82)</f>
        <v>2529.82</v>
      </c>
    </row>
    <row r="107">
      <c r="A107" s="2" t="str">
        <f>IFERROR(__xludf.DUMMYFUNCTION("""COMPUTED_VALUE"""),"Vilanova i la Geltrú")</f>
        <v>Vilanova i la Geltrú</v>
      </c>
      <c r="B107" s="2" t="str">
        <f>IFERROR(__xludf.DUMMYFUNCTION("""COMPUTED_VALUE"""),"Garraf")</f>
        <v>Garraf</v>
      </c>
      <c r="C107" s="2" t="str">
        <f>IFERROR(__xludf.DUMMYFUNCTION("""COMPUTED_VALUE"""),"Provincia de Barcelona")</f>
        <v>Provincia de Barcelona</v>
      </c>
      <c r="D107" s="2" t="str">
        <f>IFERROR(__xludf.DUMMYFUNCTION("""COMPUTED_VALUE"""),"Cataluña")</f>
        <v>Cataluña</v>
      </c>
      <c r="E107" s="2">
        <f>IFERROR(__xludf.DUMMYFUNCTION("""COMPUTED_VALUE"""),22.0)</f>
        <v>22</v>
      </c>
      <c r="F107" s="2">
        <f>IFERROR(__xludf.DUMMYFUNCTION("""COMPUTED_VALUE"""),33.87)</f>
        <v>33.87</v>
      </c>
      <c r="G107" s="4">
        <f>IFERROR(__xludf.DUMMYFUNCTION("""COMPUTED_VALUE"""),67086.0)</f>
        <v>67086</v>
      </c>
      <c r="H107" s="5">
        <f>IFERROR(__xludf.DUMMYFUNCTION("""COMPUTED_VALUE"""),1980.69)</f>
        <v>1980.69</v>
      </c>
    </row>
    <row r="108">
      <c r="A108" s="2" t="str">
        <f>IFERROR(__xludf.DUMMYFUNCTION("""COMPUTED_VALUE"""),"Castelldefels")</f>
        <v>Castelldefels</v>
      </c>
      <c r="B108" s="2" t="str">
        <f>IFERROR(__xludf.DUMMYFUNCTION("""COMPUTED_VALUE"""),"Bajo Llobregat")</f>
        <v>Bajo Llobregat</v>
      </c>
      <c r="C108" s="2" t="str">
        <f>IFERROR(__xludf.DUMMYFUNCTION("""COMPUTED_VALUE"""),"Provincia de Barcelona")</f>
        <v>Provincia de Barcelona</v>
      </c>
      <c r="D108" s="2" t="str">
        <f>IFERROR(__xludf.DUMMYFUNCTION("""COMPUTED_VALUE"""),"Cataluña")</f>
        <v>Cataluña</v>
      </c>
      <c r="E108" s="2">
        <f>IFERROR(__xludf.DUMMYFUNCTION("""COMPUTED_VALUE"""),3.0)</f>
        <v>3</v>
      </c>
      <c r="F108" s="2">
        <f>IFERROR(__xludf.DUMMYFUNCTION("""COMPUTED_VALUE"""),12.81)</f>
        <v>12.81</v>
      </c>
      <c r="G108" s="4">
        <f>IFERROR(__xludf.DUMMYFUNCTION("""COMPUTED_VALUE"""),67004.0)</f>
        <v>67004</v>
      </c>
      <c r="H108" s="5">
        <f>IFERROR(__xludf.DUMMYFUNCTION("""COMPUTED_VALUE"""),5230.6)</f>
        <v>5230.6</v>
      </c>
    </row>
    <row r="109">
      <c r="A109" s="2" t="str">
        <f>IFERROR(__xludf.DUMMYFUNCTION("""COMPUTED_VALUE"""),"Viladecans")</f>
        <v>Viladecans</v>
      </c>
      <c r="B109" s="2" t="str">
        <f>IFERROR(__xludf.DUMMYFUNCTION("""COMPUTED_VALUE"""),"Bajo Llobregat")</f>
        <v>Bajo Llobregat</v>
      </c>
      <c r="C109" s="2" t="str">
        <f>IFERROR(__xludf.DUMMYFUNCTION("""COMPUTED_VALUE"""),"Provincia de Barcelona")</f>
        <v>Provincia de Barcelona</v>
      </c>
      <c r="D109" s="2" t="str">
        <f>IFERROR(__xludf.DUMMYFUNCTION("""COMPUTED_VALUE"""),"Cataluña")</f>
        <v>Cataluña</v>
      </c>
      <c r="E109" s="2">
        <f>IFERROR(__xludf.DUMMYFUNCTION("""COMPUTED_VALUE"""),18.0)</f>
        <v>18</v>
      </c>
      <c r="F109" s="2">
        <f>IFERROR(__xludf.DUMMYFUNCTION("""COMPUTED_VALUE"""),20.06)</f>
        <v>20.06</v>
      </c>
      <c r="G109" s="4">
        <f>IFERROR(__xludf.DUMMYFUNCTION("""COMPUTED_VALUE"""),66611.0)</f>
        <v>66611</v>
      </c>
      <c r="H109" s="5">
        <f>IFERROR(__xludf.DUMMYFUNCTION("""COMPUTED_VALUE"""),3320.59)</f>
        <v>3320.59</v>
      </c>
    </row>
    <row r="110">
      <c r="A110" s="2" t="str">
        <f>IFERROR(__xludf.DUMMYFUNCTION("""COMPUTED_VALUE"""),"Sagunto")</f>
        <v>Sagunto</v>
      </c>
      <c r="B110" s="2" t="str">
        <f>IFERROR(__xludf.DUMMYFUNCTION("""COMPUTED_VALUE"""),"Camp de Morvedre")</f>
        <v>Camp de Morvedre</v>
      </c>
      <c r="C110" s="2" t="str">
        <f>IFERROR(__xludf.DUMMYFUNCTION("""COMPUTED_VALUE"""),"Provincia de València")</f>
        <v>Provincia de València</v>
      </c>
      <c r="D110" s="2" t="str">
        <f>IFERROR(__xludf.DUMMYFUNCTION("""COMPUTED_VALUE"""),"Comunidad Valenciana")</f>
        <v>Comunidad Valenciana</v>
      </c>
      <c r="E110" s="2">
        <f>IFERROR(__xludf.DUMMYFUNCTION("""COMPUTED_VALUE"""),49.0)</f>
        <v>49</v>
      </c>
      <c r="F110" s="2">
        <f>IFERROR(__xludf.DUMMYFUNCTION("""COMPUTED_VALUE"""),133.92)</f>
        <v>133.92</v>
      </c>
      <c r="G110" s="4">
        <f>IFERROR(__xludf.DUMMYFUNCTION("""COMPUTED_VALUE"""),66140.0)</f>
        <v>66140</v>
      </c>
      <c r="H110" s="2">
        <f>IFERROR(__xludf.DUMMYFUNCTION("""COMPUTED_VALUE"""),493.88)</f>
        <v>493.88</v>
      </c>
    </row>
    <row r="111">
      <c r="A111" s="2" t="str">
        <f>IFERROR(__xludf.DUMMYFUNCTION("""COMPUTED_VALUE"""),"Ferrol")</f>
        <v>Ferrol</v>
      </c>
      <c r="B111" s="2" t="str">
        <f>IFERROR(__xludf.DUMMYFUNCTION("""COMPUTED_VALUE"""),"Comarca de Ferrol")</f>
        <v>Comarca de Ferrol</v>
      </c>
      <c r="C111" s="2" t="str">
        <f>IFERROR(__xludf.DUMMYFUNCTION("""COMPUTED_VALUE"""),"Provincia de A Coruña")</f>
        <v>Provincia de A Coruña</v>
      </c>
      <c r="D111" s="2" t="str">
        <f>IFERROR(__xludf.DUMMYFUNCTION("""COMPUTED_VALUE"""),"Galicia")</f>
        <v>Galicia</v>
      </c>
      <c r="E111" s="2">
        <f>IFERROR(__xludf.DUMMYFUNCTION("""COMPUTED_VALUE"""),0.0)</f>
        <v>0</v>
      </c>
      <c r="F111" s="2">
        <f>IFERROR(__xludf.DUMMYFUNCTION("""COMPUTED_VALUE"""),82.65)</f>
        <v>82.65</v>
      </c>
      <c r="G111" s="4">
        <f>IFERROR(__xludf.DUMMYFUNCTION("""COMPUTED_VALUE"""),66065.0)</f>
        <v>66065</v>
      </c>
      <c r="H111" s="2">
        <f>IFERROR(__xludf.DUMMYFUNCTION("""COMPUTED_VALUE"""),799.33)</f>
        <v>799.33</v>
      </c>
    </row>
    <row r="112">
      <c r="A112" s="2" t="str">
        <f>IFERROR(__xludf.DUMMYFUNCTION("""COMPUTED_VALUE"""),"Ponferrada")</f>
        <v>Ponferrada</v>
      </c>
      <c r="B112" s="2"/>
      <c r="C112" s="2" t="str">
        <f>IFERROR(__xludf.DUMMYFUNCTION("""COMPUTED_VALUE"""),"Provincia de León")</f>
        <v>Provincia de León</v>
      </c>
      <c r="D112" s="2" t="str">
        <f>IFERROR(__xludf.DUMMYFUNCTION("""COMPUTED_VALUE"""),"Castilla y León")</f>
        <v>Castilla y León</v>
      </c>
      <c r="E112" s="2">
        <f>IFERROR(__xludf.DUMMYFUNCTION("""COMPUTED_VALUE"""),544.0)</f>
        <v>544</v>
      </c>
      <c r="F112" s="2">
        <f>IFERROR(__xludf.DUMMYFUNCTION("""COMPUTED_VALUE"""),283.17)</f>
        <v>283.17</v>
      </c>
      <c r="G112" s="4">
        <f>IFERROR(__xludf.DUMMYFUNCTION("""COMPUTED_VALUE"""),64674.0)</f>
        <v>64674</v>
      </c>
      <c r="H112" s="2">
        <f>IFERROR(__xludf.DUMMYFUNCTION("""COMPUTED_VALUE"""),228.39)</f>
        <v>228.39</v>
      </c>
    </row>
    <row r="113">
      <c r="A113" s="2" t="str">
        <f>IFERROR(__xludf.DUMMYFUNCTION("""COMPUTED_VALUE"""),"El Prat de Llobregat")</f>
        <v>El Prat de Llobregat</v>
      </c>
      <c r="B113" s="2" t="str">
        <f>IFERROR(__xludf.DUMMYFUNCTION("""COMPUTED_VALUE"""),"Bajo Llobregat")</f>
        <v>Bajo Llobregat</v>
      </c>
      <c r="C113" s="2" t="str">
        <f>IFERROR(__xludf.DUMMYFUNCTION("""COMPUTED_VALUE"""),"Provincia de Barcelona")</f>
        <v>Provincia de Barcelona</v>
      </c>
      <c r="D113" s="2" t="str">
        <f>IFERROR(__xludf.DUMMYFUNCTION("""COMPUTED_VALUE"""),"Cataluña")</f>
        <v>Cataluña</v>
      </c>
      <c r="E113" s="2">
        <f>IFERROR(__xludf.DUMMYFUNCTION("""COMPUTED_VALUE"""),8.0)</f>
        <v>8</v>
      </c>
      <c r="F113" s="2">
        <f>IFERROR(__xludf.DUMMYFUNCTION("""COMPUTED_VALUE"""),31.53)</f>
        <v>31.53</v>
      </c>
      <c r="G113" s="4">
        <f>IFERROR(__xludf.DUMMYFUNCTION("""COMPUTED_VALUE"""),64599.0)</f>
        <v>64599</v>
      </c>
      <c r="H113" s="5">
        <f>IFERROR(__xludf.DUMMYFUNCTION("""COMPUTED_VALUE"""),2048.81)</f>
        <v>2048.81</v>
      </c>
    </row>
    <row r="114">
      <c r="A114" s="2" t="str">
        <f>IFERROR(__xludf.DUMMYFUNCTION("""COMPUTED_VALUE"""),"Collado Villalba")</f>
        <v>Collado Villalba</v>
      </c>
      <c r="B114" s="2"/>
      <c r="C114" s="2" t="str">
        <f>IFERROR(__xludf.DUMMYFUNCTION("""COMPUTED_VALUE"""),"Provincia de Madrid")</f>
        <v>Provincia de Madrid</v>
      </c>
      <c r="D114" s="2" t="str">
        <f>IFERROR(__xludf.DUMMYFUNCTION("""COMPUTED_VALUE"""),"Comunidad de Madrid")</f>
        <v>Comunidad de Madrid</v>
      </c>
      <c r="E114" s="2">
        <f>IFERROR(__xludf.DUMMYFUNCTION("""COMPUTED_VALUE"""),903.0)</f>
        <v>903</v>
      </c>
      <c r="F114" s="2">
        <f>IFERROR(__xludf.DUMMYFUNCTION("""COMPUTED_VALUE"""),26.52)</f>
        <v>26.52</v>
      </c>
      <c r="G114" s="4">
        <f>IFERROR(__xludf.DUMMYFUNCTION("""COMPUTED_VALUE"""),63679.0)</f>
        <v>63679</v>
      </c>
      <c r="H114" s="5">
        <f>IFERROR(__xludf.DUMMYFUNCTION("""COMPUTED_VALUE"""),2401.17)</f>
        <v>2401.17</v>
      </c>
    </row>
    <row r="115">
      <c r="A115" s="2" t="str">
        <f>IFERROR(__xludf.DUMMYFUNCTION("""COMPUTED_VALUE"""),"La Línea de la Concepción")</f>
        <v>La Línea de la Concepción</v>
      </c>
      <c r="B115" s="2" t="str">
        <f>IFERROR(__xludf.DUMMYFUNCTION("""COMPUTED_VALUE"""),"Campo de Gibraltar")</f>
        <v>Campo de Gibraltar</v>
      </c>
      <c r="C115" s="2" t="str">
        <f>IFERROR(__xludf.DUMMYFUNCTION("""COMPUTED_VALUE"""),"Provincia de Cádiz")</f>
        <v>Provincia de Cádiz</v>
      </c>
      <c r="D115" s="2" t="str">
        <f>IFERROR(__xludf.DUMMYFUNCTION("""COMPUTED_VALUE"""),"Andalucía")</f>
        <v>Andalucía</v>
      </c>
      <c r="E115" s="2">
        <f>IFERROR(__xludf.DUMMYFUNCTION("""COMPUTED_VALUE"""),5.0)</f>
        <v>5</v>
      </c>
      <c r="F115" s="2">
        <f>IFERROR(__xludf.DUMMYFUNCTION("""COMPUTED_VALUE"""),26.67)</f>
        <v>26.67</v>
      </c>
      <c r="G115" s="4">
        <f>IFERROR(__xludf.DUMMYFUNCTION("""COMPUTED_VALUE"""),63147.0)</f>
        <v>63147</v>
      </c>
      <c r="H115" s="5">
        <f>IFERROR(__xludf.DUMMYFUNCTION("""COMPUTED_VALUE"""),2367.72)</f>
        <v>2367.72</v>
      </c>
    </row>
    <row r="116">
      <c r="A116" s="2" t="str">
        <f>IFERROR(__xludf.DUMMYFUNCTION("""COMPUTED_VALUE"""),"Arrecife")</f>
        <v>Arrecife</v>
      </c>
      <c r="B116" s="2" t="str">
        <f>IFERROR(__xludf.DUMMYFUNCTION("""COMPUTED_VALUE"""),"Arrecife")</f>
        <v>Arrecife</v>
      </c>
      <c r="C116" s="2" t="str">
        <f>IFERROR(__xludf.DUMMYFUNCTION("""COMPUTED_VALUE"""),"Provincia de Las Palmas")</f>
        <v>Provincia de Las Palmas</v>
      </c>
      <c r="D116" s="2" t="str">
        <f>IFERROR(__xludf.DUMMYFUNCTION("""COMPUTED_VALUE"""),"Canarias")</f>
        <v>Canarias</v>
      </c>
      <c r="E116" s="2">
        <f>IFERROR(__xludf.DUMMYFUNCTION("""COMPUTED_VALUE"""),20.0)</f>
        <v>20</v>
      </c>
      <c r="F116" s="2">
        <f>IFERROR(__xludf.DUMMYFUNCTION("""COMPUTED_VALUE"""),24.28)</f>
        <v>24.28</v>
      </c>
      <c r="G116" s="4">
        <f>IFERROR(__xludf.DUMMYFUNCTION("""COMPUTED_VALUE"""),62988.0)</f>
        <v>62988</v>
      </c>
      <c r="H116" s="5">
        <f>IFERROR(__xludf.DUMMYFUNCTION("""COMPUTED_VALUE"""),2594.23)</f>
        <v>2594.23</v>
      </c>
    </row>
    <row r="117">
      <c r="A117" s="2" t="str">
        <f>IFERROR(__xludf.DUMMYFUNCTION("""COMPUTED_VALUE"""),"Irún")</f>
        <v>Irún</v>
      </c>
      <c r="B117" s="2" t="str">
        <f>IFERROR(__xludf.DUMMYFUNCTION("""COMPUTED_VALUE"""),"Bajo Bidasoa")</f>
        <v>Bajo Bidasoa</v>
      </c>
      <c r="C117" s="2" t="str">
        <f>IFERROR(__xludf.DUMMYFUNCTION("""COMPUTED_VALUE"""),"Provincia de Gipuzkoa")</f>
        <v>Provincia de Gipuzkoa</v>
      </c>
      <c r="D117" s="2" t="str">
        <f>IFERROR(__xludf.DUMMYFUNCTION("""COMPUTED_VALUE"""),"País Vasco")</f>
        <v>País Vasco</v>
      </c>
      <c r="E117" s="2">
        <f>IFERROR(__xludf.DUMMYFUNCTION("""COMPUTED_VALUE"""),20.0)</f>
        <v>20</v>
      </c>
      <c r="F117" s="2">
        <f>IFERROR(__xludf.DUMMYFUNCTION("""COMPUTED_VALUE"""),42.4)</f>
        <v>42.4</v>
      </c>
      <c r="G117" s="4">
        <f>IFERROR(__xludf.DUMMYFUNCTION("""COMPUTED_VALUE"""),62401.0)</f>
        <v>62401</v>
      </c>
      <c r="H117" s="5">
        <f>IFERROR(__xludf.DUMMYFUNCTION("""COMPUTED_VALUE"""),1471.72)</f>
        <v>1471.72</v>
      </c>
    </row>
    <row r="118">
      <c r="A118" s="2" t="str">
        <f>IFERROR(__xludf.DUMMYFUNCTION("""COMPUTED_VALUE"""),"Zamora")</f>
        <v>Zamora</v>
      </c>
      <c r="B118" s="2" t="str">
        <f>IFERROR(__xludf.DUMMYFUNCTION("""COMPUTED_VALUE"""),"Tierra del Pan")</f>
        <v>Tierra del Pan</v>
      </c>
      <c r="C118" s="2" t="str">
        <f>IFERROR(__xludf.DUMMYFUNCTION("""COMPUTED_VALUE"""),"Provincia de Zamora")</f>
        <v>Provincia de Zamora</v>
      </c>
      <c r="D118" s="2" t="str">
        <f>IFERROR(__xludf.DUMMYFUNCTION("""COMPUTED_VALUE"""),"Castilla y León")</f>
        <v>Castilla y León</v>
      </c>
      <c r="E118" s="2">
        <f>IFERROR(__xludf.DUMMYFUNCTION("""COMPUTED_VALUE"""),652.0)</f>
        <v>652</v>
      </c>
      <c r="F118" s="2">
        <f>IFERROR(__xludf.DUMMYFUNCTION("""COMPUTED_VALUE"""),149.28)</f>
        <v>149.28</v>
      </c>
      <c r="G118" s="4">
        <f>IFERROR(__xludf.DUMMYFUNCTION("""COMPUTED_VALUE"""),61406.0)</f>
        <v>61406</v>
      </c>
      <c r="H118" s="2">
        <f>IFERROR(__xludf.DUMMYFUNCTION("""COMPUTED_VALUE"""),411.35)</f>
        <v>411.35</v>
      </c>
    </row>
    <row r="119">
      <c r="A119" s="2" t="str">
        <f>IFERROR(__xludf.DUMMYFUNCTION("""COMPUTED_VALUE"""),"Granollers")</f>
        <v>Granollers</v>
      </c>
      <c r="B119" s="2" t="str">
        <f>IFERROR(__xludf.DUMMYFUNCTION("""COMPUTED_VALUE"""),"Vallès Oriental")</f>
        <v>Vallès Oriental</v>
      </c>
      <c r="C119" s="2" t="str">
        <f>IFERROR(__xludf.DUMMYFUNCTION("""COMPUTED_VALUE"""),"Provincia de Barcelona")</f>
        <v>Provincia de Barcelona</v>
      </c>
      <c r="D119" s="2" t="str">
        <f>IFERROR(__xludf.DUMMYFUNCTION("""COMPUTED_VALUE"""),"Cataluña")</f>
        <v>Cataluña</v>
      </c>
      <c r="E119" s="2">
        <f>IFERROR(__xludf.DUMMYFUNCTION("""COMPUTED_VALUE"""),145.0)</f>
        <v>145</v>
      </c>
      <c r="F119" s="2">
        <f>IFERROR(__xludf.DUMMYFUNCTION("""COMPUTED_VALUE"""),14.95)</f>
        <v>14.95</v>
      </c>
      <c r="G119" s="4">
        <f>IFERROR(__xludf.DUMMYFUNCTION("""COMPUTED_VALUE"""),61275.0)</f>
        <v>61275</v>
      </c>
      <c r="H119" s="5">
        <f>IFERROR(__xludf.DUMMYFUNCTION("""COMPUTED_VALUE"""),4098.66)</f>
        <v>4098.66</v>
      </c>
    </row>
    <row r="120">
      <c r="A120" s="2" t="str">
        <f>IFERROR(__xludf.DUMMYFUNCTION("""COMPUTED_VALUE"""),"Aranjuez")</f>
        <v>Aranjuez</v>
      </c>
      <c r="B120" s="2" t="str">
        <f>IFERROR(__xludf.DUMMYFUNCTION("""COMPUTED_VALUE"""),"Comarca de Las Vegas")</f>
        <v>Comarca de Las Vegas</v>
      </c>
      <c r="C120" s="2" t="str">
        <f>IFERROR(__xludf.DUMMYFUNCTION("""COMPUTED_VALUE"""),"Provincia de Madrid")</f>
        <v>Provincia de Madrid</v>
      </c>
      <c r="D120" s="2" t="str">
        <f>IFERROR(__xludf.DUMMYFUNCTION("""COMPUTED_VALUE"""),"Comunidad de Madrid")</f>
        <v>Comunidad de Madrid</v>
      </c>
      <c r="E120" s="2">
        <f>IFERROR(__xludf.DUMMYFUNCTION("""COMPUTED_VALUE"""),494.0)</f>
        <v>494</v>
      </c>
      <c r="F120" s="2">
        <f>IFERROR(__xludf.DUMMYFUNCTION("""COMPUTED_VALUE"""),201.11)</f>
        <v>201.11</v>
      </c>
      <c r="G120" s="4">
        <f>IFERROR(__xludf.DUMMYFUNCTION("""COMPUTED_VALUE"""),59607.0)</f>
        <v>59607</v>
      </c>
      <c r="H120" s="2">
        <f>IFERROR(__xludf.DUMMYFUNCTION("""COMPUTED_VALUE"""),296.39)</f>
        <v>296.39</v>
      </c>
    </row>
    <row r="121">
      <c r="A121" s="2" t="str">
        <f>IFERROR(__xludf.DUMMYFUNCTION("""COMPUTED_VALUE"""),"Mérida")</f>
        <v>Mérida</v>
      </c>
      <c r="B121" s="2" t="str">
        <f>IFERROR(__xludf.DUMMYFUNCTION("""COMPUTED_VALUE"""),"Tierra de Mérida - Vegas Bajas")</f>
        <v>Tierra de Mérida - Vegas Bajas</v>
      </c>
      <c r="C121" s="2" t="str">
        <f>IFERROR(__xludf.DUMMYFUNCTION("""COMPUTED_VALUE"""),"Provincia de Badajoz")</f>
        <v>Provincia de Badajoz</v>
      </c>
      <c r="D121" s="2" t="str">
        <f>IFERROR(__xludf.DUMMYFUNCTION("""COMPUTED_VALUE"""),"Extremadura")</f>
        <v>Extremadura</v>
      </c>
      <c r="E121" s="2">
        <f>IFERROR(__xludf.DUMMYFUNCTION("""COMPUTED_VALUE"""),217.0)</f>
        <v>217</v>
      </c>
      <c r="F121" s="2">
        <f>IFERROR(__xludf.DUMMYFUNCTION("""COMPUTED_VALUE"""),865.19)</f>
        <v>865.19</v>
      </c>
      <c r="G121" s="4">
        <f>IFERROR(__xludf.DUMMYFUNCTION("""COMPUTED_VALUE"""),59335.0)</f>
        <v>59335</v>
      </c>
      <c r="H121" s="2">
        <f>IFERROR(__xludf.DUMMYFUNCTION("""COMPUTED_VALUE"""),68.58)</f>
        <v>68.58</v>
      </c>
    </row>
    <row r="122">
      <c r="A122" s="2" t="str">
        <f>IFERROR(__xludf.DUMMYFUNCTION("""COMPUTED_VALUE"""),"Alcoy")</f>
        <v>Alcoy</v>
      </c>
      <c r="B122" s="2" t="str">
        <f>IFERROR(__xludf.DUMMYFUNCTION("""COMPUTED_VALUE"""),"Hoya de Alcoy")</f>
        <v>Hoya de Alcoy</v>
      </c>
      <c r="C122" s="2" t="str">
        <f>IFERROR(__xludf.DUMMYFUNCTION("""COMPUTED_VALUE"""),"Provincia de Alicante")</f>
        <v>Provincia de Alicante</v>
      </c>
      <c r="D122" s="2" t="str">
        <f>IFERROR(__xludf.DUMMYFUNCTION("""COMPUTED_VALUE"""),"Comunidad Valenciana")</f>
        <v>Comunidad Valenciana</v>
      </c>
      <c r="E122" s="2">
        <f>IFERROR(__xludf.DUMMYFUNCTION("""COMPUTED_VALUE"""),561.0)</f>
        <v>561</v>
      </c>
      <c r="F122" s="2">
        <f>IFERROR(__xludf.DUMMYFUNCTION("""COMPUTED_VALUE"""),129.86)</f>
        <v>129.86</v>
      </c>
      <c r="G122" s="4">
        <f>IFERROR(__xludf.DUMMYFUNCTION("""COMPUTED_VALUE"""),58994.0)</f>
        <v>58994</v>
      </c>
      <c r="H122" s="2">
        <f>IFERROR(__xludf.DUMMYFUNCTION("""COMPUTED_VALUE"""),454.29)</f>
        <v>454.29</v>
      </c>
    </row>
    <row r="123">
      <c r="A123" s="2" t="str">
        <f>IFERROR(__xludf.DUMMYFUNCTION("""COMPUTED_VALUE"""),"Sant Vicent del Raspeig")</f>
        <v>Sant Vicent del Raspeig</v>
      </c>
      <c r="B123" s="2" t="str">
        <f>IFERROR(__xludf.DUMMYFUNCTION("""COMPUTED_VALUE"""),"Alacantí")</f>
        <v>Alacantí</v>
      </c>
      <c r="C123" s="2" t="str">
        <f>IFERROR(__xludf.DUMMYFUNCTION("""COMPUTED_VALUE"""),"Provincia de Alicante")</f>
        <v>Provincia de Alicante</v>
      </c>
      <c r="D123" s="2" t="str">
        <f>IFERROR(__xludf.DUMMYFUNCTION("""COMPUTED_VALUE"""),"Comunidad Valenciana")</f>
        <v>Comunidad Valenciana</v>
      </c>
      <c r="E123" s="2">
        <f>IFERROR(__xludf.DUMMYFUNCTION("""COMPUTED_VALUE"""),109.0)</f>
        <v>109</v>
      </c>
      <c r="F123" s="2">
        <f>IFERROR(__xludf.DUMMYFUNCTION("""COMPUTED_VALUE"""),40.55)</f>
        <v>40.55</v>
      </c>
      <c r="G123" s="4">
        <f>IFERROR(__xludf.DUMMYFUNCTION("""COMPUTED_VALUE"""),58385.0)</f>
        <v>58385</v>
      </c>
      <c r="H123" s="5">
        <f>IFERROR(__xludf.DUMMYFUNCTION("""COMPUTED_VALUE"""),1439.83)</f>
        <v>1439.83</v>
      </c>
    </row>
    <row r="124">
      <c r="A124" s="2" t="str">
        <f>IFERROR(__xludf.DUMMYFUNCTION("""COMPUTED_VALUE"""),"Motril")</f>
        <v>Motril</v>
      </c>
      <c r="B124" s="2" t="str">
        <f>IFERROR(__xludf.DUMMYFUNCTION("""COMPUTED_VALUE"""),"Costa Granadina")</f>
        <v>Costa Granadina</v>
      </c>
      <c r="C124" s="2" t="str">
        <f>IFERROR(__xludf.DUMMYFUNCTION("""COMPUTED_VALUE"""),"Provincia de Granada")</f>
        <v>Provincia de Granada</v>
      </c>
      <c r="D124" s="2" t="str">
        <f>IFERROR(__xludf.DUMMYFUNCTION("""COMPUTED_VALUE"""),"Andalucía")</f>
        <v>Andalucía</v>
      </c>
      <c r="E124" s="2">
        <f>IFERROR(__xludf.DUMMYFUNCTION("""COMPUTED_VALUE"""),45.0)</f>
        <v>45</v>
      </c>
      <c r="F124" s="2">
        <f>IFERROR(__xludf.DUMMYFUNCTION("""COMPUTED_VALUE"""),103.31)</f>
        <v>103.31</v>
      </c>
      <c r="G124" s="4">
        <f>IFERROR(__xludf.DUMMYFUNCTION("""COMPUTED_VALUE"""),58020.0)</f>
        <v>58020</v>
      </c>
      <c r="H124" s="2">
        <f>IFERROR(__xludf.DUMMYFUNCTION("""COMPUTED_VALUE"""),561.61)</f>
        <v>561.61</v>
      </c>
    </row>
    <row r="125">
      <c r="A125" s="2" t="str">
        <f>IFERROR(__xludf.DUMMYFUNCTION("""COMPUTED_VALUE"""),"Ávila")</f>
        <v>Ávila</v>
      </c>
      <c r="B125" s="2" t="str">
        <f>IFERROR(__xludf.DUMMYFUNCTION("""COMPUTED_VALUE"""),"Comarca de Ávila")</f>
        <v>Comarca de Ávila</v>
      </c>
      <c r="C125" s="2" t="str">
        <f>IFERROR(__xludf.DUMMYFUNCTION("""COMPUTED_VALUE"""),"Provincia de Ávila")</f>
        <v>Provincia de Ávila</v>
      </c>
      <c r="D125" s="2" t="str">
        <f>IFERROR(__xludf.DUMMYFUNCTION("""COMPUTED_VALUE"""),"Castilla y León")</f>
        <v>Castilla y León</v>
      </c>
      <c r="E125" s="4">
        <f>IFERROR(__xludf.DUMMYFUNCTION("""COMPUTED_VALUE"""),1132.0)</f>
        <v>1132</v>
      </c>
      <c r="F125" s="2">
        <f>IFERROR(__xludf.DUMMYFUNCTION("""COMPUTED_VALUE"""),230.7)</f>
        <v>230.7</v>
      </c>
      <c r="G125" s="4">
        <f>IFERROR(__xludf.DUMMYFUNCTION("""COMPUTED_VALUE"""),57744.0)</f>
        <v>57744</v>
      </c>
      <c r="H125" s="2">
        <f>IFERROR(__xludf.DUMMYFUNCTION("""COMPUTED_VALUE"""),250.3)</f>
        <v>250.3</v>
      </c>
    </row>
    <row r="126">
      <c r="A126" s="2" t="str">
        <f>IFERROR(__xludf.DUMMYFUNCTION("""COMPUTED_VALUE"""),"Linares")</f>
        <v>Linares</v>
      </c>
      <c r="B126" s="2" t="str">
        <f>IFERROR(__xludf.DUMMYFUNCTION("""COMPUTED_VALUE"""),"Sierra Morena")</f>
        <v>Sierra Morena</v>
      </c>
      <c r="C126" s="2" t="str">
        <f>IFERROR(__xludf.DUMMYFUNCTION("""COMPUTED_VALUE"""),"Provincia de Jaén")</f>
        <v>Provincia de Jaén</v>
      </c>
      <c r="D126" s="2" t="str">
        <f>IFERROR(__xludf.DUMMYFUNCTION("""COMPUTED_VALUE"""),"Andalucía")</f>
        <v>Andalucía</v>
      </c>
      <c r="E126" s="2">
        <f>IFERROR(__xludf.DUMMYFUNCTION("""COMPUTED_VALUE"""),419.0)</f>
        <v>419</v>
      </c>
      <c r="F126" s="2">
        <f>IFERROR(__xludf.DUMMYFUNCTION("""COMPUTED_VALUE"""),196.7)</f>
        <v>196.7</v>
      </c>
      <c r="G126" s="4">
        <f>IFERROR(__xludf.DUMMYFUNCTION("""COMPUTED_VALUE"""),57414.0)</f>
        <v>57414</v>
      </c>
      <c r="H126" s="2">
        <f>IFERROR(__xludf.DUMMYFUNCTION("""COMPUTED_VALUE"""),291.89)</f>
        <v>291.89</v>
      </c>
    </row>
    <row r="127">
      <c r="A127" s="2" t="str">
        <f>IFERROR(__xludf.DUMMYFUNCTION("""COMPUTED_VALUE"""),"Cerdanyola del Vallès")</f>
        <v>Cerdanyola del Vallès</v>
      </c>
      <c r="B127" s="2" t="str">
        <f>IFERROR(__xludf.DUMMYFUNCTION("""COMPUTED_VALUE"""),"Vallès Occidental")</f>
        <v>Vallès Occidental</v>
      </c>
      <c r="C127" s="2" t="str">
        <f>IFERROR(__xludf.DUMMYFUNCTION("""COMPUTED_VALUE"""),"Provincia de Barcelona")</f>
        <v>Provincia de Barcelona</v>
      </c>
      <c r="D127" s="2" t="str">
        <f>IFERROR(__xludf.DUMMYFUNCTION("""COMPUTED_VALUE"""),"Cataluña")</f>
        <v>Cataluña</v>
      </c>
      <c r="E127" s="2">
        <f>IFERROR(__xludf.DUMMYFUNCTION("""COMPUTED_VALUE"""),82.0)</f>
        <v>82</v>
      </c>
      <c r="F127" s="2">
        <f>IFERROR(__xludf.DUMMYFUNCTION("""COMPUTED_VALUE"""),30.83)</f>
        <v>30.83</v>
      </c>
      <c r="G127" s="4">
        <f>IFERROR(__xludf.DUMMYFUNCTION("""COMPUTED_VALUE"""),57403.0)</f>
        <v>57403</v>
      </c>
      <c r="H127" s="5">
        <f>IFERROR(__xludf.DUMMYFUNCTION("""COMPUTED_VALUE"""),1861.92)</f>
        <v>1861.92</v>
      </c>
    </row>
    <row r="128">
      <c r="A128" s="2" t="str">
        <f>IFERROR(__xludf.DUMMYFUNCTION("""COMPUTED_VALUE"""),"Arganda del Rey")</f>
        <v>Arganda del Rey</v>
      </c>
      <c r="B128" s="2" t="str">
        <f>IFERROR(__xludf.DUMMYFUNCTION("""COMPUTED_VALUE"""),"Comarca de Alcalá")</f>
        <v>Comarca de Alcalá</v>
      </c>
      <c r="C128" s="2" t="str">
        <f>IFERROR(__xludf.DUMMYFUNCTION("""COMPUTED_VALUE"""),"Provincia de Madrid")</f>
        <v>Provincia de Madrid</v>
      </c>
      <c r="D128" s="2" t="str">
        <f>IFERROR(__xludf.DUMMYFUNCTION("""COMPUTED_VALUE"""),"Comunidad de Madrid")</f>
        <v>Comunidad de Madrid</v>
      </c>
      <c r="E128" s="2">
        <f>IFERROR(__xludf.DUMMYFUNCTION("""COMPUTED_VALUE"""),618.0)</f>
        <v>618</v>
      </c>
      <c r="F128" s="2">
        <f>IFERROR(__xludf.DUMMYFUNCTION("""COMPUTED_VALUE"""),79.65)</f>
        <v>79.65</v>
      </c>
      <c r="G128" s="4">
        <f>IFERROR(__xludf.DUMMYFUNCTION("""COMPUTED_VALUE"""),55389.0)</f>
        <v>55389</v>
      </c>
      <c r="H128" s="2">
        <f>IFERROR(__xludf.DUMMYFUNCTION("""COMPUTED_VALUE"""),695.4)</f>
        <v>695.4</v>
      </c>
    </row>
    <row r="129">
      <c r="A129" s="2" t="str">
        <f>IFERROR(__xludf.DUMMYFUNCTION("""COMPUTED_VALUE"""),"Cuenca")</f>
        <v>Cuenca</v>
      </c>
      <c r="B129" s="2" t="str">
        <f>IFERROR(__xludf.DUMMYFUNCTION("""COMPUTED_VALUE"""),"Serranía Media")</f>
        <v>Serranía Media</v>
      </c>
      <c r="C129" s="2" t="str">
        <f>IFERROR(__xludf.DUMMYFUNCTION("""COMPUTED_VALUE"""),"Provincia de Cuenca")</f>
        <v>Provincia de Cuenca</v>
      </c>
      <c r="D129" s="2" t="str">
        <f>IFERROR(__xludf.DUMMYFUNCTION("""COMPUTED_VALUE"""),"Castilla-La Mancha")</f>
        <v>Castilla-La Mancha</v>
      </c>
      <c r="E129" s="2">
        <f>IFERROR(__xludf.DUMMYFUNCTION("""COMPUTED_VALUE"""),946.0)</f>
        <v>946</v>
      </c>
      <c r="F129" s="2">
        <f>IFERROR(__xludf.DUMMYFUNCTION("""COMPUTED_VALUE"""),910.6)</f>
        <v>910.6</v>
      </c>
      <c r="G129" s="4">
        <f>IFERROR(__xludf.DUMMYFUNCTION("""COMPUTED_VALUE"""),54690.0)</f>
        <v>54690</v>
      </c>
      <c r="H129" s="2">
        <f>IFERROR(__xludf.DUMMYFUNCTION("""COMPUTED_VALUE"""),60.06)</f>
        <v>60.06</v>
      </c>
    </row>
    <row r="130">
      <c r="A130" s="2" t="str">
        <f>IFERROR(__xludf.DUMMYFUNCTION("""COMPUTED_VALUE"""),"Boadilla del Monte")</f>
        <v>Boadilla del Monte</v>
      </c>
      <c r="B130" s="2" t="str">
        <f>IFERROR(__xludf.DUMMYFUNCTION("""COMPUTED_VALUE"""),"Área metropolitana de Madrid")</f>
        <v>Área metropolitana de Madrid</v>
      </c>
      <c r="C130" s="2" t="str">
        <f>IFERROR(__xludf.DUMMYFUNCTION("""COMPUTED_VALUE"""),"Provincia de Madrid")</f>
        <v>Provincia de Madrid</v>
      </c>
      <c r="D130" s="2" t="str">
        <f>IFERROR(__xludf.DUMMYFUNCTION("""COMPUTED_VALUE"""),"Comunidad de Madrid")</f>
        <v>Comunidad de Madrid</v>
      </c>
      <c r="E130" s="2">
        <f>IFERROR(__xludf.DUMMYFUNCTION("""COMPUTED_VALUE"""),689.0)</f>
        <v>689</v>
      </c>
      <c r="F130" s="2">
        <f>IFERROR(__xludf.DUMMYFUNCTION("""COMPUTED_VALUE"""),47.2)</f>
        <v>47.2</v>
      </c>
      <c r="G130" s="4">
        <f>IFERROR(__xludf.DUMMYFUNCTION("""COMPUTED_VALUE"""),54570.0)</f>
        <v>54570</v>
      </c>
      <c r="H130" s="5">
        <f>IFERROR(__xludf.DUMMYFUNCTION("""COMPUTED_VALUE"""),1156.14)</f>
        <v>1156.14</v>
      </c>
    </row>
    <row r="131">
      <c r="A131" s="2" t="str">
        <f>IFERROR(__xludf.DUMMYFUNCTION("""COMPUTED_VALUE"""),"San Bartolomé de Tirajana")</f>
        <v>San Bartolomé de Tirajana</v>
      </c>
      <c r="B131" s="2"/>
      <c r="C131" s="2" t="str">
        <f>IFERROR(__xludf.DUMMYFUNCTION("""COMPUTED_VALUE"""),"Provincia de Las Palmas")</f>
        <v>Provincia de Las Palmas</v>
      </c>
      <c r="D131" s="2" t="str">
        <f>IFERROR(__xludf.DUMMYFUNCTION("""COMPUTED_VALUE"""),"Canarias")</f>
        <v>Canarias</v>
      </c>
      <c r="E131" s="4">
        <f>IFERROR(__xludf.DUMMYFUNCTION("""COMPUTED_VALUE"""),1900.0)</f>
        <v>1900</v>
      </c>
      <c r="F131" s="2">
        <f>IFERROR(__xludf.DUMMYFUNCTION("""COMPUTED_VALUE"""),332.42)</f>
        <v>332.42</v>
      </c>
      <c r="G131" s="4">
        <f>IFERROR(__xludf.DUMMYFUNCTION("""COMPUTED_VALUE"""),53443.0)</f>
        <v>53443</v>
      </c>
      <c r="H131" s="2">
        <f>IFERROR(__xludf.DUMMYFUNCTION("""COMPUTED_VALUE"""),160.77)</f>
        <v>160.77</v>
      </c>
    </row>
    <row r="132">
      <c r="A132" s="2" t="str">
        <f>IFERROR(__xludf.DUMMYFUNCTION("""COMPUTED_VALUE"""),"Huesca")</f>
        <v>Huesca</v>
      </c>
      <c r="B132" s="2" t="str">
        <f>IFERROR(__xludf.DUMMYFUNCTION("""COMPUTED_VALUE"""),"Hoya de Huesca")</f>
        <v>Hoya de Huesca</v>
      </c>
      <c r="C132" s="2" t="str">
        <f>IFERROR(__xludf.DUMMYFUNCTION("""COMPUTED_VALUE"""),"Provincia de Huesca")</f>
        <v>Provincia de Huesca</v>
      </c>
      <c r="D132" s="2" t="str">
        <f>IFERROR(__xludf.DUMMYFUNCTION("""COMPUTED_VALUE"""),"Aragón")</f>
        <v>Aragón</v>
      </c>
      <c r="E132" s="2">
        <f>IFERROR(__xludf.DUMMYFUNCTION("""COMPUTED_VALUE"""),488.0)</f>
        <v>488</v>
      </c>
      <c r="F132" s="2">
        <f>IFERROR(__xludf.DUMMYFUNCTION("""COMPUTED_VALUE"""),161.04)</f>
        <v>161.04</v>
      </c>
      <c r="G132" s="4">
        <f>IFERROR(__xludf.DUMMYFUNCTION("""COMPUTED_VALUE"""),53132.0)</f>
        <v>53132</v>
      </c>
      <c r="H132" s="2">
        <f>IFERROR(__xludf.DUMMYFUNCTION("""COMPUTED_VALUE"""),329.93)</f>
        <v>329.93</v>
      </c>
    </row>
    <row r="133">
      <c r="A133" s="2" t="str">
        <f>IFERROR(__xludf.DUMMYFUNCTION("""COMPUTED_VALUE"""),"Elda")</f>
        <v>Elda</v>
      </c>
      <c r="B133" s="2" t="str">
        <f>IFERROR(__xludf.DUMMYFUNCTION("""COMPUTED_VALUE"""),"Medio Vinalopó")</f>
        <v>Medio Vinalopó</v>
      </c>
      <c r="C133" s="2" t="str">
        <f>IFERROR(__xludf.DUMMYFUNCTION("""COMPUTED_VALUE"""),"Provincia de Alicante")</f>
        <v>Provincia de Alicante</v>
      </c>
      <c r="D133" s="2" t="str">
        <f>IFERROR(__xludf.DUMMYFUNCTION("""COMPUTED_VALUE"""),"Comunidad Valenciana")</f>
        <v>Comunidad Valenciana</v>
      </c>
      <c r="E133" s="2">
        <f>IFERROR(__xludf.DUMMYFUNCTION("""COMPUTED_VALUE"""),395.0)</f>
        <v>395</v>
      </c>
      <c r="F133" s="2">
        <f>IFERROR(__xludf.DUMMYFUNCTION("""COMPUTED_VALUE"""),45.79)</f>
        <v>45.79</v>
      </c>
      <c r="G133" s="4">
        <f>IFERROR(__xludf.DUMMYFUNCTION("""COMPUTED_VALUE"""),52618.0)</f>
        <v>52618</v>
      </c>
      <c r="H133" s="5">
        <f>IFERROR(__xludf.DUMMYFUNCTION("""COMPUTED_VALUE"""),1149.12)</f>
        <v>1149.12</v>
      </c>
    </row>
    <row r="134">
      <c r="A134" s="2" t="str">
        <f>IFERROR(__xludf.DUMMYFUNCTION("""COMPUTED_VALUE"""),"Pinto")</f>
        <v>Pinto</v>
      </c>
      <c r="B134" s="2" t="str">
        <f>IFERROR(__xludf.DUMMYFUNCTION("""COMPUTED_VALUE"""),"Área metropolitana de Madrid")</f>
        <v>Área metropolitana de Madrid</v>
      </c>
      <c r="C134" s="2" t="str">
        <f>IFERROR(__xludf.DUMMYFUNCTION("""COMPUTED_VALUE"""),"Provincia de Madrid")</f>
        <v>Provincia de Madrid</v>
      </c>
      <c r="D134" s="2" t="str">
        <f>IFERROR(__xludf.DUMMYFUNCTION("""COMPUTED_VALUE"""),"Comunidad de Madrid")</f>
        <v>Comunidad de Madrid</v>
      </c>
      <c r="E134" s="2">
        <f>IFERROR(__xludf.DUMMYFUNCTION("""COMPUTED_VALUE"""),604.0)</f>
        <v>604</v>
      </c>
      <c r="F134" s="2">
        <f>IFERROR(__xludf.DUMMYFUNCTION("""COMPUTED_VALUE"""),62.04)</f>
        <v>62.04</v>
      </c>
      <c r="G134" s="4">
        <f>IFERROR(__xludf.DUMMYFUNCTION("""COMPUTED_VALUE"""),52526.0)</f>
        <v>52526</v>
      </c>
      <c r="H134" s="2">
        <f>IFERROR(__xludf.DUMMYFUNCTION("""COMPUTED_VALUE"""),846.65)</f>
        <v>846.65</v>
      </c>
    </row>
    <row r="135">
      <c r="A135" s="2" t="str">
        <f>IFERROR(__xludf.DUMMYFUNCTION("""COMPUTED_VALUE"""),"Segovia")</f>
        <v>Segovia</v>
      </c>
      <c r="B135" s="2"/>
      <c r="C135" s="2" t="str">
        <f>IFERROR(__xludf.DUMMYFUNCTION("""COMPUTED_VALUE"""),"Provincia de Segovia")</f>
        <v>Provincia de Segovia</v>
      </c>
      <c r="D135" s="2" t="str">
        <f>IFERROR(__xludf.DUMMYFUNCTION("""COMPUTED_VALUE"""),"Castilla y León")</f>
        <v>Castilla y León</v>
      </c>
      <c r="E135" s="4">
        <f>IFERROR(__xludf.DUMMYFUNCTION("""COMPUTED_VALUE"""),1000.0)</f>
        <v>1000</v>
      </c>
      <c r="F135" s="2">
        <f>IFERROR(__xludf.DUMMYFUNCTION("""COMPUTED_VALUE"""),163.59)</f>
        <v>163.59</v>
      </c>
      <c r="G135" s="4">
        <f>IFERROR(__xludf.DUMMYFUNCTION("""COMPUTED_VALUE"""),51674.0)</f>
        <v>51674</v>
      </c>
      <c r="H135" s="2">
        <f>IFERROR(__xludf.DUMMYFUNCTION("""COMPUTED_VALUE"""),315.88)</f>
        <v>315.88</v>
      </c>
    </row>
    <row r="136">
      <c r="A136" s="2" t="str">
        <f>IFERROR(__xludf.DUMMYFUNCTION("""COMPUTED_VALUE"""),"Siero")</f>
        <v>Siero</v>
      </c>
      <c r="B136" s="2" t="str">
        <f>IFERROR(__xludf.DUMMYFUNCTION("""COMPUTED_VALUE"""),"Comarca de Oviedo")</f>
        <v>Comarca de Oviedo</v>
      </c>
      <c r="C136" s="2" t="str">
        <f>IFERROR(__xludf.DUMMYFUNCTION("""COMPUTED_VALUE"""),"Provincia de Asturias")</f>
        <v>Provincia de Asturias</v>
      </c>
      <c r="D136" s="2" t="str">
        <f>IFERROR(__xludf.DUMMYFUNCTION("""COMPUTED_VALUE"""),"Principado de Asturias")</f>
        <v>Principado de Asturias</v>
      </c>
      <c r="E136" s="2">
        <f>IFERROR(__xludf.DUMMYFUNCTION("""COMPUTED_VALUE"""),0.0)</f>
        <v>0</v>
      </c>
      <c r="F136" s="2">
        <f>IFERROR(__xludf.DUMMYFUNCTION("""COMPUTED_VALUE"""),211.23)</f>
        <v>211.23</v>
      </c>
      <c r="G136" s="4">
        <f>IFERROR(__xludf.DUMMYFUNCTION("""COMPUTED_VALUE"""),51667.0)</f>
        <v>51667</v>
      </c>
      <c r="H136" s="2">
        <f>IFERROR(__xludf.DUMMYFUNCTION("""COMPUTED_VALUE"""),244.6)</f>
        <v>244.6</v>
      </c>
    </row>
    <row r="137">
      <c r="A137" s="2" t="str">
        <f>IFERROR(__xludf.DUMMYFUNCTION("""COMPUTED_VALUE"""),"Torrelavega")</f>
        <v>Torrelavega</v>
      </c>
      <c r="B137" s="2" t="str">
        <f>IFERROR(__xludf.DUMMYFUNCTION("""COMPUTED_VALUE"""),"Comarca del Besaya")</f>
        <v>Comarca del Besaya</v>
      </c>
      <c r="C137" s="2" t="str">
        <f>IFERROR(__xludf.DUMMYFUNCTION("""COMPUTED_VALUE"""),"Provincia de Cantabria")</f>
        <v>Provincia de Cantabria</v>
      </c>
      <c r="D137" s="2" t="str">
        <f>IFERROR(__xludf.DUMMYFUNCTION("""COMPUTED_VALUE"""),"Cantabria")</f>
        <v>Cantabria</v>
      </c>
      <c r="E137" s="2">
        <f>IFERROR(__xludf.DUMMYFUNCTION("""COMPUTED_VALUE"""),25.0)</f>
        <v>25</v>
      </c>
      <c r="F137" s="2">
        <f>IFERROR(__xludf.DUMMYFUNCTION("""COMPUTED_VALUE"""),35.53)</f>
        <v>35.53</v>
      </c>
      <c r="G137" s="4">
        <f>IFERROR(__xludf.DUMMYFUNCTION("""COMPUTED_VALUE"""),51494.0)</f>
        <v>51494</v>
      </c>
      <c r="H137" s="5">
        <f>IFERROR(__xludf.DUMMYFUNCTION("""COMPUTED_VALUE"""),1449.31)</f>
        <v>1449.31</v>
      </c>
    </row>
    <row r="138">
      <c r="A138" s="2" t="str">
        <f>IFERROR(__xludf.DUMMYFUNCTION("""COMPUTED_VALUE"""),"Mollet del Vallès")</f>
        <v>Mollet del Vallès</v>
      </c>
      <c r="B138" s="2" t="str">
        <f>IFERROR(__xludf.DUMMYFUNCTION("""COMPUTED_VALUE"""),"Vallès Oriental")</f>
        <v>Vallès Oriental</v>
      </c>
      <c r="C138" s="2" t="str">
        <f>IFERROR(__xludf.DUMMYFUNCTION("""COMPUTED_VALUE"""),"Provincia de Barcelona")</f>
        <v>Provincia de Barcelona</v>
      </c>
      <c r="D138" s="2" t="str">
        <f>IFERROR(__xludf.DUMMYFUNCTION("""COMPUTED_VALUE"""),"Cataluña")</f>
        <v>Cataluña</v>
      </c>
      <c r="E138" s="2">
        <f>IFERROR(__xludf.DUMMYFUNCTION("""COMPUTED_VALUE"""),65.0)</f>
        <v>65</v>
      </c>
      <c r="F138" s="2">
        <f>IFERROR(__xludf.DUMMYFUNCTION("""COMPUTED_VALUE"""),10.8)</f>
        <v>10.8</v>
      </c>
      <c r="G138" s="4">
        <f>IFERROR(__xludf.DUMMYFUNCTION("""COMPUTED_VALUE"""),51318.0)</f>
        <v>51318</v>
      </c>
      <c r="H138" s="5">
        <f>IFERROR(__xludf.DUMMYFUNCTION("""COMPUTED_VALUE"""),4751.67)</f>
        <v>4751.67</v>
      </c>
    </row>
    <row r="139">
      <c r="A139" s="2" t="str">
        <f>IFERROR(__xludf.DUMMYFUNCTION("""COMPUTED_VALUE"""),"Vila-real")</f>
        <v>Vila-real</v>
      </c>
      <c r="B139" s="2" t="str">
        <f>IFERROR(__xludf.DUMMYFUNCTION("""COMPUTED_VALUE"""),"Plana Baja")</f>
        <v>Plana Baja</v>
      </c>
      <c r="C139" s="2" t="str">
        <f>IFERROR(__xludf.DUMMYFUNCTION("""COMPUTED_VALUE"""),"Provincia de Castellón")</f>
        <v>Provincia de Castellón</v>
      </c>
      <c r="D139" s="2" t="str">
        <f>IFERROR(__xludf.DUMMYFUNCTION("""COMPUTED_VALUE"""),"Comunidad Valenciana")</f>
        <v>Comunidad Valenciana</v>
      </c>
      <c r="E139" s="2">
        <f>IFERROR(__xludf.DUMMYFUNCTION("""COMPUTED_VALUE"""),42.0)</f>
        <v>42</v>
      </c>
      <c r="F139" s="2">
        <f>IFERROR(__xludf.DUMMYFUNCTION("""COMPUTED_VALUE"""),55.12)</f>
        <v>55.12</v>
      </c>
      <c r="G139" s="4">
        <f>IFERROR(__xludf.DUMMYFUNCTION("""COMPUTED_VALUE"""),50893.0)</f>
        <v>50893</v>
      </c>
      <c r="H139" s="2">
        <f>IFERROR(__xludf.DUMMYFUNCTION("""COMPUTED_VALUE"""),923.31)</f>
        <v>923.31</v>
      </c>
    </row>
    <row r="140">
      <c r="A140" s="2" t="str">
        <f>IFERROR(__xludf.DUMMYFUNCTION("""COMPUTED_VALUE"""),"Colmenar Viejo")</f>
        <v>Colmenar Viejo</v>
      </c>
      <c r="B140" s="2"/>
      <c r="C140" s="2" t="str">
        <f>IFERROR(__xludf.DUMMYFUNCTION("""COMPUTED_VALUE"""),"Provincia de Madrid")</f>
        <v>Provincia de Madrid</v>
      </c>
      <c r="D140" s="2" t="str">
        <f>IFERROR(__xludf.DUMMYFUNCTION("""COMPUTED_VALUE"""),"Comunidad de Madrid")</f>
        <v>Comunidad de Madrid</v>
      </c>
      <c r="E140" s="2">
        <f>IFERROR(__xludf.DUMMYFUNCTION("""COMPUTED_VALUE"""),800.0)</f>
        <v>800</v>
      </c>
      <c r="F140" s="2">
        <f>IFERROR(__xludf.DUMMYFUNCTION("""COMPUTED_VALUE"""),182.56)</f>
        <v>182.56</v>
      </c>
      <c r="G140" s="4">
        <f>IFERROR(__xludf.DUMMYFUNCTION("""COMPUTED_VALUE"""),50752.0)</f>
        <v>50752</v>
      </c>
      <c r="H140" s="2">
        <f>IFERROR(__xludf.DUMMYFUNCTION("""COMPUTED_VALUE"""),278.0)</f>
        <v>278</v>
      </c>
    </row>
    <row r="141">
      <c r="A141" s="2" t="str">
        <f>IFERROR(__xludf.DUMMYFUNCTION("""COMPUTED_VALUE"""),"Utrera")</f>
        <v>Utrera</v>
      </c>
      <c r="B141" s="2" t="str">
        <f>IFERROR(__xludf.DUMMYFUNCTION("""COMPUTED_VALUE"""),"La Campiña (Sevilla)")</f>
        <v>La Campiña (Sevilla)</v>
      </c>
      <c r="C141" s="2" t="str">
        <f>IFERROR(__xludf.DUMMYFUNCTION("""COMPUTED_VALUE"""),"Provincia de Sevilla")</f>
        <v>Provincia de Sevilla</v>
      </c>
      <c r="D141" s="2" t="str">
        <f>IFERROR(__xludf.DUMMYFUNCTION("""COMPUTED_VALUE"""),"Andalucía")</f>
        <v>Andalucía</v>
      </c>
      <c r="E141" s="2">
        <f>IFERROR(__xludf.DUMMYFUNCTION("""COMPUTED_VALUE"""),49.0)</f>
        <v>49</v>
      </c>
      <c r="F141" s="2">
        <f>IFERROR(__xludf.DUMMYFUNCTION("""COMPUTED_VALUE"""),651.27)</f>
        <v>651.27</v>
      </c>
      <c r="G141" s="4">
        <f>IFERROR(__xludf.DUMMYFUNCTION("""COMPUTED_VALUE"""),50728.0)</f>
        <v>50728</v>
      </c>
      <c r="H141" s="2">
        <f>IFERROR(__xludf.DUMMYFUNCTION("""COMPUTED_VALUE"""),77.89)</f>
        <v>77.89</v>
      </c>
    </row>
    <row r="142">
      <c r="A142" s="2" t="str">
        <f>IFERROR(__xludf.DUMMYFUNCTION("""COMPUTED_VALUE"""),"Calvià")</f>
        <v>Calvià</v>
      </c>
      <c r="B142" s="2" t="str">
        <f>IFERROR(__xludf.DUMMYFUNCTION("""COMPUTED_VALUE"""),"Sierra de Tramontana")</f>
        <v>Sierra de Tramontana</v>
      </c>
      <c r="C142" s="2" t="str">
        <f>IFERROR(__xludf.DUMMYFUNCTION("""COMPUTED_VALUE"""),"Provincia de Baleares")</f>
        <v>Provincia de Baleares</v>
      </c>
      <c r="D142" s="2" t="str">
        <f>IFERROR(__xludf.DUMMYFUNCTION("""COMPUTED_VALUE"""),"Islas Baleares")</f>
        <v>Islas Baleares</v>
      </c>
      <c r="E142" s="2">
        <f>IFERROR(__xludf.DUMMYFUNCTION("""COMPUTED_VALUE"""),154.0)</f>
        <v>154</v>
      </c>
      <c r="F142" s="2">
        <f>IFERROR(__xludf.DUMMYFUNCTION("""COMPUTED_VALUE"""),145.02)</f>
        <v>145.02</v>
      </c>
      <c r="G142" s="4">
        <f>IFERROR(__xludf.DUMMYFUNCTION("""COMPUTED_VALUE"""),50559.0)</f>
        <v>50559</v>
      </c>
      <c r="H142" s="2">
        <f>IFERROR(__xludf.DUMMYFUNCTION("""COMPUTED_VALUE"""),348.63)</f>
        <v>348.63</v>
      </c>
    </row>
    <row r="143">
      <c r="A143" s="2" t="str">
        <f>IFERROR(__xludf.DUMMYFUNCTION("""COMPUTED_VALUE"""),"Granadilla de Abona")</f>
        <v>Granadilla de Abona</v>
      </c>
      <c r="B143" s="2" t="str">
        <f>IFERROR(__xludf.DUMMYFUNCTION("""COMPUTED_VALUE"""),"Comarca de Abona")</f>
        <v>Comarca de Abona</v>
      </c>
      <c r="C143" s="2" t="str">
        <f>IFERROR(__xludf.DUMMYFUNCTION("""COMPUTED_VALUE"""),"Provincia de Santa Cruz de Tenerife")</f>
        <v>Provincia de Santa Cruz de Tenerife</v>
      </c>
      <c r="D143" s="2" t="str">
        <f>IFERROR(__xludf.DUMMYFUNCTION("""COMPUTED_VALUE"""),"Canarias")</f>
        <v>Canarias</v>
      </c>
      <c r="E143" s="2">
        <f>IFERROR(__xludf.DUMMYFUNCTION("""COMPUTED_VALUE"""),650.0)</f>
        <v>650</v>
      </c>
      <c r="F143" s="2">
        <f>IFERROR(__xludf.DUMMYFUNCTION("""COMPUTED_VALUE"""),162.5)</f>
        <v>162.5</v>
      </c>
      <c r="G143" s="4">
        <f>IFERROR(__xludf.DUMMYFUNCTION("""COMPUTED_VALUE"""),50146.0)</f>
        <v>50146</v>
      </c>
      <c r="H143" s="2">
        <f>IFERROR(__xludf.DUMMYFUNCTION("""COMPUTED_VALUE"""),308.59)</f>
        <v>308.59</v>
      </c>
    </row>
    <row r="144">
      <c r="A144" s="2" t="str">
        <f>IFERROR(__xludf.DUMMYFUNCTION("""COMPUTED_VALUE"""),"Ibiza")</f>
        <v>Ibiza</v>
      </c>
      <c r="B144" s="2"/>
      <c r="C144" s="2" t="str">
        <f>IFERROR(__xludf.DUMMYFUNCTION("""COMPUTED_VALUE"""),"Provincia de Baleares")</f>
        <v>Provincia de Baleares</v>
      </c>
      <c r="D144" s="2" t="str">
        <f>IFERROR(__xludf.DUMMYFUNCTION("""COMPUTED_VALUE"""),"Islas Baleares")</f>
        <v>Islas Baleares</v>
      </c>
      <c r="E144" s="2">
        <f>IFERROR(__xludf.DUMMYFUNCTION("""COMPUTED_VALUE"""),99.0)</f>
        <v>99</v>
      </c>
      <c r="F144" s="2">
        <f>IFERROR(__xludf.DUMMYFUNCTION("""COMPUTED_VALUE"""),11.14)</f>
        <v>11.14</v>
      </c>
      <c r="G144" s="4">
        <f>IFERROR(__xludf.DUMMYFUNCTION("""COMPUTED_VALUE"""),49783.0)</f>
        <v>49783</v>
      </c>
      <c r="H144" s="5">
        <f>IFERROR(__xludf.DUMMYFUNCTION("""COMPUTED_VALUE"""),4468.85)</f>
        <v>4468.85</v>
      </c>
    </row>
    <row r="145">
      <c r="A145" s="2" t="str">
        <f>IFERROR(__xludf.DUMMYFUNCTION("""COMPUTED_VALUE"""),"Tres Cantos")</f>
        <v>Tres Cantos</v>
      </c>
      <c r="B145" s="2" t="str">
        <f>IFERROR(__xludf.DUMMYFUNCTION("""COMPUTED_VALUE"""),"Área Metropolitana de Madrid")</f>
        <v>Área Metropolitana de Madrid</v>
      </c>
      <c r="C145" s="2" t="str">
        <f>IFERROR(__xludf.DUMMYFUNCTION("""COMPUTED_VALUE"""),"Provincia de Madrid")</f>
        <v>Provincia de Madrid</v>
      </c>
      <c r="D145" s="2" t="str">
        <f>IFERROR(__xludf.DUMMYFUNCTION("""COMPUTED_VALUE"""),"Comunidad de Madrid")</f>
        <v>Comunidad de Madrid</v>
      </c>
      <c r="E145" s="2">
        <f>IFERROR(__xludf.DUMMYFUNCTION("""COMPUTED_VALUE"""),710.0)</f>
        <v>710</v>
      </c>
      <c r="F145" s="2">
        <f>IFERROR(__xludf.DUMMYFUNCTION("""COMPUTED_VALUE"""),37.93)</f>
        <v>37.93</v>
      </c>
      <c r="G145" s="4">
        <f>IFERROR(__xludf.DUMMYFUNCTION("""COMPUTED_VALUE"""),47722.0)</f>
        <v>47722</v>
      </c>
      <c r="H145" s="5">
        <f>IFERROR(__xludf.DUMMYFUNCTION("""COMPUTED_VALUE"""),1258.16)</f>
        <v>1258.16</v>
      </c>
    </row>
    <row r="146">
      <c r="A146" s="2" t="str">
        <f>IFERROR(__xludf.DUMMYFUNCTION("""COMPUTED_VALUE"""),"Rincón de la Victoria")</f>
        <v>Rincón de la Victoria</v>
      </c>
      <c r="B146" s="2" t="str">
        <f>IFERROR(__xludf.DUMMYFUNCTION("""COMPUTED_VALUE"""),"La Axarquía")</f>
        <v>La Axarquía</v>
      </c>
      <c r="C146" s="2" t="str">
        <f>IFERROR(__xludf.DUMMYFUNCTION("""COMPUTED_VALUE"""),"Provincia de Málaga")</f>
        <v>Provincia de Málaga</v>
      </c>
      <c r="D146" s="2" t="str">
        <f>IFERROR(__xludf.DUMMYFUNCTION("""COMPUTED_VALUE"""),"Andalucía")</f>
        <v>Andalucía</v>
      </c>
      <c r="E146" s="2">
        <f>IFERROR(__xludf.DUMMYFUNCTION("""COMPUTED_VALUE"""),8.0)</f>
        <v>8</v>
      </c>
      <c r="F146" s="2">
        <f>IFERROR(__xludf.DUMMYFUNCTION("""COMPUTED_VALUE"""),28.0)</f>
        <v>28</v>
      </c>
      <c r="G146" s="4">
        <f>IFERROR(__xludf.DUMMYFUNCTION("""COMPUTED_VALUE"""),47179.0)</f>
        <v>47179</v>
      </c>
      <c r="H146" s="5">
        <f>IFERROR(__xludf.DUMMYFUNCTION("""COMPUTED_VALUE"""),1684.96)</f>
        <v>1684.96</v>
      </c>
    </row>
    <row r="147">
      <c r="A147" s="2" t="str">
        <f>IFERROR(__xludf.DUMMYFUNCTION("""COMPUTED_VALUE"""),"Puertollano")</f>
        <v>Puertollano</v>
      </c>
      <c r="B147" s="2" t="str">
        <f>IFERROR(__xludf.DUMMYFUNCTION("""COMPUTED_VALUE"""),"Campo de Calatrava")</f>
        <v>Campo de Calatrava</v>
      </c>
      <c r="C147" s="2" t="str">
        <f>IFERROR(__xludf.DUMMYFUNCTION("""COMPUTED_VALUE"""),"Provincia de Ciudad Real")</f>
        <v>Provincia de Ciudad Real</v>
      </c>
      <c r="D147" s="2" t="str">
        <f>IFERROR(__xludf.DUMMYFUNCTION("""COMPUTED_VALUE"""),"Castilla-La Mancha")</f>
        <v>Castilla-La Mancha</v>
      </c>
      <c r="E147" s="2">
        <f>IFERROR(__xludf.DUMMYFUNCTION("""COMPUTED_VALUE"""),708.0)</f>
        <v>708</v>
      </c>
      <c r="F147" s="2">
        <f>IFERROR(__xludf.DUMMYFUNCTION("""COMPUTED_VALUE"""),226.74)</f>
        <v>226.74</v>
      </c>
      <c r="G147" s="4">
        <f>IFERROR(__xludf.DUMMYFUNCTION("""COMPUTED_VALUE"""),47035.0)</f>
        <v>47035</v>
      </c>
      <c r="H147" s="2">
        <f>IFERROR(__xludf.DUMMYFUNCTION("""COMPUTED_VALUE"""),207.44)</f>
        <v>207.44</v>
      </c>
    </row>
    <row r="148">
      <c r="A148" s="2" t="str">
        <f>IFERROR(__xludf.DUMMYFUNCTION("""COMPUTED_VALUE"""),"Gavà")</f>
        <v>Gavà</v>
      </c>
      <c r="B148" s="2" t="str">
        <f>IFERROR(__xludf.DUMMYFUNCTION("""COMPUTED_VALUE"""),"Bajo Llobregat")</f>
        <v>Bajo Llobregat</v>
      </c>
      <c r="C148" s="2" t="str">
        <f>IFERROR(__xludf.DUMMYFUNCTION("""COMPUTED_VALUE"""),"Provincia de Barcelona")</f>
        <v>Provincia de Barcelona</v>
      </c>
      <c r="D148" s="2" t="str">
        <f>IFERROR(__xludf.DUMMYFUNCTION("""COMPUTED_VALUE"""),"Cataluña")</f>
        <v>Cataluña</v>
      </c>
      <c r="E148" s="2">
        <f>IFERROR(__xludf.DUMMYFUNCTION("""COMPUTED_VALUE"""),9.0)</f>
        <v>9</v>
      </c>
      <c r="F148" s="2">
        <f>IFERROR(__xludf.DUMMYFUNCTION("""COMPUTED_VALUE"""),30.89)</f>
        <v>30.89</v>
      </c>
      <c r="G148" s="4">
        <f>IFERROR(__xludf.DUMMYFUNCTION("""COMPUTED_VALUE"""),46771.0)</f>
        <v>46771</v>
      </c>
      <c r="H148" s="5">
        <f>IFERROR(__xludf.DUMMYFUNCTION("""COMPUTED_VALUE"""),1514.11)</f>
        <v>1514.11</v>
      </c>
    </row>
    <row r="149">
      <c r="A149" s="2" t="str">
        <f>IFERROR(__xludf.DUMMYFUNCTION("""COMPUTED_VALUE"""),"Esplugues de Llobregat")</f>
        <v>Esplugues de Llobregat</v>
      </c>
      <c r="B149" s="2" t="str">
        <f>IFERROR(__xludf.DUMMYFUNCTION("""COMPUTED_VALUE"""),"Baix Llobregat")</f>
        <v>Baix Llobregat</v>
      </c>
      <c r="C149" s="2" t="str">
        <f>IFERROR(__xludf.DUMMYFUNCTION("""COMPUTED_VALUE"""),"Provincia de Barcelona")</f>
        <v>Provincia de Barcelona</v>
      </c>
      <c r="D149" s="2" t="str">
        <f>IFERROR(__xludf.DUMMYFUNCTION("""COMPUTED_VALUE"""),"Cataluña")</f>
        <v>Cataluña</v>
      </c>
      <c r="E149" s="2">
        <f>IFERROR(__xludf.DUMMYFUNCTION("""COMPUTED_VALUE"""),110.0)</f>
        <v>110</v>
      </c>
      <c r="F149" s="2">
        <f>IFERROR(__xludf.DUMMYFUNCTION("""COMPUTED_VALUE"""),4.55)</f>
        <v>4.55</v>
      </c>
      <c r="G149" s="4">
        <f>IFERROR(__xludf.DUMMYFUNCTION("""COMPUTED_VALUE"""),46680.0)</f>
        <v>46680</v>
      </c>
      <c r="H149" s="5">
        <f>IFERROR(__xludf.DUMMYFUNCTION("""COMPUTED_VALUE"""),10259.34)</f>
        <v>10259.34</v>
      </c>
    </row>
    <row r="150">
      <c r="A150" s="2" t="str">
        <f>IFERROR(__xludf.DUMMYFUNCTION("""COMPUTED_VALUE"""),"Figueres")</f>
        <v>Figueres</v>
      </c>
      <c r="B150" s="2" t="str">
        <f>IFERROR(__xludf.DUMMYFUNCTION("""COMPUTED_VALUE"""),"Alto Ampurdán")</f>
        <v>Alto Ampurdán</v>
      </c>
      <c r="C150" s="2" t="str">
        <f>IFERROR(__xludf.DUMMYFUNCTION("""COMPUTED_VALUE"""),"Provincia de Girona")</f>
        <v>Provincia de Girona</v>
      </c>
      <c r="D150" s="2" t="str">
        <f>IFERROR(__xludf.DUMMYFUNCTION("""COMPUTED_VALUE"""),"Cataluña")</f>
        <v>Cataluña</v>
      </c>
      <c r="E150" s="2">
        <f>IFERROR(__xludf.DUMMYFUNCTION("""COMPUTED_VALUE"""),39.0)</f>
        <v>39</v>
      </c>
      <c r="F150" s="2">
        <f>IFERROR(__xludf.DUMMYFUNCTION("""COMPUTED_VALUE"""),19.09)</f>
        <v>19.09</v>
      </c>
      <c r="G150" s="4">
        <f>IFERROR(__xludf.DUMMYFUNCTION("""COMPUTED_VALUE"""),46654.0)</f>
        <v>46654</v>
      </c>
      <c r="H150" s="5">
        <f>IFERROR(__xludf.DUMMYFUNCTION("""COMPUTED_VALUE"""),2443.9)</f>
        <v>2443.9</v>
      </c>
    </row>
    <row r="151">
      <c r="A151" s="2" t="str">
        <f>IFERROR(__xludf.DUMMYFUNCTION("""COMPUTED_VALUE"""),"Vic")</f>
        <v>Vic</v>
      </c>
      <c r="B151" s="2" t="str">
        <f>IFERROR(__xludf.DUMMYFUNCTION("""COMPUTED_VALUE"""),"Osona")</f>
        <v>Osona</v>
      </c>
      <c r="C151" s="2" t="str">
        <f>IFERROR(__xludf.DUMMYFUNCTION("""COMPUTED_VALUE"""),"Provincia de Barcelona")</f>
        <v>Provincia de Barcelona</v>
      </c>
      <c r="D151" s="2" t="str">
        <f>IFERROR(__xludf.DUMMYFUNCTION("""COMPUTED_VALUE"""),"Cataluña")</f>
        <v>Cataluña</v>
      </c>
      <c r="E151" s="2">
        <f>IFERROR(__xludf.DUMMYFUNCTION("""COMPUTED_VALUE"""),498.0)</f>
        <v>498</v>
      </c>
      <c r="F151" s="2">
        <f>IFERROR(__xludf.DUMMYFUNCTION("""COMPUTED_VALUE"""),30.79)</f>
        <v>30.79</v>
      </c>
      <c r="G151" s="4">
        <f>IFERROR(__xludf.DUMMYFUNCTION("""COMPUTED_VALUE"""),46214.0)</f>
        <v>46214</v>
      </c>
      <c r="H151" s="5">
        <f>IFERROR(__xludf.DUMMYFUNCTION("""COMPUTED_VALUE"""),1500.94)</f>
        <v>1500.94</v>
      </c>
    </row>
    <row r="152">
      <c r="A152" s="2" t="str">
        <f>IFERROR(__xludf.DUMMYFUNCTION("""COMPUTED_VALUE"""),"Santurtzi")</f>
        <v>Santurtzi</v>
      </c>
      <c r="B152" s="2" t="str">
        <f>IFERROR(__xludf.DUMMYFUNCTION("""COMPUTED_VALUE"""),"Gran Bilbao")</f>
        <v>Gran Bilbao</v>
      </c>
      <c r="C152" s="2" t="str">
        <f>IFERROR(__xludf.DUMMYFUNCTION("""COMPUTED_VALUE"""),"Provincia de Bizkaia")</f>
        <v>Provincia de Bizkaia</v>
      </c>
      <c r="D152" s="2" t="str">
        <f>IFERROR(__xludf.DUMMYFUNCTION("""COMPUTED_VALUE"""),"País Vasco")</f>
        <v>País Vasco</v>
      </c>
      <c r="E152" s="2">
        <f>IFERROR(__xludf.DUMMYFUNCTION("""COMPUTED_VALUE"""),2.0)</f>
        <v>2</v>
      </c>
      <c r="F152" s="2">
        <f>IFERROR(__xludf.DUMMYFUNCTION("""COMPUTED_VALUE"""),8.88)</f>
        <v>8.88</v>
      </c>
      <c r="G152" s="4">
        <f>IFERROR(__xludf.DUMMYFUNCTION("""COMPUTED_VALUE"""),45853.0)</f>
        <v>45853</v>
      </c>
      <c r="H152" s="5">
        <f>IFERROR(__xludf.DUMMYFUNCTION("""COMPUTED_VALUE"""),5163.63)</f>
        <v>5163.63</v>
      </c>
    </row>
    <row r="153">
      <c r="A153" s="2" t="str">
        <f>IFERROR(__xludf.DUMMYFUNCTION("""COMPUTED_VALUE"""),"Portugalete")</f>
        <v>Portugalete</v>
      </c>
      <c r="B153" s="2" t="str">
        <f>IFERROR(__xludf.DUMMYFUNCTION("""COMPUTED_VALUE"""),"Gran Bilbao")</f>
        <v>Gran Bilbao</v>
      </c>
      <c r="C153" s="2" t="str">
        <f>IFERROR(__xludf.DUMMYFUNCTION("""COMPUTED_VALUE"""),"Provincia de Bizkaia")</f>
        <v>Provincia de Bizkaia</v>
      </c>
      <c r="D153" s="2" t="str">
        <f>IFERROR(__xludf.DUMMYFUNCTION("""COMPUTED_VALUE"""),"País Vasco")</f>
        <v>País Vasco</v>
      </c>
      <c r="E153" s="2">
        <f>IFERROR(__xludf.DUMMYFUNCTION("""COMPUTED_VALUE"""),26.0)</f>
        <v>26</v>
      </c>
      <c r="F153" s="2">
        <f>IFERROR(__xludf.DUMMYFUNCTION("""COMPUTED_VALUE"""),3.18)</f>
        <v>3.18</v>
      </c>
      <c r="G153" s="4">
        <f>IFERROR(__xludf.DUMMYFUNCTION("""COMPUTED_VALUE"""),45766.0)</f>
        <v>45766</v>
      </c>
      <c r="H153" s="5">
        <f>IFERROR(__xludf.DUMMYFUNCTION("""COMPUTED_VALUE"""),14391.82)</f>
        <v>14391.82</v>
      </c>
    </row>
    <row r="154">
      <c r="A154" s="2" t="str">
        <f>IFERROR(__xludf.DUMMYFUNCTION("""COMPUTED_VALUE"""),"Sant Feliu de Llobregat")</f>
        <v>Sant Feliu de Llobregat</v>
      </c>
      <c r="B154" s="2" t="str">
        <f>IFERROR(__xludf.DUMMYFUNCTION("""COMPUTED_VALUE"""),"Bajo Llobregat")</f>
        <v>Bajo Llobregat</v>
      </c>
      <c r="C154" s="2" t="str">
        <f>IFERROR(__xludf.DUMMYFUNCTION("""COMPUTED_VALUE"""),"Provincia de Barcelona")</f>
        <v>Provincia de Barcelona</v>
      </c>
      <c r="D154" s="2" t="str">
        <f>IFERROR(__xludf.DUMMYFUNCTION("""COMPUTED_VALUE"""),"Cataluña")</f>
        <v>Cataluña</v>
      </c>
      <c r="E154" s="2">
        <f>IFERROR(__xludf.DUMMYFUNCTION("""COMPUTED_VALUE"""),25.0)</f>
        <v>25</v>
      </c>
      <c r="F154" s="2">
        <f>IFERROR(__xludf.DUMMYFUNCTION("""COMPUTED_VALUE"""),11.95)</f>
        <v>11.95</v>
      </c>
      <c r="G154" s="4">
        <f>IFERROR(__xludf.DUMMYFUNCTION("""COMPUTED_VALUE"""),44860.0)</f>
        <v>44860</v>
      </c>
      <c r="H154" s="5">
        <f>IFERROR(__xludf.DUMMYFUNCTION("""COMPUTED_VALUE"""),3753.97)</f>
        <v>3753.97</v>
      </c>
    </row>
    <row r="155">
      <c r="A155" s="2" t="str">
        <f>IFERROR(__xludf.DUMMYFUNCTION("""COMPUTED_VALUE"""),"Alzira")</f>
        <v>Alzira</v>
      </c>
      <c r="B155" s="2" t="str">
        <f>IFERROR(__xludf.DUMMYFUNCTION("""COMPUTED_VALUE"""),"Ribera Alta (Valencia)")</f>
        <v>Ribera Alta (Valencia)</v>
      </c>
      <c r="C155" s="2" t="str">
        <f>IFERROR(__xludf.DUMMYFUNCTION("""COMPUTED_VALUE"""),"Provincia de València")</f>
        <v>Provincia de València</v>
      </c>
      <c r="D155" s="2" t="str">
        <f>IFERROR(__xludf.DUMMYFUNCTION("""COMPUTED_VALUE"""),"Comunidad Valenciana")</f>
        <v>Comunidad Valenciana</v>
      </c>
      <c r="E155" s="2">
        <f>IFERROR(__xludf.DUMMYFUNCTION("""COMPUTED_VALUE"""),14.0)</f>
        <v>14</v>
      </c>
      <c r="F155" s="2">
        <f>IFERROR(__xludf.DUMMYFUNCTION("""COMPUTED_VALUE"""),110.49)</f>
        <v>110.49</v>
      </c>
      <c r="G155" s="4">
        <f>IFERROR(__xludf.DUMMYFUNCTION("""COMPUTED_VALUE"""),44352.0)</f>
        <v>44352</v>
      </c>
      <c r="H155" s="2">
        <f>IFERROR(__xludf.DUMMYFUNCTION("""COMPUTED_VALUE"""),401.41)</f>
        <v>401.41</v>
      </c>
    </row>
    <row r="156">
      <c r="A156" s="2" t="str">
        <f>IFERROR(__xludf.DUMMYFUNCTION("""COMPUTED_VALUE"""),"Manacor")</f>
        <v>Manacor</v>
      </c>
      <c r="B156" s="2" t="str">
        <f>IFERROR(__xludf.DUMMYFUNCTION("""COMPUTED_VALUE"""),"Levante (Mallorca)")</f>
        <v>Levante (Mallorca)</v>
      </c>
      <c r="C156" s="2" t="str">
        <f>IFERROR(__xludf.DUMMYFUNCTION("""COMPUTED_VALUE"""),"Provincia de Baleares")</f>
        <v>Provincia de Baleares</v>
      </c>
      <c r="D156" s="2" t="str">
        <f>IFERROR(__xludf.DUMMYFUNCTION("""COMPUTED_VALUE"""),"Islas Baleares")</f>
        <v>Islas Baleares</v>
      </c>
      <c r="E156" s="2">
        <f>IFERROR(__xludf.DUMMYFUNCTION("""COMPUTED_VALUE"""),80.0)</f>
        <v>80</v>
      </c>
      <c r="F156" s="2">
        <f>IFERROR(__xludf.DUMMYFUNCTION("""COMPUTED_VALUE"""),260.31)</f>
        <v>260.31</v>
      </c>
      <c r="G156" s="4">
        <f>IFERROR(__xludf.DUMMYFUNCTION("""COMPUTED_VALUE"""),43808.0)</f>
        <v>43808</v>
      </c>
      <c r="H156" s="2">
        <f>IFERROR(__xludf.DUMMYFUNCTION("""COMPUTED_VALUE"""),168.29)</f>
        <v>168.29</v>
      </c>
    </row>
    <row r="157">
      <c r="A157" s="2" t="str">
        <f>IFERROR(__xludf.DUMMYFUNCTION("""COMPUTED_VALUE"""),"Mislata")</f>
        <v>Mislata</v>
      </c>
      <c r="B157" s="2" t="str">
        <f>IFERROR(__xludf.DUMMYFUNCTION("""COMPUTED_VALUE"""),"L'Horta Oest")</f>
        <v>L'Horta Oest</v>
      </c>
      <c r="C157" s="2" t="str">
        <f>IFERROR(__xludf.DUMMYFUNCTION("""COMPUTED_VALUE"""),"Provincia de València")</f>
        <v>Provincia de València</v>
      </c>
      <c r="D157" s="2" t="str">
        <f>IFERROR(__xludf.DUMMYFUNCTION("""COMPUTED_VALUE"""),"Comunidad Valenciana")</f>
        <v>Comunidad Valenciana</v>
      </c>
      <c r="E157" s="2">
        <f>IFERROR(__xludf.DUMMYFUNCTION("""COMPUTED_VALUE"""),29.0)</f>
        <v>29</v>
      </c>
      <c r="F157" s="2">
        <f>IFERROR(__xludf.DUMMYFUNCTION("""COMPUTED_VALUE"""),2.03)</f>
        <v>2.03</v>
      </c>
      <c r="G157" s="4">
        <f>IFERROR(__xludf.DUMMYFUNCTION("""COMPUTED_VALUE"""),43691.0)</f>
        <v>43691</v>
      </c>
      <c r="H157" s="5">
        <f>IFERROR(__xludf.DUMMYFUNCTION("""COMPUTED_VALUE"""),21522.66)</f>
        <v>21522.66</v>
      </c>
    </row>
    <row r="158">
      <c r="A158" s="2" t="str">
        <f>IFERROR(__xludf.DUMMYFUNCTION("""COMPUTED_VALUE"""),"Lucena")</f>
        <v>Lucena</v>
      </c>
      <c r="B158" s="2" t="str">
        <f>IFERROR(__xludf.DUMMYFUNCTION("""COMPUTED_VALUE"""),"Subbética (Córdoba)")</f>
        <v>Subbética (Córdoba)</v>
      </c>
      <c r="C158" s="2" t="str">
        <f>IFERROR(__xludf.DUMMYFUNCTION("""COMPUTED_VALUE"""),"Provincia de Córdoba")</f>
        <v>Provincia de Córdoba</v>
      </c>
      <c r="D158" s="2" t="str">
        <f>IFERROR(__xludf.DUMMYFUNCTION("""COMPUTED_VALUE"""),"Andalucía")</f>
        <v>Andalucía</v>
      </c>
      <c r="E158" s="2">
        <f>IFERROR(__xludf.DUMMYFUNCTION("""COMPUTED_VALUE"""),485.0)</f>
        <v>485</v>
      </c>
      <c r="F158" s="2">
        <f>IFERROR(__xludf.DUMMYFUNCTION("""COMPUTED_VALUE"""),352.05)</f>
        <v>352.05</v>
      </c>
      <c r="G158" s="4">
        <f>IFERROR(__xludf.DUMMYFUNCTION("""COMPUTED_VALUE"""),42605.0)</f>
        <v>42605</v>
      </c>
      <c r="H158" s="2">
        <f>IFERROR(__xludf.DUMMYFUNCTION("""COMPUTED_VALUE"""),121.02)</f>
        <v>121.02</v>
      </c>
    </row>
    <row r="159">
      <c r="A159" s="2" t="str">
        <f>IFERROR(__xludf.DUMMYFUNCTION("""COMPUTED_VALUE"""),"Dénia")</f>
        <v>Dénia</v>
      </c>
      <c r="B159" s="2" t="str">
        <f>IFERROR(__xludf.DUMMYFUNCTION("""COMPUTED_VALUE"""),"Marina Alta")</f>
        <v>Marina Alta</v>
      </c>
      <c r="C159" s="2" t="str">
        <f>IFERROR(__xludf.DUMMYFUNCTION("""COMPUTED_VALUE"""),"Provincia de Alicante")</f>
        <v>Provincia de Alicante</v>
      </c>
      <c r="D159" s="2" t="str">
        <f>IFERROR(__xludf.DUMMYFUNCTION("""COMPUTED_VALUE"""),"Comunidad Valenciana")</f>
        <v>Comunidad Valenciana</v>
      </c>
      <c r="E159" s="2">
        <f>IFERROR(__xludf.DUMMYFUNCTION("""COMPUTED_VALUE"""),22.0)</f>
        <v>22</v>
      </c>
      <c r="F159" s="2">
        <f>IFERROR(__xludf.DUMMYFUNCTION("""COMPUTED_VALUE"""),66.18)</f>
        <v>66.18</v>
      </c>
      <c r="G159" s="4">
        <f>IFERROR(__xludf.DUMMYFUNCTION("""COMPUTED_VALUE"""),42166.0)</f>
        <v>42166</v>
      </c>
      <c r="H159" s="2">
        <f>IFERROR(__xludf.DUMMYFUNCTION("""COMPUTED_VALUE"""),637.14)</f>
        <v>637.14</v>
      </c>
    </row>
    <row r="160">
      <c r="A160" s="2" t="str">
        <f>IFERROR(__xludf.DUMMYFUNCTION("""COMPUTED_VALUE"""),"Alcantarilla")</f>
        <v>Alcantarilla</v>
      </c>
      <c r="B160" s="2" t="str">
        <f>IFERROR(__xludf.DUMMYFUNCTION("""COMPUTED_VALUE"""),"Huerta de Murcia")</f>
        <v>Huerta de Murcia</v>
      </c>
      <c r="C160" s="2" t="str">
        <f>IFERROR(__xludf.DUMMYFUNCTION("""COMPUTED_VALUE"""),"Provincia de Murcia")</f>
        <v>Provincia de Murcia</v>
      </c>
      <c r="D160" s="2" t="str">
        <f>IFERROR(__xludf.DUMMYFUNCTION("""COMPUTED_VALUE"""),"Región de Murcia")</f>
        <v>Región de Murcia</v>
      </c>
      <c r="E160" s="2">
        <f>IFERROR(__xludf.DUMMYFUNCTION("""COMPUTED_VALUE"""),62.0)</f>
        <v>62</v>
      </c>
      <c r="F160" s="2">
        <f>IFERROR(__xludf.DUMMYFUNCTION("""COMPUTED_VALUE"""),16.24)</f>
        <v>16.24</v>
      </c>
      <c r="G160" s="4">
        <f>IFERROR(__xludf.DUMMYFUNCTION("""COMPUTED_VALUE"""),42048.0)</f>
        <v>42048</v>
      </c>
      <c r="H160" s="5">
        <f>IFERROR(__xludf.DUMMYFUNCTION("""COMPUTED_VALUE"""),2589.16)</f>
        <v>2589.16</v>
      </c>
    </row>
    <row r="161">
      <c r="A161" s="2" t="str">
        <f>IFERROR(__xludf.DUMMYFUNCTION("""COMPUTED_VALUE"""),"La Orotava")</f>
        <v>La Orotava</v>
      </c>
      <c r="B161" s="2" t="str">
        <f>IFERROR(__xludf.DUMMYFUNCTION("""COMPUTED_VALUE"""),"Comarca del Valle de La Orotava")</f>
        <v>Comarca del Valle de La Orotava</v>
      </c>
      <c r="C161" s="2" t="str">
        <f>IFERROR(__xludf.DUMMYFUNCTION("""COMPUTED_VALUE"""),"Provincia de Santa Cruz de Tenerife")</f>
        <v>Provincia de Santa Cruz de Tenerife</v>
      </c>
      <c r="D161" s="2" t="str">
        <f>IFERROR(__xludf.DUMMYFUNCTION("""COMPUTED_VALUE"""),"Canarias")</f>
        <v>Canarias</v>
      </c>
      <c r="E161" s="2">
        <f>IFERROR(__xludf.DUMMYFUNCTION("""COMPUTED_VALUE"""),360.0)</f>
        <v>360</v>
      </c>
      <c r="F161" s="2">
        <f>IFERROR(__xludf.DUMMYFUNCTION("""COMPUTED_VALUE"""),206.89)</f>
        <v>206.89</v>
      </c>
      <c r="G161" s="4">
        <f>IFERROR(__xludf.DUMMYFUNCTION("""COMPUTED_VALUE"""),42029.0)</f>
        <v>42029</v>
      </c>
      <c r="H161" s="2">
        <f>IFERROR(__xludf.DUMMYFUNCTION("""COMPUTED_VALUE"""),203.15)</f>
        <v>203.15</v>
      </c>
    </row>
    <row r="162">
      <c r="A162" s="2" t="str">
        <f>IFERROR(__xludf.DUMMYFUNCTION("""COMPUTED_VALUE"""),"Puerto Real")</f>
        <v>Puerto Real</v>
      </c>
      <c r="B162" s="2" t="str">
        <f>IFERROR(__xludf.DUMMYFUNCTION("""COMPUTED_VALUE"""),"Bahía de Cádiz (comarca)")</f>
        <v>Bahía de Cádiz (comarca)</v>
      </c>
      <c r="C162" s="2" t="str">
        <f>IFERROR(__xludf.DUMMYFUNCTION("""COMPUTED_VALUE"""),"Provincia de Cádiz")</f>
        <v>Provincia de Cádiz</v>
      </c>
      <c r="D162" s="2" t="str">
        <f>IFERROR(__xludf.DUMMYFUNCTION("""COMPUTED_VALUE"""),"Andalucía")</f>
        <v>Andalucía</v>
      </c>
      <c r="E162" s="2">
        <f>IFERROR(__xludf.DUMMYFUNCTION("""COMPUTED_VALUE"""),8.0)</f>
        <v>8</v>
      </c>
      <c r="F162" s="2">
        <f>IFERROR(__xludf.DUMMYFUNCTION("""COMPUTED_VALUE"""),196.02)</f>
        <v>196.02</v>
      </c>
      <c r="G162" s="4">
        <f>IFERROR(__xludf.DUMMYFUNCTION("""COMPUTED_VALUE"""),41627.0)</f>
        <v>41627</v>
      </c>
      <c r="H162" s="2">
        <f>IFERROR(__xludf.DUMMYFUNCTION("""COMPUTED_VALUE"""),212.36)</f>
        <v>212.36</v>
      </c>
    </row>
    <row r="163">
      <c r="A163" s="2" t="str">
        <f>IFERROR(__xludf.DUMMYFUNCTION("""COMPUTED_VALUE"""),"Antequera")</f>
        <v>Antequera</v>
      </c>
      <c r="B163" s="2" t="str">
        <f>IFERROR(__xludf.DUMMYFUNCTION("""COMPUTED_VALUE"""),"Comarca de Antequera")</f>
        <v>Comarca de Antequera</v>
      </c>
      <c r="C163" s="2" t="str">
        <f>IFERROR(__xludf.DUMMYFUNCTION("""COMPUTED_VALUE"""),"Provincia de Málaga")</f>
        <v>Provincia de Málaga</v>
      </c>
      <c r="D163" s="2" t="str">
        <f>IFERROR(__xludf.DUMMYFUNCTION("""COMPUTED_VALUE"""),"Andalucía")</f>
        <v>Andalucía</v>
      </c>
      <c r="E163" s="2">
        <f>IFERROR(__xludf.DUMMYFUNCTION("""COMPUTED_VALUE"""),575.0)</f>
        <v>575</v>
      </c>
      <c r="F163" s="2">
        <f>IFERROR(__xludf.DUMMYFUNCTION("""COMPUTED_VALUE"""),748.49)</f>
        <v>748.49</v>
      </c>
      <c r="G163" s="4">
        <f>IFERROR(__xludf.DUMMYFUNCTION("""COMPUTED_VALUE"""),41239.0)</f>
        <v>41239</v>
      </c>
      <c r="H163" s="2">
        <f>IFERROR(__xludf.DUMMYFUNCTION("""COMPUTED_VALUE"""),55.1)</f>
        <v>55.1</v>
      </c>
    </row>
    <row r="164">
      <c r="A164" s="2" t="str">
        <f>IFERROR(__xludf.DUMMYFUNCTION("""COMPUTED_VALUE"""),"Puerto del Rosario")</f>
        <v>Puerto del Rosario</v>
      </c>
      <c r="B164" s="2" t="str">
        <f>IFERROR(__xludf.DUMMYFUNCTION("""COMPUTED_VALUE"""),"Fuerteventura")</f>
        <v>Fuerteventura</v>
      </c>
      <c r="C164" s="2" t="str">
        <f>IFERROR(__xludf.DUMMYFUNCTION("""COMPUTED_VALUE"""),"Provincia de Las Palmas")</f>
        <v>Provincia de Las Palmas</v>
      </c>
      <c r="D164" s="2" t="str">
        <f>IFERROR(__xludf.DUMMYFUNCTION("""COMPUTED_VALUE"""),"Canarias")</f>
        <v>Canarias</v>
      </c>
      <c r="E164" s="2">
        <f>IFERROR(__xludf.DUMMYFUNCTION("""COMPUTED_VALUE"""),16.0)</f>
        <v>16</v>
      </c>
      <c r="F164" s="2">
        <f>IFERROR(__xludf.DUMMYFUNCTION("""COMPUTED_VALUE"""),290.77)</f>
        <v>290.77</v>
      </c>
      <c r="G164" s="4">
        <f>IFERROR(__xludf.DUMMYFUNCTION("""COMPUTED_VALUE"""),40753.0)</f>
        <v>40753</v>
      </c>
      <c r="H164" s="2">
        <f>IFERROR(__xludf.DUMMYFUNCTION("""COMPUTED_VALUE"""),140.16)</f>
        <v>140.16</v>
      </c>
    </row>
    <row r="165">
      <c r="A165" s="2" t="str">
        <f>IFERROR(__xludf.DUMMYFUNCTION("""COMPUTED_VALUE"""),"Basauri")</f>
        <v>Basauri</v>
      </c>
      <c r="B165" s="2" t="str">
        <f>IFERROR(__xludf.DUMMYFUNCTION("""COMPUTED_VALUE"""),"Gran Bilbao")</f>
        <v>Gran Bilbao</v>
      </c>
      <c r="C165" s="2" t="str">
        <f>IFERROR(__xludf.DUMMYFUNCTION("""COMPUTED_VALUE"""),"Provincia de Bizkaia")</f>
        <v>Provincia de Bizkaia</v>
      </c>
      <c r="D165" s="2" t="str">
        <f>IFERROR(__xludf.DUMMYFUNCTION("""COMPUTED_VALUE"""),"País Vasco")</f>
        <v>País Vasco</v>
      </c>
      <c r="E165" s="2">
        <f>IFERROR(__xludf.DUMMYFUNCTION("""COMPUTED_VALUE"""),64.0)</f>
        <v>64</v>
      </c>
      <c r="F165" s="2">
        <f>IFERROR(__xludf.DUMMYFUNCTION("""COMPUTED_VALUE"""),7.01)</f>
        <v>7.01</v>
      </c>
      <c r="G165" s="4">
        <f>IFERROR(__xludf.DUMMYFUNCTION("""COMPUTED_VALUE"""),40589.0)</f>
        <v>40589</v>
      </c>
      <c r="H165" s="5">
        <f>IFERROR(__xludf.DUMMYFUNCTION("""COMPUTED_VALUE"""),5790.16)</f>
        <v>5790.16</v>
      </c>
    </row>
    <row r="166">
      <c r="A166" s="2" t="str">
        <f>IFERROR(__xludf.DUMMYFUNCTION("""COMPUTED_VALUE"""),"Alhaurín de la Torre")</f>
        <v>Alhaurín de la Torre</v>
      </c>
      <c r="B166" s="2" t="str">
        <f>IFERROR(__xludf.DUMMYFUNCTION("""COMPUTED_VALUE"""),"Valle del Guadalhorce")</f>
        <v>Valle del Guadalhorce</v>
      </c>
      <c r="C166" s="2" t="str">
        <f>IFERROR(__xludf.DUMMYFUNCTION("""COMPUTED_VALUE"""),"Provincia de Málaga")</f>
        <v>Provincia de Málaga</v>
      </c>
      <c r="D166" s="2" t="str">
        <f>IFERROR(__xludf.DUMMYFUNCTION("""COMPUTED_VALUE"""),"Andalucía")</f>
        <v>Andalucía</v>
      </c>
      <c r="E166" s="2">
        <f>IFERROR(__xludf.DUMMYFUNCTION("""COMPUTED_VALUE"""),104.0)</f>
        <v>104</v>
      </c>
      <c r="F166" s="2">
        <f>IFERROR(__xludf.DUMMYFUNCTION("""COMPUTED_VALUE"""),82.7)</f>
        <v>82.7</v>
      </c>
      <c r="G166" s="4">
        <f>IFERROR(__xludf.DUMMYFUNCTION("""COMPUTED_VALUE"""),40345.0)</f>
        <v>40345</v>
      </c>
      <c r="H166" s="2">
        <f>IFERROR(__xludf.DUMMYFUNCTION("""COMPUTED_VALUE"""),487.85)</f>
        <v>487.85</v>
      </c>
    </row>
    <row r="167">
      <c r="A167" s="2" t="str">
        <f>IFERROR(__xludf.DUMMYFUNCTION("""COMPUTED_VALUE"""),"Igualada")</f>
        <v>Igualada</v>
      </c>
      <c r="B167" s="2" t="str">
        <f>IFERROR(__xludf.DUMMYFUNCTION("""COMPUTED_VALUE"""),"Anoia")</f>
        <v>Anoia</v>
      </c>
      <c r="C167" s="2" t="str">
        <f>IFERROR(__xludf.DUMMYFUNCTION("""COMPUTED_VALUE"""),"Provincia de Barcelona")</f>
        <v>Provincia de Barcelona</v>
      </c>
      <c r="D167" s="2" t="str">
        <f>IFERROR(__xludf.DUMMYFUNCTION("""COMPUTED_VALUE"""),"Cataluña")</f>
        <v>Cataluña</v>
      </c>
      <c r="E167" s="2">
        <f>IFERROR(__xludf.DUMMYFUNCTION("""COMPUTED_VALUE"""),313.0)</f>
        <v>313</v>
      </c>
      <c r="F167" s="2">
        <f>IFERROR(__xludf.DUMMYFUNCTION("""COMPUTED_VALUE"""),8.2)</f>
        <v>8.2</v>
      </c>
      <c r="G167" s="4">
        <f>IFERROR(__xludf.DUMMYFUNCTION("""COMPUTED_VALUE"""),39967.0)</f>
        <v>39967</v>
      </c>
      <c r="H167" s="5">
        <f>IFERROR(__xludf.DUMMYFUNCTION("""COMPUTED_VALUE"""),4874.02)</f>
        <v>4874.02</v>
      </c>
    </row>
    <row r="168">
      <c r="A168" s="2" t="str">
        <f>IFERROR(__xludf.DUMMYFUNCTION("""COMPUTED_VALUE"""),"Plasencia")</f>
        <v>Plasencia</v>
      </c>
      <c r="B168" s="2"/>
      <c r="C168" s="2" t="str">
        <f>IFERROR(__xludf.DUMMYFUNCTION("""COMPUTED_VALUE"""),"Provincia de Cáceres")</f>
        <v>Provincia de Cáceres</v>
      </c>
      <c r="D168" s="2" t="str">
        <f>IFERROR(__xludf.DUMMYFUNCTION("""COMPUTED_VALUE"""),"Extremadura")</f>
        <v>Extremadura</v>
      </c>
      <c r="E168" s="2">
        <f>IFERROR(__xludf.DUMMYFUNCTION("""COMPUTED_VALUE"""),415.0)</f>
        <v>415</v>
      </c>
      <c r="F168" s="2">
        <f>IFERROR(__xludf.DUMMYFUNCTION("""COMPUTED_VALUE"""),217.94)</f>
        <v>217.94</v>
      </c>
      <c r="G168" s="4">
        <f>IFERROR(__xludf.DUMMYFUNCTION("""COMPUTED_VALUE"""),39913.0)</f>
        <v>39913</v>
      </c>
      <c r="H168" s="2">
        <f>IFERROR(__xludf.DUMMYFUNCTION("""COMPUTED_VALUE"""),183.14)</f>
        <v>183.14</v>
      </c>
    </row>
    <row r="169">
      <c r="A169" s="2" t="str">
        <f>IFERROR(__xludf.DUMMYFUNCTION("""COMPUTED_VALUE"""),"Écija")</f>
        <v>Écija</v>
      </c>
      <c r="B169" s="2" t="str">
        <f>IFERROR(__xludf.DUMMYFUNCTION("""COMPUTED_VALUE"""),"Comarca de Écija")</f>
        <v>Comarca de Écija</v>
      </c>
      <c r="C169" s="2" t="str">
        <f>IFERROR(__xludf.DUMMYFUNCTION("""COMPUTED_VALUE"""),"Provincia de Sevilla")</f>
        <v>Provincia de Sevilla</v>
      </c>
      <c r="D169" s="2" t="str">
        <f>IFERROR(__xludf.DUMMYFUNCTION("""COMPUTED_VALUE"""),"Andalucía")</f>
        <v>Andalucía</v>
      </c>
      <c r="E169" s="2">
        <f>IFERROR(__xludf.DUMMYFUNCTION("""COMPUTED_VALUE"""),100.0)</f>
        <v>100</v>
      </c>
      <c r="F169" s="2">
        <f>IFERROR(__xludf.DUMMYFUNCTION("""COMPUTED_VALUE"""),978.47)</f>
        <v>978.47</v>
      </c>
      <c r="G169" s="4">
        <f>IFERROR(__xludf.DUMMYFUNCTION("""COMPUTED_VALUE"""),39873.0)</f>
        <v>39873</v>
      </c>
      <c r="H169" s="2">
        <f>IFERROR(__xludf.DUMMYFUNCTION("""COMPUTED_VALUE"""),40.75)</f>
        <v>40.75</v>
      </c>
    </row>
    <row r="170">
      <c r="A170" s="2" t="str">
        <f>IFERROR(__xludf.DUMMYFUNCTION("""COMPUTED_VALUE"""),"Vilafranca del Penedès")</f>
        <v>Vilafranca del Penedès</v>
      </c>
      <c r="B170" s="2" t="str">
        <f>IFERROR(__xludf.DUMMYFUNCTION("""COMPUTED_VALUE"""),"Alto Panadés")</f>
        <v>Alto Panadés</v>
      </c>
      <c r="C170" s="2" t="str">
        <f>IFERROR(__xludf.DUMMYFUNCTION("""COMPUTED_VALUE"""),"Provincia de Barcelona")</f>
        <v>Provincia de Barcelona</v>
      </c>
      <c r="D170" s="2" t="str">
        <f>IFERROR(__xludf.DUMMYFUNCTION("""COMPUTED_VALUE"""),"Cataluña")</f>
        <v>Cataluña</v>
      </c>
      <c r="E170" s="2">
        <f>IFERROR(__xludf.DUMMYFUNCTION("""COMPUTED_VALUE"""),223.0)</f>
        <v>223</v>
      </c>
      <c r="F170" s="2">
        <f>IFERROR(__xludf.DUMMYFUNCTION("""COMPUTED_VALUE"""),19.91)</f>
        <v>19.91</v>
      </c>
      <c r="G170" s="4">
        <f>IFERROR(__xludf.DUMMYFUNCTION("""COMPUTED_VALUE"""),39746.0)</f>
        <v>39746</v>
      </c>
      <c r="H170" s="5">
        <f>IFERROR(__xludf.DUMMYFUNCTION("""COMPUTED_VALUE"""),1996.28)</f>
        <v>1996.28</v>
      </c>
    </row>
    <row r="171">
      <c r="A171" s="2" t="str">
        <f>IFERROR(__xludf.DUMMYFUNCTION("""COMPUTED_VALUE"""),"Errenteria")</f>
        <v>Errenteria</v>
      </c>
      <c r="B171" s="2" t="str">
        <f>IFERROR(__xludf.DUMMYFUNCTION("""COMPUTED_VALUE"""),"Comarca de San Sebastián")</f>
        <v>Comarca de San Sebastián</v>
      </c>
      <c r="C171" s="2" t="str">
        <f>IFERROR(__xludf.DUMMYFUNCTION("""COMPUTED_VALUE"""),"Provincia de Gipuzkoa")</f>
        <v>Provincia de Gipuzkoa</v>
      </c>
      <c r="D171" s="2" t="str">
        <f>IFERROR(__xludf.DUMMYFUNCTION("""COMPUTED_VALUE"""),"País Vasco")</f>
        <v>País Vasco</v>
      </c>
      <c r="E171" s="2">
        <f>IFERROR(__xludf.DUMMYFUNCTION("""COMPUTED_VALUE"""),4.0)</f>
        <v>4</v>
      </c>
      <c r="F171" s="2">
        <f>IFERROR(__xludf.DUMMYFUNCTION("""COMPUTED_VALUE"""),32.26)</f>
        <v>32.26</v>
      </c>
      <c r="G171" s="4">
        <f>IFERROR(__xludf.DUMMYFUNCTION("""COMPUTED_VALUE"""),39471.0)</f>
        <v>39471</v>
      </c>
      <c r="H171" s="5">
        <f>IFERROR(__xludf.DUMMYFUNCTION("""COMPUTED_VALUE"""),1223.53)</f>
        <v>1223.53</v>
      </c>
    </row>
    <row r="172">
      <c r="A172" s="2" t="str">
        <f>IFERROR(__xludf.DUMMYFUNCTION("""COMPUTED_VALUE"""),"San Fernando de Henares")</f>
        <v>San Fernando de Henares</v>
      </c>
      <c r="B172" s="2" t="str">
        <f>IFERROR(__xludf.DUMMYFUNCTION("""COMPUTED_VALUE"""),"Comarca de Alcalá")</f>
        <v>Comarca de Alcalá</v>
      </c>
      <c r="C172" s="2" t="str">
        <f>IFERROR(__xludf.DUMMYFUNCTION("""COMPUTED_VALUE"""),"Provincia de Madrid")</f>
        <v>Provincia de Madrid</v>
      </c>
      <c r="D172" s="2" t="str">
        <f>IFERROR(__xludf.DUMMYFUNCTION("""COMPUTED_VALUE"""),"Comunidad de Madrid")</f>
        <v>Comunidad de Madrid</v>
      </c>
      <c r="E172" s="2">
        <f>IFERROR(__xludf.DUMMYFUNCTION("""COMPUTED_VALUE"""),580.0)</f>
        <v>580</v>
      </c>
      <c r="F172" s="2">
        <f>IFERROR(__xludf.DUMMYFUNCTION("""COMPUTED_VALUE"""),39.86)</f>
        <v>39.86</v>
      </c>
      <c r="G172" s="4">
        <f>IFERROR(__xludf.DUMMYFUNCTION("""COMPUTED_VALUE"""),39432.0)</f>
        <v>39432</v>
      </c>
      <c r="H172" s="2">
        <f>IFERROR(__xludf.DUMMYFUNCTION("""COMPUTED_VALUE"""),989.26)</f>
        <v>989.26</v>
      </c>
    </row>
    <row r="173">
      <c r="A173" s="2" t="str">
        <f>IFERROR(__xludf.DUMMYFUNCTION("""COMPUTED_VALUE"""),"Llangréu")</f>
        <v>Llangréu</v>
      </c>
      <c r="B173" s="2" t="str">
        <f>IFERROR(__xludf.DUMMYFUNCTION("""COMPUTED_VALUE"""),"Comarca del Nalón")</f>
        <v>Comarca del Nalón</v>
      </c>
      <c r="C173" s="2" t="str">
        <f>IFERROR(__xludf.DUMMYFUNCTION("""COMPUTED_VALUE"""),"Provincia de Asturias")</f>
        <v>Provincia de Asturias</v>
      </c>
      <c r="D173" s="2" t="str">
        <f>IFERROR(__xludf.DUMMYFUNCTION("""COMPUTED_VALUE"""),"Principado de Asturias")</f>
        <v>Principado de Asturias</v>
      </c>
      <c r="E173" s="4">
        <f>IFERROR(__xludf.DUMMYFUNCTION("""COMPUTED_VALUE"""),1021.0)</f>
        <v>1021</v>
      </c>
      <c r="F173" s="2">
        <f>IFERROR(__xludf.DUMMYFUNCTION("""COMPUTED_VALUE"""),83.54)</f>
        <v>83.54</v>
      </c>
      <c r="G173" s="4">
        <f>IFERROR(__xludf.DUMMYFUNCTION("""COMPUTED_VALUE"""),39420.0)</f>
        <v>39420</v>
      </c>
      <c r="H173" s="2">
        <f>IFERROR(__xludf.DUMMYFUNCTION("""COMPUTED_VALUE"""),471.87)</f>
        <v>471.87</v>
      </c>
    </row>
    <row r="174">
      <c r="A174" s="2" t="str">
        <f>IFERROR(__xludf.DUMMYFUNCTION("""COMPUTED_VALUE"""),"Soria")</f>
        <v>Soria</v>
      </c>
      <c r="B174" s="2" t="str">
        <f>IFERROR(__xludf.DUMMYFUNCTION("""COMPUTED_VALUE"""),"Comarca de Soria")</f>
        <v>Comarca de Soria</v>
      </c>
      <c r="C174" s="2" t="str">
        <f>IFERROR(__xludf.DUMMYFUNCTION("""COMPUTED_VALUE"""),"Provincia de Soria")</f>
        <v>Provincia de Soria</v>
      </c>
      <c r="D174" s="2" t="str">
        <f>IFERROR(__xludf.DUMMYFUNCTION("""COMPUTED_VALUE"""),"Castilla y León")</f>
        <v>Castilla y León</v>
      </c>
      <c r="E174" s="4">
        <f>IFERROR(__xludf.DUMMYFUNCTION("""COMPUTED_VALUE"""),1063.0)</f>
        <v>1063</v>
      </c>
      <c r="F174" s="2">
        <f>IFERROR(__xludf.DUMMYFUNCTION("""COMPUTED_VALUE"""),271.77)</f>
        <v>271.77</v>
      </c>
      <c r="G174" s="4">
        <f>IFERROR(__xludf.DUMMYFUNCTION("""COMPUTED_VALUE"""),39398.0)</f>
        <v>39398</v>
      </c>
      <c r="H174" s="2">
        <f>IFERROR(__xludf.DUMMYFUNCTION("""COMPUTED_VALUE"""),144.97)</f>
        <v>144.97</v>
      </c>
    </row>
    <row r="175">
      <c r="A175" s="2" t="str">
        <f>IFERROR(__xludf.DUMMYFUNCTION("""COMPUTED_VALUE"""),"Narón")</f>
        <v>Narón</v>
      </c>
      <c r="B175" s="2" t="str">
        <f>IFERROR(__xludf.DUMMYFUNCTION("""COMPUTED_VALUE"""),"Comarca de Ferrol")</f>
        <v>Comarca de Ferrol</v>
      </c>
      <c r="C175" s="2" t="str">
        <f>IFERROR(__xludf.DUMMYFUNCTION("""COMPUTED_VALUE"""),"Provincia de A Coruña")</f>
        <v>Provincia de A Coruña</v>
      </c>
      <c r="D175" s="2" t="str">
        <f>IFERROR(__xludf.DUMMYFUNCTION("""COMPUTED_VALUE"""),"Galicia")</f>
        <v>Galicia</v>
      </c>
      <c r="E175" s="2">
        <f>IFERROR(__xludf.DUMMYFUNCTION("""COMPUTED_VALUE"""),26.0)</f>
        <v>26</v>
      </c>
      <c r="F175" s="2">
        <f>IFERROR(__xludf.DUMMYFUNCTION("""COMPUTED_VALUE"""),66.91)</f>
        <v>66.91</v>
      </c>
      <c r="G175" s="4">
        <f>IFERROR(__xludf.DUMMYFUNCTION("""COMPUTED_VALUE"""),39080.0)</f>
        <v>39080</v>
      </c>
      <c r="H175" s="2">
        <f>IFERROR(__xludf.DUMMYFUNCTION("""COMPUTED_VALUE"""),584.07)</f>
        <v>584.07</v>
      </c>
    </row>
    <row r="176">
      <c r="A176" s="2" t="str">
        <f>IFERROR(__xludf.DUMMYFUNCTION("""COMPUTED_VALUE"""),"Blanes")</f>
        <v>Blanes</v>
      </c>
      <c r="B176" s="2" t="str">
        <f>IFERROR(__xludf.DUMMYFUNCTION("""COMPUTED_VALUE"""),"La Selva")</f>
        <v>La Selva</v>
      </c>
      <c r="C176" s="2" t="str">
        <f>IFERROR(__xludf.DUMMYFUNCTION("""COMPUTED_VALUE"""),"Provincia de Girona")</f>
        <v>Provincia de Girona</v>
      </c>
      <c r="D176" s="2" t="str">
        <f>IFERROR(__xludf.DUMMYFUNCTION("""COMPUTED_VALUE"""),"Cataluña")</f>
        <v>Cataluña</v>
      </c>
      <c r="E176" s="2">
        <f>IFERROR(__xludf.DUMMYFUNCTION("""COMPUTED_VALUE"""),13.0)</f>
        <v>13</v>
      </c>
      <c r="F176" s="2">
        <f>IFERROR(__xludf.DUMMYFUNCTION("""COMPUTED_VALUE"""),17.77)</f>
        <v>17.77</v>
      </c>
      <c r="G176" s="4">
        <f>IFERROR(__xludf.DUMMYFUNCTION("""COMPUTED_VALUE"""),39028.0)</f>
        <v>39028</v>
      </c>
      <c r="H176" s="5">
        <f>IFERROR(__xludf.DUMMYFUNCTION("""COMPUTED_VALUE"""),2196.29)</f>
        <v>2196.29</v>
      </c>
    </row>
    <row r="177">
      <c r="A177" s="2" t="str">
        <f>IFERROR(__xludf.DUMMYFUNCTION("""COMPUTED_VALUE"""),"Ripollet")</f>
        <v>Ripollet</v>
      </c>
      <c r="B177" s="2" t="str">
        <f>IFERROR(__xludf.DUMMYFUNCTION("""COMPUTED_VALUE"""),"Vallès Occidental")</f>
        <v>Vallès Occidental</v>
      </c>
      <c r="C177" s="2" t="str">
        <f>IFERROR(__xludf.DUMMYFUNCTION("""COMPUTED_VALUE"""),"Provincia de Barcelona")</f>
        <v>Provincia de Barcelona</v>
      </c>
      <c r="D177" s="2" t="str">
        <f>IFERROR(__xludf.DUMMYFUNCTION("""COMPUTED_VALUE"""),"Cataluña")</f>
        <v>Cataluña</v>
      </c>
      <c r="E177" s="2">
        <f>IFERROR(__xludf.DUMMYFUNCTION("""COMPUTED_VALUE"""),79.0)</f>
        <v>79</v>
      </c>
      <c r="F177" s="2">
        <f>IFERROR(__xludf.DUMMYFUNCTION("""COMPUTED_VALUE"""),4.4)</f>
        <v>4.4</v>
      </c>
      <c r="G177" s="4">
        <f>IFERROR(__xludf.DUMMYFUNCTION("""COMPUTED_VALUE"""),38665.0)</f>
        <v>38665</v>
      </c>
      <c r="H177" s="5">
        <f>IFERROR(__xludf.DUMMYFUNCTION("""COMPUTED_VALUE"""),8787.5)</f>
        <v>8787.5</v>
      </c>
    </row>
    <row r="178">
      <c r="A178" s="2" t="str">
        <f>IFERROR(__xludf.DUMMYFUNCTION("""COMPUTED_VALUE"""),"La Rinconada")</f>
        <v>La Rinconada</v>
      </c>
      <c r="B178" s="2" t="str">
        <f>IFERROR(__xludf.DUMMYFUNCTION("""COMPUTED_VALUE"""),"Metropolitana de Sevilla")</f>
        <v>Metropolitana de Sevilla</v>
      </c>
      <c r="C178" s="2" t="str">
        <f>IFERROR(__xludf.DUMMYFUNCTION("""COMPUTED_VALUE"""),"Provincia de Sevilla")</f>
        <v>Provincia de Sevilla</v>
      </c>
      <c r="D178" s="2" t="str">
        <f>IFERROR(__xludf.DUMMYFUNCTION("""COMPUTED_VALUE"""),"Andalucía")</f>
        <v>Andalucía</v>
      </c>
      <c r="E178" s="2">
        <f>IFERROR(__xludf.DUMMYFUNCTION("""COMPUTED_VALUE"""),13.0)</f>
        <v>13</v>
      </c>
      <c r="F178" s="2">
        <f>IFERROR(__xludf.DUMMYFUNCTION("""COMPUTED_VALUE"""),138.7)</f>
        <v>138.7</v>
      </c>
      <c r="G178" s="4">
        <f>IFERROR(__xludf.DUMMYFUNCTION("""COMPUTED_VALUE"""),38628.0)</f>
        <v>38628</v>
      </c>
      <c r="H178" s="2">
        <f>IFERROR(__xludf.DUMMYFUNCTION("""COMPUTED_VALUE"""),278.5)</f>
        <v>278.5</v>
      </c>
    </row>
    <row r="179">
      <c r="A179" s="2" t="str">
        <f>IFERROR(__xludf.DUMMYFUNCTION("""COMPUTED_VALUE"""),"Lloret de Mar")</f>
        <v>Lloret de Mar</v>
      </c>
      <c r="B179" s="2" t="str">
        <f>IFERROR(__xludf.DUMMYFUNCTION("""COMPUTED_VALUE"""),"Selva (comarca)")</f>
        <v>Selva (comarca)</v>
      </c>
      <c r="C179" s="2" t="str">
        <f>IFERROR(__xludf.DUMMYFUNCTION("""COMPUTED_VALUE"""),"Provincia de Girona")</f>
        <v>Provincia de Girona</v>
      </c>
      <c r="D179" s="2" t="str">
        <f>IFERROR(__xludf.DUMMYFUNCTION("""COMPUTED_VALUE"""),"Cataluña")</f>
        <v>Cataluña</v>
      </c>
      <c r="E179" s="2">
        <f>IFERROR(__xludf.DUMMYFUNCTION("""COMPUTED_VALUE"""),5.0)</f>
        <v>5</v>
      </c>
      <c r="F179" s="2">
        <f>IFERROR(__xludf.DUMMYFUNCTION("""COMPUTED_VALUE"""),48.38)</f>
        <v>48.38</v>
      </c>
      <c r="G179" s="4">
        <f>IFERROR(__xludf.DUMMYFUNCTION("""COMPUTED_VALUE"""),38373.0)</f>
        <v>38373</v>
      </c>
      <c r="H179" s="2">
        <f>IFERROR(__xludf.DUMMYFUNCTION("""COMPUTED_VALUE"""),793.16)</f>
        <v>793.16</v>
      </c>
    </row>
    <row r="180">
      <c r="A180" s="2" t="str">
        <f>IFERROR(__xludf.DUMMYFUNCTION("""COMPUTED_VALUE"""),"Los Palacios y Villafranca")</f>
        <v>Los Palacios y Villafranca</v>
      </c>
      <c r="B180" s="2" t="str">
        <f>IFERROR(__xludf.DUMMYFUNCTION("""COMPUTED_VALUE"""),"Bajo Guadalquivir (comarca)")</f>
        <v>Bajo Guadalquivir (comarca)</v>
      </c>
      <c r="C180" s="2" t="str">
        <f>IFERROR(__xludf.DUMMYFUNCTION("""COMPUTED_VALUE"""),"Provincia de Sevilla")</f>
        <v>Provincia de Sevilla</v>
      </c>
      <c r="D180" s="2" t="str">
        <f>IFERROR(__xludf.DUMMYFUNCTION("""COMPUTED_VALUE"""),"Andalucía")</f>
        <v>Andalucía</v>
      </c>
      <c r="E180" s="2">
        <f>IFERROR(__xludf.DUMMYFUNCTION("""COMPUTED_VALUE"""),8.0)</f>
        <v>8</v>
      </c>
      <c r="F180" s="2">
        <f>IFERROR(__xludf.DUMMYFUNCTION("""COMPUTED_VALUE"""),109.47)</f>
        <v>109.47</v>
      </c>
      <c r="G180" s="4">
        <f>IFERROR(__xludf.DUMMYFUNCTION("""COMPUTED_VALUE"""),38354.0)</f>
        <v>38354</v>
      </c>
      <c r="H180" s="2">
        <f>IFERROR(__xludf.DUMMYFUNCTION("""COMPUTED_VALUE"""),350.36)</f>
        <v>350.36</v>
      </c>
    </row>
    <row r="181">
      <c r="A181" s="2" t="str">
        <f>IFERROR(__xludf.DUMMYFUNCTION("""COMPUTED_VALUE"""),"Arucas")</f>
        <v>Arucas</v>
      </c>
      <c r="B181" s="2"/>
      <c r="C181" s="2" t="str">
        <f>IFERROR(__xludf.DUMMYFUNCTION("""COMPUTED_VALUE"""),"Provincia de Las Palmas")</f>
        <v>Provincia de Las Palmas</v>
      </c>
      <c r="D181" s="2" t="str">
        <f>IFERROR(__xludf.DUMMYFUNCTION("""COMPUTED_VALUE"""),"Canarias")</f>
        <v>Canarias</v>
      </c>
      <c r="E181" s="2">
        <f>IFERROR(__xludf.DUMMYFUNCTION("""COMPUTED_VALUE"""),240.0)</f>
        <v>240</v>
      </c>
      <c r="F181" s="2">
        <f>IFERROR(__xludf.DUMMYFUNCTION("""COMPUTED_VALUE"""),32.84)</f>
        <v>32.84</v>
      </c>
      <c r="G181" s="4">
        <f>IFERROR(__xludf.DUMMYFUNCTION("""COMPUTED_VALUE"""),38138.0)</f>
        <v>38138</v>
      </c>
      <c r="H181" s="5">
        <f>IFERROR(__xludf.DUMMYFUNCTION("""COMPUTED_VALUE"""),1161.33)</f>
        <v>1161.33</v>
      </c>
    </row>
    <row r="182">
      <c r="A182" s="2" t="str">
        <f>IFERROR(__xludf.DUMMYFUNCTION("""COMPUTED_VALUE"""),"Burjassot")</f>
        <v>Burjassot</v>
      </c>
      <c r="B182" s="2" t="str">
        <f>IFERROR(__xludf.DUMMYFUNCTION("""COMPUTED_VALUE"""),"Huerta Norte")</f>
        <v>Huerta Norte</v>
      </c>
      <c r="C182" s="2" t="str">
        <f>IFERROR(__xludf.DUMMYFUNCTION("""COMPUTED_VALUE"""),"Provincia de València")</f>
        <v>Provincia de València</v>
      </c>
      <c r="D182" s="2" t="str">
        <f>IFERROR(__xludf.DUMMYFUNCTION("""COMPUTED_VALUE"""),"Comunidad Valenciana")</f>
        <v>Comunidad Valenciana</v>
      </c>
      <c r="E182" s="2">
        <f>IFERROR(__xludf.DUMMYFUNCTION("""COMPUTED_VALUE"""),59.0)</f>
        <v>59</v>
      </c>
      <c r="F182" s="2">
        <f>IFERROR(__xludf.DUMMYFUNCTION("""COMPUTED_VALUE"""),3.44)</f>
        <v>3.44</v>
      </c>
      <c r="G182" s="4">
        <f>IFERROR(__xludf.DUMMYFUNCTION("""COMPUTED_VALUE"""),38024.0)</f>
        <v>38024</v>
      </c>
      <c r="H182" s="5">
        <f>IFERROR(__xludf.DUMMYFUNCTION("""COMPUTED_VALUE"""),11053.49)</f>
        <v>11053.49</v>
      </c>
    </row>
    <row r="183">
      <c r="A183" s="2" t="str">
        <f>IFERROR(__xludf.DUMMYFUNCTION("""COMPUTED_VALUE"""),"Santa Eulalia del Río")</f>
        <v>Santa Eulalia del Río</v>
      </c>
      <c r="B183" s="2"/>
      <c r="C183" s="2" t="str">
        <f>IFERROR(__xludf.DUMMYFUNCTION("""COMPUTED_VALUE"""),"Provincia de Baleares")</f>
        <v>Provincia de Baleares</v>
      </c>
      <c r="D183" s="2" t="str">
        <f>IFERROR(__xludf.DUMMYFUNCTION("""COMPUTED_VALUE"""),"Islas Baleares")</f>
        <v>Islas Baleares</v>
      </c>
      <c r="E183" s="2">
        <f>IFERROR(__xludf.DUMMYFUNCTION("""COMPUTED_VALUE"""),52.0)</f>
        <v>52</v>
      </c>
      <c r="F183" s="2">
        <f>IFERROR(__xludf.DUMMYFUNCTION("""COMPUTED_VALUE"""),153.58)</f>
        <v>153.58</v>
      </c>
      <c r="G183" s="4">
        <f>IFERROR(__xludf.DUMMYFUNCTION("""COMPUTED_VALUE"""),38015.0)</f>
        <v>38015</v>
      </c>
      <c r="H183" s="2">
        <f>IFERROR(__xludf.DUMMYFUNCTION("""COMPUTED_VALUE"""),247.53)</f>
        <v>247.53</v>
      </c>
    </row>
    <row r="184">
      <c r="A184" s="2" t="str">
        <f>IFERROR(__xludf.DUMMYFUNCTION("""COMPUTED_VALUE"""),"Mieres")</f>
        <v>Mieres</v>
      </c>
      <c r="B184" s="2" t="str">
        <f>IFERROR(__xludf.DUMMYFUNCTION("""COMPUTED_VALUE"""),"Comarca del Caudal")</f>
        <v>Comarca del Caudal</v>
      </c>
      <c r="C184" s="2" t="str">
        <f>IFERROR(__xludf.DUMMYFUNCTION("""COMPUTED_VALUE"""),"Provincia de Asturias")</f>
        <v>Provincia de Asturias</v>
      </c>
      <c r="D184" s="2" t="str">
        <f>IFERROR(__xludf.DUMMYFUNCTION("""COMPUTED_VALUE"""),"Principado de Asturias")</f>
        <v>Principado de Asturias</v>
      </c>
      <c r="E184" s="2">
        <f>IFERROR(__xludf.DUMMYFUNCTION("""COMPUTED_VALUE"""),386.0)</f>
        <v>386</v>
      </c>
      <c r="F184" s="2">
        <f>IFERROR(__xludf.DUMMYFUNCTION("""COMPUTED_VALUE"""),146.04)</f>
        <v>146.04</v>
      </c>
      <c r="G184" s="4">
        <f>IFERROR(__xludf.DUMMYFUNCTION("""COMPUTED_VALUE"""),37959.0)</f>
        <v>37959</v>
      </c>
      <c r="H184" s="2">
        <f>IFERROR(__xludf.DUMMYFUNCTION("""COMPUTED_VALUE"""),259.92)</f>
        <v>259.92</v>
      </c>
    </row>
    <row r="185">
      <c r="A185" s="2" t="str">
        <f>IFERROR(__xludf.DUMMYFUNCTION("""COMPUTED_VALUE"""),"El Vendrell")</f>
        <v>El Vendrell</v>
      </c>
      <c r="B185" s="2" t="str">
        <f>IFERROR(__xludf.DUMMYFUNCTION("""COMPUTED_VALUE"""),"Baix Penedès")</f>
        <v>Baix Penedès</v>
      </c>
      <c r="C185" s="2" t="str">
        <f>IFERROR(__xludf.DUMMYFUNCTION("""COMPUTED_VALUE"""),"Provincia de Tarragona")</f>
        <v>Provincia de Tarragona</v>
      </c>
      <c r="D185" s="2" t="str">
        <f>IFERROR(__xludf.DUMMYFUNCTION("""COMPUTED_VALUE"""),"Cataluña")</f>
        <v>Cataluña</v>
      </c>
      <c r="E185" s="2">
        <f>IFERROR(__xludf.DUMMYFUNCTION("""COMPUTED_VALUE"""),49.0)</f>
        <v>49</v>
      </c>
      <c r="F185" s="2">
        <f>IFERROR(__xludf.DUMMYFUNCTION("""COMPUTED_VALUE"""),36.5)</f>
        <v>36.5</v>
      </c>
      <c r="G185" s="4">
        <f>IFERROR(__xludf.DUMMYFUNCTION("""COMPUTED_VALUE"""),37606.0)</f>
        <v>37606</v>
      </c>
      <c r="H185" s="5">
        <f>IFERROR(__xludf.DUMMYFUNCTION("""COMPUTED_VALUE"""),1030.3)</f>
        <v>1030.3</v>
      </c>
    </row>
    <row r="186">
      <c r="A186" s="2" t="str">
        <f>IFERROR(__xludf.DUMMYFUNCTION("""COMPUTED_VALUE"""),"Vilagarcía de Arousa")</f>
        <v>Vilagarcía de Arousa</v>
      </c>
      <c r="B186" s="2" t="str">
        <f>IFERROR(__xludf.DUMMYFUNCTION("""COMPUTED_VALUE"""),"Salnés")</f>
        <v>Salnés</v>
      </c>
      <c r="C186" s="2" t="str">
        <f>IFERROR(__xludf.DUMMYFUNCTION("""COMPUTED_VALUE"""),"Provincia de Pontevedra")</f>
        <v>Provincia de Pontevedra</v>
      </c>
      <c r="D186" s="2" t="str">
        <f>IFERROR(__xludf.DUMMYFUNCTION("""COMPUTED_VALUE"""),"Galicia")</f>
        <v>Galicia</v>
      </c>
      <c r="E186" s="2">
        <f>IFERROR(__xludf.DUMMYFUNCTION("""COMPUTED_VALUE"""),0.0)</f>
        <v>0</v>
      </c>
      <c r="F186" s="2">
        <f>IFERROR(__xludf.DUMMYFUNCTION("""COMPUTED_VALUE"""),44.24)</f>
        <v>44.24</v>
      </c>
      <c r="G186" s="4">
        <f>IFERROR(__xludf.DUMMYFUNCTION("""COMPUTED_VALUE"""),37456.0)</f>
        <v>37456</v>
      </c>
      <c r="H186" s="2">
        <f>IFERROR(__xludf.DUMMYFUNCTION("""COMPUTED_VALUE"""),846.65)</f>
        <v>846.65</v>
      </c>
    </row>
    <row r="187">
      <c r="A187" s="2" t="str">
        <f>IFERROR(__xludf.DUMMYFUNCTION("""COMPUTED_VALUE"""),"Marratxí")</f>
        <v>Marratxí</v>
      </c>
      <c r="B187" s="2" t="str">
        <f>IFERROR(__xludf.DUMMYFUNCTION("""COMPUTED_VALUE"""),"Raiguer")</f>
        <v>Raiguer</v>
      </c>
      <c r="C187" s="2" t="str">
        <f>IFERROR(__xludf.DUMMYFUNCTION("""COMPUTED_VALUE"""),"Provincia de Baleares")</f>
        <v>Provincia de Baleares</v>
      </c>
      <c r="D187" s="2" t="str">
        <f>IFERROR(__xludf.DUMMYFUNCTION("""COMPUTED_VALUE"""),"Islas Baleares")</f>
        <v>Islas Baleares</v>
      </c>
      <c r="E187" s="2">
        <f>IFERROR(__xludf.DUMMYFUNCTION("""COMPUTED_VALUE"""),126.0)</f>
        <v>126</v>
      </c>
      <c r="F187" s="2">
        <f>IFERROR(__xludf.DUMMYFUNCTION("""COMPUTED_VALUE"""),54.22)</f>
        <v>54.22</v>
      </c>
      <c r="G187" s="4">
        <f>IFERROR(__xludf.DUMMYFUNCTION("""COMPUTED_VALUE"""),37193.0)</f>
        <v>37193</v>
      </c>
      <c r="H187" s="2">
        <f>IFERROR(__xludf.DUMMYFUNCTION("""COMPUTED_VALUE"""),685.96)</f>
        <v>685.96</v>
      </c>
    </row>
    <row r="188">
      <c r="A188" s="2" t="str">
        <f>IFERROR(__xludf.DUMMYFUNCTION("""COMPUTED_VALUE"""),"Don Benito")</f>
        <v>Don Benito</v>
      </c>
      <c r="B188" s="2" t="str">
        <f>IFERROR(__xludf.DUMMYFUNCTION("""COMPUTED_VALUE"""),"Vegas Altas")</f>
        <v>Vegas Altas</v>
      </c>
      <c r="C188" s="2" t="str">
        <f>IFERROR(__xludf.DUMMYFUNCTION("""COMPUTED_VALUE"""),"Provincia de Badajoz")</f>
        <v>Provincia de Badajoz</v>
      </c>
      <c r="D188" s="2" t="str">
        <f>IFERROR(__xludf.DUMMYFUNCTION("""COMPUTED_VALUE"""),"Extremadura")</f>
        <v>Extremadura</v>
      </c>
      <c r="E188" s="2">
        <f>IFERROR(__xludf.DUMMYFUNCTION("""COMPUTED_VALUE"""),280.0)</f>
        <v>280</v>
      </c>
      <c r="F188" s="2">
        <f>IFERROR(__xludf.DUMMYFUNCTION("""COMPUTED_VALUE"""),561.69)</f>
        <v>561.69</v>
      </c>
      <c r="G188" s="4">
        <f>IFERROR(__xludf.DUMMYFUNCTION("""COMPUTED_VALUE"""),37151.0)</f>
        <v>37151</v>
      </c>
      <c r="H188" s="2">
        <f>IFERROR(__xludf.DUMMYFUNCTION("""COMPUTED_VALUE"""),66.14)</f>
        <v>66.14</v>
      </c>
    </row>
    <row r="189">
      <c r="A189" s="2" t="str">
        <f>IFERROR(__xludf.DUMMYFUNCTION("""COMPUTED_VALUE"""),"Sant Adrià de Besòs")</f>
        <v>Sant Adrià de Besòs</v>
      </c>
      <c r="B189" s="2" t="str">
        <f>IFERROR(__xludf.DUMMYFUNCTION("""COMPUTED_VALUE"""),"Barcelonés")</f>
        <v>Barcelonés</v>
      </c>
      <c r="C189" s="2" t="str">
        <f>IFERROR(__xludf.DUMMYFUNCTION("""COMPUTED_VALUE"""),"Provincia de Barcelona")</f>
        <v>Provincia de Barcelona</v>
      </c>
      <c r="D189" s="2" t="str">
        <f>IFERROR(__xludf.DUMMYFUNCTION("""COMPUTED_VALUE"""),"Cataluña")</f>
        <v>Cataluña</v>
      </c>
      <c r="E189" s="2">
        <f>IFERROR(__xludf.DUMMYFUNCTION("""COMPUTED_VALUE"""),14.0)</f>
        <v>14</v>
      </c>
      <c r="F189" s="2">
        <f>IFERROR(__xludf.DUMMYFUNCTION("""COMPUTED_VALUE"""),3.78)</f>
        <v>3.78</v>
      </c>
      <c r="G189" s="4">
        <f>IFERROR(__xludf.DUMMYFUNCTION("""COMPUTED_VALUE"""),37097.0)</f>
        <v>37097</v>
      </c>
      <c r="H189" s="5">
        <f>IFERROR(__xludf.DUMMYFUNCTION("""COMPUTED_VALUE"""),9814.02)</f>
        <v>9814.02</v>
      </c>
    </row>
    <row r="190">
      <c r="A190" s="2" t="str">
        <f>IFERROR(__xludf.DUMMYFUNCTION("""COMPUTED_VALUE"""),"Llucmajor")</f>
        <v>Llucmajor</v>
      </c>
      <c r="B190" s="2" t="str">
        <f>IFERROR(__xludf.DUMMYFUNCTION("""COMPUTED_VALUE"""),"Migjorn")</f>
        <v>Migjorn</v>
      </c>
      <c r="C190" s="2" t="str">
        <f>IFERROR(__xludf.DUMMYFUNCTION("""COMPUTED_VALUE"""),"Provincia de Baleares")</f>
        <v>Provincia de Baleares</v>
      </c>
      <c r="D190" s="2" t="str">
        <f>IFERROR(__xludf.DUMMYFUNCTION("""COMPUTED_VALUE"""),"Islas Baleares")</f>
        <v>Islas Baleares</v>
      </c>
      <c r="E190" s="2">
        <f>IFERROR(__xludf.DUMMYFUNCTION("""COMPUTED_VALUE"""),151.0)</f>
        <v>151</v>
      </c>
      <c r="F190" s="2">
        <f>IFERROR(__xludf.DUMMYFUNCTION("""COMPUTED_VALUE"""),327.33)</f>
        <v>327.33</v>
      </c>
      <c r="G190" s="4">
        <f>IFERROR(__xludf.DUMMYFUNCTION("""COMPUTED_VALUE"""),36914.0)</f>
        <v>36914</v>
      </c>
      <c r="H190" s="2">
        <f>IFERROR(__xludf.DUMMYFUNCTION("""COMPUTED_VALUE"""),112.77)</f>
        <v>112.77</v>
      </c>
    </row>
    <row r="191">
      <c r="A191" s="2" t="str">
        <f>IFERROR(__xludf.DUMMYFUNCTION("""COMPUTED_VALUE"""),"Andújar")</f>
        <v>Andújar</v>
      </c>
      <c r="B191" s="2" t="str">
        <f>IFERROR(__xludf.DUMMYFUNCTION("""COMPUTED_VALUE"""),"Campiña")</f>
        <v>Campiña</v>
      </c>
      <c r="C191" s="2" t="str">
        <f>IFERROR(__xludf.DUMMYFUNCTION("""COMPUTED_VALUE"""),"Provincia de Jaén")</f>
        <v>Provincia de Jaén</v>
      </c>
      <c r="D191" s="2" t="str">
        <f>IFERROR(__xludf.DUMMYFUNCTION("""COMPUTED_VALUE"""),"Andalucía")</f>
        <v>Andalucía</v>
      </c>
      <c r="E191" s="2">
        <f>IFERROR(__xludf.DUMMYFUNCTION("""COMPUTED_VALUE"""),212.0)</f>
        <v>212</v>
      </c>
      <c r="F191" s="2">
        <f>IFERROR(__xludf.DUMMYFUNCTION("""COMPUTED_VALUE"""),964.9)</f>
        <v>964.9</v>
      </c>
      <c r="G191" s="4">
        <f>IFERROR(__xludf.DUMMYFUNCTION("""COMPUTED_VALUE"""),36793.0)</f>
        <v>36793</v>
      </c>
      <c r="H191" s="2">
        <f>IFERROR(__xludf.DUMMYFUNCTION("""COMPUTED_VALUE"""),38.13)</f>
        <v>38.13</v>
      </c>
    </row>
    <row r="192">
      <c r="A192" s="2" t="str">
        <f>IFERROR(__xludf.DUMMYFUNCTION("""COMPUTED_VALUE"""),"Los Realejos")</f>
        <v>Los Realejos</v>
      </c>
      <c r="B192" s="2" t="str">
        <f>IFERROR(__xludf.DUMMYFUNCTION("""COMPUTED_VALUE"""),"Comarca del Valle de La Orotava")</f>
        <v>Comarca del Valle de La Orotava</v>
      </c>
      <c r="C192" s="2" t="str">
        <f>IFERROR(__xludf.DUMMYFUNCTION("""COMPUTED_VALUE"""),"Provincia de Santa Cruz de Tenerife")</f>
        <v>Provincia de Santa Cruz de Tenerife</v>
      </c>
      <c r="D192" s="2" t="str">
        <f>IFERROR(__xludf.DUMMYFUNCTION("""COMPUTED_VALUE"""),"Canarias")</f>
        <v>Canarias</v>
      </c>
      <c r="E192" s="2">
        <f>IFERROR(__xludf.DUMMYFUNCTION("""COMPUTED_VALUE"""),420.0)</f>
        <v>420</v>
      </c>
      <c r="F192" s="2">
        <f>IFERROR(__xludf.DUMMYFUNCTION("""COMPUTED_VALUE"""),56.47)</f>
        <v>56.47</v>
      </c>
      <c r="G192" s="4">
        <f>IFERROR(__xludf.DUMMYFUNCTION("""COMPUTED_VALUE"""),36402.0)</f>
        <v>36402</v>
      </c>
      <c r="H192" s="2">
        <f>IFERROR(__xludf.DUMMYFUNCTION("""COMPUTED_VALUE"""),644.63)</f>
        <v>644.63</v>
      </c>
    </row>
    <row r="193">
      <c r="A193" s="2" t="str">
        <f>IFERROR(__xludf.DUMMYFUNCTION("""COMPUTED_VALUE"""),"Tudela")</f>
        <v>Tudela</v>
      </c>
      <c r="B193" s="2"/>
      <c r="C193" s="2" t="str">
        <f>IFERROR(__xludf.DUMMYFUNCTION("""COMPUTED_VALUE"""),"Provincia de Navarra")</f>
        <v>Provincia de Navarra</v>
      </c>
      <c r="D193" s="2" t="str">
        <f>IFERROR(__xludf.DUMMYFUNCTION("""COMPUTED_VALUE"""),"Comunidad Foral de Navarra")</f>
        <v>Comunidad Foral de Navarra</v>
      </c>
      <c r="E193" s="2">
        <f>IFERROR(__xludf.DUMMYFUNCTION("""COMPUTED_VALUE"""),264.0)</f>
        <v>264</v>
      </c>
      <c r="F193" s="2">
        <f>IFERROR(__xludf.DUMMYFUNCTION("""COMPUTED_VALUE"""),215.06)</f>
        <v>215.06</v>
      </c>
      <c r="G193" s="4">
        <f>IFERROR(__xludf.DUMMYFUNCTION("""COMPUTED_VALUE"""),36258.0)</f>
        <v>36258</v>
      </c>
      <c r="H193" s="2">
        <f>IFERROR(__xludf.DUMMYFUNCTION("""COMPUTED_VALUE"""),168.59)</f>
        <v>168.59</v>
      </c>
    </row>
    <row r="194">
      <c r="A194" s="2" t="str">
        <f>IFERROR(__xludf.DUMMYFUNCTION("""COMPUTED_VALUE"""),"Montcada i Reixac")</f>
        <v>Montcada i Reixac</v>
      </c>
      <c r="B194" s="2" t="str">
        <f>IFERROR(__xludf.DUMMYFUNCTION("""COMPUTED_VALUE"""),"Vallès Occidental")</f>
        <v>Vallès Occidental</v>
      </c>
      <c r="C194" s="2" t="str">
        <f>IFERROR(__xludf.DUMMYFUNCTION("""COMPUTED_VALUE"""),"Provincia de Barcelona")</f>
        <v>Provincia de Barcelona</v>
      </c>
      <c r="D194" s="2" t="str">
        <f>IFERROR(__xludf.DUMMYFUNCTION("""COMPUTED_VALUE"""),"Cataluña")</f>
        <v>Cataluña</v>
      </c>
      <c r="E194" s="2">
        <f>IFERROR(__xludf.DUMMYFUNCTION("""COMPUTED_VALUE"""),36.0)</f>
        <v>36</v>
      </c>
      <c r="F194" s="2">
        <f>IFERROR(__xludf.DUMMYFUNCTION("""COMPUTED_VALUE"""),23.49)</f>
        <v>23.49</v>
      </c>
      <c r="G194" s="4">
        <f>IFERROR(__xludf.DUMMYFUNCTION("""COMPUTED_VALUE"""),36239.0)</f>
        <v>36239</v>
      </c>
      <c r="H194" s="5">
        <f>IFERROR(__xludf.DUMMYFUNCTION("""COMPUTED_VALUE"""),1542.74)</f>
        <v>1542.74</v>
      </c>
    </row>
    <row r="195">
      <c r="A195" s="2" t="str">
        <f>IFERROR(__xludf.DUMMYFUNCTION("""COMPUTED_VALUE"""),"Oleiros")</f>
        <v>Oleiros</v>
      </c>
      <c r="B195" s="2" t="str">
        <f>IFERROR(__xludf.DUMMYFUNCTION("""COMPUTED_VALUE"""),"Comarca de La Coruña")</f>
        <v>Comarca de La Coruña</v>
      </c>
      <c r="C195" s="2" t="str">
        <f>IFERROR(__xludf.DUMMYFUNCTION("""COMPUTED_VALUE"""),"Provincia de A Coruña")</f>
        <v>Provincia de A Coruña</v>
      </c>
      <c r="D195" s="2" t="str">
        <f>IFERROR(__xludf.DUMMYFUNCTION("""COMPUTED_VALUE"""),"Galicia")</f>
        <v>Galicia</v>
      </c>
      <c r="E195" s="2"/>
      <c r="F195" s="2">
        <f>IFERROR(__xludf.DUMMYFUNCTION("""COMPUTED_VALUE"""),43.66)</f>
        <v>43.66</v>
      </c>
      <c r="G195" s="4">
        <f>IFERROR(__xludf.DUMMYFUNCTION("""COMPUTED_VALUE"""),36075.0)</f>
        <v>36075</v>
      </c>
      <c r="H195" s="2">
        <f>IFERROR(__xludf.DUMMYFUNCTION("""COMPUTED_VALUE"""),826.27)</f>
        <v>826.27</v>
      </c>
    </row>
    <row r="196">
      <c r="A196" s="2" t="str">
        <f>IFERROR(__xludf.DUMMYFUNCTION("""COMPUTED_VALUE"""),"Teruel")</f>
        <v>Teruel</v>
      </c>
      <c r="B196" s="2" t="str">
        <f>IFERROR(__xludf.DUMMYFUNCTION("""COMPUTED_VALUE"""),"Comunidad de Teruel")</f>
        <v>Comunidad de Teruel</v>
      </c>
      <c r="C196" s="2" t="str">
        <f>IFERROR(__xludf.DUMMYFUNCTION("""COMPUTED_VALUE"""),"Provincia de Teruel")</f>
        <v>Provincia de Teruel</v>
      </c>
      <c r="D196" s="2" t="str">
        <f>IFERROR(__xludf.DUMMYFUNCTION("""COMPUTED_VALUE"""),"Aragón")</f>
        <v>Aragón</v>
      </c>
      <c r="E196" s="2">
        <f>IFERROR(__xludf.DUMMYFUNCTION("""COMPUTED_VALUE"""),915.0)</f>
        <v>915</v>
      </c>
      <c r="F196" s="2">
        <f>IFERROR(__xludf.DUMMYFUNCTION("""COMPUTED_VALUE"""),440.41)</f>
        <v>440.41</v>
      </c>
      <c r="G196" s="4">
        <f>IFERROR(__xludf.DUMMYFUNCTION("""COMPUTED_VALUE"""),35890.0)</f>
        <v>35890</v>
      </c>
      <c r="H196" s="2">
        <f>IFERROR(__xludf.DUMMYFUNCTION("""COMPUTED_VALUE"""),81.49)</f>
        <v>81.49</v>
      </c>
    </row>
    <row r="197">
      <c r="A197" s="2" t="str">
        <f>IFERROR(__xludf.DUMMYFUNCTION("""COMPUTED_VALUE"""),"Tomelloso")</f>
        <v>Tomelloso</v>
      </c>
      <c r="B197" s="2" t="str">
        <f>IFERROR(__xludf.DUMMYFUNCTION("""COMPUTED_VALUE"""),"La Mancha (Ciudad Real)")</f>
        <v>La Mancha (Ciudad Real)</v>
      </c>
      <c r="C197" s="2" t="str">
        <f>IFERROR(__xludf.DUMMYFUNCTION("""COMPUTED_VALUE"""),"Provincia de Ciudad Real")</f>
        <v>Provincia de Ciudad Real</v>
      </c>
      <c r="D197" s="2" t="str">
        <f>IFERROR(__xludf.DUMMYFUNCTION("""COMPUTED_VALUE"""),"Castilla-La Mancha")</f>
        <v>Castilla-La Mancha</v>
      </c>
      <c r="E197" s="2">
        <f>IFERROR(__xludf.DUMMYFUNCTION("""COMPUTED_VALUE"""),662.0)</f>
        <v>662</v>
      </c>
      <c r="F197" s="2">
        <f>IFERROR(__xludf.DUMMYFUNCTION("""COMPUTED_VALUE"""),242.15)</f>
        <v>242.15</v>
      </c>
      <c r="G197" s="4">
        <f>IFERROR(__xludf.DUMMYFUNCTION("""COMPUTED_VALUE"""),35873.0)</f>
        <v>35873</v>
      </c>
      <c r="H197" s="2">
        <f>IFERROR(__xludf.DUMMYFUNCTION("""COMPUTED_VALUE"""),148.14)</f>
        <v>148.14</v>
      </c>
    </row>
    <row r="198">
      <c r="A198" s="2" t="str">
        <f>IFERROR(__xludf.DUMMYFUNCTION("""COMPUTED_VALUE"""),"Torre-Pacheco")</f>
        <v>Torre-Pacheco</v>
      </c>
      <c r="B198" s="2" t="str">
        <f>IFERROR(__xludf.DUMMYFUNCTION("""COMPUTED_VALUE"""),"Campo de Cartagena")</f>
        <v>Campo de Cartagena</v>
      </c>
      <c r="C198" s="2" t="str">
        <f>IFERROR(__xludf.DUMMYFUNCTION("""COMPUTED_VALUE"""),"Provincia de Murcia")</f>
        <v>Provincia de Murcia</v>
      </c>
      <c r="D198" s="2" t="str">
        <f>IFERROR(__xludf.DUMMYFUNCTION("""COMPUTED_VALUE"""),"Región de Murcia")</f>
        <v>Región de Murcia</v>
      </c>
      <c r="E198" s="2">
        <f>IFERROR(__xludf.DUMMYFUNCTION("""COMPUTED_VALUE"""),40.0)</f>
        <v>40</v>
      </c>
      <c r="F198" s="2">
        <f>IFERROR(__xludf.DUMMYFUNCTION("""COMPUTED_VALUE"""),189.61)</f>
        <v>189.61</v>
      </c>
      <c r="G198" s="4">
        <f>IFERROR(__xludf.DUMMYFUNCTION("""COMPUTED_VALUE"""),35676.0)</f>
        <v>35676</v>
      </c>
      <c r="H198" s="2">
        <f>IFERROR(__xludf.DUMMYFUNCTION("""COMPUTED_VALUE"""),188.15)</f>
        <v>188.15</v>
      </c>
    </row>
    <row r="199">
      <c r="A199" s="2" t="str">
        <f>IFERROR(__xludf.DUMMYFUNCTION("""COMPUTED_VALUE"""),"Miranda de Ebro")</f>
        <v>Miranda de Ebro</v>
      </c>
      <c r="B199" s="2" t="str">
        <f>IFERROR(__xludf.DUMMYFUNCTION("""COMPUTED_VALUE"""),"Comarca del Ebro")</f>
        <v>Comarca del Ebro</v>
      </c>
      <c r="C199" s="2" t="str">
        <f>IFERROR(__xludf.DUMMYFUNCTION("""COMPUTED_VALUE"""),"Provincia de Burgos")</f>
        <v>Provincia de Burgos</v>
      </c>
      <c r="D199" s="2" t="str">
        <f>IFERROR(__xludf.DUMMYFUNCTION("""COMPUTED_VALUE"""),"Castilla y León")</f>
        <v>Castilla y León</v>
      </c>
      <c r="E199" s="2">
        <f>IFERROR(__xludf.DUMMYFUNCTION("""COMPUTED_VALUE"""),471.0)</f>
        <v>471</v>
      </c>
      <c r="F199" s="2">
        <f>IFERROR(__xludf.DUMMYFUNCTION("""COMPUTED_VALUE"""),101.33)</f>
        <v>101.33</v>
      </c>
      <c r="G199" s="4">
        <f>IFERROR(__xludf.DUMMYFUNCTION("""COMPUTED_VALUE"""),35522.0)</f>
        <v>35522</v>
      </c>
      <c r="H199" s="2">
        <f>IFERROR(__xludf.DUMMYFUNCTION("""COMPUTED_VALUE"""),350.56)</f>
        <v>350.56</v>
      </c>
    </row>
    <row r="200">
      <c r="A200" s="2" t="str">
        <f>IFERROR(__xludf.DUMMYFUNCTION("""COMPUTED_VALUE"""),"Ontinyent")</f>
        <v>Ontinyent</v>
      </c>
      <c r="B200" s="2" t="str">
        <f>IFERROR(__xludf.DUMMYFUNCTION("""COMPUTED_VALUE"""),"Valle de Albaida")</f>
        <v>Valle de Albaida</v>
      </c>
      <c r="C200" s="2" t="str">
        <f>IFERROR(__xludf.DUMMYFUNCTION("""COMPUTED_VALUE"""),"Provincia de València")</f>
        <v>Provincia de València</v>
      </c>
      <c r="D200" s="2" t="str">
        <f>IFERROR(__xludf.DUMMYFUNCTION("""COMPUTED_VALUE"""),"Comunidad Valenciana")</f>
        <v>Comunidad Valenciana</v>
      </c>
      <c r="E200" s="2">
        <f>IFERROR(__xludf.DUMMYFUNCTION("""COMPUTED_VALUE"""),382.0)</f>
        <v>382</v>
      </c>
      <c r="F200" s="2">
        <f>IFERROR(__xludf.DUMMYFUNCTION("""COMPUTED_VALUE"""),125.43)</f>
        <v>125.43</v>
      </c>
      <c r="G200" s="4">
        <f>IFERROR(__xludf.DUMMYFUNCTION("""COMPUTED_VALUE"""),35347.0)</f>
        <v>35347</v>
      </c>
      <c r="H200" s="2">
        <f>IFERROR(__xludf.DUMMYFUNCTION("""COMPUTED_VALUE"""),281.81)</f>
        <v>281.81</v>
      </c>
    </row>
    <row r="201">
      <c r="A201" s="2" t="str">
        <f>IFERROR(__xludf.DUMMYFUNCTION("""COMPUTED_VALUE"""),"Águilas")</f>
        <v>Águilas</v>
      </c>
      <c r="B201" s="2" t="str">
        <f>IFERROR(__xludf.DUMMYFUNCTION("""COMPUTED_VALUE"""),"Alto Guadalentín")</f>
        <v>Alto Guadalentín</v>
      </c>
      <c r="C201" s="2" t="str">
        <f>IFERROR(__xludf.DUMMYFUNCTION("""COMPUTED_VALUE"""),"Provincia de Murcia")</f>
        <v>Provincia de Murcia</v>
      </c>
      <c r="D201" s="2" t="str">
        <f>IFERROR(__xludf.DUMMYFUNCTION("""COMPUTED_VALUE"""),"Región de Murcia")</f>
        <v>Región de Murcia</v>
      </c>
      <c r="E201" s="2">
        <f>IFERROR(__xludf.DUMMYFUNCTION("""COMPUTED_VALUE"""),21.0)</f>
        <v>21</v>
      </c>
      <c r="F201" s="2">
        <f>IFERROR(__xludf.DUMMYFUNCTION("""COMPUTED_VALUE"""),251.77)</f>
        <v>251.77</v>
      </c>
      <c r="G201" s="4">
        <f>IFERROR(__xludf.DUMMYFUNCTION("""COMPUTED_VALUE"""),35301.0)</f>
        <v>35301</v>
      </c>
      <c r="H201" s="2">
        <f>IFERROR(__xludf.DUMMYFUNCTION("""COMPUTED_VALUE"""),140.21)</f>
        <v>140.21</v>
      </c>
    </row>
    <row r="202">
      <c r="A202" s="2" t="str">
        <f>IFERROR(__xludf.DUMMYFUNCTION("""COMPUTED_VALUE"""),"Olot")</f>
        <v>Olot</v>
      </c>
      <c r="B202" s="2" t="str">
        <f>IFERROR(__xludf.DUMMYFUNCTION("""COMPUTED_VALUE"""),"La Garrocha")</f>
        <v>La Garrocha</v>
      </c>
      <c r="C202" s="2" t="str">
        <f>IFERROR(__xludf.DUMMYFUNCTION("""COMPUTED_VALUE"""),"Provincia de Girona")</f>
        <v>Provincia de Girona</v>
      </c>
      <c r="D202" s="2" t="str">
        <f>IFERROR(__xludf.DUMMYFUNCTION("""COMPUTED_VALUE"""),"Cataluña")</f>
        <v>Cataluña</v>
      </c>
      <c r="E202" s="2">
        <f>IFERROR(__xludf.DUMMYFUNCTION("""COMPUTED_VALUE"""),443.0)</f>
        <v>443</v>
      </c>
      <c r="F202" s="2">
        <f>IFERROR(__xludf.DUMMYFUNCTION("""COMPUTED_VALUE"""),29.05)</f>
        <v>29.05</v>
      </c>
      <c r="G202" s="4">
        <f>IFERROR(__xludf.DUMMYFUNCTION("""COMPUTED_VALUE"""),35228.0)</f>
        <v>35228</v>
      </c>
      <c r="H202" s="5">
        <f>IFERROR(__xludf.DUMMYFUNCTION("""COMPUTED_VALUE"""),1212.67)</f>
        <v>1212.67</v>
      </c>
    </row>
    <row r="203">
      <c r="A203" s="2" t="str">
        <f>IFERROR(__xludf.DUMMYFUNCTION("""COMPUTED_VALUE"""),"Azuqueca de Henares")</f>
        <v>Azuqueca de Henares</v>
      </c>
      <c r="B203" s="2" t="str">
        <f>IFERROR(__xludf.DUMMYFUNCTION("""COMPUTED_VALUE"""),"Campiña del Henares")</f>
        <v>Campiña del Henares</v>
      </c>
      <c r="C203" s="2" t="str">
        <f>IFERROR(__xludf.DUMMYFUNCTION("""COMPUTED_VALUE"""),"Provincia de Guadalajara")</f>
        <v>Provincia de Guadalajara</v>
      </c>
      <c r="D203" s="2" t="str">
        <f>IFERROR(__xludf.DUMMYFUNCTION("""COMPUTED_VALUE"""),"Castilla-La Mancha")</f>
        <v>Castilla-La Mancha</v>
      </c>
      <c r="E203" s="2">
        <f>IFERROR(__xludf.DUMMYFUNCTION("""COMPUTED_VALUE"""),627.0)</f>
        <v>627</v>
      </c>
      <c r="F203" s="2">
        <f>IFERROR(__xludf.DUMMYFUNCTION("""COMPUTED_VALUE"""),19.68)</f>
        <v>19.68</v>
      </c>
      <c r="G203" s="4">
        <f>IFERROR(__xludf.DUMMYFUNCTION("""COMPUTED_VALUE"""),35009.0)</f>
        <v>35009</v>
      </c>
      <c r="H203" s="5">
        <f>IFERROR(__xludf.DUMMYFUNCTION("""COMPUTED_VALUE"""),1778.91)</f>
        <v>1778.91</v>
      </c>
    </row>
    <row r="204">
      <c r="A204" s="2" t="str">
        <f>IFERROR(__xludf.DUMMYFUNCTION("""COMPUTED_VALUE"""),"Cieza")</f>
        <v>Cieza</v>
      </c>
      <c r="B204" s="2" t="str">
        <f>IFERROR(__xludf.DUMMYFUNCTION("""COMPUTED_VALUE"""),"Vega Alta del Segura")</f>
        <v>Vega Alta del Segura</v>
      </c>
      <c r="C204" s="2" t="str">
        <f>IFERROR(__xludf.DUMMYFUNCTION("""COMPUTED_VALUE"""),"Provincia de Murcia")</f>
        <v>Provincia de Murcia</v>
      </c>
      <c r="D204" s="2" t="str">
        <f>IFERROR(__xludf.DUMMYFUNCTION("""COMPUTED_VALUE"""),"Región de Murcia")</f>
        <v>Región de Murcia</v>
      </c>
      <c r="E204" s="2">
        <f>IFERROR(__xludf.DUMMYFUNCTION("""COMPUTED_VALUE"""),188.0)</f>
        <v>188</v>
      </c>
      <c r="F204" s="2">
        <f>IFERROR(__xludf.DUMMYFUNCTION("""COMPUTED_VALUE"""),366.2)</f>
        <v>366.2</v>
      </c>
      <c r="G204" s="4">
        <f>IFERROR(__xludf.DUMMYFUNCTION("""COMPUTED_VALUE"""),34988.0)</f>
        <v>34988</v>
      </c>
      <c r="H204" s="2">
        <f>IFERROR(__xludf.DUMMYFUNCTION("""COMPUTED_VALUE"""),95.54)</f>
        <v>95.54</v>
      </c>
    </row>
    <row r="205">
      <c r="A205" s="2" t="str">
        <f>IFERROR(__xludf.DUMMYFUNCTION("""COMPUTED_VALUE"""),"Burriana")</f>
        <v>Burriana</v>
      </c>
      <c r="B205" s="2" t="str">
        <f>IFERROR(__xludf.DUMMYFUNCTION("""COMPUTED_VALUE"""),"Plana Baja")</f>
        <v>Plana Baja</v>
      </c>
      <c r="C205" s="2" t="str">
        <f>IFERROR(__xludf.DUMMYFUNCTION("""COMPUTED_VALUE"""),"Provincia de Castellón")</f>
        <v>Provincia de Castellón</v>
      </c>
      <c r="D205" s="2" t="str">
        <f>IFERROR(__xludf.DUMMYFUNCTION("""COMPUTED_VALUE"""),"Comunidad Valenciana")</f>
        <v>Comunidad Valenciana</v>
      </c>
      <c r="E205" s="2">
        <f>IFERROR(__xludf.DUMMYFUNCTION("""COMPUTED_VALUE"""),13.0)</f>
        <v>13</v>
      </c>
      <c r="F205" s="2">
        <f>IFERROR(__xludf.DUMMYFUNCTION("""COMPUTED_VALUE"""),46.99)</f>
        <v>46.99</v>
      </c>
      <c r="G205" s="4">
        <f>IFERROR(__xludf.DUMMYFUNCTION("""COMPUTED_VALUE"""),34683.0)</f>
        <v>34683</v>
      </c>
      <c r="H205" s="2">
        <f>IFERROR(__xludf.DUMMYFUNCTION("""COMPUTED_VALUE"""),738.09)</f>
        <v>738.09</v>
      </c>
    </row>
    <row r="206">
      <c r="A206" s="2" t="str">
        <f>IFERROR(__xludf.DUMMYFUNCTION("""COMPUTED_VALUE"""),"Villajoyosa")</f>
        <v>Villajoyosa</v>
      </c>
      <c r="B206" s="2" t="str">
        <f>IFERROR(__xludf.DUMMYFUNCTION("""COMPUTED_VALUE"""),"Marina Baja")</f>
        <v>Marina Baja</v>
      </c>
      <c r="C206" s="2" t="str">
        <f>IFERROR(__xludf.DUMMYFUNCTION("""COMPUTED_VALUE"""),"Provincia de Alicante")</f>
        <v>Provincia de Alicante</v>
      </c>
      <c r="D206" s="2" t="str">
        <f>IFERROR(__xludf.DUMMYFUNCTION("""COMPUTED_VALUE"""),"Comunidad Valenciana")</f>
        <v>Comunidad Valenciana</v>
      </c>
      <c r="E206" s="2">
        <f>IFERROR(__xludf.DUMMYFUNCTION("""COMPUTED_VALUE"""),27.0)</f>
        <v>27</v>
      </c>
      <c r="F206" s="2">
        <f>IFERROR(__xludf.DUMMYFUNCTION("""COMPUTED_VALUE"""),59.25)</f>
        <v>59.25</v>
      </c>
      <c r="G206" s="4">
        <f>IFERROR(__xludf.DUMMYFUNCTION("""COMPUTED_VALUE"""),34673.0)</f>
        <v>34673</v>
      </c>
      <c r="H206" s="2">
        <f>IFERROR(__xludf.DUMMYFUNCTION("""COMPUTED_VALUE"""),585.2)</f>
        <v>585.2</v>
      </c>
    </row>
    <row r="207">
      <c r="A207" s="2" t="str">
        <f>IFERROR(__xludf.DUMMYFUNCTION("""COMPUTED_VALUE"""),"Yecla")</f>
        <v>Yecla</v>
      </c>
      <c r="B207" s="2" t="str">
        <f>IFERROR(__xludf.DUMMYFUNCTION("""COMPUTED_VALUE"""),"Comarca del Altiplano")</f>
        <v>Comarca del Altiplano</v>
      </c>
      <c r="C207" s="2" t="str">
        <f>IFERROR(__xludf.DUMMYFUNCTION("""COMPUTED_VALUE"""),"Provincia de Murcia")</f>
        <v>Provincia de Murcia</v>
      </c>
      <c r="D207" s="2" t="str">
        <f>IFERROR(__xludf.DUMMYFUNCTION("""COMPUTED_VALUE"""),"Región de Murcia")</f>
        <v>Región de Murcia</v>
      </c>
      <c r="E207" s="2">
        <f>IFERROR(__xludf.DUMMYFUNCTION("""COMPUTED_VALUE"""),602.0)</f>
        <v>602</v>
      </c>
      <c r="F207" s="2">
        <f>IFERROR(__xludf.DUMMYFUNCTION("""COMPUTED_VALUE"""),605.28)</f>
        <v>605.28</v>
      </c>
      <c r="G207" s="4">
        <f>IFERROR(__xludf.DUMMYFUNCTION("""COMPUTED_VALUE"""),34432.0)</f>
        <v>34432</v>
      </c>
      <c r="H207" s="2">
        <f>IFERROR(__xludf.DUMMYFUNCTION("""COMPUTED_VALUE"""),56.89)</f>
        <v>56.89</v>
      </c>
    </row>
    <row r="208">
      <c r="A208" s="2" t="str">
        <f>IFERROR(__xludf.DUMMYFUNCTION("""COMPUTED_VALUE"""),"Úbeda")</f>
        <v>Úbeda</v>
      </c>
      <c r="B208" s="2" t="str">
        <f>IFERROR(__xludf.DUMMYFUNCTION("""COMPUTED_VALUE"""),"La Loma (Jaén)")</f>
        <v>La Loma (Jaén)</v>
      </c>
      <c r="C208" s="2" t="str">
        <f>IFERROR(__xludf.DUMMYFUNCTION("""COMPUTED_VALUE"""),"Provincia de Jaén")</f>
        <v>Provincia de Jaén</v>
      </c>
      <c r="D208" s="2" t="str">
        <f>IFERROR(__xludf.DUMMYFUNCTION("""COMPUTED_VALUE"""),"Andalucía")</f>
        <v>Andalucía</v>
      </c>
      <c r="E208" s="2">
        <f>IFERROR(__xludf.DUMMYFUNCTION("""COMPUTED_VALUE"""),748.0)</f>
        <v>748</v>
      </c>
      <c r="F208" s="2">
        <f>IFERROR(__xludf.DUMMYFUNCTION("""COMPUTED_VALUE"""),403.98)</f>
        <v>403.98</v>
      </c>
      <c r="G208" s="4">
        <f>IFERROR(__xludf.DUMMYFUNCTION("""COMPUTED_VALUE"""),34345.0)</f>
        <v>34345</v>
      </c>
      <c r="H208" s="2">
        <f>IFERROR(__xludf.DUMMYFUNCTION("""COMPUTED_VALUE"""),85.02)</f>
        <v>85.02</v>
      </c>
    </row>
    <row r="209">
      <c r="A209" s="2" t="str">
        <f>IFERROR(__xludf.DUMMYFUNCTION("""COMPUTED_VALUE"""),"Petrer")</f>
        <v>Petrer</v>
      </c>
      <c r="B209" s="2" t="str">
        <f>IFERROR(__xludf.DUMMYFUNCTION("""COMPUTED_VALUE"""),"Medio Vinalopó")</f>
        <v>Medio Vinalopó</v>
      </c>
      <c r="C209" s="2" t="str">
        <f>IFERROR(__xludf.DUMMYFUNCTION("""COMPUTED_VALUE"""),"Provincia de Alicante")</f>
        <v>Provincia de Alicante</v>
      </c>
      <c r="D209" s="2" t="str">
        <f>IFERROR(__xludf.DUMMYFUNCTION("""COMPUTED_VALUE"""),"Comunidad Valenciana")</f>
        <v>Comunidad Valenciana</v>
      </c>
      <c r="E209" s="2">
        <f>IFERROR(__xludf.DUMMYFUNCTION("""COMPUTED_VALUE"""),698.0)</f>
        <v>698</v>
      </c>
      <c r="F209" s="2">
        <f>IFERROR(__xludf.DUMMYFUNCTION("""COMPUTED_VALUE"""),104.09)</f>
        <v>104.09</v>
      </c>
      <c r="G209" s="4">
        <f>IFERROR(__xludf.DUMMYFUNCTION("""COMPUTED_VALUE"""),34276.0)</f>
        <v>34276</v>
      </c>
      <c r="H209" s="2">
        <f>IFERROR(__xludf.DUMMYFUNCTION("""COMPUTED_VALUE"""),329.29)</f>
        <v>329.29</v>
      </c>
    </row>
    <row r="210">
      <c r="A210" s="2" t="str">
        <f>IFERROR(__xludf.DUMMYFUNCTION("""COMPUTED_VALUE"""),"Sant Joan Despí")</f>
        <v>Sant Joan Despí</v>
      </c>
      <c r="B210" s="2" t="str">
        <f>IFERROR(__xludf.DUMMYFUNCTION("""COMPUTED_VALUE"""),"Bajo Llobregat")</f>
        <v>Bajo Llobregat</v>
      </c>
      <c r="C210" s="2" t="str">
        <f>IFERROR(__xludf.DUMMYFUNCTION("""COMPUTED_VALUE"""),"Provincia de Barcelona")</f>
        <v>Provincia de Barcelona</v>
      </c>
      <c r="D210" s="2" t="str">
        <f>IFERROR(__xludf.DUMMYFUNCTION("""COMPUTED_VALUE"""),"Cataluña")</f>
        <v>Cataluña</v>
      </c>
      <c r="E210" s="2">
        <f>IFERROR(__xludf.DUMMYFUNCTION("""COMPUTED_VALUE"""),10.0)</f>
        <v>10</v>
      </c>
      <c r="F210" s="2">
        <f>IFERROR(__xludf.DUMMYFUNCTION("""COMPUTED_VALUE"""),5.58)</f>
        <v>5.58</v>
      </c>
      <c r="G210" s="4">
        <f>IFERROR(__xludf.DUMMYFUNCTION("""COMPUTED_VALUE"""),34123.0)</f>
        <v>34123</v>
      </c>
      <c r="H210" s="5">
        <f>IFERROR(__xludf.DUMMYFUNCTION("""COMPUTED_VALUE"""),6115.23)</f>
        <v>6115.23</v>
      </c>
    </row>
    <row r="211">
      <c r="A211" s="2" t="str">
        <f>IFERROR(__xludf.DUMMYFUNCTION("""COMPUTED_VALUE"""),"Villena")</f>
        <v>Villena</v>
      </c>
      <c r="B211" s="2" t="str">
        <f>IFERROR(__xludf.DUMMYFUNCTION("""COMPUTED_VALUE"""),"Alt Vinalopó")</f>
        <v>Alt Vinalopó</v>
      </c>
      <c r="C211" s="2" t="str">
        <f>IFERROR(__xludf.DUMMYFUNCTION("""COMPUTED_VALUE"""),"Provincia de Alicante")</f>
        <v>Provincia de Alicante</v>
      </c>
      <c r="D211" s="2" t="str">
        <f>IFERROR(__xludf.DUMMYFUNCTION("""COMPUTED_VALUE"""),"Comunidad Valenciana")</f>
        <v>Comunidad Valenciana</v>
      </c>
      <c r="E211" s="2">
        <f>IFERROR(__xludf.DUMMYFUNCTION("""COMPUTED_VALUE"""),505.0)</f>
        <v>505</v>
      </c>
      <c r="F211" s="2">
        <f>IFERROR(__xludf.DUMMYFUNCTION("""COMPUTED_VALUE"""),345.38)</f>
        <v>345.38</v>
      </c>
      <c r="G211" s="4">
        <f>IFERROR(__xludf.DUMMYFUNCTION("""COMPUTED_VALUE"""),33964.0)</f>
        <v>33964</v>
      </c>
      <c r="H211" s="2">
        <f>IFERROR(__xludf.DUMMYFUNCTION("""COMPUTED_VALUE"""),98.34)</f>
        <v>98.34</v>
      </c>
    </row>
    <row r="212">
      <c r="A212" s="2" t="str">
        <f>IFERROR(__xludf.DUMMYFUNCTION("""COMPUTED_VALUE"""),"Cambrils")</f>
        <v>Cambrils</v>
      </c>
      <c r="B212" s="2" t="str">
        <f>IFERROR(__xludf.DUMMYFUNCTION("""COMPUTED_VALUE"""),"Bajo Campo")</f>
        <v>Bajo Campo</v>
      </c>
      <c r="C212" s="2" t="str">
        <f>IFERROR(__xludf.DUMMYFUNCTION("""COMPUTED_VALUE"""),"Provincia de Tarragona")</f>
        <v>Provincia de Tarragona</v>
      </c>
      <c r="D212" s="2" t="str">
        <f>IFERROR(__xludf.DUMMYFUNCTION("""COMPUTED_VALUE"""),"Cataluña")</f>
        <v>Cataluña</v>
      </c>
      <c r="E212" s="2">
        <f>IFERROR(__xludf.DUMMYFUNCTION("""COMPUTED_VALUE"""),24.0)</f>
        <v>24</v>
      </c>
      <c r="F212" s="2">
        <f>IFERROR(__xludf.DUMMYFUNCTION("""COMPUTED_VALUE"""),35.08)</f>
        <v>35.08</v>
      </c>
      <c r="G212" s="4">
        <f>IFERROR(__xludf.DUMMYFUNCTION("""COMPUTED_VALUE"""),33898.0)</f>
        <v>33898</v>
      </c>
      <c r="H212" s="2">
        <f>IFERROR(__xludf.DUMMYFUNCTION("""COMPUTED_VALUE"""),966.31)</f>
        <v>966.31</v>
      </c>
    </row>
    <row r="213">
      <c r="A213" s="2" t="str">
        <f>IFERROR(__xludf.DUMMYFUNCTION("""COMPUTED_VALUE"""),"Ronda")</f>
        <v>Ronda</v>
      </c>
      <c r="B213" s="2" t="str">
        <f>IFERROR(__xludf.DUMMYFUNCTION("""COMPUTED_VALUE"""),"Serranía de Ronda")</f>
        <v>Serranía de Ronda</v>
      </c>
      <c r="C213" s="2" t="str">
        <f>IFERROR(__xludf.DUMMYFUNCTION("""COMPUTED_VALUE"""),"Provincia de Málaga")</f>
        <v>Provincia de Málaga</v>
      </c>
      <c r="D213" s="2" t="str">
        <f>IFERROR(__xludf.DUMMYFUNCTION("""COMPUTED_VALUE"""),"Andalucía")</f>
        <v>Andalucía</v>
      </c>
      <c r="E213" s="2">
        <f>IFERROR(__xludf.DUMMYFUNCTION("""COMPUTED_VALUE"""),739.0)</f>
        <v>739</v>
      </c>
      <c r="F213" s="2">
        <f>IFERROR(__xludf.DUMMYFUNCTION("""COMPUTED_VALUE"""),397.31)</f>
        <v>397.31</v>
      </c>
      <c r="G213" s="4">
        <f>IFERROR(__xludf.DUMMYFUNCTION("""COMPUTED_VALUE"""),33877.0)</f>
        <v>33877</v>
      </c>
      <c r="H213" s="2">
        <f>IFERROR(__xludf.DUMMYFUNCTION("""COMPUTED_VALUE"""),85.27)</f>
        <v>85.27</v>
      </c>
    </row>
    <row r="214">
      <c r="A214" s="2" t="str">
        <f>IFERROR(__xludf.DUMMYFUNCTION("""COMPUTED_VALUE"""),"Galapagar")</f>
        <v>Galapagar</v>
      </c>
      <c r="B214" s="2" t="str">
        <f>IFERROR(__xludf.DUMMYFUNCTION("""COMPUTED_VALUE"""),"Cuenca del Guadarrama")</f>
        <v>Cuenca del Guadarrama</v>
      </c>
      <c r="C214" s="2" t="str">
        <f>IFERROR(__xludf.DUMMYFUNCTION("""COMPUTED_VALUE"""),"Provincia de Madrid")</f>
        <v>Provincia de Madrid</v>
      </c>
      <c r="D214" s="2" t="str">
        <f>IFERROR(__xludf.DUMMYFUNCTION("""COMPUTED_VALUE"""),"Comunidad de Madrid")</f>
        <v>Comunidad de Madrid</v>
      </c>
      <c r="E214" s="2">
        <f>IFERROR(__xludf.DUMMYFUNCTION("""COMPUTED_VALUE"""),890.0)</f>
        <v>890</v>
      </c>
      <c r="F214" s="2">
        <f>IFERROR(__xludf.DUMMYFUNCTION("""COMPUTED_VALUE"""),64.99)</f>
        <v>64.99</v>
      </c>
      <c r="G214" s="4">
        <f>IFERROR(__xludf.DUMMYFUNCTION("""COMPUTED_VALUE"""),33742.0)</f>
        <v>33742</v>
      </c>
      <c r="H214" s="2">
        <f>IFERROR(__xludf.DUMMYFUNCTION("""COMPUTED_VALUE"""),519.19)</f>
        <v>519.19</v>
      </c>
    </row>
    <row r="215">
      <c r="A215" s="2" t="str">
        <f>IFERROR(__xludf.DUMMYFUNCTION("""COMPUTED_VALUE"""),"Almendralejo")</f>
        <v>Almendralejo</v>
      </c>
      <c r="B215" s="2" t="str">
        <f>IFERROR(__xludf.DUMMYFUNCTION("""COMPUTED_VALUE"""),"Tierra de Barros")</f>
        <v>Tierra de Barros</v>
      </c>
      <c r="C215" s="2" t="str">
        <f>IFERROR(__xludf.DUMMYFUNCTION("""COMPUTED_VALUE"""),"Provincia de Badajoz")</f>
        <v>Provincia de Badajoz</v>
      </c>
      <c r="D215" s="2" t="str">
        <f>IFERROR(__xludf.DUMMYFUNCTION("""COMPUTED_VALUE"""),"Extremadura")</f>
        <v>Extremadura</v>
      </c>
      <c r="E215" s="2">
        <f>IFERROR(__xludf.DUMMYFUNCTION("""COMPUTED_VALUE"""),337.0)</f>
        <v>337</v>
      </c>
      <c r="F215" s="2">
        <f>IFERROR(__xludf.DUMMYFUNCTION("""COMPUTED_VALUE"""),164.25)</f>
        <v>164.25</v>
      </c>
      <c r="G215" s="4">
        <f>IFERROR(__xludf.DUMMYFUNCTION("""COMPUTED_VALUE"""),33474.0)</f>
        <v>33474</v>
      </c>
      <c r="H215" s="2">
        <f>IFERROR(__xludf.DUMMYFUNCTION("""COMPUTED_VALUE"""),203.8)</f>
        <v>203.8</v>
      </c>
    </row>
    <row r="216">
      <c r="A216" s="2" t="str">
        <f>IFERROR(__xludf.DUMMYFUNCTION("""COMPUTED_VALUE"""),"Tortosa")</f>
        <v>Tortosa</v>
      </c>
      <c r="B216" s="2" t="str">
        <f>IFERROR(__xludf.DUMMYFUNCTION("""COMPUTED_VALUE"""),"Bajo Ebro")</f>
        <v>Bajo Ebro</v>
      </c>
      <c r="C216" s="2" t="str">
        <f>IFERROR(__xludf.DUMMYFUNCTION("""COMPUTED_VALUE"""),"Provincia de Tarragona")</f>
        <v>Provincia de Tarragona</v>
      </c>
      <c r="D216" s="2" t="str">
        <f>IFERROR(__xludf.DUMMYFUNCTION("""COMPUTED_VALUE"""),"Cataluña")</f>
        <v>Cataluña</v>
      </c>
      <c r="E216" s="2">
        <f>IFERROR(__xludf.DUMMYFUNCTION("""COMPUTED_VALUE"""),12.0)</f>
        <v>12</v>
      </c>
      <c r="F216" s="2">
        <f>IFERROR(__xludf.DUMMYFUNCTION("""COMPUTED_VALUE"""),219.15)</f>
        <v>219.15</v>
      </c>
      <c r="G216" s="4">
        <f>IFERROR(__xludf.DUMMYFUNCTION("""COMPUTED_VALUE"""),33372.0)</f>
        <v>33372</v>
      </c>
      <c r="H216" s="2">
        <f>IFERROR(__xludf.DUMMYFUNCTION("""COMPUTED_VALUE"""),152.28)</f>
        <v>152.28</v>
      </c>
    </row>
    <row r="217">
      <c r="A217" s="2" t="str">
        <f>IFERROR(__xludf.DUMMYFUNCTION("""COMPUTED_VALUE"""),"Inca")</f>
        <v>Inca</v>
      </c>
      <c r="B217" s="2" t="str">
        <f>IFERROR(__xludf.DUMMYFUNCTION("""COMPUTED_VALUE"""),"Raiguer")</f>
        <v>Raiguer</v>
      </c>
      <c r="C217" s="2" t="str">
        <f>IFERROR(__xludf.DUMMYFUNCTION("""COMPUTED_VALUE"""),"Provincia de Baleares")</f>
        <v>Provincia de Baleares</v>
      </c>
      <c r="D217" s="2" t="str">
        <f>IFERROR(__xludf.DUMMYFUNCTION("""COMPUTED_VALUE"""),"Islas Baleares")</f>
        <v>Islas Baleares</v>
      </c>
      <c r="E217" s="2">
        <f>IFERROR(__xludf.DUMMYFUNCTION("""COMPUTED_VALUE"""),120.0)</f>
        <v>120</v>
      </c>
      <c r="F217" s="2">
        <f>IFERROR(__xludf.DUMMYFUNCTION("""COMPUTED_VALUE"""),58.34)</f>
        <v>58.34</v>
      </c>
      <c r="G217" s="4">
        <f>IFERROR(__xludf.DUMMYFUNCTION("""COMPUTED_VALUE"""),33319.0)</f>
        <v>33319</v>
      </c>
      <c r="H217" s="2">
        <f>IFERROR(__xludf.DUMMYFUNCTION("""COMPUTED_VALUE"""),571.12)</f>
        <v>571.12</v>
      </c>
    </row>
    <row r="218">
      <c r="A218" s="2" t="str">
        <f>IFERROR(__xludf.DUMMYFUNCTION("""COMPUTED_VALUE"""),"Barberà del Vallès")</f>
        <v>Barberà del Vallès</v>
      </c>
      <c r="B218" s="2" t="str">
        <f>IFERROR(__xludf.DUMMYFUNCTION("""COMPUTED_VALUE"""),"Vallès Occidental")</f>
        <v>Vallès Occidental</v>
      </c>
      <c r="C218" s="2" t="str">
        <f>IFERROR(__xludf.DUMMYFUNCTION("""COMPUTED_VALUE"""),"Provincia de Barcelona")</f>
        <v>Provincia de Barcelona</v>
      </c>
      <c r="D218" s="2" t="str">
        <f>IFERROR(__xludf.DUMMYFUNCTION("""COMPUTED_VALUE"""),"Cataluña")</f>
        <v>Cataluña</v>
      </c>
      <c r="E218" s="2">
        <f>IFERROR(__xludf.DUMMYFUNCTION("""COMPUTED_VALUE"""),146.0)</f>
        <v>146</v>
      </c>
      <c r="F218" s="2">
        <f>IFERROR(__xludf.DUMMYFUNCTION("""COMPUTED_VALUE"""),8.18)</f>
        <v>8.18</v>
      </c>
      <c r="G218" s="4">
        <f>IFERROR(__xludf.DUMMYFUNCTION("""COMPUTED_VALUE"""),33091.0)</f>
        <v>33091</v>
      </c>
      <c r="H218" s="5">
        <f>IFERROR(__xludf.DUMMYFUNCTION("""COMPUTED_VALUE"""),4045.35)</f>
        <v>4045.35</v>
      </c>
    </row>
    <row r="219">
      <c r="A219" s="2" t="str">
        <f>IFERROR(__xludf.DUMMYFUNCTION("""COMPUTED_VALUE"""),"Aranda de Duero")</f>
        <v>Aranda de Duero</v>
      </c>
      <c r="B219" s="2" t="str">
        <f>IFERROR(__xludf.DUMMYFUNCTION("""COMPUTED_VALUE"""),"Ribera del Duero")</f>
        <v>Ribera del Duero</v>
      </c>
      <c r="C219" s="2" t="str">
        <f>IFERROR(__xludf.DUMMYFUNCTION("""COMPUTED_VALUE"""),"Provincia de Burgos")</f>
        <v>Provincia de Burgos</v>
      </c>
      <c r="D219" s="2" t="str">
        <f>IFERROR(__xludf.DUMMYFUNCTION("""COMPUTED_VALUE"""),"Castilla y León")</f>
        <v>Castilla y León</v>
      </c>
      <c r="E219" s="2">
        <f>IFERROR(__xludf.DUMMYFUNCTION("""COMPUTED_VALUE"""),798.0)</f>
        <v>798</v>
      </c>
      <c r="F219" s="2">
        <f>IFERROR(__xludf.DUMMYFUNCTION("""COMPUTED_VALUE"""),127.28)</f>
        <v>127.28</v>
      </c>
      <c r="G219" s="4">
        <f>IFERROR(__xludf.DUMMYFUNCTION("""COMPUTED_VALUE"""),32856.0)</f>
        <v>32856</v>
      </c>
      <c r="H219" s="2">
        <f>IFERROR(__xludf.DUMMYFUNCTION("""COMPUTED_VALUE"""),258.14)</f>
        <v>258.14</v>
      </c>
    </row>
    <row r="220">
      <c r="A220" s="2" t="str">
        <f>IFERROR(__xludf.DUMMYFUNCTION("""COMPUTED_VALUE"""),"San Javier")</f>
        <v>San Javier</v>
      </c>
      <c r="B220" s="2" t="str">
        <f>IFERROR(__xludf.DUMMYFUNCTION("""COMPUTED_VALUE"""),"Campo de Cartagena")</f>
        <v>Campo de Cartagena</v>
      </c>
      <c r="C220" s="2" t="str">
        <f>IFERROR(__xludf.DUMMYFUNCTION("""COMPUTED_VALUE"""),"Provincia de Murcia")</f>
        <v>Provincia de Murcia</v>
      </c>
      <c r="D220" s="2" t="str">
        <f>IFERROR(__xludf.DUMMYFUNCTION("""COMPUTED_VALUE"""),"Región de Murcia")</f>
        <v>Región de Murcia</v>
      </c>
      <c r="E220" s="2">
        <f>IFERROR(__xludf.DUMMYFUNCTION("""COMPUTED_VALUE"""),4.0)</f>
        <v>4</v>
      </c>
      <c r="F220" s="2">
        <f>IFERROR(__xludf.DUMMYFUNCTION("""COMPUTED_VALUE"""),75.36)</f>
        <v>75.36</v>
      </c>
      <c r="G220" s="4">
        <f>IFERROR(__xludf.DUMMYFUNCTION("""COMPUTED_VALUE"""),32489.0)</f>
        <v>32489</v>
      </c>
      <c r="H220" s="2">
        <f>IFERROR(__xludf.DUMMYFUNCTION("""COMPUTED_VALUE"""),431.12)</f>
        <v>431.12</v>
      </c>
    </row>
    <row r="221">
      <c r="A221" s="2" t="str">
        <f>IFERROR(__xludf.DUMMYFUNCTION("""COMPUTED_VALUE"""),"Santa Pola")</f>
        <v>Santa Pola</v>
      </c>
      <c r="B221" s="2" t="str">
        <f>IFERROR(__xludf.DUMMYFUNCTION("""COMPUTED_VALUE"""),"Bajo Vinalopó")</f>
        <v>Bajo Vinalopó</v>
      </c>
      <c r="C221" s="2" t="str">
        <f>IFERROR(__xludf.DUMMYFUNCTION("""COMPUTED_VALUE"""),"Provincia de Alicante")</f>
        <v>Provincia de Alicante</v>
      </c>
      <c r="D221" s="2" t="str">
        <f>IFERROR(__xludf.DUMMYFUNCTION("""COMPUTED_VALUE"""),"Comunidad Valenciana")</f>
        <v>Comunidad Valenciana</v>
      </c>
      <c r="E221" s="2">
        <f>IFERROR(__xludf.DUMMYFUNCTION("""COMPUTED_VALUE"""),6.0)</f>
        <v>6</v>
      </c>
      <c r="F221" s="2">
        <f>IFERROR(__xludf.DUMMYFUNCTION("""COMPUTED_VALUE"""),58.16)</f>
        <v>58.16</v>
      </c>
      <c r="G221" s="4">
        <f>IFERROR(__xludf.DUMMYFUNCTION("""COMPUTED_VALUE"""),32306.0)</f>
        <v>32306</v>
      </c>
      <c r="H221" s="2">
        <f>IFERROR(__xludf.DUMMYFUNCTION("""COMPUTED_VALUE"""),555.47)</f>
        <v>555.47</v>
      </c>
    </row>
    <row r="222">
      <c r="A222" s="2" t="str">
        <f>IFERROR(__xludf.DUMMYFUNCTION("""COMPUTED_VALUE"""),"Arteixo")</f>
        <v>Arteixo</v>
      </c>
      <c r="B222" s="2" t="str">
        <f>IFERROR(__xludf.DUMMYFUNCTION("""COMPUTED_VALUE"""),"Comarca de La Coruña")</f>
        <v>Comarca de La Coruña</v>
      </c>
      <c r="C222" s="2" t="str">
        <f>IFERROR(__xludf.DUMMYFUNCTION("""COMPUTED_VALUE"""),"Provincia de A Coruña")</f>
        <v>Provincia de A Coruña</v>
      </c>
      <c r="D222" s="2" t="str">
        <f>IFERROR(__xludf.DUMMYFUNCTION("""COMPUTED_VALUE"""),"Galicia")</f>
        <v>Galicia</v>
      </c>
      <c r="E222" s="2">
        <f>IFERROR(__xludf.DUMMYFUNCTION("""COMPUTED_VALUE"""),11.0)</f>
        <v>11</v>
      </c>
      <c r="F222" s="2">
        <f>IFERROR(__xludf.DUMMYFUNCTION("""COMPUTED_VALUE"""),93.68)</f>
        <v>93.68</v>
      </c>
      <c r="G222" s="4">
        <f>IFERROR(__xludf.DUMMYFUNCTION("""COMPUTED_VALUE"""),32262.0)</f>
        <v>32262</v>
      </c>
      <c r="H222" s="2">
        <f>IFERROR(__xludf.DUMMYFUNCTION("""COMPUTED_VALUE"""),344.39)</f>
        <v>344.39</v>
      </c>
    </row>
    <row r="223">
      <c r="A223" s="2" t="str">
        <f>IFERROR(__xludf.DUMMYFUNCTION("""COMPUTED_VALUE"""),"Mazarrón")</f>
        <v>Mazarrón</v>
      </c>
      <c r="B223" s="2"/>
      <c r="C223" s="2" t="str">
        <f>IFERROR(__xludf.DUMMYFUNCTION("""COMPUTED_VALUE"""),"Provincia de Murcia")</f>
        <v>Provincia de Murcia</v>
      </c>
      <c r="D223" s="2" t="str">
        <f>IFERROR(__xludf.DUMMYFUNCTION("""COMPUTED_VALUE"""),"Región de Murcia")</f>
        <v>Región de Murcia</v>
      </c>
      <c r="E223" s="2">
        <f>IFERROR(__xludf.DUMMYFUNCTION("""COMPUTED_VALUE"""),55.0)</f>
        <v>55</v>
      </c>
      <c r="F223" s="2">
        <f>IFERROR(__xludf.DUMMYFUNCTION("""COMPUTED_VALUE"""),318.17)</f>
        <v>318.17</v>
      </c>
      <c r="G223" s="4">
        <f>IFERROR(__xludf.DUMMYFUNCTION("""COMPUTED_VALUE"""),32209.0)</f>
        <v>32209</v>
      </c>
      <c r="H223" s="2">
        <f>IFERROR(__xludf.DUMMYFUNCTION("""COMPUTED_VALUE"""),101.23)</f>
        <v>101.23</v>
      </c>
    </row>
    <row r="224">
      <c r="A224" s="2" t="str">
        <f>IFERROR(__xludf.DUMMYFUNCTION("""COMPUTED_VALUE"""),"Castro-Urdiales")</f>
        <v>Castro-Urdiales</v>
      </c>
      <c r="B224" s="2" t="str">
        <f>IFERROR(__xludf.DUMMYFUNCTION("""COMPUTED_VALUE"""),"Comarca de la Costa Oriental")</f>
        <v>Comarca de la Costa Oriental</v>
      </c>
      <c r="C224" s="2" t="str">
        <f>IFERROR(__xludf.DUMMYFUNCTION("""COMPUTED_VALUE"""),"Provincia de Cantabria")</f>
        <v>Provincia de Cantabria</v>
      </c>
      <c r="D224" s="2" t="str">
        <f>IFERROR(__xludf.DUMMYFUNCTION("""COMPUTED_VALUE"""),"Cantabria")</f>
        <v>Cantabria</v>
      </c>
      <c r="E224" s="2">
        <f>IFERROR(__xludf.DUMMYFUNCTION("""COMPUTED_VALUE"""),19.0)</f>
        <v>19</v>
      </c>
      <c r="F224" s="2">
        <f>IFERROR(__xludf.DUMMYFUNCTION("""COMPUTED_VALUE"""),96.06)</f>
        <v>96.06</v>
      </c>
      <c r="G224" s="4">
        <f>IFERROR(__xludf.DUMMYFUNCTION("""COMPUTED_VALUE"""),32069.0)</f>
        <v>32069</v>
      </c>
      <c r="H224" s="2">
        <f>IFERROR(__xludf.DUMMYFUNCTION("""COMPUTED_VALUE"""),333.84)</f>
        <v>333.84</v>
      </c>
    </row>
    <row r="225">
      <c r="A225" s="2" t="str">
        <f>IFERROR(__xludf.DUMMYFUNCTION("""COMPUTED_VALUE"""),"Totana")</f>
        <v>Totana</v>
      </c>
      <c r="B225" s="2" t="str">
        <f>IFERROR(__xludf.DUMMYFUNCTION("""COMPUTED_VALUE"""),"Bajo Guadalentín")</f>
        <v>Bajo Guadalentín</v>
      </c>
      <c r="C225" s="2" t="str">
        <f>IFERROR(__xludf.DUMMYFUNCTION("""COMPUTED_VALUE"""),"Provincia de Murcia")</f>
        <v>Provincia de Murcia</v>
      </c>
      <c r="D225" s="2" t="str">
        <f>IFERROR(__xludf.DUMMYFUNCTION("""COMPUTED_VALUE"""),"Región de Murcia")</f>
        <v>Región de Murcia</v>
      </c>
      <c r="E225" s="2">
        <f>IFERROR(__xludf.DUMMYFUNCTION("""COMPUTED_VALUE"""),255.0)</f>
        <v>255</v>
      </c>
      <c r="F225" s="2">
        <f>IFERROR(__xludf.DUMMYFUNCTION("""COMPUTED_VALUE"""),287.28)</f>
        <v>287.28</v>
      </c>
      <c r="G225" s="4">
        <f>IFERROR(__xludf.DUMMYFUNCTION("""COMPUTED_VALUE"""),32008.0)</f>
        <v>32008</v>
      </c>
      <c r="H225" s="2">
        <f>IFERROR(__xludf.DUMMYFUNCTION("""COMPUTED_VALUE"""),111.42)</f>
        <v>111.42</v>
      </c>
    </row>
    <row r="226">
      <c r="A226" s="2" t="str">
        <f>IFERROR(__xludf.DUMMYFUNCTION("""COMPUTED_VALUE"""),"Aldaia")</f>
        <v>Aldaia</v>
      </c>
      <c r="B226" s="2" t="str">
        <f>IFERROR(__xludf.DUMMYFUNCTION("""COMPUTED_VALUE"""),"L'Horta Oest")</f>
        <v>L'Horta Oest</v>
      </c>
      <c r="C226" s="2" t="str">
        <f>IFERROR(__xludf.DUMMYFUNCTION("""COMPUTED_VALUE"""),"Provincia de València")</f>
        <v>Provincia de València</v>
      </c>
      <c r="D226" s="2" t="str">
        <f>IFERROR(__xludf.DUMMYFUNCTION("""COMPUTED_VALUE"""),"Comunidad Valenciana")</f>
        <v>Comunidad Valenciana</v>
      </c>
      <c r="E226" s="2">
        <f>IFERROR(__xludf.DUMMYFUNCTION("""COMPUTED_VALUE"""),50.0)</f>
        <v>50</v>
      </c>
      <c r="F226" s="2">
        <f>IFERROR(__xludf.DUMMYFUNCTION("""COMPUTED_VALUE"""),16.05)</f>
        <v>16.05</v>
      </c>
      <c r="G226" s="4">
        <f>IFERROR(__xludf.DUMMYFUNCTION("""COMPUTED_VALUE"""),31864.0)</f>
        <v>31864</v>
      </c>
      <c r="H226" s="5">
        <f>IFERROR(__xludf.DUMMYFUNCTION("""COMPUTED_VALUE"""),1985.3)</f>
        <v>1985.3</v>
      </c>
    </row>
    <row r="227">
      <c r="A227" s="2" t="str">
        <f>IFERROR(__xludf.DUMMYFUNCTION("""COMPUTED_VALUE"""),"Leioa")</f>
        <v>Leioa</v>
      </c>
      <c r="B227" s="2" t="str">
        <f>IFERROR(__xludf.DUMMYFUNCTION("""COMPUTED_VALUE"""),"Gran Bilbao")</f>
        <v>Gran Bilbao</v>
      </c>
      <c r="C227" s="2" t="str">
        <f>IFERROR(__xludf.DUMMYFUNCTION("""COMPUTED_VALUE"""),"Provincia de Bizkaia")</f>
        <v>Provincia de Bizkaia</v>
      </c>
      <c r="D227" s="2" t="str">
        <f>IFERROR(__xludf.DUMMYFUNCTION("""COMPUTED_VALUE"""),"País Vasco")</f>
        <v>País Vasco</v>
      </c>
      <c r="E227" s="2">
        <f>IFERROR(__xludf.DUMMYFUNCTION("""COMPUTED_VALUE"""),30.0)</f>
        <v>30</v>
      </c>
      <c r="F227" s="2">
        <f>IFERROR(__xludf.DUMMYFUNCTION("""COMPUTED_VALUE"""),8.4)</f>
        <v>8.4</v>
      </c>
      <c r="G227" s="4">
        <f>IFERROR(__xludf.DUMMYFUNCTION("""COMPUTED_VALUE"""),31795.0)</f>
        <v>31795</v>
      </c>
      <c r="H227" s="5">
        <f>IFERROR(__xludf.DUMMYFUNCTION("""COMPUTED_VALUE"""),3785.12)</f>
        <v>3785.12</v>
      </c>
    </row>
    <row r="228">
      <c r="A228" s="2" t="str">
        <f>IFERROR(__xludf.DUMMYFUNCTION("""COMPUTED_VALUE"""),"Ames")</f>
        <v>Ames</v>
      </c>
      <c r="B228" s="2" t="str">
        <f>IFERROR(__xludf.DUMMYFUNCTION("""COMPUTED_VALUE"""),"Santiago de Compostela")</f>
        <v>Santiago de Compostela</v>
      </c>
      <c r="C228" s="2" t="str">
        <f>IFERROR(__xludf.DUMMYFUNCTION("""COMPUTED_VALUE"""),"Provincia de A Coruña")</f>
        <v>Provincia de A Coruña</v>
      </c>
      <c r="D228" s="2" t="str">
        <f>IFERROR(__xludf.DUMMYFUNCTION("""COMPUTED_VALUE"""),"Galicia")</f>
        <v>Galicia</v>
      </c>
      <c r="E228" s="2">
        <f>IFERROR(__xludf.DUMMYFUNCTION("""COMPUTED_VALUE"""),63.0)</f>
        <v>63</v>
      </c>
      <c r="F228" s="2">
        <f>IFERROR(__xludf.DUMMYFUNCTION("""COMPUTED_VALUE"""),80.1)</f>
        <v>80.1</v>
      </c>
      <c r="G228" s="4">
        <f>IFERROR(__xludf.DUMMYFUNCTION("""COMPUTED_VALUE"""),31793.0)</f>
        <v>31793</v>
      </c>
      <c r="H228" s="2">
        <f>IFERROR(__xludf.DUMMYFUNCTION("""COMPUTED_VALUE"""),396.92)</f>
        <v>396.92</v>
      </c>
    </row>
    <row r="229">
      <c r="A229" s="2" t="str">
        <f>IFERROR(__xludf.DUMMYFUNCTION("""COMPUTED_VALUE"""),"La Vall d'Uixó")</f>
        <v>La Vall d'Uixó</v>
      </c>
      <c r="B229" s="2" t="str">
        <f>IFERROR(__xludf.DUMMYFUNCTION("""COMPUTED_VALUE"""),"Plana Baja")</f>
        <v>Plana Baja</v>
      </c>
      <c r="C229" s="2" t="str">
        <f>IFERROR(__xludf.DUMMYFUNCTION("""COMPUTED_VALUE"""),"Provincia de Castellón")</f>
        <v>Provincia de Castellón</v>
      </c>
      <c r="D229" s="2" t="str">
        <f>IFERROR(__xludf.DUMMYFUNCTION("""COMPUTED_VALUE"""),"Comunidad Valenciana")</f>
        <v>Comunidad Valenciana</v>
      </c>
      <c r="E229" s="2">
        <f>IFERROR(__xludf.DUMMYFUNCTION("""COMPUTED_VALUE"""),118.0)</f>
        <v>118</v>
      </c>
      <c r="F229" s="2">
        <f>IFERROR(__xludf.DUMMYFUNCTION("""COMPUTED_VALUE"""),67.08)</f>
        <v>67.08</v>
      </c>
      <c r="G229" s="4">
        <f>IFERROR(__xludf.DUMMYFUNCTION("""COMPUTED_VALUE"""),31660.0)</f>
        <v>31660</v>
      </c>
      <c r="H229" s="2">
        <f>IFERROR(__xludf.DUMMYFUNCTION("""COMPUTED_VALUE"""),471.97)</f>
        <v>471.97</v>
      </c>
    </row>
    <row r="230">
      <c r="A230" s="2" t="str">
        <f>IFERROR(__xludf.DUMMYFUNCTION("""COMPUTED_VALUE"""),"Agüimes")</f>
        <v>Agüimes</v>
      </c>
      <c r="B230" s="2"/>
      <c r="C230" s="2" t="str">
        <f>IFERROR(__xludf.DUMMYFUNCTION("""COMPUTED_VALUE"""),"Provincia de Las Palmas")</f>
        <v>Provincia de Las Palmas</v>
      </c>
      <c r="D230" s="2" t="str">
        <f>IFERROR(__xludf.DUMMYFUNCTION("""COMPUTED_VALUE"""),"Canarias")</f>
        <v>Canarias</v>
      </c>
      <c r="E230" s="2">
        <f>IFERROR(__xludf.DUMMYFUNCTION("""COMPUTED_VALUE"""),275.0)</f>
        <v>275</v>
      </c>
      <c r="F230" s="2">
        <f>IFERROR(__xludf.DUMMYFUNCTION("""COMPUTED_VALUE"""),78.9)</f>
        <v>78.9</v>
      </c>
      <c r="G230" s="4">
        <f>IFERROR(__xludf.DUMMYFUNCTION("""COMPUTED_VALUE"""),31619.0)</f>
        <v>31619</v>
      </c>
      <c r="H230" s="2">
        <f>IFERROR(__xludf.DUMMYFUNCTION("""COMPUTED_VALUE"""),400.75)</f>
        <v>400.75</v>
      </c>
    </row>
    <row r="231">
      <c r="A231" s="2" t="str">
        <f>IFERROR(__xludf.DUMMYFUNCTION("""COMPUTED_VALUE"""),"Arroyomolinos")</f>
        <v>Arroyomolinos</v>
      </c>
      <c r="B231" s="2"/>
      <c r="C231" s="2" t="str">
        <f>IFERROR(__xludf.DUMMYFUNCTION("""COMPUTED_VALUE"""),"Provincia de Madrid")</f>
        <v>Provincia de Madrid</v>
      </c>
      <c r="D231" s="2" t="str">
        <f>IFERROR(__xludf.DUMMYFUNCTION("""COMPUTED_VALUE"""),"Comunidad de Madrid")</f>
        <v>Comunidad de Madrid</v>
      </c>
      <c r="E231" s="2">
        <f>IFERROR(__xludf.DUMMYFUNCTION("""COMPUTED_VALUE"""),674.0)</f>
        <v>674</v>
      </c>
      <c r="F231" s="2">
        <f>IFERROR(__xludf.DUMMYFUNCTION("""COMPUTED_VALUE"""),20.66)</f>
        <v>20.66</v>
      </c>
      <c r="G231" s="4">
        <f>IFERROR(__xludf.DUMMYFUNCTION("""COMPUTED_VALUE"""),31396.0)</f>
        <v>31396</v>
      </c>
      <c r="H231" s="5">
        <f>IFERROR(__xludf.DUMMYFUNCTION("""COMPUTED_VALUE"""),1519.65)</f>
        <v>1519.65</v>
      </c>
    </row>
    <row r="232">
      <c r="A232" s="2" t="str">
        <f>IFERROR(__xludf.DUMMYFUNCTION("""COMPUTED_VALUE"""),"Salt")</f>
        <v>Salt</v>
      </c>
      <c r="B232" s="2" t="str">
        <f>IFERROR(__xludf.DUMMYFUNCTION("""COMPUTED_VALUE"""),"Gironès")</f>
        <v>Gironès</v>
      </c>
      <c r="C232" s="2" t="str">
        <f>IFERROR(__xludf.DUMMYFUNCTION("""COMPUTED_VALUE"""),"Provincia de Girona")</f>
        <v>Provincia de Girona</v>
      </c>
      <c r="D232" s="2" t="str">
        <f>IFERROR(__xludf.DUMMYFUNCTION("""COMPUTED_VALUE"""),"Cataluña")</f>
        <v>Cataluña</v>
      </c>
      <c r="E232" s="2">
        <f>IFERROR(__xludf.DUMMYFUNCTION("""COMPUTED_VALUE"""),83.0)</f>
        <v>83</v>
      </c>
      <c r="F232" s="2">
        <f>IFERROR(__xludf.DUMMYFUNCTION("""COMPUTED_VALUE"""),6.61)</f>
        <v>6.61</v>
      </c>
      <c r="G232" s="4">
        <f>IFERROR(__xludf.DUMMYFUNCTION("""COMPUTED_VALUE"""),31362.0)</f>
        <v>31362</v>
      </c>
      <c r="H232" s="5">
        <f>IFERROR(__xludf.DUMMYFUNCTION("""COMPUTED_VALUE"""),4744.63)</f>
        <v>4744.63</v>
      </c>
    </row>
    <row r="233">
      <c r="A233" s="2" t="str">
        <f>IFERROR(__xludf.DUMMYFUNCTION("""COMPUTED_VALUE"""),"Carballo")</f>
        <v>Carballo</v>
      </c>
      <c r="B233" s="2" t="str">
        <f>IFERROR(__xludf.DUMMYFUNCTION("""COMPUTED_VALUE"""),"Bergantiños")</f>
        <v>Bergantiños</v>
      </c>
      <c r="C233" s="2" t="str">
        <f>IFERROR(__xludf.DUMMYFUNCTION("""COMPUTED_VALUE"""),"Provincia de A Coruña")</f>
        <v>Provincia de A Coruña</v>
      </c>
      <c r="D233" s="2" t="str">
        <f>IFERROR(__xludf.DUMMYFUNCTION("""COMPUTED_VALUE"""),"Principado de Asturias")</f>
        <v>Principado de Asturias</v>
      </c>
      <c r="E233" s="2">
        <f>IFERROR(__xludf.DUMMYFUNCTION("""COMPUTED_VALUE"""),106.0)</f>
        <v>106</v>
      </c>
      <c r="F233" s="2">
        <f>IFERROR(__xludf.DUMMYFUNCTION("""COMPUTED_VALUE"""),186.09)</f>
        <v>186.09</v>
      </c>
      <c r="G233" s="4">
        <f>IFERROR(__xludf.DUMMYFUNCTION("""COMPUTED_VALUE"""),31349.0)</f>
        <v>31349</v>
      </c>
      <c r="H233" s="2">
        <f>IFERROR(__xludf.DUMMYFUNCTION("""COMPUTED_VALUE"""),168.46)</f>
        <v>168.46</v>
      </c>
    </row>
    <row r="234">
      <c r="A234" s="2" t="str">
        <f>IFERROR(__xludf.DUMMYFUNCTION("""COMPUTED_VALUE"""),"Ingenio")</f>
        <v>Ingenio</v>
      </c>
      <c r="B234" s="2"/>
      <c r="C234" s="2" t="str">
        <f>IFERROR(__xludf.DUMMYFUNCTION("""COMPUTED_VALUE"""),"Provincia de Las Palmas")</f>
        <v>Provincia de Las Palmas</v>
      </c>
      <c r="D234" s="2" t="str">
        <f>IFERROR(__xludf.DUMMYFUNCTION("""COMPUTED_VALUE"""),"Canarias")</f>
        <v>Canarias</v>
      </c>
      <c r="E234" s="2">
        <f>IFERROR(__xludf.DUMMYFUNCTION("""COMPUTED_VALUE"""),558.0)</f>
        <v>558</v>
      </c>
      <c r="F234" s="2">
        <f>IFERROR(__xludf.DUMMYFUNCTION("""COMPUTED_VALUE"""),39.09)</f>
        <v>39.09</v>
      </c>
      <c r="G234" s="4">
        <f>IFERROR(__xludf.DUMMYFUNCTION("""COMPUTED_VALUE"""),31321.0)</f>
        <v>31321</v>
      </c>
      <c r="H234" s="2">
        <f>IFERROR(__xludf.DUMMYFUNCTION("""COMPUTED_VALUE"""),801.25)</f>
        <v>801.25</v>
      </c>
    </row>
    <row r="235">
      <c r="A235" s="2" t="str">
        <f>IFERROR(__xludf.DUMMYFUNCTION("""COMPUTED_VALUE"""),"San Roque")</f>
        <v>San Roque</v>
      </c>
      <c r="B235" s="2" t="str">
        <f>IFERROR(__xludf.DUMMYFUNCTION("""COMPUTED_VALUE"""),"Campo de Gibraltar")</f>
        <v>Campo de Gibraltar</v>
      </c>
      <c r="C235" s="2" t="str">
        <f>IFERROR(__xludf.DUMMYFUNCTION("""COMPUTED_VALUE"""),"Provincia de Cádiz")</f>
        <v>Provincia de Cádiz</v>
      </c>
      <c r="D235" s="2" t="str">
        <f>IFERROR(__xludf.DUMMYFUNCTION("""COMPUTED_VALUE"""),"Andalucía")</f>
        <v>Andalucía</v>
      </c>
      <c r="E235" s="2">
        <f>IFERROR(__xludf.DUMMYFUNCTION("""COMPUTED_VALUE"""),108.0)</f>
        <v>108</v>
      </c>
      <c r="F235" s="2">
        <f>IFERROR(__xludf.DUMMYFUNCTION("""COMPUTED_VALUE"""),39.56)</f>
        <v>39.56</v>
      </c>
      <c r="G235" s="4">
        <f>IFERROR(__xludf.DUMMYFUNCTION("""COMPUTED_VALUE"""),31218.0)</f>
        <v>31218</v>
      </c>
      <c r="H235" s="2">
        <f>IFERROR(__xludf.DUMMYFUNCTION("""COMPUTED_VALUE"""),789.13)</f>
        <v>789.13</v>
      </c>
    </row>
    <row r="236">
      <c r="A236" s="2" t="str">
        <f>IFERROR(__xludf.DUMMYFUNCTION("""COMPUTED_VALUE"""),"Manises")</f>
        <v>Manises</v>
      </c>
      <c r="B236" s="2" t="str">
        <f>IFERROR(__xludf.DUMMYFUNCTION("""COMPUTED_VALUE"""),"L'Horta Oest")</f>
        <v>L'Horta Oest</v>
      </c>
      <c r="C236" s="2" t="str">
        <f>IFERROR(__xludf.DUMMYFUNCTION("""COMPUTED_VALUE"""),"Provincia de València")</f>
        <v>Provincia de València</v>
      </c>
      <c r="D236" s="2" t="str">
        <f>IFERROR(__xludf.DUMMYFUNCTION("""COMPUTED_VALUE"""),"Comunidad Valenciana")</f>
        <v>Comunidad Valenciana</v>
      </c>
      <c r="E236" s="2">
        <f>IFERROR(__xludf.DUMMYFUNCTION("""COMPUTED_VALUE"""),52.0)</f>
        <v>52</v>
      </c>
      <c r="F236" s="2">
        <f>IFERROR(__xludf.DUMMYFUNCTION("""COMPUTED_VALUE"""),19.65)</f>
        <v>19.65</v>
      </c>
      <c r="G236" s="4">
        <f>IFERROR(__xludf.DUMMYFUNCTION("""COMPUTED_VALUE"""),30919.0)</f>
        <v>30919</v>
      </c>
      <c r="H236" s="5">
        <f>IFERROR(__xludf.DUMMYFUNCTION("""COMPUTED_VALUE"""),1573.49)</f>
        <v>1573.49</v>
      </c>
    </row>
    <row r="237">
      <c r="A237" s="2" t="str">
        <f>IFERROR(__xludf.DUMMYFUNCTION("""COMPUTED_VALUE"""),"Coria del Río")</f>
        <v>Coria del Río</v>
      </c>
      <c r="B237" s="2" t="str">
        <f>IFERROR(__xludf.DUMMYFUNCTION("""COMPUTED_VALUE"""),"Comarca Metropolitana de Sevilla")</f>
        <v>Comarca Metropolitana de Sevilla</v>
      </c>
      <c r="C237" s="2" t="str">
        <f>IFERROR(__xludf.DUMMYFUNCTION("""COMPUTED_VALUE"""),"Provincia de Sevilla")</f>
        <v>Provincia de Sevilla</v>
      </c>
      <c r="D237" s="2" t="str">
        <f>IFERROR(__xludf.DUMMYFUNCTION("""COMPUTED_VALUE"""),"Andalucía")</f>
        <v>Andalucía</v>
      </c>
      <c r="E237" s="2">
        <f>IFERROR(__xludf.DUMMYFUNCTION("""COMPUTED_VALUE"""),5.0)</f>
        <v>5</v>
      </c>
      <c r="F237" s="2">
        <f>IFERROR(__xludf.DUMMYFUNCTION("""COMPUTED_VALUE"""),62.0)</f>
        <v>62</v>
      </c>
      <c r="G237" s="4">
        <f>IFERROR(__xludf.DUMMYFUNCTION("""COMPUTED_VALUE"""),30777.0)</f>
        <v>30777</v>
      </c>
      <c r="H237" s="2">
        <f>IFERROR(__xludf.DUMMYFUNCTION("""COMPUTED_VALUE"""),496.4)</f>
        <v>496.4</v>
      </c>
    </row>
    <row r="238">
      <c r="A238" s="2" t="str">
        <f>IFERROR(__xludf.DUMMYFUNCTION("""COMPUTED_VALUE"""),"Sant Pere de Ribes")</f>
        <v>Sant Pere de Ribes</v>
      </c>
      <c r="B238" s="2" t="str">
        <f>IFERROR(__xludf.DUMMYFUNCTION("""COMPUTED_VALUE"""),"Garraf")</f>
        <v>Garraf</v>
      </c>
      <c r="C238" s="2" t="str">
        <f>IFERROR(__xludf.DUMMYFUNCTION("""COMPUTED_VALUE"""),"Provincia de Barcelona")</f>
        <v>Provincia de Barcelona</v>
      </c>
      <c r="D238" s="2" t="str">
        <f>IFERROR(__xludf.DUMMYFUNCTION("""COMPUTED_VALUE"""),"Cataluña")</f>
        <v>Cataluña</v>
      </c>
      <c r="E238" s="2">
        <f>IFERROR(__xludf.DUMMYFUNCTION("""COMPUTED_VALUE"""),44.0)</f>
        <v>44</v>
      </c>
      <c r="F238" s="2">
        <f>IFERROR(__xludf.DUMMYFUNCTION("""COMPUTED_VALUE"""),40.88)</f>
        <v>40.88</v>
      </c>
      <c r="G238" s="4">
        <f>IFERROR(__xludf.DUMMYFUNCTION("""COMPUTED_VALUE"""),30719.0)</f>
        <v>30719</v>
      </c>
      <c r="H238" s="2">
        <f>IFERROR(__xludf.DUMMYFUNCTION("""COMPUTED_VALUE"""),751.44)</f>
        <v>751.44</v>
      </c>
    </row>
    <row r="239">
      <c r="A239" s="2" t="str">
        <f>IFERROR(__xludf.DUMMYFUNCTION("""COMPUTED_VALUE"""),"Arcos de la Frontera")</f>
        <v>Arcos de la Frontera</v>
      </c>
      <c r="B239" s="2" t="str">
        <f>IFERROR(__xludf.DUMMYFUNCTION("""COMPUTED_VALUE"""),"Sierra de Cádiz")</f>
        <v>Sierra de Cádiz</v>
      </c>
      <c r="C239" s="2" t="str">
        <f>IFERROR(__xludf.DUMMYFUNCTION("""COMPUTED_VALUE"""),"Provincia de Cádiz")</f>
        <v>Provincia de Cádiz</v>
      </c>
      <c r="D239" s="2" t="str">
        <f>IFERROR(__xludf.DUMMYFUNCTION("""COMPUTED_VALUE"""),"Andalucía")</f>
        <v>Andalucía</v>
      </c>
      <c r="E239" s="2">
        <f>IFERROR(__xludf.DUMMYFUNCTION("""COMPUTED_VALUE"""),185.0)</f>
        <v>185</v>
      </c>
      <c r="F239" s="2">
        <f>IFERROR(__xludf.DUMMYFUNCTION("""COMPUTED_VALUE"""),526.81)</f>
        <v>526.81</v>
      </c>
      <c r="G239" s="4">
        <f>IFERROR(__xludf.DUMMYFUNCTION("""COMPUTED_VALUE"""),30700.0)</f>
        <v>30700</v>
      </c>
      <c r="H239" s="2">
        <f>IFERROR(__xludf.DUMMYFUNCTION("""COMPUTED_VALUE"""),58.28)</f>
        <v>58.28</v>
      </c>
    </row>
    <row r="240">
      <c r="A240" s="2" t="str">
        <f>IFERROR(__xludf.DUMMYFUNCTION("""COMPUTED_VALUE"""),"San Andrés del Rabanedo")</f>
        <v>San Andrés del Rabanedo</v>
      </c>
      <c r="B240" s="2" t="str">
        <f>IFERROR(__xludf.DUMMYFUNCTION("""COMPUTED_VALUE"""),"Tierra de León")</f>
        <v>Tierra de León</v>
      </c>
      <c r="C240" s="2" t="str">
        <f>IFERROR(__xludf.DUMMYFUNCTION("""COMPUTED_VALUE"""),"Provincia de León")</f>
        <v>Provincia de León</v>
      </c>
      <c r="D240" s="2" t="str">
        <f>IFERROR(__xludf.DUMMYFUNCTION("""COMPUTED_VALUE"""),"Castilla y León")</f>
        <v>Castilla y León</v>
      </c>
      <c r="E240" s="2">
        <f>IFERROR(__xludf.DUMMYFUNCTION("""COMPUTED_VALUE"""),854.0)</f>
        <v>854</v>
      </c>
      <c r="F240" s="2">
        <f>IFERROR(__xludf.DUMMYFUNCTION("""COMPUTED_VALUE"""),64.84)</f>
        <v>64.84</v>
      </c>
      <c r="G240" s="4">
        <f>IFERROR(__xludf.DUMMYFUNCTION("""COMPUTED_VALUE"""),30615.0)</f>
        <v>30615</v>
      </c>
      <c r="H240" s="2">
        <f>IFERROR(__xludf.DUMMYFUNCTION("""COMPUTED_VALUE"""),472.16)</f>
        <v>472.16</v>
      </c>
    </row>
    <row r="241">
      <c r="A241" s="2" t="str">
        <f>IFERROR(__xludf.DUMMYFUNCTION("""COMPUTED_VALUE"""),"Alcázar de San Juan")</f>
        <v>Alcázar de San Juan</v>
      </c>
      <c r="B241" s="2" t="str">
        <f>IFERROR(__xludf.DUMMYFUNCTION("""COMPUTED_VALUE"""),"La Mancha (Ciudad Real)")</f>
        <v>La Mancha (Ciudad Real)</v>
      </c>
      <c r="C241" s="2" t="str">
        <f>IFERROR(__xludf.DUMMYFUNCTION("""COMPUTED_VALUE"""),"Provincia de Ciudad Real")</f>
        <v>Provincia de Ciudad Real</v>
      </c>
      <c r="D241" s="2" t="str">
        <f>IFERROR(__xludf.DUMMYFUNCTION("""COMPUTED_VALUE"""),"Castilla-La Mancha")</f>
        <v>Castilla-La Mancha</v>
      </c>
      <c r="E241" s="2">
        <f>IFERROR(__xludf.DUMMYFUNCTION("""COMPUTED_VALUE"""),644.0)</f>
        <v>644</v>
      </c>
      <c r="F241" s="2">
        <f>IFERROR(__xludf.DUMMYFUNCTION("""COMPUTED_VALUE"""),666.5)</f>
        <v>666.5</v>
      </c>
      <c r="G241" s="4">
        <f>IFERROR(__xludf.DUMMYFUNCTION("""COMPUTED_VALUE"""),30576.0)</f>
        <v>30576</v>
      </c>
      <c r="H241" s="2">
        <f>IFERROR(__xludf.DUMMYFUNCTION("""COMPUTED_VALUE"""),45.88)</f>
        <v>45.88</v>
      </c>
    </row>
    <row r="242">
      <c r="A242" s="2" t="str">
        <f>IFERROR(__xludf.DUMMYFUNCTION("""COMPUTED_VALUE"""),"Puerto de la Cruz")</f>
        <v>Puerto de la Cruz</v>
      </c>
      <c r="B242" s="2" t="str">
        <f>IFERROR(__xludf.DUMMYFUNCTION("""COMPUTED_VALUE"""),"Comarca del Valle de La Orotava")</f>
        <v>Comarca del Valle de La Orotava</v>
      </c>
      <c r="C242" s="2" t="str">
        <f>IFERROR(__xludf.DUMMYFUNCTION("""COMPUTED_VALUE"""),"Provincia de Santa Cruz de Tenerife")</f>
        <v>Provincia de Santa Cruz de Tenerife</v>
      </c>
      <c r="D242" s="2" t="str">
        <f>IFERROR(__xludf.DUMMYFUNCTION("""COMPUTED_VALUE"""),"Canarias")</f>
        <v>Canarias</v>
      </c>
      <c r="E242" s="2">
        <f>IFERROR(__xludf.DUMMYFUNCTION("""COMPUTED_VALUE"""),4.0)</f>
        <v>4</v>
      </c>
      <c r="F242" s="2">
        <f>IFERROR(__xludf.DUMMYFUNCTION("""COMPUTED_VALUE"""),8.83)</f>
        <v>8.83</v>
      </c>
      <c r="G242" s="4">
        <f>IFERROR(__xludf.DUMMYFUNCTION("""COMPUTED_VALUE"""),30468.0)</f>
        <v>30468</v>
      </c>
      <c r="H242" s="5">
        <f>IFERROR(__xludf.DUMMYFUNCTION("""COMPUTED_VALUE"""),3450.51)</f>
        <v>3450.51</v>
      </c>
    </row>
    <row r="243">
      <c r="A243" s="2" t="str">
        <f>IFERROR(__xludf.DUMMYFUNCTION("""COMPUTED_VALUE"""),"Culleredo")</f>
        <v>Culleredo</v>
      </c>
      <c r="B243" s="2" t="str">
        <f>IFERROR(__xludf.DUMMYFUNCTION("""COMPUTED_VALUE"""),"Comarca de La Coruña")</f>
        <v>Comarca de La Coruña</v>
      </c>
      <c r="C243" s="2" t="str">
        <f>IFERROR(__xludf.DUMMYFUNCTION("""COMPUTED_VALUE"""),"Provincia de A Coruña")</f>
        <v>Provincia de A Coruña</v>
      </c>
      <c r="D243" s="2" t="str">
        <f>IFERROR(__xludf.DUMMYFUNCTION("""COMPUTED_VALUE"""),"Galicia")</f>
        <v>Galicia</v>
      </c>
      <c r="E243" s="2">
        <f>IFERROR(__xludf.DUMMYFUNCTION("""COMPUTED_VALUE"""),570.0)</f>
        <v>570</v>
      </c>
      <c r="F243" s="2">
        <f>IFERROR(__xludf.DUMMYFUNCTION("""COMPUTED_VALUE"""),61.73)</f>
        <v>61.73</v>
      </c>
      <c r="G243" s="4">
        <f>IFERROR(__xludf.DUMMYFUNCTION("""COMPUTED_VALUE"""),30402.0)</f>
        <v>30402</v>
      </c>
      <c r="H243" s="2">
        <f>IFERROR(__xludf.DUMMYFUNCTION("""COMPUTED_VALUE"""),492.5)</f>
        <v>492.5</v>
      </c>
    </row>
    <row r="244">
      <c r="A244" s="2" t="str">
        <f>IFERROR(__xludf.DUMMYFUNCTION("""COMPUTED_VALUE"""),"Hellín")</f>
        <v>Hellín</v>
      </c>
      <c r="B244" s="2" t="str">
        <f>IFERROR(__xludf.DUMMYFUNCTION("""COMPUTED_VALUE"""),"Campos de Hellín")</f>
        <v>Campos de Hellín</v>
      </c>
      <c r="C244" s="2" t="str">
        <f>IFERROR(__xludf.DUMMYFUNCTION("""COMPUTED_VALUE"""),"Provincia de Albacete")</f>
        <v>Provincia de Albacete</v>
      </c>
      <c r="D244" s="2" t="str">
        <f>IFERROR(__xludf.DUMMYFUNCTION("""COMPUTED_VALUE"""),"Castilla-La Mancha")</f>
        <v>Castilla-La Mancha</v>
      </c>
      <c r="E244" s="2">
        <f>IFERROR(__xludf.DUMMYFUNCTION("""COMPUTED_VALUE"""),555.0)</f>
        <v>555</v>
      </c>
      <c r="F244" s="2">
        <f>IFERROR(__xludf.DUMMYFUNCTION("""COMPUTED_VALUE"""),781.66)</f>
        <v>781.66</v>
      </c>
      <c r="G244" s="4">
        <f>IFERROR(__xludf.DUMMYFUNCTION("""COMPUTED_VALUE"""),30306.0)</f>
        <v>30306</v>
      </c>
      <c r="H244" s="2">
        <f>IFERROR(__xludf.DUMMYFUNCTION("""COMPUTED_VALUE"""),38.77)</f>
        <v>38.77</v>
      </c>
    </row>
    <row r="245">
      <c r="A245" s="2" t="str">
        <f>IFERROR(__xludf.DUMMYFUNCTION("""COMPUTED_VALUE"""),"Camargo")</f>
        <v>Camargo</v>
      </c>
      <c r="B245" s="2" t="str">
        <f>IFERROR(__xludf.DUMMYFUNCTION("""COMPUTED_VALUE"""),"Comarca de Santander")</f>
        <v>Comarca de Santander</v>
      </c>
      <c r="C245" s="2" t="str">
        <f>IFERROR(__xludf.DUMMYFUNCTION("""COMPUTED_VALUE"""),"Provincia de Cantabria")</f>
        <v>Provincia de Cantabria</v>
      </c>
      <c r="D245" s="2" t="str">
        <f>IFERROR(__xludf.DUMMYFUNCTION("""COMPUTED_VALUE"""),"Cantabria")</f>
        <v>Cantabria</v>
      </c>
      <c r="E245" s="2">
        <f>IFERROR(__xludf.DUMMYFUNCTION("""COMPUTED_VALUE"""),35.0)</f>
        <v>35</v>
      </c>
      <c r="F245" s="2">
        <f>IFERROR(__xludf.DUMMYFUNCTION("""COMPUTED_VALUE"""),36.98)</f>
        <v>36.98</v>
      </c>
      <c r="G245" s="4">
        <f>IFERROR(__xludf.DUMMYFUNCTION("""COMPUTED_VALUE"""),30260.0)</f>
        <v>30260</v>
      </c>
      <c r="H245" s="2">
        <f>IFERROR(__xludf.DUMMYFUNCTION("""COMPUTED_VALUE"""),818.28)</f>
        <v>818.28</v>
      </c>
    </row>
    <row r="246">
      <c r="A246" s="2" t="str">
        <f>IFERROR(__xludf.DUMMYFUNCTION("""COMPUTED_VALUE"""),"Valdepeñas")</f>
        <v>Valdepeñas</v>
      </c>
      <c r="B246" s="2"/>
      <c r="C246" s="2" t="str">
        <f>IFERROR(__xludf.DUMMYFUNCTION("""COMPUTED_VALUE"""),"Provincia de Ciudad Real")</f>
        <v>Provincia de Ciudad Real</v>
      </c>
      <c r="D246" s="2" t="str">
        <f>IFERROR(__xludf.DUMMYFUNCTION("""COMPUTED_VALUE"""),"Castilla-La Mancha")</f>
        <v>Castilla-La Mancha</v>
      </c>
      <c r="E246" s="2">
        <f>IFERROR(__xludf.DUMMYFUNCTION("""COMPUTED_VALUE"""),705.0)</f>
        <v>705</v>
      </c>
      <c r="F246" s="2">
        <f>IFERROR(__xludf.DUMMYFUNCTION("""COMPUTED_VALUE"""),489.26)</f>
        <v>489.26</v>
      </c>
      <c r="G246" s="4">
        <f>IFERROR(__xludf.DUMMYFUNCTION("""COMPUTED_VALUE"""),30077.0)</f>
        <v>30077</v>
      </c>
      <c r="H246" s="2">
        <f>IFERROR(__xludf.DUMMYFUNCTION("""COMPUTED_VALUE"""),61.47)</f>
        <v>61.47</v>
      </c>
    </row>
    <row r="247">
      <c r="A247" s="2" t="str">
        <f>IFERROR(__xludf.DUMMYFUNCTION("""COMPUTED_VALUE"""),"Puente Genil")</f>
        <v>Puente Genil</v>
      </c>
      <c r="B247" s="2" t="str">
        <f>IFERROR(__xludf.DUMMYFUNCTION("""COMPUTED_VALUE"""),"Campiña Sur Cordobesa")</f>
        <v>Campiña Sur Cordobesa</v>
      </c>
      <c r="C247" s="2" t="str">
        <f>IFERROR(__xludf.DUMMYFUNCTION("""COMPUTED_VALUE"""),"Provincia de Córdoba")</f>
        <v>Provincia de Córdoba</v>
      </c>
      <c r="D247" s="2" t="str">
        <f>IFERROR(__xludf.DUMMYFUNCTION("""COMPUTED_VALUE"""),"Andalucía")</f>
        <v>Andalucía</v>
      </c>
      <c r="E247" s="2">
        <f>IFERROR(__xludf.DUMMYFUNCTION("""COMPUTED_VALUE"""),216.0)</f>
        <v>216</v>
      </c>
      <c r="F247" s="2">
        <f>IFERROR(__xludf.DUMMYFUNCTION("""COMPUTED_VALUE"""),171.05)</f>
        <v>171.05</v>
      </c>
      <c r="G247" s="4">
        <f>IFERROR(__xludf.DUMMYFUNCTION("""COMPUTED_VALUE"""),30048.0)</f>
        <v>30048</v>
      </c>
      <c r="H247" s="2">
        <f>IFERROR(__xludf.DUMMYFUNCTION("""COMPUTED_VALUE"""),175.67)</f>
        <v>175.67</v>
      </c>
    </row>
    <row r="248">
      <c r="A248" s="2" t="str">
        <f>IFERROR(__xludf.DUMMYFUNCTION("""COMPUTED_VALUE"""),"Ciutadella de Menorca")</f>
        <v>Ciutadella de Menorca</v>
      </c>
      <c r="B248" s="2"/>
      <c r="C248" s="2" t="str">
        <f>IFERROR(__xludf.DUMMYFUNCTION("""COMPUTED_VALUE"""),"Provincia de Baleares")</f>
        <v>Provincia de Baleares</v>
      </c>
      <c r="D248" s="2" t="str">
        <f>IFERROR(__xludf.DUMMYFUNCTION("""COMPUTED_VALUE"""),"Islas Baleares")</f>
        <v>Islas Baleares</v>
      </c>
      <c r="E248" s="2">
        <f>IFERROR(__xludf.DUMMYFUNCTION("""COMPUTED_VALUE"""),24.0)</f>
        <v>24</v>
      </c>
      <c r="F248" s="2">
        <f>IFERROR(__xludf.DUMMYFUNCTION("""COMPUTED_VALUE"""),186.34)</f>
        <v>186.34</v>
      </c>
      <c r="G248" s="4">
        <f>IFERROR(__xludf.DUMMYFUNCTION("""COMPUTED_VALUE"""),29840.0)</f>
        <v>29840</v>
      </c>
      <c r="H248" s="2">
        <f>IFERROR(__xludf.DUMMYFUNCTION("""COMPUTED_VALUE"""),160.14)</f>
        <v>160.14</v>
      </c>
    </row>
    <row r="249">
      <c r="A249" s="2" t="str">
        <f>IFERROR(__xludf.DUMMYFUNCTION("""COMPUTED_VALUE"""),"Durango")</f>
        <v>Durango</v>
      </c>
      <c r="B249" s="2" t="str">
        <f>IFERROR(__xludf.DUMMYFUNCTION("""COMPUTED_VALUE"""),"Duranguesado")</f>
        <v>Duranguesado</v>
      </c>
      <c r="C249" s="2" t="str">
        <f>IFERROR(__xludf.DUMMYFUNCTION("""COMPUTED_VALUE"""),"Provincia de Bizkaia")</f>
        <v>Provincia de Bizkaia</v>
      </c>
      <c r="D249" s="2" t="str">
        <f>IFERROR(__xludf.DUMMYFUNCTION("""COMPUTED_VALUE"""),"País Vasco")</f>
        <v>País Vasco</v>
      </c>
      <c r="E249" s="2">
        <f>IFERROR(__xludf.DUMMYFUNCTION("""COMPUTED_VALUE"""),119.0)</f>
        <v>119</v>
      </c>
      <c r="F249" s="2">
        <f>IFERROR(__xludf.DUMMYFUNCTION("""COMPUTED_VALUE"""),10.73)</f>
        <v>10.73</v>
      </c>
      <c r="G249" s="4">
        <f>IFERROR(__xludf.DUMMYFUNCTION("""COMPUTED_VALUE"""),29791.0)</f>
        <v>29791</v>
      </c>
      <c r="H249" s="5">
        <f>IFERROR(__xludf.DUMMYFUNCTION("""COMPUTED_VALUE"""),2776.42)</f>
        <v>2776.42</v>
      </c>
    </row>
    <row r="250">
      <c r="A250" s="2" t="str">
        <f>IFERROR(__xludf.DUMMYFUNCTION("""COMPUTED_VALUE"""),"Xirivella")</f>
        <v>Xirivella</v>
      </c>
      <c r="B250" s="2" t="str">
        <f>IFERROR(__xludf.DUMMYFUNCTION("""COMPUTED_VALUE"""),"L'Horta Oest")</f>
        <v>L'Horta Oest</v>
      </c>
      <c r="C250" s="2" t="str">
        <f>IFERROR(__xludf.DUMMYFUNCTION("""COMPUTED_VALUE"""),"Provincia de València")</f>
        <v>Provincia de València</v>
      </c>
      <c r="D250" s="2" t="str">
        <f>IFERROR(__xludf.DUMMYFUNCTION("""COMPUTED_VALUE"""),"Comunidad Valenciana")</f>
        <v>Comunidad Valenciana</v>
      </c>
      <c r="E250" s="2">
        <f>IFERROR(__xludf.DUMMYFUNCTION("""COMPUTED_VALUE"""),17.0)</f>
        <v>17</v>
      </c>
      <c r="F250" s="2">
        <f>IFERROR(__xludf.DUMMYFUNCTION("""COMPUTED_VALUE"""),5.13)</f>
        <v>5.13</v>
      </c>
      <c r="G250" s="4">
        <f>IFERROR(__xludf.DUMMYFUNCTION("""COMPUTED_VALUE"""),29623.0)</f>
        <v>29623</v>
      </c>
      <c r="H250" s="5">
        <f>IFERROR(__xludf.DUMMYFUNCTION("""COMPUTED_VALUE"""),5774.46)</f>
        <v>5774.46</v>
      </c>
    </row>
    <row r="251">
      <c r="A251" s="2" t="str">
        <f>IFERROR(__xludf.DUMMYFUNCTION("""COMPUTED_VALUE"""),"Alaquàs")</f>
        <v>Alaquàs</v>
      </c>
      <c r="B251" s="2" t="str">
        <f>IFERROR(__xludf.DUMMYFUNCTION("""COMPUTED_VALUE"""),"L'Horta Oest")</f>
        <v>L'Horta Oest</v>
      </c>
      <c r="C251" s="2" t="str">
        <f>IFERROR(__xludf.DUMMYFUNCTION("""COMPUTED_VALUE"""),"Provincia de València")</f>
        <v>Provincia de València</v>
      </c>
      <c r="D251" s="2" t="str">
        <f>IFERROR(__xludf.DUMMYFUNCTION("""COMPUTED_VALUE"""),"Comunidad Valenciana")</f>
        <v>Comunidad Valenciana</v>
      </c>
      <c r="E251" s="2">
        <f>IFERROR(__xludf.DUMMYFUNCTION("""COMPUTED_VALUE"""),42.0)</f>
        <v>42</v>
      </c>
      <c r="F251" s="2">
        <f>IFERROR(__xludf.DUMMYFUNCTION("""COMPUTED_VALUE"""),3.9)</f>
        <v>3.9</v>
      </c>
      <c r="G251" s="4">
        <f>IFERROR(__xludf.DUMMYFUNCTION("""COMPUTED_VALUE"""),29561.0)</f>
        <v>29561</v>
      </c>
      <c r="H251" s="5">
        <f>IFERROR(__xludf.DUMMYFUNCTION("""COMPUTED_VALUE"""),7579.74)</f>
        <v>7579.74</v>
      </c>
    </row>
    <row r="252">
      <c r="A252" s="2" t="str">
        <f>IFERROR(__xludf.DUMMYFUNCTION("""COMPUTED_VALUE"""),"Galdakao")</f>
        <v>Galdakao</v>
      </c>
      <c r="B252" s="2" t="str">
        <f>IFERROR(__xludf.DUMMYFUNCTION("""COMPUTED_VALUE"""),"Gran Bilbao")</f>
        <v>Gran Bilbao</v>
      </c>
      <c r="C252" s="2" t="str">
        <f>IFERROR(__xludf.DUMMYFUNCTION("""COMPUTED_VALUE"""),"Provincia de Bizkaia")</f>
        <v>Provincia de Bizkaia</v>
      </c>
      <c r="D252" s="2" t="str">
        <f>IFERROR(__xludf.DUMMYFUNCTION("""COMPUTED_VALUE"""),"País Vasco")</f>
        <v>País Vasco</v>
      </c>
      <c r="E252" s="2">
        <f>IFERROR(__xludf.DUMMYFUNCTION("""COMPUTED_VALUE"""),60.0)</f>
        <v>60</v>
      </c>
      <c r="F252" s="2">
        <f>IFERROR(__xludf.DUMMYFUNCTION("""COMPUTED_VALUE"""),31.47)</f>
        <v>31.47</v>
      </c>
      <c r="G252" s="4">
        <f>IFERROR(__xludf.DUMMYFUNCTION("""COMPUTED_VALUE"""),29326.0)</f>
        <v>29326</v>
      </c>
      <c r="H252" s="2">
        <f>IFERROR(__xludf.DUMMYFUNCTION("""COMPUTED_VALUE"""),931.87)</f>
        <v>931.87</v>
      </c>
    </row>
    <row r="253">
      <c r="A253" s="2" t="str">
        <f>IFERROR(__xludf.DUMMYFUNCTION("""COMPUTED_VALUE"""),"Sitges")</f>
        <v>Sitges</v>
      </c>
      <c r="B253" s="2" t="str">
        <f>IFERROR(__xludf.DUMMYFUNCTION("""COMPUTED_VALUE"""),"Garraf")</f>
        <v>Garraf</v>
      </c>
      <c r="C253" s="2" t="str">
        <f>IFERROR(__xludf.DUMMYFUNCTION("""COMPUTED_VALUE"""),"Provincia de Barcelona")</f>
        <v>Provincia de Barcelona</v>
      </c>
      <c r="D253" s="2" t="str">
        <f>IFERROR(__xludf.DUMMYFUNCTION("""COMPUTED_VALUE"""),"Cataluña")</f>
        <v>Cataluña</v>
      </c>
      <c r="E253" s="2">
        <f>IFERROR(__xludf.DUMMYFUNCTION("""COMPUTED_VALUE"""),10.0)</f>
        <v>10</v>
      </c>
      <c r="F253" s="2">
        <f>IFERROR(__xludf.DUMMYFUNCTION("""COMPUTED_VALUE"""),43.7)</f>
        <v>43.7</v>
      </c>
      <c r="G253" s="4">
        <f>IFERROR(__xludf.DUMMYFUNCTION("""COMPUTED_VALUE"""),29307.0)</f>
        <v>29307</v>
      </c>
      <c r="H253" s="2">
        <f>IFERROR(__xludf.DUMMYFUNCTION("""COMPUTED_VALUE"""),670.64)</f>
        <v>670.64</v>
      </c>
    </row>
    <row r="254">
      <c r="A254" s="2" t="str">
        <f>IFERROR(__xludf.DUMMYFUNCTION("""COMPUTED_VALUE"""),"Navalcarnero")</f>
        <v>Navalcarnero</v>
      </c>
      <c r="B254" s="2"/>
      <c r="C254" s="2" t="str">
        <f>IFERROR(__xludf.DUMMYFUNCTION("""COMPUTED_VALUE"""),"Provincia de Madrid")</f>
        <v>Provincia de Madrid</v>
      </c>
      <c r="D254" s="2" t="str">
        <f>IFERROR(__xludf.DUMMYFUNCTION("""COMPUTED_VALUE"""),"Comunidad de Madrid")</f>
        <v>Comunidad de Madrid</v>
      </c>
      <c r="E254" s="2">
        <f>IFERROR(__xludf.DUMMYFUNCTION("""COMPUTED_VALUE"""),670.0)</f>
        <v>670</v>
      </c>
      <c r="F254" s="2">
        <f>IFERROR(__xludf.DUMMYFUNCTION("""COMPUTED_VALUE"""),100.22)</f>
        <v>100.22</v>
      </c>
      <c r="G254" s="4">
        <f>IFERROR(__xludf.DUMMYFUNCTION("""COMPUTED_VALUE"""),29298.0)</f>
        <v>29298</v>
      </c>
      <c r="H254" s="2">
        <f>IFERROR(__xludf.DUMMYFUNCTION("""COMPUTED_VALUE"""),292.34)</f>
        <v>292.34</v>
      </c>
    </row>
    <row r="255">
      <c r="A255" s="2" t="str">
        <f>IFERROR(__xludf.DUMMYFUNCTION("""COMPUTED_VALUE"""),"Xàtiva")</f>
        <v>Xàtiva</v>
      </c>
      <c r="B255" s="2" t="str">
        <f>IFERROR(__xludf.DUMMYFUNCTION("""COMPUTED_VALUE"""),"La Costera")</f>
        <v>La Costera</v>
      </c>
      <c r="C255" s="2" t="str">
        <f>IFERROR(__xludf.DUMMYFUNCTION("""COMPUTED_VALUE"""),"Provincia de València")</f>
        <v>Provincia de València</v>
      </c>
      <c r="D255" s="2" t="str">
        <f>IFERROR(__xludf.DUMMYFUNCTION("""COMPUTED_VALUE"""),"Comunidad Valenciana")</f>
        <v>Comunidad Valenciana</v>
      </c>
      <c r="E255" s="2">
        <f>IFERROR(__xludf.DUMMYFUNCTION("""COMPUTED_VALUE"""),115.0)</f>
        <v>115</v>
      </c>
      <c r="F255" s="2">
        <f>IFERROR(__xludf.DUMMYFUNCTION("""COMPUTED_VALUE"""),76.56)</f>
        <v>76.56</v>
      </c>
      <c r="G255" s="4">
        <f>IFERROR(__xludf.DUMMYFUNCTION("""COMPUTED_VALUE"""),29231.0)</f>
        <v>29231</v>
      </c>
      <c r="H255" s="2">
        <f>IFERROR(__xludf.DUMMYFUNCTION("""COMPUTED_VALUE"""),381.81)</f>
        <v>381.81</v>
      </c>
    </row>
    <row r="256">
      <c r="A256" s="2" t="str">
        <f>IFERROR(__xludf.DUMMYFUNCTION("""COMPUTED_VALUE"""),"Redondela")</f>
        <v>Redondela</v>
      </c>
      <c r="B256" s="2" t="str">
        <f>IFERROR(__xludf.DUMMYFUNCTION("""COMPUTED_VALUE"""),"Comarca de Vigo")</f>
        <v>Comarca de Vigo</v>
      </c>
      <c r="C256" s="2" t="str">
        <f>IFERROR(__xludf.DUMMYFUNCTION("""COMPUTED_VALUE"""),"Provincia de Pontevedra")</f>
        <v>Provincia de Pontevedra</v>
      </c>
      <c r="D256" s="2" t="str">
        <f>IFERROR(__xludf.DUMMYFUNCTION("""COMPUTED_VALUE"""),"Galicia")</f>
        <v>Galicia</v>
      </c>
      <c r="E256" s="2">
        <f>IFERROR(__xludf.DUMMYFUNCTION("""COMPUTED_VALUE"""),17.0)</f>
        <v>17</v>
      </c>
      <c r="F256" s="2">
        <f>IFERROR(__xludf.DUMMYFUNCTION("""COMPUTED_VALUE"""),52.08)</f>
        <v>52.08</v>
      </c>
      <c r="G256" s="4">
        <f>IFERROR(__xludf.DUMMYFUNCTION("""COMPUTED_VALUE"""),29218.0)</f>
        <v>29218</v>
      </c>
      <c r="H256" s="2">
        <f>IFERROR(__xludf.DUMMYFUNCTION("""COMPUTED_VALUE"""),561.02)</f>
        <v>561.02</v>
      </c>
    </row>
    <row r="257">
      <c r="A257" s="2" t="str">
        <f>IFERROR(__xludf.DUMMYFUNCTION("""COMPUTED_VALUE"""),"Rota")</f>
        <v>Rota</v>
      </c>
      <c r="B257" s="2" t="str">
        <f>IFERROR(__xludf.DUMMYFUNCTION("""COMPUTED_VALUE"""),"Costa Noroeste de Cádiz")</f>
        <v>Costa Noroeste de Cádiz</v>
      </c>
      <c r="C257" s="2" t="str">
        <f>IFERROR(__xludf.DUMMYFUNCTION("""COMPUTED_VALUE"""),"Provincia de Cádiz")</f>
        <v>Provincia de Cádiz</v>
      </c>
      <c r="D257" s="2" t="str">
        <f>IFERROR(__xludf.DUMMYFUNCTION("""COMPUTED_VALUE"""),"Andalucía")</f>
        <v>Andalucía</v>
      </c>
      <c r="E257" s="2">
        <f>IFERROR(__xludf.DUMMYFUNCTION("""COMPUTED_VALUE"""),9.0)</f>
        <v>9</v>
      </c>
      <c r="F257" s="2">
        <f>IFERROR(__xludf.DUMMYFUNCTION("""COMPUTED_VALUE"""),84.19)</f>
        <v>84.19</v>
      </c>
      <c r="G257" s="4">
        <f>IFERROR(__xludf.DUMMYFUNCTION("""COMPUTED_VALUE"""),29109.0)</f>
        <v>29109</v>
      </c>
      <c r="H257" s="2">
        <f>IFERROR(__xludf.DUMMYFUNCTION("""COMPUTED_VALUE"""),345.75)</f>
        <v>345.75</v>
      </c>
    </row>
    <row r="258">
      <c r="A258" s="2" t="str">
        <f>IFERROR(__xludf.DUMMYFUNCTION("""COMPUTED_VALUE"""),"Maó")</f>
        <v>Maó</v>
      </c>
      <c r="B258" s="2"/>
      <c r="C258" s="2" t="str">
        <f>IFERROR(__xludf.DUMMYFUNCTION("""COMPUTED_VALUE"""),"Provincia de Baleares")</f>
        <v>Provincia de Baleares</v>
      </c>
      <c r="D258" s="2" t="str">
        <f>IFERROR(__xludf.DUMMYFUNCTION("""COMPUTED_VALUE"""),"Islas Baleares")</f>
        <v>Islas Baleares</v>
      </c>
      <c r="E258" s="2">
        <f>IFERROR(__xludf.DUMMYFUNCTION("""COMPUTED_VALUE"""),72.0)</f>
        <v>72</v>
      </c>
      <c r="F258" s="2">
        <f>IFERROR(__xludf.DUMMYFUNCTION("""COMPUTED_VALUE"""),117.31)</f>
        <v>117.31</v>
      </c>
      <c r="G258" s="4">
        <f>IFERROR(__xludf.DUMMYFUNCTION("""COMPUTED_VALUE"""),29040.0)</f>
        <v>29040</v>
      </c>
      <c r="H258" s="2">
        <f>IFERROR(__xludf.DUMMYFUNCTION("""COMPUTED_VALUE"""),247.55)</f>
        <v>247.55</v>
      </c>
    </row>
    <row r="259">
      <c r="A259" s="2" t="str">
        <f>IFERROR(__xludf.DUMMYFUNCTION("""COMPUTED_VALUE"""),"Crevillent")</f>
        <v>Crevillent</v>
      </c>
      <c r="B259" s="2" t="str">
        <f>IFERROR(__xludf.DUMMYFUNCTION("""COMPUTED_VALUE"""),"Bajo Vinalopó")</f>
        <v>Bajo Vinalopó</v>
      </c>
      <c r="C259" s="2" t="str">
        <f>IFERROR(__xludf.DUMMYFUNCTION("""COMPUTED_VALUE"""),"Provincia de Alicante")</f>
        <v>Provincia de Alicante</v>
      </c>
      <c r="D259" s="2" t="str">
        <f>IFERROR(__xludf.DUMMYFUNCTION("""COMPUTED_VALUE"""),"Comunidad Valenciana")</f>
        <v>Comunidad Valenciana</v>
      </c>
      <c r="E259" s="2">
        <f>IFERROR(__xludf.DUMMYFUNCTION("""COMPUTED_VALUE"""),130.0)</f>
        <v>130</v>
      </c>
      <c r="F259" s="2">
        <f>IFERROR(__xludf.DUMMYFUNCTION("""COMPUTED_VALUE"""),104.55)</f>
        <v>104.55</v>
      </c>
      <c r="G259" s="4">
        <f>IFERROR(__xludf.DUMMYFUNCTION("""COMPUTED_VALUE"""),28952.0)</f>
        <v>28952</v>
      </c>
      <c r="H259" s="2">
        <f>IFERROR(__xludf.DUMMYFUNCTION("""COMPUTED_VALUE"""),276.92)</f>
        <v>276.92</v>
      </c>
    </row>
    <row r="260">
      <c r="A260" s="2" t="str">
        <f>IFERROR(__xludf.DUMMYFUNCTION("""COMPUTED_VALUE"""),"Illescas")</f>
        <v>Illescas</v>
      </c>
      <c r="B260" s="2" t="str">
        <f>IFERROR(__xludf.DUMMYFUNCTION("""COMPUTED_VALUE"""),"La Sagra")</f>
        <v>La Sagra</v>
      </c>
      <c r="C260" s="2" t="str">
        <f>IFERROR(__xludf.DUMMYFUNCTION("""COMPUTED_VALUE"""),"Provincia de Toledo")</f>
        <v>Provincia de Toledo</v>
      </c>
      <c r="D260" s="2" t="str">
        <f>IFERROR(__xludf.DUMMYFUNCTION("""COMPUTED_VALUE"""),"Castilla-La Mancha")</f>
        <v>Castilla-La Mancha</v>
      </c>
      <c r="E260" s="2">
        <f>IFERROR(__xludf.DUMMYFUNCTION("""COMPUTED_VALUE"""),583.0)</f>
        <v>583</v>
      </c>
      <c r="F260" s="2">
        <f>IFERROR(__xludf.DUMMYFUNCTION("""COMPUTED_VALUE"""),57.35)</f>
        <v>57.35</v>
      </c>
      <c r="G260" s="4">
        <f>IFERROR(__xludf.DUMMYFUNCTION("""COMPUTED_VALUE"""),28894.0)</f>
        <v>28894</v>
      </c>
      <c r="H260" s="2">
        <f>IFERROR(__xludf.DUMMYFUNCTION("""COMPUTED_VALUE"""),503.82)</f>
        <v>503.82</v>
      </c>
    </row>
    <row r="261">
      <c r="A261" s="2" t="str">
        <f>IFERROR(__xludf.DUMMYFUNCTION("""COMPUTED_VALUE"""),"Vinaròs")</f>
        <v>Vinaròs</v>
      </c>
      <c r="B261" s="2" t="str">
        <f>IFERROR(__xludf.DUMMYFUNCTION("""COMPUTED_VALUE"""),"Bajo Maestrazgo")</f>
        <v>Bajo Maestrazgo</v>
      </c>
      <c r="C261" s="2" t="str">
        <f>IFERROR(__xludf.DUMMYFUNCTION("""COMPUTED_VALUE"""),"Provincia de Castellón")</f>
        <v>Provincia de Castellón</v>
      </c>
      <c r="D261" s="2" t="str">
        <f>IFERROR(__xludf.DUMMYFUNCTION("""COMPUTED_VALUE"""),"Comunidad Valenciana")</f>
        <v>Comunidad Valenciana</v>
      </c>
      <c r="E261" s="2">
        <f>IFERROR(__xludf.DUMMYFUNCTION("""COMPUTED_VALUE"""),7.0)</f>
        <v>7</v>
      </c>
      <c r="F261" s="2">
        <f>IFERROR(__xludf.DUMMYFUNCTION("""COMPUTED_VALUE"""),95.46)</f>
        <v>95.46</v>
      </c>
      <c r="G261" s="4">
        <f>IFERROR(__xludf.DUMMYFUNCTION("""COMPUTED_VALUE"""),28682.0)</f>
        <v>28682</v>
      </c>
      <c r="H261" s="2">
        <f>IFERROR(__xludf.DUMMYFUNCTION("""COMPUTED_VALUE"""),300.46)</f>
        <v>300.46</v>
      </c>
    </row>
    <row r="262">
      <c r="A262" s="2" t="str">
        <f>IFERROR(__xludf.DUMMYFUNCTION("""COMPUTED_VALUE"""),"Carmona")</f>
        <v>Carmona</v>
      </c>
      <c r="B262" s="2" t="str">
        <f>IFERROR(__xludf.DUMMYFUNCTION("""COMPUTED_VALUE"""),"Campiña de Carmona")</f>
        <v>Campiña de Carmona</v>
      </c>
      <c r="C262" s="2" t="str">
        <f>IFERROR(__xludf.DUMMYFUNCTION("""COMPUTED_VALUE"""),"Provincia de Sevilla")</f>
        <v>Provincia de Sevilla</v>
      </c>
      <c r="D262" s="2" t="str">
        <f>IFERROR(__xludf.DUMMYFUNCTION("""COMPUTED_VALUE"""),"Andalucía")</f>
        <v>Andalucía</v>
      </c>
      <c r="E262" s="2">
        <f>IFERROR(__xludf.DUMMYFUNCTION("""COMPUTED_VALUE"""),235.0)</f>
        <v>235</v>
      </c>
      <c r="F262" s="2">
        <f>IFERROR(__xludf.DUMMYFUNCTION("""COMPUTED_VALUE"""),922.07)</f>
        <v>922.07</v>
      </c>
      <c r="G262" s="4">
        <f>IFERROR(__xludf.DUMMYFUNCTION("""COMPUTED_VALUE"""),28531.0)</f>
        <v>28531</v>
      </c>
      <c r="H262" s="2">
        <f>IFERROR(__xludf.DUMMYFUNCTION("""COMPUTED_VALUE"""),30.94)</f>
        <v>30.94</v>
      </c>
    </row>
    <row r="263">
      <c r="A263" s="2" t="str">
        <f>IFERROR(__xludf.DUMMYFUNCTION("""COMPUTED_VALUE"""),"El Campello")</f>
        <v>El Campello</v>
      </c>
      <c r="B263" s="2" t="str">
        <f>IFERROR(__xludf.DUMMYFUNCTION("""COMPUTED_VALUE"""),"Campo de Alicante")</f>
        <v>Campo de Alicante</v>
      </c>
      <c r="C263" s="2" t="str">
        <f>IFERROR(__xludf.DUMMYFUNCTION("""COMPUTED_VALUE"""),"Provincia de Alicante")</f>
        <v>Provincia de Alicante</v>
      </c>
      <c r="D263" s="2" t="str">
        <f>IFERROR(__xludf.DUMMYFUNCTION("""COMPUTED_VALUE"""),"Comunidad Valenciana")</f>
        <v>Comunidad Valenciana</v>
      </c>
      <c r="E263" s="2"/>
      <c r="F263" s="2">
        <f>IFERROR(__xludf.DUMMYFUNCTION("""COMPUTED_VALUE"""),55.27)</f>
        <v>55.27</v>
      </c>
      <c r="G263" s="4">
        <f>IFERROR(__xludf.DUMMYFUNCTION("""COMPUTED_VALUE"""),28349.0)</f>
        <v>28349</v>
      </c>
      <c r="H263" s="2">
        <f>IFERROR(__xludf.DUMMYFUNCTION("""COMPUTED_VALUE"""),512.92)</f>
        <v>512.92</v>
      </c>
    </row>
    <row r="264">
      <c r="A264" s="2" t="str">
        <f>IFERROR(__xludf.DUMMYFUNCTION("""COMPUTED_VALUE"""),"Martorell")</f>
        <v>Martorell</v>
      </c>
      <c r="B264" s="2" t="str">
        <f>IFERROR(__xludf.DUMMYFUNCTION("""COMPUTED_VALUE"""),"Bajo Llobregat")</f>
        <v>Bajo Llobregat</v>
      </c>
      <c r="C264" s="2" t="str">
        <f>IFERROR(__xludf.DUMMYFUNCTION("""COMPUTED_VALUE"""),"Provincia de Barcelona")</f>
        <v>Provincia de Barcelona</v>
      </c>
      <c r="D264" s="2" t="str">
        <f>IFERROR(__xludf.DUMMYFUNCTION("""COMPUTED_VALUE"""),"Cataluña")</f>
        <v>Cataluña</v>
      </c>
      <c r="E264" s="2">
        <f>IFERROR(__xludf.DUMMYFUNCTION("""COMPUTED_VALUE"""),56.0)</f>
        <v>56</v>
      </c>
      <c r="F264" s="2">
        <f>IFERROR(__xludf.DUMMYFUNCTION("""COMPUTED_VALUE"""),12.84)</f>
        <v>12.84</v>
      </c>
      <c r="G264" s="4">
        <f>IFERROR(__xludf.DUMMYFUNCTION("""COMPUTED_VALUE"""),28189.0)</f>
        <v>28189</v>
      </c>
      <c r="H264" s="5">
        <f>IFERROR(__xludf.DUMMYFUNCTION("""COMPUTED_VALUE"""),2195.4)</f>
        <v>2195.4</v>
      </c>
    </row>
    <row r="265">
      <c r="A265" s="2" t="str">
        <f>IFERROR(__xludf.DUMMYFUNCTION("""COMPUTED_VALUE"""),"Catarroja")</f>
        <v>Catarroja</v>
      </c>
      <c r="B265" s="2" t="str">
        <f>IFERROR(__xludf.DUMMYFUNCTION("""COMPUTED_VALUE"""),"Huerta Sur")</f>
        <v>Huerta Sur</v>
      </c>
      <c r="C265" s="2" t="str">
        <f>IFERROR(__xludf.DUMMYFUNCTION("""COMPUTED_VALUE"""),"Provincia de València")</f>
        <v>Provincia de València</v>
      </c>
      <c r="D265" s="2" t="str">
        <f>IFERROR(__xludf.DUMMYFUNCTION("""COMPUTED_VALUE"""),"Comunidad Valenciana")</f>
        <v>Comunidad Valenciana</v>
      </c>
      <c r="E265" s="2">
        <f>IFERROR(__xludf.DUMMYFUNCTION("""COMPUTED_VALUE"""),16.0)</f>
        <v>16</v>
      </c>
      <c r="F265" s="2">
        <f>IFERROR(__xludf.DUMMYFUNCTION("""COMPUTED_VALUE"""),13.16)</f>
        <v>13.16</v>
      </c>
      <c r="G265" s="4">
        <f>IFERROR(__xludf.DUMMYFUNCTION("""COMPUTED_VALUE"""),28120.0)</f>
        <v>28120</v>
      </c>
      <c r="H265" s="5">
        <f>IFERROR(__xludf.DUMMYFUNCTION("""COMPUTED_VALUE"""),2136.78)</f>
        <v>2136.78</v>
      </c>
    </row>
    <row r="266">
      <c r="A266" s="2" t="str">
        <f>IFERROR(__xludf.DUMMYFUNCTION("""COMPUTED_VALUE"""),"Premià de Mar")</f>
        <v>Premià de Mar</v>
      </c>
      <c r="B266" s="2" t="str">
        <f>IFERROR(__xludf.DUMMYFUNCTION("""COMPUTED_VALUE"""),"Maresme")</f>
        <v>Maresme</v>
      </c>
      <c r="C266" s="2" t="str">
        <f>IFERROR(__xludf.DUMMYFUNCTION("""COMPUTED_VALUE"""),"Provincia de Barcelona")</f>
        <v>Provincia de Barcelona</v>
      </c>
      <c r="D266" s="2" t="str">
        <f>IFERROR(__xludf.DUMMYFUNCTION("""COMPUTED_VALUE"""),"Cataluña")</f>
        <v>Cataluña</v>
      </c>
      <c r="E266" s="2">
        <f>IFERROR(__xludf.DUMMYFUNCTION("""COMPUTED_VALUE"""),8.0)</f>
        <v>8</v>
      </c>
      <c r="F266" s="2">
        <f>IFERROR(__xludf.DUMMYFUNCTION("""COMPUTED_VALUE"""),1.96)</f>
        <v>1.96</v>
      </c>
      <c r="G266" s="4">
        <f>IFERROR(__xludf.DUMMYFUNCTION("""COMPUTED_VALUE"""),28119.0)</f>
        <v>28119</v>
      </c>
      <c r="H266" s="5">
        <f>IFERROR(__xludf.DUMMYFUNCTION("""COMPUTED_VALUE"""),14346.43)</f>
        <v>14346.43</v>
      </c>
    </row>
    <row r="267">
      <c r="A267" s="2" t="str">
        <f>IFERROR(__xludf.DUMMYFUNCTION("""COMPUTED_VALUE"""),"Sant Vicenç dels Horts")</f>
        <v>Sant Vicenç dels Horts</v>
      </c>
      <c r="B267" s="2" t="str">
        <f>IFERROR(__xludf.DUMMYFUNCTION("""COMPUTED_VALUE"""),"Bajo Llobregat")</f>
        <v>Bajo Llobregat</v>
      </c>
      <c r="C267" s="2" t="str">
        <f>IFERROR(__xludf.DUMMYFUNCTION("""COMPUTED_VALUE"""),"Provincia de Barcelona")</f>
        <v>Provincia de Barcelona</v>
      </c>
      <c r="D267" s="2" t="str">
        <f>IFERROR(__xludf.DUMMYFUNCTION("""COMPUTED_VALUE"""),"Cataluña")</f>
        <v>Cataluña</v>
      </c>
      <c r="E267" s="2">
        <f>IFERROR(__xludf.DUMMYFUNCTION("""COMPUTED_VALUE"""),22.0)</f>
        <v>22</v>
      </c>
      <c r="F267" s="2">
        <f>IFERROR(__xludf.DUMMYFUNCTION("""COMPUTED_VALUE"""),9.26)</f>
        <v>9.26</v>
      </c>
      <c r="G267" s="4">
        <f>IFERROR(__xludf.DUMMYFUNCTION("""COMPUTED_VALUE"""),28117.0)</f>
        <v>28117</v>
      </c>
      <c r="H267" s="5">
        <f>IFERROR(__xludf.DUMMYFUNCTION("""COMPUTED_VALUE"""),3036.39)</f>
        <v>3036.39</v>
      </c>
    </row>
    <row r="268">
      <c r="A268" s="2" t="str">
        <f>IFERROR(__xludf.DUMMYFUNCTION("""COMPUTED_VALUE"""),"Candelaria")</f>
        <v>Candelaria</v>
      </c>
      <c r="B268" s="2" t="str">
        <f>IFERROR(__xludf.DUMMYFUNCTION("""COMPUTED_VALUE"""),"Comarca del Valle de Güímar")</f>
        <v>Comarca del Valle de Güímar</v>
      </c>
      <c r="C268" s="2" t="str">
        <f>IFERROR(__xludf.DUMMYFUNCTION("""COMPUTED_VALUE"""),"Provincia de Santa Cruz de Tenerife")</f>
        <v>Provincia de Santa Cruz de Tenerife</v>
      </c>
      <c r="D268" s="2" t="str">
        <f>IFERROR(__xludf.DUMMYFUNCTION("""COMPUTED_VALUE"""),"Canarias")</f>
        <v>Canarias</v>
      </c>
      <c r="E268" s="2">
        <f>IFERROR(__xludf.DUMMYFUNCTION("""COMPUTED_VALUE"""),240.0)</f>
        <v>240</v>
      </c>
      <c r="F268" s="2">
        <f>IFERROR(__xludf.DUMMYFUNCTION("""COMPUTED_VALUE"""),49.48)</f>
        <v>49.48</v>
      </c>
      <c r="G268" s="4">
        <f>IFERROR(__xludf.DUMMYFUNCTION("""COMPUTED_VALUE"""),27985.0)</f>
        <v>27985</v>
      </c>
      <c r="H268" s="2">
        <f>IFERROR(__xludf.DUMMYFUNCTION("""COMPUTED_VALUE"""),565.58)</f>
        <v>565.58</v>
      </c>
    </row>
    <row r="269">
      <c r="A269" s="2" t="str">
        <f>IFERROR(__xludf.DUMMYFUNCTION("""COMPUTED_VALUE"""),"Villaviciosa de Odón")</f>
        <v>Villaviciosa de Odón</v>
      </c>
      <c r="B269" s="2" t="str">
        <f>IFERROR(__xludf.DUMMYFUNCTION("""COMPUTED_VALUE"""),"Área metropolitana de Madrid")</f>
        <v>Área metropolitana de Madrid</v>
      </c>
      <c r="C269" s="2" t="str">
        <f>IFERROR(__xludf.DUMMYFUNCTION("""COMPUTED_VALUE"""),"Provincia de Madrid")</f>
        <v>Provincia de Madrid</v>
      </c>
      <c r="D269" s="2" t="str">
        <f>IFERROR(__xludf.DUMMYFUNCTION("""COMPUTED_VALUE"""),"Comunidad de Madrid")</f>
        <v>Comunidad de Madrid</v>
      </c>
      <c r="E269" s="2">
        <f>IFERROR(__xludf.DUMMYFUNCTION("""COMPUTED_VALUE"""),650.0)</f>
        <v>650</v>
      </c>
      <c r="F269" s="2">
        <f>IFERROR(__xludf.DUMMYFUNCTION("""COMPUTED_VALUE"""),68.05)</f>
        <v>68.05</v>
      </c>
      <c r="G269" s="4">
        <f>IFERROR(__xludf.DUMMYFUNCTION("""COMPUTED_VALUE"""),27835.0)</f>
        <v>27835</v>
      </c>
      <c r="H269" s="2">
        <f>IFERROR(__xludf.DUMMYFUNCTION("""COMPUTED_VALUE"""),409.04)</f>
        <v>409.04</v>
      </c>
    </row>
    <row r="270">
      <c r="A270" s="2" t="str">
        <f>IFERROR(__xludf.DUMMYFUNCTION("""COMPUTED_VALUE"""),"Morón de la Frontera")</f>
        <v>Morón de la Frontera</v>
      </c>
      <c r="B270" s="2" t="str">
        <f>IFERROR(__xludf.DUMMYFUNCTION("""COMPUTED_VALUE"""),"Campiña de Morón y Marchena")</f>
        <v>Campiña de Morón y Marchena</v>
      </c>
      <c r="C270" s="2" t="str">
        <f>IFERROR(__xludf.DUMMYFUNCTION("""COMPUTED_VALUE"""),"Provincia de Sevilla")</f>
        <v>Provincia de Sevilla</v>
      </c>
      <c r="D270" s="2" t="str">
        <f>IFERROR(__xludf.DUMMYFUNCTION("""COMPUTED_VALUE"""),"Andalucía")</f>
        <v>Andalucía</v>
      </c>
      <c r="E270" s="2">
        <f>IFERROR(__xludf.DUMMYFUNCTION("""COMPUTED_VALUE"""),297.0)</f>
        <v>297</v>
      </c>
      <c r="F270" s="2">
        <f>IFERROR(__xludf.DUMMYFUNCTION("""COMPUTED_VALUE"""),431.93)</f>
        <v>431.93</v>
      </c>
      <c r="G270" s="4">
        <f>IFERROR(__xludf.DUMMYFUNCTION("""COMPUTED_VALUE"""),27627.0)</f>
        <v>27627</v>
      </c>
      <c r="H270" s="2">
        <f>IFERROR(__xludf.DUMMYFUNCTION("""COMPUTED_VALUE"""),63.96)</f>
        <v>63.96</v>
      </c>
    </row>
    <row r="271">
      <c r="A271" s="2" t="str">
        <f>IFERROR(__xludf.DUMMYFUNCTION("""COMPUTED_VALUE"""),"Jávea")</f>
        <v>Jávea</v>
      </c>
      <c r="B271" s="2" t="str">
        <f>IFERROR(__xludf.DUMMYFUNCTION("""COMPUTED_VALUE"""),"Marina Alta")</f>
        <v>Marina Alta</v>
      </c>
      <c r="C271" s="2" t="str">
        <f>IFERROR(__xludf.DUMMYFUNCTION("""COMPUTED_VALUE"""),"Provincia de Alicante")</f>
        <v>Provincia de Alicante</v>
      </c>
      <c r="D271" s="2" t="str">
        <f>IFERROR(__xludf.DUMMYFUNCTION("""COMPUTED_VALUE"""),"Comunidad Valenciana")</f>
        <v>Comunidad Valenciana</v>
      </c>
      <c r="E271" s="2">
        <f>IFERROR(__xludf.DUMMYFUNCTION("""COMPUTED_VALUE"""),12.0)</f>
        <v>12</v>
      </c>
      <c r="F271" s="2">
        <f>IFERROR(__xludf.DUMMYFUNCTION("""COMPUTED_VALUE"""),68.59)</f>
        <v>68.59</v>
      </c>
      <c r="G271" s="4">
        <f>IFERROR(__xludf.DUMMYFUNCTION("""COMPUTED_VALUE"""),27604.0)</f>
        <v>27604</v>
      </c>
      <c r="H271" s="2">
        <f>IFERROR(__xludf.DUMMYFUNCTION("""COMPUTED_VALUE"""),402.45)</f>
        <v>402.45</v>
      </c>
    </row>
    <row r="272">
      <c r="A272" s="2" t="str">
        <f>IFERROR(__xludf.DUMMYFUNCTION("""COMPUTED_VALUE"""),"Sant Andreu de la Barca")</f>
        <v>Sant Andreu de la Barca</v>
      </c>
      <c r="B272" s="2" t="str">
        <f>IFERROR(__xludf.DUMMYFUNCTION("""COMPUTED_VALUE"""),"Bajo Llobregat")</f>
        <v>Bajo Llobregat</v>
      </c>
      <c r="C272" s="2" t="str">
        <f>IFERROR(__xludf.DUMMYFUNCTION("""COMPUTED_VALUE"""),"Provincia de Barcelona")</f>
        <v>Provincia de Barcelona</v>
      </c>
      <c r="D272" s="2" t="str">
        <f>IFERROR(__xludf.DUMMYFUNCTION("""COMPUTED_VALUE"""),"Cataluña")</f>
        <v>Cataluña</v>
      </c>
      <c r="E272" s="2">
        <f>IFERROR(__xludf.DUMMYFUNCTION("""COMPUTED_VALUE"""),42.0)</f>
        <v>42</v>
      </c>
      <c r="F272" s="2">
        <f>IFERROR(__xludf.DUMMYFUNCTION("""COMPUTED_VALUE"""),5.67)</f>
        <v>5.67</v>
      </c>
      <c r="G272" s="4">
        <f>IFERROR(__xludf.DUMMYFUNCTION("""COMPUTED_VALUE"""),27558.0)</f>
        <v>27558</v>
      </c>
      <c r="H272" s="5">
        <f>IFERROR(__xludf.DUMMYFUNCTION("""COMPUTED_VALUE"""),4860.32)</f>
        <v>4860.32</v>
      </c>
    </row>
    <row r="273">
      <c r="A273" s="2" t="str">
        <f>IFERROR(__xludf.DUMMYFUNCTION("""COMPUTED_VALUE"""),"Lebrija")</f>
        <v>Lebrija</v>
      </c>
      <c r="B273" s="2" t="str">
        <f>IFERROR(__xludf.DUMMYFUNCTION("""COMPUTED_VALUE"""),"Bajo Guadalquivir (comarca)")</f>
        <v>Bajo Guadalquivir (comarca)</v>
      </c>
      <c r="C273" s="2" t="str">
        <f>IFERROR(__xludf.DUMMYFUNCTION("""COMPUTED_VALUE"""),"Provincia de Sevilla")</f>
        <v>Provincia de Sevilla</v>
      </c>
      <c r="D273" s="2" t="str">
        <f>IFERROR(__xludf.DUMMYFUNCTION("""COMPUTED_VALUE"""),"Andalucía")</f>
        <v>Andalucía</v>
      </c>
      <c r="E273" s="2">
        <f>IFERROR(__xludf.DUMMYFUNCTION("""COMPUTED_VALUE"""),37.0)</f>
        <v>37</v>
      </c>
      <c r="F273" s="2">
        <f>IFERROR(__xludf.DUMMYFUNCTION("""COMPUTED_VALUE"""),375.2)</f>
        <v>375.2</v>
      </c>
      <c r="G273" s="4">
        <f>IFERROR(__xludf.DUMMYFUNCTION("""COMPUTED_VALUE"""),27524.0)</f>
        <v>27524</v>
      </c>
      <c r="H273" s="2">
        <f>IFERROR(__xludf.DUMMYFUNCTION("""COMPUTED_VALUE"""),73.36)</f>
        <v>73.36</v>
      </c>
    </row>
    <row r="274">
      <c r="A274" s="2" t="str">
        <f>IFERROR(__xludf.DUMMYFUNCTION("""COMPUTED_VALUE"""),"Eibar")</f>
        <v>Eibar</v>
      </c>
      <c r="B274" s="2" t="str">
        <f>IFERROR(__xludf.DUMMYFUNCTION("""COMPUTED_VALUE"""),"Debabarrena")</f>
        <v>Debabarrena</v>
      </c>
      <c r="C274" s="2" t="str">
        <f>IFERROR(__xludf.DUMMYFUNCTION("""COMPUTED_VALUE"""),"Provincia de Gipuzkoa")</f>
        <v>Provincia de Gipuzkoa</v>
      </c>
      <c r="D274" s="2" t="str">
        <f>IFERROR(__xludf.DUMMYFUNCTION("""COMPUTED_VALUE"""),"País Vasco")</f>
        <v>País Vasco</v>
      </c>
      <c r="E274" s="2">
        <f>IFERROR(__xludf.DUMMYFUNCTION("""COMPUTED_VALUE"""),121.0)</f>
        <v>121</v>
      </c>
      <c r="F274" s="2">
        <f>IFERROR(__xludf.DUMMYFUNCTION("""COMPUTED_VALUE"""),24.78)</f>
        <v>24.78</v>
      </c>
      <c r="G274" s="4">
        <f>IFERROR(__xludf.DUMMYFUNCTION("""COMPUTED_VALUE"""),27522.0)</f>
        <v>27522</v>
      </c>
      <c r="H274" s="5">
        <f>IFERROR(__xludf.DUMMYFUNCTION("""COMPUTED_VALUE"""),1110.65)</f>
        <v>1110.65</v>
      </c>
    </row>
    <row r="275">
      <c r="A275" s="2" t="str">
        <f>IFERROR(__xludf.DUMMYFUNCTION("""COMPUTED_VALUE"""),"Camas")</f>
        <v>Camas</v>
      </c>
      <c r="B275" s="2" t="str">
        <f>IFERROR(__xludf.DUMMYFUNCTION("""COMPUTED_VALUE"""),"Metropolitana de Sevilla")</f>
        <v>Metropolitana de Sevilla</v>
      </c>
      <c r="C275" s="2" t="str">
        <f>IFERROR(__xludf.DUMMYFUNCTION("""COMPUTED_VALUE"""),"Provincia de Sevilla")</f>
        <v>Provincia de Sevilla</v>
      </c>
      <c r="D275" s="2" t="str">
        <f>IFERROR(__xludf.DUMMYFUNCTION("""COMPUTED_VALUE"""),"Andalucía")</f>
        <v>Andalucía</v>
      </c>
      <c r="E275" s="2">
        <f>IFERROR(__xludf.DUMMYFUNCTION("""COMPUTED_VALUE"""),13.0)</f>
        <v>13</v>
      </c>
      <c r="F275" s="2">
        <f>IFERROR(__xludf.DUMMYFUNCTION("""COMPUTED_VALUE"""),11.65)</f>
        <v>11.65</v>
      </c>
      <c r="G275" s="4">
        <f>IFERROR(__xludf.DUMMYFUNCTION("""COMPUTED_VALUE"""),27509.0)</f>
        <v>27509</v>
      </c>
      <c r="H275" s="5">
        <f>IFERROR(__xludf.DUMMYFUNCTION("""COMPUTED_VALUE"""),2361.29)</f>
        <v>2361.29</v>
      </c>
    </row>
    <row r="276">
      <c r="A276" s="2" t="str">
        <f>IFERROR(__xludf.DUMMYFUNCTION("""COMPUTED_VALUE"""),"Sueca")</f>
        <v>Sueca</v>
      </c>
      <c r="B276" s="2" t="str">
        <f>IFERROR(__xludf.DUMMYFUNCTION("""COMPUTED_VALUE"""),"Ribera Baja (Valencia)")</f>
        <v>Ribera Baja (Valencia)</v>
      </c>
      <c r="C276" s="2" t="str">
        <f>IFERROR(__xludf.DUMMYFUNCTION("""COMPUTED_VALUE"""),"Provincia de València")</f>
        <v>Provincia de València</v>
      </c>
      <c r="D276" s="2" t="str">
        <f>IFERROR(__xludf.DUMMYFUNCTION("""COMPUTED_VALUE"""),"Comunidad Valenciana")</f>
        <v>Comunidad Valenciana</v>
      </c>
      <c r="E276" s="2">
        <f>IFERROR(__xludf.DUMMYFUNCTION("""COMPUTED_VALUE"""),3.0)</f>
        <v>3</v>
      </c>
      <c r="F276" s="2">
        <f>IFERROR(__xludf.DUMMYFUNCTION("""COMPUTED_VALUE"""),92.52)</f>
        <v>92.52</v>
      </c>
      <c r="G276" s="4">
        <f>IFERROR(__xludf.DUMMYFUNCTION("""COMPUTED_VALUE"""),27479.0)</f>
        <v>27479</v>
      </c>
      <c r="H276" s="2">
        <f>IFERROR(__xludf.DUMMYFUNCTION("""COMPUTED_VALUE"""),297.01)</f>
        <v>297.01</v>
      </c>
    </row>
    <row r="277">
      <c r="A277" s="2" t="str">
        <f>IFERROR(__xludf.DUMMYFUNCTION("""COMPUTED_VALUE"""),"Salou")</f>
        <v>Salou</v>
      </c>
      <c r="B277" s="2" t="str">
        <f>IFERROR(__xludf.DUMMYFUNCTION("""COMPUTED_VALUE"""),"Tarragonés")</f>
        <v>Tarragonés</v>
      </c>
      <c r="C277" s="2" t="str">
        <f>IFERROR(__xludf.DUMMYFUNCTION("""COMPUTED_VALUE"""),"Provincia de Tarragona")</f>
        <v>Provincia de Tarragona</v>
      </c>
      <c r="D277" s="2" t="str">
        <f>IFERROR(__xludf.DUMMYFUNCTION("""COMPUTED_VALUE"""),"Cataluña")</f>
        <v>Cataluña</v>
      </c>
      <c r="E277" s="2">
        <f>IFERROR(__xludf.DUMMYFUNCTION("""COMPUTED_VALUE"""),2.0)</f>
        <v>2</v>
      </c>
      <c r="F277" s="2">
        <f>IFERROR(__xludf.DUMMYFUNCTION("""COMPUTED_VALUE"""),15.07)</f>
        <v>15.07</v>
      </c>
      <c r="G277" s="4">
        <f>IFERROR(__xludf.DUMMYFUNCTION("""COMPUTED_VALUE"""),27476.0)</f>
        <v>27476</v>
      </c>
      <c r="H277" s="5">
        <f>IFERROR(__xludf.DUMMYFUNCTION("""COMPUTED_VALUE"""),1823.22)</f>
        <v>1823.22</v>
      </c>
    </row>
    <row r="278">
      <c r="A278" s="2" t="str">
        <f>IFERROR(__xludf.DUMMYFUNCTION("""COMPUTED_VALUE"""),"Lepe")</f>
        <v>Lepe</v>
      </c>
      <c r="B278" s="2" t="str">
        <f>IFERROR(__xludf.DUMMYFUNCTION("""COMPUTED_VALUE"""),"Costa Occidental")</f>
        <v>Costa Occidental</v>
      </c>
      <c r="C278" s="2" t="str">
        <f>IFERROR(__xludf.DUMMYFUNCTION("""COMPUTED_VALUE"""),"Provincia de Huelva")</f>
        <v>Provincia de Huelva</v>
      </c>
      <c r="D278" s="2" t="str">
        <f>IFERROR(__xludf.DUMMYFUNCTION("""COMPUTED_VALUE"""),"Andalucía")</f>
        <v>Andalucía</v>
      </c>
      <c r="E278" s="2">
        <f>IFERROR(__xludf.DUMMYFUNCTION("""COMPUTED_VALUE"""),18.0)</f>
        <v>18</v>
      </c>
      <c r="F278" s="2">
        <f>IFERROR(__xludf.DUMMYFUNCTION("""COMPUTED_VALUE"""),127.94)</f>
        <v>127.94</v>
      </c>
      <c r="G278" s="4">
        <f>IFERROR(__xludf.DUMMYFUNCTION("""COMPUTED_VALUE"""),27431.0)</f>
        <v>27431</v>
      </c>
      <c r="H278" s="2">
        <f>IFERROR(__xludf.DUMMYFUNCTION("""COMPUTED_VALUE"""),214.41)</f>
        <v>214.41</v>
      </c>
    </row>
    <row r="279">
      <c r="A279" s="2" t="str">
        <f>IFERROR(__xludf.DUMMYFUNCTION("""COMPUTED_VALUE"""),"Sant Josep de sa Talaia")</f>
        <v>Sant Josep de sa Talaia</v>
      </c>
      <c r="B279" s="2"/>
      <c r="C279" s="2" t="str">
        <f>IFERROR(__xludf.DUMMYFUNCTION("""COMPUTED_VALUE"""),"Provincia de Baleares")</f>
        <v>Provincia de Baleares</v>
      </c>
      <c r="D279" s="2" t="str">
        <f>IFERROR(__xludf.DUMMYFUNCTION("""COMPUTED_VALUE"""),"Islas Baleares")</f>
        <v>Islas Baleares</v>
      </c>
      <c r="E279" s="2">
        <f>IFERROR(__xludf.DUMMYFUNCTION("""COMPUTED_VALUE"""),475.0)</f>
        <v>475</v>
      </c>
      <c r="F279" s="2">
        <f>IFERROR(__xludf.DUMMYFUNCTION("""COMPUTED_VALUE"""),159.38)</f>
        <v>159.38</v>
      </c>
      <c r="G279" s="4">
        <f>IFERROR(__xludf.DUMMYFUNCTION("""COMPUTED_VALUE"""),27413.0)</f>
        <v>27413</v>
      </c>
      <c r="H279" s="2">
        <f>IFERROR(__xludf.DUMMYFUNCTION("""COMPUTED_VALUE"""),172.0)</f>
        <v>172</v>
      </c>
    </row>
    <row r="280">
      <c r="A280" s="2" t="str">
        <f>IFERROR(__xludf.DUMMYFUNCTION("""COMPUTED_VALUE"""),"Algemesí")</f>
        <v>Algemesí</v>
      </c>
      <c r="B280" s="2" t="str">
        <f>IFERROR(__xludf.DUMMYFUNCTION("""COMPUTED_VALUE"""),"Ribera Alta")</f>
        <v>Ribera Alta</v>
      </c>
      <c r="C280" s="2" t="str">
        <f>IFERROR(__xludf.DUMMYFUNCTION("""COMPUTED_VALUE"""),"Provincia de València")</f>
        <v>Provincia de València</v>
      </c>
      <c r="D280" s="2" t="str">
        <f>IFERROR(__xludf.DUMMYFUNCTION("""COMPUTED_VALUE"""),"Comunidad Valenciana")</f>
        <v>Comunidad Valenciana</v>
      </c>
      <c r="E280" s="2">
        <f>IFERROR(__xludf.DUMMYFUNCTION("""COMPUTED_VALUE"""),17.0)</f>
        <v>17</v>
      </c>
      <c r="F280" s="2">
        <f>IFERROR(__xludf.DUMMYFUNCTION("""COMPUTED_VALUE"""),41.3)</f>
        <v>41.3</v>
      </c>
      <c r="G280" s="4">
        <f>IFERROR(__xludf.DUMMYFUNCTION("""COMPUTED_VALUE"""),27331.0)</f>
        <v>27331</v>
      </c>
      <c r="H280" s="2">
        <f>IFERROR(__xludf.DUMMYFUNCTION("""COMPUTED_VALUE"""),661.77)</f>
        <v>661.77</v>
      </c>
    </row>
    <row r="281">
      <c r="A281" s="2" t="str">
        <f>IFERROR(__xludf.DUMMYFUNCTION("""COMPUTED_VALUE"""),"Sestao")</f>
        <v>Sestao</v>
      </c>
      <c r="B281" s="2" t="str">
        <f>IFERROR(__xludf.DUMMYFUNCTION("""COMPUTED_VALUE"""),"Gran Bilbao")</f>
        <v>Gran Bilbao</v>
      </c>
      <c r="C281" s="2" t="str">
        <f>IFERROR(__xludf.DUMMYFUNCTION("""COMPUTED_VALUE"""),"Provincia de Bizkaia")</f>
        <v>Provincia de Bizkaia</v>
      </c>
      <c r="D281" s="2" t="str">
        <f>IFERROR(__xludf.DUMMYFUNCTION("""COMPUTED_VALUE"""),"País Vasco")</f>
        <v>País Vasco</v>
      </c>
      <c r="E281" s="2">
        <f>IFERROR(__xludf.DUMMYFUNCTION("""COMPUTED_VALUE"""),48.0)</f>
        <v>48</v>
      </c>
      <c r="F281" s="2">
        <f>IFERROR(__xludf.DUMMYFUNCTION("""COMPUTED_VALUE"""),3.52)</f>
        <v>3.52</v>
      </c>
      <c r="G281" s="4">
        <f>IFERROR(__xludf.DUMMYFUNCTION("""COMPUTED_VALUE"""),27296.0)</f>
        <v>27296</v>
      </c>
      <c r="H281" s="5">
        <f>IFERROR(__xludf.DUMMYFUNCTION("""COMPUTED_VALUE"""),7754.55)</f>
        <v>7754.55</v>
      </c>
    </row>
    <row r="282">
      <c r="A282" s="2" t="str">
        <f>IFERROR(__xludf.DUMMYFUNCTION("""COMPUTED_VALUE"""),"Pineda de Mar")</f>
        <v>Pineda de Mar</v>
      </c>
      <c r="B282" s="2" t="str">
        <f>IFERROR(__xludf.DUMMYFUNCTION("""COMPUTED_VALUE"""),"Maresme")</f>
        <v>Maresme</v>
      </c>
      <c r="C282" s="2" t="str">
        <f>IFERROR(__xludf.DUMMYFUNCTION("""COMPUTED_VALUE"""),"Provincia de Barcelona")</f>
        <v>Provincia de Barcelona</v>
      </c>
      <c r="D282" s="2" t="str">
        <f>IFERROR(__xludf.DUMMYFUNCTION("""COMPUTED_VALUE"""),"Cataluña")</f>
        <v>Cataluña</v>
      </c>
      <c r="E282" s="2">
        <f>IFERROR(__xludf.DUMMYFUNCTION("""COMPUTED_VALUE"""),10.0)</f>
        <v>10</v>
      </c>
      <c r="F282" s="2">
        <f>IFERROR(__xludf.DUMMYFUNCTION("""COMPUTED_VALUE"""),10.46)</f>
        <v>10.46</v>
      </c>
      <c r="G282" s="4">
        <f>IFERROR(__xludf.DUMMYFUNCTION("""COMPUTED_VALUE"""),27272.0)</f>
        <v>27272</v>
      </c>
      <c r="H282" s="5">
        <f>IFERROR(__xludf.DUMMYFUNCTION("""COMPUTED_VALUE"""),2607.27)</f>
        <v>2607.27</v>
      </c>
    </row>
    <row r="283">
      <c r="A283" s="2" t="str">
        <f>IFERROR(__xludf.DUMMYFUNCTION("""COMPUTED_VALUE"""),"Benicarló")</f>
        <v>Benicarló</v>
      </c>
      <c r="B283" s="2" t="str">
        <f>IFERROR(__xludf.DUMMYFUNCTION("""COMPUTED_VALUE"""),"Bajo Maestrazgo")</f>
        <v>Bajo Maestrazgo</v>
      </c>
      <c r="C283" s="2" t="str">
        <f>IFERROR(__xludf.DUMMYFUNCTION("""COMPUTED_VALUE"""),"Provincia de Castellón")</f>
        <v>Provincia de Castellón</v>
      </c>
      <c r="D283" s="2" t="str">
        <f>IFERROR(__xludf.DUMMYFUNCTION("""COMPUTED_VALUE"""),"Comunidad Valenciana")</f>
        <v>Comunidad Valenciana</v>
      </c>
      <c r="E283" s="2">
        <f>IFERROR(__xludf.DUMMYFUNCTION("""COMPUTED_VALUE"""),21.0)</f>
        <v>21</v>
      </c>
      <c r="F283" s="2">
        <f>IFERROR(__xludf.DUMMYFUNCTION("""COMPUTED_VALUE"""),47.86)</f>
        <v>47.86</v>
      </c>
      <c r="G283" s="4">
        <f>IFERROR(__xludf.DUMMYFUNCTION("""COMPUTED_VALUE"""),26912.0)</f>
        <v>26912</v>
      </c>
      <c r="H283" s="2">
        <f>IFERROR(__xludf.DUMMYFUNCTION("""COMPUTED_VALUE"""),562.31)</f>
        <v>562.31</v>
      </c>
    </row>
    <row r="284">
      <c r="A284" s="2" t="str">
        <f>IFERROR(__xludf.DUMMYFUNCTION("""COMPUTED_VALUE"""),"Ribeira")</f>
        <v>Ribeira</v>
      </c>
      <c r="B284" s="2" t="str">
        <f>IFERROR(__xludf.DUMMYFUNCTION("""COMPUTED_VALUE"""),"Comarca del Barbanza")</f>
        <v>Comarca del Barbanza</v>
      </c>
      <c r="C284" s="2" t="str">
        <f>IFERROR(__xludf.DUMMYFUNCTION("""COMPUTED_VALUE"""),"Provincia de A Coruña")</f>
        <v>Provincia de A Coruña</v>
      </c>
      <c r="D284" s="2" t="str">
        <f>IFERROR(__xludf.DUMMYFUNCTION("""COMPUTED_VALUE"""),"Galicia")</f>
        <v>Galicia</v>
      </c>
      <c r="E284" s="2">
        <f>IFERROR(__xludf.DUMMYFUNCTION("""COMPUTED_VALUE"""),0.0)</f>
        <v>0</v>
      </c>
      <c r="F284" s="2">
        <f>IFERROR(__xludf.DUMMYFUNCTION("""COMPUTED_VALUE"""),68.83)</f>
        <v>68.83</v>
      </c>
      <c r="G284" s="4">
        <f>IFERROR(__xludf.DUMMYFUNCTION("""COMPUTED_VALUE"""),26886.0)</f>
        <v>26886</v>
      </c>
      <c r="H284" s="2">
        <f>IFERROR(__xludf.DUMMYFUNCTION("""COMPUTED_VALUE"""),390.61)</f>
        <v>390.61</v>
      </c>
    </row>
    <row r="285">
      <c r="A285" s="2" t="str">
        <f>IFERROR(__xludf.DUMMYFUNCTION("""COMPUTED_VALUE"""),"La Oliva")</f>
        <v>La Oliva</v>
      </c>
      <c r="B285" s="2"/>
      <c r="C285" s="2" t="str">
        <f>IFERROR(__xludf.DUMMYFUNCTION("""COMPUTED_VALUE"""),"Provincia de Las Palmas")</f>
        <v>Provincia de Las Palmas</v>
      </c>
      <c r="D285" s="2" t="str">
        <f>IFERROR(__xludf.DUMMYFUNCTION("""COMPUTED_VALUE"""),"Canarias")</f>
        <v>Canarias</v>
      </c>
      <c r="E285" s="2">
        <f>IFERROR(__xludf.DUMMYFUNCTION("""COMPUTED_VALUE"""),219.0)</f>
        <v>219</v>
      </c>
      <c r="F285" s="2">
        <f>IFERROR(__xludf.DUMMYFUNCTION("""COMPUTED_VALUE"""),356.13)</f>
        <v>356.13</v>
      </c>
      <c r="G285" s="4">
        <f>IFERROR(__xludf.DUMMYFUNCTION("""COMPUTED_VALUE"""),26580.0)</f>
        <v>26580</v>
      </c>
      <c r="H285" s="2">
        <f>IFERROR(__xludf.DUMMYFUNCTION("""COMPUTED_VALUE"""),74.64)</f>
        <v>74.64</v>
      </c>
    </row>
    <row r="286">
      <c r="A286" s="2" t="str">
        <f>IFERROR(__xludf.DUMMYFUNCTION("""COMPUTED_VALUE"""),"Cangas")</f>
        <v>Cangas</v>
      </c>
      <c r="B286" s="2" t="str">
        <f>IFERROR(__xludf.DUMMYFUNCTION("""COMPUTED_VALUE"""),"Comarca de El Morrazo")</f>
        <v>Comarca de El Morrazo</v>
      </c>
      <c r="C286" s="2" t="str">
        <f>IFERROR(__xludf.DUMMYFUNCTION("""COMPUTED_VALUE"""),"Provincia de Pontevedra")</f>
        <v>Provincia de Pontevedra</v>
      </c>
      <c r="D286" s="2" t="str">
        <f>IFERROR(__xludf.DUMMYFUNCTION("""COMPUTED_VALUE"""),"Galicia")</f>
        <v>Galicia</v>
      </c>
      <c r="E286" s="2">
        <f>IFERROR(__xludf.DUMMYFUNCTION("""COMPUTED_VALUE"""),9.0)</f>
        <v>9</v>
      </c>
      <c r="F286" s="2">
        <f>IFERROR(__xludf.DUMMYFUNCTION("""COMPUTED_VALUE"""),38.08)</f>
        <v>38.08</v>
      </c>
      <c r="G286" s="4">
        <f>IFERROR(__xludf.DUMMYFUNCTION("""COMPUTED_VALUE"""),26542.0)</f>
        <v>26542</v>
      </c>
      <c r="H286" s="2">
        <f>IFERROR(__xludf.DUMMYFUNCTION("""COMPUTED_VALUE"""),697.01)</f>
        <v>697.01</v>
      </c>
    </row>
    <row r="287">
      <c r="A287" s="2" t="str">
        <f>IFERROR(__xludf.DUMMYFUNCTION("""COMPUTED_VALUE"""),"Calafell")</f>
        <v>Calafell</v>
      </c>
      <c r="B287" s="2"/>
      <c r="C287" s="2" t="str">
        <f>IFERROR(__xludf.DUMMYFUNCTION("""COMPUTED_VALUE"""),"Provincia de Tarragona")</f>
        <v>Provincia de Tarragona</v>
      </c>
      <c r="D287" s="2" t="str">
        <f>IFERROR(__xludf.DUMMYFUNCTION("""COMPUTED_VALUE"""),"Cataluña")</f>
        <v>Cataluña</v>
      </c>
      <c r="E287" s="2">
        <f>IFERROR(__xludf.DUMMYFUNCTION("""COMPUTED_VALUE"""),67.0)</f>
        <v>67</v>
      </c>
      <c r="F287" s="2">
        <f>IFERROR(__xludf.DUMMYFUNCTION("""COMPUTED_VALUE"""),20.18)</f>
        <v>20.18</v>
      </c>
      <c r="G287" s="4">
        <f>IFERROR(__xludf.DUMMYFUNCTION("""COMPUTED_VALUE"""),26538.0)</f>
        <v>26538</v>
      </c>
      <c r="H287" s="5">
        <f>IFERROR(__xludf.DUMMYFUNCTION("""COMPUTED_VALUE"""),1315.06)</f>
        <v>1315.06</v>
      </c>
    </row>
    <row r="288">
      <c r="A288" s="2" t="str">
        <f>IFERROR(__xludf.DUMMYFUNCTION("""COMPUTED_VALUE"""),"Almuñécar")</f>
        <v>Almuñécar</v>
      </c>
      <c r="B288" s="2" t="str">
        <f>IFERROR(__xludf.DUMMYFUNCTION("""COMPUTED_VALUE"""),"Costa Granadina")</f>
        <v>Costa Granadina</v>
      </c>
      <c r="C288" s="2" t="str">
        <f>IFERROR(__xludf.DUMMYFUNCTION("""COMPUTED_VALUE"""),"Provincia de Granada")</f>
        <v>Provincia de Granada</v>
      </c>
      <c r="D288" s="2" t="str">
        <f>IFERROR(__xludf.DUMMYFUNCTION("""COMPUTED_VALUE"""),"Andalucía")</f>
        <v>Andalucía</v>
      </c>
      <c r="E288" s="2">
        <f>IFERROR(__xludf.DUMMYFUNCTION("""COMPUTED_VALUE"""),24.0)</f>
        <v>24</v>
      </c>
      <c r="F288" s="2">
        <f>IFERROR(__xludf.DUMMYFUNCTION("""COMPUTED_VALUE"""),83.36)</f>
        <v>83.36</v>
      </c>
      <c r="G288" s="4">
        <f>IFERROR(__xludf.DUMMYFUNCTION("""COMPUTED_VALUE"""),26514.0)</f>
        <v>26514</v>
      </c>
      <c r="H288" s="2">
        <f>IFERROR(__xludf.DUMMYFUNCTION("""COMPUTED_VALUE"""),318.07)</f>
        <v>318.07</v>
      </c>
    </row>
    <row r="289">
      <c r="A289" s="2" t="str">
        <f>IFERROR(__xludf.DUMMYFUNCTION("""COMPUTED_VALUE"""),"Sant Antoni de Portmany")</f>
        <v>Sant Antoni de Portmany</v>
      </c>
      <c r="B289" s="2"/>
      <c r="C289" s="2" t="str">
        <f>IFERROR(__xludf.DUMMYFUNCTION("""COMPUTED_VALUE"""),"Provincia de Baleares")</f>
        <v>Provincia de Baleares</v>
      </c>
      <c r="D289" s="2" t="str">
        <f>IFERROR(__xludf.DUMMYFUNCTION("""COMPUTED_VALUE"""),"Islas Baleares")</f>
        <v>Islas Baleares</v>
      </c>
      <c r="E289" s="2">
        <f>IFERROR(__xludf.DUMMYFUNCTION("""COMPUTED_VALUE"""),31.0)</f>
        <v>31</v>
      </c>
      <c r="F289" s="2">
        <f>IFERROR(__xludf.DUMMYFUNCTION("""COMPUTED_VALUE"""),126.8)</f>
        <v>126.8</v>
      </c>
      <c r="G289" s="4">
        <f>IFERROR(__xludf.DUMMYFUNCTION("""COMPUTED_VALUE"""),26306.0)</f>
        <v>26306</v>
      </c>
      <c r="H289" s="2">
        <f>IFERROR(__xludf.DUMMYFUNCTION("""COMPUTED_VALUE"""),207.46)</f>
        <v>207.46</v>
      </c>
    </row>
    <row r="290">
      <c r="A290" s="2" t="str">
        <f>IFERROR(__xludf.DUMMYFUNCTION("""COMPUTED_VALUE"""),"Almazora")</f>
        <v>Almazora</v>
      </c>
      <c r="B290" s="2" t="str">
        <f>IFERROR(__xludf.DUMMYFUNCTION("""COMPUTED_VALUE"""),"Plana Alta")</f>
        <v>Plana Alta</v>
      </c>
      <c r="C290" s="2" t="str">
        <f>IFERROR(__xludf.DUMMYFUNCTION("""COMPUTED_VALUE"""),"Provincia de Castellón")</f>
        <v>Provincia de Castellón</v>
      </c>
      <c r="D290" s="2" t="str">
        <f>IFERROR(__xludf.DUMMYFUNCTION("""COMPUTED_VALUE"""),"Comunidad Valenciana")</f>
        <v>Comunidad Valenciana</v>
      </c>
      <c r="E290" s="2">
        <f>IFERROR(__xludf.DUMMYFUNCTION("""COMPUTED_VALUE"""),31.0)</f>
        <v>31</v>
      </c>
      <c r="F290" s="2">
        <f>IFERROR(__xludf.DUMMYFUNCTION("""COMPUTED_VALUE"""),32.97)</f>
        <v>32.97</v>
      </c>
      <c r="G290" s="4">
        <f>IFERROR(__xludf.DUMMYFUNCTION("""COMPUTED_VALUE"""),26270.0)</f>
        <v>26270</v>
      </c>
      <c r="H290" s="2">
        <f>IFERROR(__xludf.DUMMYFUNCTION("""COMPUTED_VALUE"""),796.78)</f>
        <v>796.78</v>
      </c>
    </row>
    <row r="291">
      <c r="A291" s="2" t="str">
        <f>IFERROR(__xludf.DUMMYFUNCTION("""COMPUTED_VALUE"""),"Cártama")</f>
        <v>Cártama</v>
      </c>
      <c r="B291" s="2" t="str">
        <f>IFERROR(__xludf.DUMMYFUNCTION("""COMPUTED_VALUE"""),"Valle del Guadalhorce")</f>
        <v>Valle del Guadalhorce</v>
      </c>
      <c r="C291" s="2" t="str">
        <f>IFERROR(__xludf.DUMMYFUNCTION("""COMPUTED_VALUE"""),"Provincia de Málaga")</f>
        <v>Provincia de Málaga</v>
      </c>
      <c r="D291" s="2" t="str">
        <f>IFERROR(__xludf.DUMMYFUNCTION("""COMPUTED_VALUE"""),"Andalucía")</f>
        <v>Andalucía</v>
      </c>
      <c r="E291" s="2">
        <f>IFERROR(__xludf.DUMMYFUNCTION("""COMPUTED_VALUE"""),96.0)</f>
        <v>96</v>
      </c>
      <c r="F291" s="2">
        <f>IFERROR(__xludf.DUMMYFUNCTION("""COMPUTED_VALUE"""),105.1)</f>
        <v>105.1</v>
      </c>
      <c r="G291" s="4">
        <f>IFERROR(__xludf.DUMMYFUNCTION("""COMPUTED_VALUE"""),26259.0)</f>
        <v>26259</v>
      </c>
      <c r="H291" s="2">
        <f>IFERROR(__xludf.DUMMYFUNCTION("""COMPUTED_VALUE"""),249.85)</f>
        <v>249.85</v>
      </c>
    </row>
    <row r="292">
      <c r="A292" s="2" t="str">
        <f>IFERROR(__xludf.DUMMYFUNCTION("""COMPUTED_VALUE"""),"Paiporta")</f>
        <v>Paiporta</v>
      </c>
      <c r="B292" s="2" t="str">
        <f>IFERROR(__xludf.DUMMYFUNCTION("""COMPUTED_VALUE"""),"Huerta Sur")</f>
        <v>Huerta Sur</v>
      </c>
      <c r="C292" s="2" t="str">
        <f>IFERROR(__xludf.DUMMYFUNCTION("""COMPUTED_VALUE"""),"Provincia de València")</f>
        <v>Provincia de València</v>
      </c>
      <c r="D292" s="2" t="str">
        <f>IFERROR(__xludf.DUMMYFUNCTION("""COMPUTED_VALUE"""),"Comunidad Valenciana")</f>
        <v>Comunidad Valenciana</v>
      </c>
      <c r="E292" s="2">
        <f>IFERROR(__xludf.DUMMYFUNCTION("""COMPUTED_VALUE"""),52.0)</f>
        <v>52</v>
      </c>
      <c r="F292" s="2">
        <f>IFERROR(__xludf.DUMMYFUNCTION("""COMPUTED_VALUE"""),3.96)</f>
        <v>3.96</v>
      </c>
      <c r="G292" s="4">
        <f>IFERROR(__xludf.DUMMYFUNCTION("""COMPUTED_VALUE"""),26088.0)</f>
        <v>26088</v>
      </c>
      <c r="H292" s="5">
        <f>IFERROR(__xludf.DUMMYFUNCTION("""COMPUTED_VALUE"""),6587.88)</f>
        <v>6587.88</v>
      </c>
    </row>
    <row r="293">
      <c r="A293" s="2" t="str">
        <f>IFERROR(__xludf.DUMMYFUNCTION("""COMPUTED_VALUE"""),"Vícar")</f>
        <v>Vícar</v>
      </c>
      <c r="B293" s="2" t="str">
        <f>IFERROR(__xludf.DUMMYFUNCTION("""COMPUTED_VALUE"""),"Poniente Almeriense")</f>
        <v>Poniente Almeriense</v>
      </c>
      <c r="C293" s="2" t="str">
        <f>IFERROR(__xludf.DUMMYFUNCTION("""COMPUTED_VALUE"""),"Provincia de Almería")</f>
        <v>Provincia de Almería</v>
      </c>
      <c r="D293" s="2" t="str">
        <f>IFERROR(__xludf.DUMMYFUNCTION("""COMPUTED_VALUE"""),"Andalucía")</f>
        <v>Andalucía</v>
      </c>
      <c r="E293" s="2">
        <f>IFERROR(__xludf.DUMMYFUNCTION("""COMPUTED_VALUE"""),288.0)</f>
        <v>288</v>
      </c>
      <c r="F293" s="2">
        <f>IFERROR(__xludf.DUMMYFUNCTION("""COMPUTED_VALUE"""),64.34)</f>
        <v>64.34</v>
      </c>
      <c r="G293" s="4">
        <f>IFERROR(__xludf.DUMMYFUNCTION("""COMPUTED_VALUE"""),26028.0)</f>
        <v>26028</v>
      </c>
      <c r="H293" s="2">
        <f>IFERROR(__xludf.DUMMYFUNCTION("""COMPUTED_VALUE"""),404.54)</f>
        <v>404.54</v>
      </c>
    </row>
    <row r="294">
      <c r="A294" s="2" t="str">
        <f>IFERROR(__xludf.DUMMYFUNCTION("""COMPUTED_VALUE"""),"Molins de Rei")</f>
        <v>Molins de Rei</v>
      </c>
      <c r="B294" s="2" t="str">
        <f>IFERROR(__xludf.DUMMYFUNCTION("""COMPUTED_VALUE"""),"Bajo Llobregat")</f>
        <v>Bajo Llobregat</v>
      </c>
      <c r="C294" s="2" t="str">
        <f>IFERROR(__xludf.DUMMYFUNCTION("""COMPUTED_VALUE"""),"Provincia de Barcelona")</f>
        <v>Provincia de Barcelona</v>
      </c>
      <c r="D294" s="2" t="str">
        <f>IFERROR(__xludf.DUMMYFUNCTION("""COMPUTED_VALUE"""),"Cataluña")</f>
        <v>Cataluña</v>
      </c>
      <c r="E294" s="2">
        <f>IFERROR(__xludf.DUMMYFUNCTION("""COMPUTED_VALUE"""),37.0)</f>
        <v>37</v>
      </c>
      <c r="F294" s="2">
        <f>IFERROR(__xludf.DUMMYFUNCTION("""COMPUTED_VALUE"""),15.72)</f>
        <v>15.72</v>
      </c>
      <c r="G294" s="4">
        <f>IFERROR(__xludf.DUMMYFUNCTION("""COMPUTED_VALUE"""),25868.0)</f>
        <v>25868</v>
      </c>
      <c r="H294" s="5">
        <f>IFERROR(__xludf.DUMMYFUNCTION("""COMPUTED_VALUE"""),1645.55)</f>
        <v>1645.55</v>
      </c>
    </row>
    <row r="295">
      <c r="A295" s="2" t="str">
        <f>IFERROR(__xludf.DUMMYFUNCTION("""COMPUTED_VALUE"""),"Seseña")</f>
        <v>Seseña</v>
      </c>
      <c r="B295" s="2" t="str">
        <f>IFERROR(__xludf.DUMMYFUNCTION("""COMPUTED_VALUE"""),"La Sagra (Toledo)")</f>
        <v>La Sagra (Toledo)</v>
      </c>
      <c r="C295" s="2" t="str">
        <f>IFERROR(__xludf.DUMMYFUNCTION("""COMPUTED_VALUE"""),"Provincia de Madrid")</f>
        <v>Provincia de Madrid</v>
      </c>
      <c r="D295" s="2" t="str">
        <f>IFERROR(__xludf.DUMMYFUNCTION("""COMPUTED_VALUE"""),"Comunidad de Madrid")</f>
        <v>Comunidad de Madrid</v>
      </c>
      <c r="E295" s="2">
        <f>IFERROR(__xludf.DUMMYFUNCTION("""COMPUTED_VALUE"""),598.0)</f>
        <v>598</v>
      </c>
      <c r="F295" s="2">
        <f>IFERROR(__xludf.DUMMYFUNCTION("""COMPUTED_VALUE"""),72.68)</f>
        <v>72.68</v>
      </c>
      <c r="G295" s="4">
        <f>IFERROR(__xludf.DUMMYFUNCTION("""COMPUTED_VALUE"""),25835.0)</f>
        <v>25835</v>
      </c>
      <c r="H295" s="2">
        <f>IFERROR(__xludf.DUMMYFUNCTION("""COMPUTED_VALUE"""),355.46)</f>
        <v>355.46</v>
      </c>
    </row>
    <row r="296">
      <c r="A296" s="2" t="str">
        <f>IFERROR(__xludf.DUMMYFUNCTION("""COMPUTED_VALUE"""),"Santa Perpètua de Mogoda")</f>
        <v>Santa Perpètua de Mogoda</v>
      </c>
      <c r="B296" s="2" t="str">
        <f>IFERROR(__xludf.DUMMYFUNCTION("""COMPUTED_VALUE"""),"Vallès Occidental")</f>
        <v>Vallès Occidental</v>
      </c>
      <c r="C296" s="2" t="str">
        <f>IFERROR(__xludf.DUMMYFUNCTION("""COMPUTED_VALUE"""),"Provincia de Barcelona")</f>
        <v>Provincia de Barcelona</v>
      </c>
      <c r="D296" s="2" t="str">
        <f>IFERROR(__xludf.DUMMYFUNCTION("""COMPUTED_VALUE"""),"Cataluña")</f>
        <v>Cataluña</v>
      </c>
      <c r="E296" s="2">
        <f>IFERROR(__xludf.DUMMYFUNCTION("""COMPUTED_VALUE"""),74.0)</f>
        <v>74</v>
      </c>
      <c r="F296" s="2">
        <f>IFERROR(__xludf.DUMMYFUNCTION("""COMPUTED_VALUE"""),15.69)</f>
        <v>15.69</v>
      </c>
      <c r="G296" s="4">
        <f>IFERROR(__xludf.DUMMYFUNCTION("""COMPUTED_VALUE"""),25799.0)</f>
        <v>25799</v>
      </c>
      <c r="H296" s="5">
        <f>IFERROR(__xludf.DUMMYFUNCTION("""COMPUTED_VALUE"""),1644.3)</f>
        <v>1644.3</v>
      </c>
    </row>
    <row r="297">
      <c r="A297" s="2" t="str">
        <f>IFERROR(__xludf.DUMMYFUNCTION("""COMPUTED_VALUE"""),"Caravaca de la Cruz")</f>
        <v>Caravaca de la Cruz</v>
      </c>
      <c r="B297" s="2" t="str">
        <f>IFERROR(__xludf.DUMMYFUNCTION("""COMPUTED_VALUE"""),"Comarca del Noroeste")</f>
        <v>Comarca del Noroeste</v>
      </c>
      <c r="C297" s="2" t="str">
        <f>IFERROR(__xludf.DUMMYFUNCTION("""COMPUTED_VALUE"""),"Provincia de Murcia")</f>
        <v>Provincia de Murcia</v>
      </c>
      <c r="D297" s="2" t="str">
        <f>IFERROR(__xludf.DUMMYFUNCTION("""COMPUTED_VALUE"""),"Región de Murcia")</f>
        <v>Región de Murcia</v>
      </c>
      <c r="E297" s="2">
        <f>IFERROR(__xludf.DUMMYFUNCTION("""COMPUTED_VALUE"""),800.0)</f>
        <v>800</v>
      </c>
      <c r="F297" s="2">
        <f>IFERROR(__xludf.DUMMYFUNCTION("""COMPUTED_VALUE"""),860.2)</f>
        <v>860.2</v>
      </c>
      <c r="G297" s="4">
        <f>IFERROR(__xludf.DUMMYFUNCTION("""COMPUTED_VALUE"""),25760.0)</f>
        <v>25760</v>
      </c>
      <c r="H297" s="2">
        <f>IFERROR(__xludf.DUMMYFUNCTION("""COMPUTED_VALUE"""),29.95)</f>
        <v>29.95</v>
      </c>
    </row>
    <row r="298">
      <c r="A298" s="2" t="str">
        <f>IFERROR(__xludf.DUMMYFUNCTION("""COMPUTED_VALUE"""),"Villanueva de la Serena")</f>
        <v>Villanueva de la Serena</v>
      </c>
      <c r="B298" s="2" t="str">
        <f>IFERROR(__xludf.DUMMYFUNCTION("""COMPUTED_VALUE"""),"La Serena (Badajoz)")</f>
        <v>La Serena (Badajoz)</v>
      </c>
      <c r="C298" s="2" t="str">
        <f>IFERROR(__xludf.DUMMYFUNCTION("""COMPUTED_VALUE"""),"Provincia de Badajoz")</f>
        <v>Provincia de Badajoz</v>
      </c>
      <c r="D298" s="2" t="str">
        <f>IFERROR(__xludf.DUMMYFUNCTION("""COMPUTED_VALUE"""),"Extremadura")</f>
        <v>Extremadura</v>
      </c>
      <c r="E298" s="2">
        <f>IFERROR(__xludf.DUMMYFUNCTION("""COMPUTED_VALUE"""),280.0)</f>
        <v>280</v>
      </c>
      <c r="F298" s="2">
        <f>IFERROR(__xludf.DUMMYFUNCTION("""COMPUTED_VALUE"""),152.86)</f>
        <v>152.86</v>
      </c>
      <c r="G298" s="4">
        <f>IFERROR(__xludf.DUMMYFUNCTION("""COMPUTED_VALUE"""),25667.0)</f>
        <v>25667</v>
      </c>
      <c r="H298" s="2">
        <f>IFERROR(__xludf.DUMMYFUNCTION("""COMPUTED_VALUE"""),167.91)</f>
        <v>167.91</v>
      </c>
    </row>
    <row r="299">
      <c r="A299" s="2" t="str">
        <f>IFERROR(__xludf.DUMMYFUNCTION("""COMPUTED_VALUE"""),"Novelda")</f>
        <v>Novelda</v>
      </c>
      <c r="B299" s="2" t="str">
        <f>IFERROR(__xludf.DUMMYFUNCTION("""COMPUTED_VALUE"""),"Vinalopó Medio")</f>
        <v>Vinalopó Medio</v>
      </c>
      <c r="C299" s="2" t="str">
        <f>IFERROR(__xludf.DUMMYFUNCTION("""COMPUTED_VALUE"""),"Provincia de Alicante")</f>
        <v>Provincia de Alicante</v>
      </c>
      <c r="D299" s="2" t="str">
        <f>IFERROR(__xludf.DUMMYFUNCTION("""COMPUTED_VALUE"""),"Comunidad Valenciana")</f>
        <v>Comunidad Valenciana</v>
      </c>
      <c r="E299" s="2">
        <f>IFERROR(__xludf.DUMMYFUNCTION("""COMPUTED_VALUE"""),241.0)</f>
        <v>241</v>
      </c>
      <c r="F299" s="2">
        <f>IFERROR(__xludf.DUMMYFUNCTION("""COMPUTED_VALUE"""),75.72)</f>
        <v>75.72</v>
      </c>
      <c r="G299" s="4">
        <f>IFERROR(__xludf.DUMMYFUNCTION("""COMPUTED_VALUE"""),25651.0)</f>
        <v>25651</v>
      </c>
      <c r="H299" s="2">
        <f>IFERROR(__xludf.DUMMYFUNCTION("""COMPUTED_VALUE"""),338.76)</f>
        <v>338.76</v>
      </c>
    </row>
    <row r="300">
      <c r="A300" s="2" t="str">
        <f>IFERROR(__xludf.DUMMYFUNCTION("""COMPUTED_VALUE"""),"Jumilla")</f>
        <v>Jumilla</v>
      </c>
      <c r="B300" s="2" t="str">
        <f>IFERROR(__xludf.DUMMYFUNCTION("""COMPUTED_VALUE"""),"Altiplano murciano")</f>
        <v>Altiplano murciano</v>
      </c>
      <c r="C300" s="2" t="str">
        <f>IFERROR(__xludf.DUMMYFUNCTION("""COMPUTED_VALUE"""),"Provincia de Murcia")</f>
        <v>Provincia de Murcia</v>
      </c>
      <c r="D300" s="2" t="str">
        <f>IFERROR(__xludf.DUMMYFUNCTION("""COMPUTED_VALUE"""),"Región de Murcia")</f>
        <v>Región de Murcia</v>
      </c>
      <c r="E300" s="2">
        <f>IFERROR(__xludf.DUMMYFUNCTION("""COMPUTED_VALUE"""),510.0)</f>
        <v>510</v>
      </c>
      <c r="F300" s="2">
        <f>IFERROR(__xludf.DUMMYFUNCTION("""COMPUTED_VALUE"""),969.72)</f>
        <v>969.72</v>
      </c>
      <c r="G300" s="4">
        <f>IFERROR(__xludf.DUMMYFUNCTION("""COMPUTED_VALUE"""),25600.0)</f>
        <v>25600</v>
      </c>
      <c r="H300" s="2">
        <f>IFERROR(__xludf.DUMMYFUNCTION("""COMPUTED_VALUE"""),26.4)</f>
        <v>26.4</v>
      </c>
    </row>
    <row r="301">
      <c r="A301" s="2" t="str">
        <f>IFERROR(__xludf.DUMMYFUNCTION("""COMPUTED_VALUE"""),"Piélagos")</f>
        <v>Piélagos</v>
      </c>
      <c r="B301" s="2" t="str">
        <f>IFERROR(__xludf.DUMMYFUNCTION("""COMPUTED_VALUE"""),"Comarca de Santander")</f>
        <v>Comarca de Santander</v>
      </c>
      <c r="C301" s="2" t="str">
        <f>IFERROR(__xludf.DUMMYFUNCTION("""COMPUTED_VALUE"""),"Provincia de Cantabria")</f>
        <v>Provincia de Cantabria</v>
      </c>
      <c r="D301" s="2" t="str">
        <f>IFERROR(__xludf.DUMMYFUNCTION("""COMPUTED_VALUE"""),"Cantabria")</f>
        <v>Cantabria</v>
      </c>
      <c r="E301" s="2">
        <f>IFERROR(__xludf.DUMMYFUNCTION("""COMPUTED_VALUE"""),37.0)</f>
        <v>37</v>
      </c>
      <c r="F301" s="2">
        <f>IFERROR(__xludf.DUMMYFUNCTION("""COMPUTED_VALUE"""),84.31)</f>
        <v>84.31</v>
      </c>
      <c r="G301" s="4">
        <f>IFERROR(__xludf.DUMMYFUNCTION("""COMPUTED_VALUE"""),25559.0)</f>
        <v>25559</v>
      </c>
      <c r="H301" s="2">
        <f>IFERROR(__xludf.DUMMYFUNCTION("""COMPUTED_VALUE"""),303.16)</f>
        <v>303.16</v>
      </c>
    </row>
    <row r="302">
      <c r="A302" s="2" t="str">
        <f>IFERROR(__xludf.DUMMYFUNCTION("""COMPUTED_VALUE"""),"San Pedro del Pinatar")</f>
        <v>San Pedro del Pinatar</v>
      </c>
      <c r="B302" s="2"/>
      <c r="C302" s="2" t="str">
        <f>IFERROR(__xludf.DUMMYFUNCTION("""COMPUTED_VALUE"""),"Provincia de Murcia")</f>
        <v>Provincia de Murcia</v>
      </c>
      <c r="D302" s="2" t="str">
        <f>IFERROR(__xludf.DUMMYFUNCTION("""COMPUTED_VALUE"""),"Región de Murcia")</f>
        <v>Región de Murcia</v>
      </c>
      <c r="E302" s="2">
        <f>IFERROR(__xludf.DUMMYFUNCTION("""COMPUTED_VALUE"""),13.0)</f>
        <v>13</v>
      </c>
      <c r="F302" s="2">
        <f>IFERROR(__xludf.DUMMYFUNCTION("""COMPUTED_VALUE"""),22.35)</f>
        <v>22.35</v>
      </c>
      <c r="G302" s="4">
        <f>IFERROR(__xludf.DUMMYFUNCTION("""COMPUTED_VALUE"""),25476.0)</f>
        <v>25476</v>
      </c>
      <c r="H302" s="5">
        <f>IFERROR(__xludf.DUMMYFUNCTION("""COMPUTED_VALUE"""),1139.87)</f>
        <v>1139.87</v>
      </c>
    </row>
    <row r="303">
      <c r="A303" s="2" t="str">
        <f>IFERROR(__xludf.DUMMYFUNCTION("""COMPUTED_VALUE"""),"Tomares")</f>
        <v>Tomares</v>
      </c>
      <c r="B303" s="2" t="str">
        <f>IFERROR(__xludf.DUMMYFUNCTION("""COMPUTED_VALUE"""),"Aljarafe")</f>
        <v>Aljarafe</v>
      </c>
      <c r="C303" s="2" t="str">
        <f>IFERROR(__xludf.DUMMYFUNCTION("""COMPUTED_VALUE"""),"Provincia de Sevilla")</f>
        <v>Provincia de Sevilla</v>
      </c>
      <c r="D303" s="2" t="str">
        <f>IFERROR(__xludf.DUMMYFUNCTION("""COMPUTED_VALUE"""),"Andalucía")</f>
        <v>Andalucía</v>
      </c>
      <c r="E303" s="2">
        <f>IFERROR(__xludf.DUMMYFUNCTION("""COMPUTED_VALUE"""),78.0)</f>
        <v>78</v>
      </c>
      <c r="F303" s="2">
        <f>IFERROR(__xludf.DUMMYFUNCTION("""COMPUTED_VALUE"""),5.16)</f>
        <v>5.16</v>
      </c>
      <c r="G303" s="4">
        <f>IFERROR(__xludf.DUMMYFUNCTION("""COMPUTED_VALUE"""),25359.0)</f>
        <v>25359</v>
      </c>
      <c r="H303" s="5">
        <f>IFERROR(__xludf.DUMMYFUNCTION("""COMPUTED_VALUE"""),4914.53)</f>
        <v>4914.53</v>
      </c>
    </row>
    <row r="304">
      <c r="A304" s="2" t="str">
        <f>IFERROR(__xludf.DUMMYFUNCTION("""COMPUTED_VALUE"""),"Mutxamel")</f>
        <v>Mutxamel</v>
      </c>
      <c r="B304" s="2" t="str">
        <f>IFERROR(__xludf.DUMMYFUNCTION("""COMPUTED_VALUE"""),"Campo de Alicante")</f>
        <v>Campo de Alicante</v>
      </c>
      <c r="C304" s="2" t="str">
        <f>IFERROR(__xludf.DUMMYFUNCTION("""COMPUTED_VALUE"""),"Provincia de Alicante")</f>
        <v>Provincia de Alicante</v>
      </c>
      <c r="D304" s="2" t="str">
        <f>IFERROR(__xludf.DUMMYFUNCTION("""COMPUTED_VALUE"""),"Comunidad Valenciana")</f>
        <v>Comunidad Valenciana</v>
      </c>
      <c r="E304" s="2">
        <f>IFERROR(__xludf.DUMMYFUNCTION("""COMPUTED_VALUE"""),63.0)</f>
        <v>63</v>
      </c>
      <c r="F304" s="2">
        <f>IFERROR(__xludf.DUMMYFUNCTION("""COMPUTED_VALUE"""),47.65)</f>
        <v>47.65</v>
      </c>
      <c r="G304" s="4">
        <f>IFERROR(__xludf.DUMMYFUNCTION("""COMPUTED_VALUE"""),25352.0)</f>
        <v>25352</v>
      </c>
      <c r="H304" s="2">
        <f>IFERROR(__xludf.DUMMYFUNCTION("""COMPUTED_VALUE"""),532.05)</f>
        <v>532.05</v>
      </c>
    </row>
    <row r="305">
      <c r="A305" s="2" t="str">
        <f>IFERROR(__xludf.DUMMYFUNCTION("""COMPUTED_VALUE"""),"Paracuellos del Jarama")</f>
        <v>Paracuellos del Jarama</v>
      </c>
      <c r="B305" s="2" t="str">
        <f>IFERROR(__xludf.DUMMYFUNCTION("""COMPUTED_VALUE"""),"Comarca de Alcalá")</f>
        <v>Comarca de Alcalá</v>
      </c>
      <c r="C305" s="2" t="str">
        <f>IFERROR(__xludf.DUMMYFUNCTION("""COMPUTED_VALUE"""),"Provincia de Madrid")</f>
        <v>Provincia de Madrid</v>
      </c>
      <c r="D305" s="2" t="str">
        <f>IFERROR(__xludf.DUMMYFUNCTION("""COMPUTED_VALUE"""),"Comunidad de Madrid")</f>
        <v>Comunidad de Madrid</v>
      </c>
      <c r="E305" s="2">
        <f>IFERROR(__xludf.DUMMYFUNCTION("""COMPUTED_VALUE"""),656.0)</f>
        <v>656</v>
      </c>
      <c r="F305" s="2">
        <f>IFERROR(__xludf.DUMMYFUNCTION("""COMPUTED_VALUE"""),43.92)</f>
        <v>43.92</v>
      </c>
      <c r="G305" s="4">
        <f>IFERROR(__xludf.DUMMYFUNCTION("""COMPUTED_VALUE"""),25269.0)</f>
        <v>25269</v>
      </c>
      <c r="H305" s="2">
        <f>IFERROR(__xludf.DUMMYFUNCTION("""COMPUTED_VALUE"""),575.34)</f>
        <v>575.34</v>
      </c>
    </row>
    <row r="306">
      <c r="A306" s="2" t="str">
        <f>IFERROR(__xludf.DUMMYFUNCTION("""COMPUTED_VALUE"""),"Villarrobledo")</f>
        <v>Villarrobledo</v>
      </c>
      <c r="B306" s="2" t="str">
        <f>IFERROR(__xludf.DUMMYFUNCTION("""COMPUTED_VALUE"""),"Mancha Alta Albaceteña")</f>
        <v>Mancha Alta Albaceteña</v>
      </c>
      <c r="C306" s="2" t="str">
        <f>IFERROR(__xludf.DUMMYFUNCTION("""COMPUTED_VALUE"""),"Provincia de Albacete")</f>
        <v>Provincia de Albacete</v>
      </c>
      <c r="D306" s="2" t="str">
        <f>IFERROR(__xludf.DUMMYFUNCTION("""COMPUTED_VALUE"""),"Castilla-La Mancha")</f>
        <v>Castilla-La Mancha</v>
      </c>
      <c r="E306" s="2">
        <f>IFERROR(__xludf.DUMMYFUNCTION("""COMPUTED_VALUE"""),721.0)</f>
        <v>721</v>
      </c>
      <c r="F306" s="2">
        <f>IFERROR(__xludf.DUMMYFUNCTION("""COMPUTED_VALUE"""),862.41)</f>
        <v>862.41</v>
      </c>
      <c r="G306" s="4">
        <f>IFERROR(__xludf.DUMMYFUNCTION("""COMPUTED_VALUE"""),25184.0)</f>
        <v>25184</v>
      </c>
      <c r="H306" s="2">
        <f>IFERROR(__xludf.DUMMYFUNCTION("""COMPUTED_VALUE"""),29.2)</f>
        <v>29.2</v>
      </c>
    </row>
    <row r="307">
      <c r="A307" s="2" t="str">
        <f>IFERROR(__xludf.DUMMYFUNCTION("""COMPUTED_VALUE"""),"Adra")</f>
        <v>Adra</v>
      </c>
      <c r="B307" s="2" t="str">
        <f>IFERROR(__xludf.DUMMYFUNCTION("""COMPUTED_VALUE"""),"Poniente Almeriense")</f>
        <v>Poniente Almeriense</v>
      </c>
      <c r="C307" s="2" t="str">
        <f>IFERROR(__xludf.DUMMYFUNCTION("""COMPUTED_VALUE"""),"Provincia de Almería")</f>
        <v>Provincia de Almería</v>
      </c>
      <c r="D307" s="2" t="str">
        <f>IFERROR(__xludf.DUMMYFUNCTION("""COMPUTED_VALUE"""),"Andalucía")</f>
        <v>Andalucía</v>
      </c>
      <c r="E307" s="2">
        <f>IFERROR(__xludf.DUMMYFUNCTION("""COMPUTED_VALUE"""),20.0)</f>
        <v>20</v>
      </c>
      <c r="F307" s="2">
        <f>IFERROR(__xludf.DUMMYFUNCTION("""COMPUTED_VALUE"""),89.69)</f>
        <v>89.69</v>
      </c>
      <c r="G307" s="4">
        <f>IFERROR(__xludf.DUMMYFUNCTION("""COMPUTED_VALUE"""),25148.0)</f>
        <v>25148</v>
      </c>
      <c r="H307" s="2">
        <f>IFERROR(__xludf.DUMMYFUNCTION("""COMPUTED_VALUE"""),280.39)</f>
        <v>280.39</v>
      </c>
    </row>
    <row r="308">
      <c r="A308" s="2" t="str">
        <f>IFERROR(__xludf.DUMMYFUNCTION("""COMPUTED_VALUE"""),"Oliva")</f>
        <v>Oliva</v>
      </c>
      <c r="B308" s="2" t="str">
        <f>IFERROR(__xludf.DUMMYFUNCTION("""COMPUTED_VALUE"""),"Safor")</f>
        <v>Safor</v>
      </c>
      <c r="C308" s="2" t="str">
        <f>IFERROR(__xludf.DUMMYFUNCTION("""COMPUTED_VALUE"""),"Provincia de València")</f>
        <v>Provincia de València</v>
      </c>
      <c r="D308" s="2" t="str">
        <f>IFERROR(__xludf.DUMMYFUNCTION("""COMPUTED_VALUE"""),"Comunidad Valenciana")</f>
        <v>Comunidad Valenciana</v>
      </c>
      <c r="E308" s="2">
        <f>IFERROR(__xludf.DUMMYFUNCTION("""COMPUTED_VALUE"""),25.0)</f>
        <v>25</v>
      </c>
      <c r="F308" s="2">
        <f>IFERROR(__xludf.DUMMYFUNCTION("""COMPUTED_VALUE"""),59.93)</f>
        <v>59.93</v>
      </c>
      <c r="G308" s="4">
        <f>IFERROR(__xludf.DUMMYFUNCTION("""COMPUTED_VALUE"""),25101.0)</f>
        <v>25101</v>
      </c>
      <c r="H308" s="2">
        <f>IFERROR(__xludf.DUMMYFUNCTION("""COMPUTED_VALUE"""),418.84)</f>
        <v>418.84</v>
      </c>
    </row>
    <row r="309">
      <c r="A309" s="2" t="str">
        <f>IFERROR(__xludf.DUMMYFUNCTION("""COMPUTED_VALUE"""),"Onda")</f>
        <v>Onda</v>
      </c>
      <c r="B309" s="2" t="str">
        <f>IFERROR(__xludf.DUMMYFUNCTION("""COMPUTED_VALUE"""),"Plana Baja")</f>
        <v>Plana Baja</v>
      </c>
      <c r="C309" s="2" t="str">
        <f>IFERROR(__xludf.DUMMYFUNCTION("""COMPUTED_VALUE"""),"Provincia de Castellón")</f>
        <v>Provincia de Castellón</v>
      </c>
      <c r="D309" s="2" t="str">
        <f>IFERROR(__xludf.DUMMYFUNCTION("""COMPUTED_VALUE"""),"Comunidad Valenciana")</f>
        <v>Comunidad Valenciana</v>
      </c>
      <c r="E309" s="2">
        <f>IFERROR(__xludf.DUMMYFUNCTION("""COMPUTED_VALUE"""),194.0)</f>
        <v>194</v>
      </c>
      <c r="F309" s="2">
        <f>IFERROR(__xludf.DUMMYFUNCTION("""COMPUTED_VALUE"""),108.2)</f>
        <v>108.2</v>
      </c>
      <c r="G309" s="4">
        <f>IFERROR(__xludf.DUMMYFUNCTION("""COMPUTED_VALUE"""),24859.0)</f>
        <v>24859</v>
      </c>
      <c r="H309" s="2">
        <f>IFERROR(__xludf.DUMMYFUNCTION("""COMPUTED_VALUE"""),229.75)</f>
        <v>229.75</v>
      </c>
    </row>
    <row r="310">
      <c r="A310" s="2" t="str">
        <f>IFERROR(__xludf.DUMMYFUNCTION("""COMPUTED_VALUE"""),"Quart de Poblet")</f>
        <v>Quart de Poblet</v>
      </c>
      <c r="B310" s="2" t="str">
        <f>IFERROR(__xludf.DUMMYFUNCTION("""COMPUTED_VALUE"""),"L'Horta Oest")</f>
        <v>L'Horta Oest</v>
      </c>
      <c r="C310" s="2" t="str">
        <f>IFERROR(__xludf.DUMMYFUNCTION("""COMPUTED_VALUE"""),"Provincia de València")</f>
        <v>Provincia de València</v>
      </c>
      <c r="D310" s="2" t="str">
        <f>IFERROR(__xludf.DUMMYFUNCTION("""COMPUTED_VALUE"""),"Comunidad Valenciana")</f>
        <v>Comunidad Valenciana</v>
      </c>
      <c r="E310" s="2">
        <f>IFERROR(__xludf.DUMMYFUNCTION("""COMPUTED_VALUE"""),40.0)</f>
        <v>40</v>
      </c>
      <c r="F310" s="2">
        <f>IFERROR(__xludf.DUMMYFUNCTION("""COMPUTED_VALUE"""),19.72)</f>
        <v>19.72</v>
      </c>
      <c r="G310" s="4">
        <f>IFERROR(__xludf.DUMMYFUNCTION("""COMPUTED_VALUE"""),24760.0)</f>
        <v>24760</v>
      </c>
      <c r="H310" s="5">
        <f>IFERROR(__xludf.DUMMYFUNCTION("""COMPUTED_VALUE"""),1255.58)</f>
        <v>1255.58</v>
      </c>
    </row>
    <row r="311">
      <c r="A311" s="2" t="str">
        <f>IFERROR(__xludf.DUMMYFUNCTION("""COMPUTED_VALUE"""),"Alhaurín el Grande")</f>
        <v>Alhaurín el Grande</v>
      </c>
      <c r="B311" s="2" t="str">
        <f>IFERROR(__xludf.DUMMYFUNCTION("""COMPUTED_VALUE"""),"Valle del Guadalhorce")</f>
        <v>Valle del Guadalhorce</v>
      </c>
      <c r="C311" s="2" t="str">
        <f>IFERROR(__xludf.DUMMYFUNCTION("""COMPUTED_VALUE"""),"Provincia de Málaga")</f>
        <v>Provincia de Málaga</v>
      </c>
      <c r="D311" s="2" t="str">
        <f>IFERROR(__xludf.DUMMYFUNCTION("""COMPUTED_VALUE"""),"Andalucía")</f>
        <v>Andalucía</v>
      </c>
      <c r="E311" s="2">
        <f>IFERROR(__xludf.DUMMYFUNCTION("""COMPUTED_VALUE"""),270.0)</f>
        <v>270</v>
      </c>
      <c r="F311" s="2">
        <f>IFERROR(__xludf.DUMMYFUNCTION("""COMPUTED_VALUE"""),73.1)</f>
        <v>73.1</v>
      </c>
      <c r="G311" s="4">
        <f>IFERROR(__xludf.DUMMYFUNCTION("""COMPUTED_VALUE"""),24705.0)</f>
        <v>24705</v>
      </c>
      <c r="H311" s="2">
        <f>IFERROR(__xludf.DUMMYFUNCTION("""COMPUTED_VALUE"""),337.96)</f>
        <v>337.96</v>
      </c>
    </row>
    <row r="312">
      <c r="A312" s="2" t="str">
        <f>IFERROR(__xludf.DUMMYFUNCTION("""COMPUTED_VALUE"""),"Cambre")</f>
        <v>Cambre</v>
      </c>
      <c r="B312" s="2" t="str">
        <f>IFERROR(__xludf.DUMMYFUNCTION("""COMPUTED_VALUE"""),"Comarca de La Coruña")</f>
        <v>Comarca de La Coruña</v>
      </c>
      <c r="C312" s="2" t="str">
        <f>IFERROR(__xludf.DUMMYFUNCTION("""COMPUTED_VALUE"""),"Provincia de A Coruña")</f>
        <v>Provincia de A Coruña</v>
      </c>
      <c r="D312" s="2" t="str">
        <f>IFERROR(__xludf.DUMMYFUNCTION("""COMPUTED_VALUE"""),"Galicia")</f>
        <v>Galicia</v>
      </c>
      <c r="E312" s="2">
        <f>IFERROR(__xludf.DUMMYFUNCTION("""COMPUTED_VALUE"""),52.0)</f>
        <v>52</v>
      </c>
      <c r="F312" s="2">
        <f>IFERROR(__xludf.DUMMYFUNCTION("""COMPUTED_VALUE"""),40.74)</f>
        <v>40.74</v>
      </c>
      <c r="G312" s="4">
        <f>IFERROR(__xludf.DUMMYFUNCTION("""COMPUTED_VALUE"""),24648.0)</f>
        <v>24648</v>
      </c>
      <c r="H312" s="2">
        <f>IFERROR(__xludf.DUMMYFUNCTION("""COMPUTED_VALUE"""),605.01)</f>
        <v>605.01</v>
      </c>
    </row>
    <row r="313">
      <c r="A313" s="2" t="str">
        <f>IFERROR(__xludf.DUMMYFUNCTION("""COMPUTED_VALUE"""),"Ciempozuelos")</f>
        <v>Ciempozuelos</v>
      </c>
      <c r="B313" s="2" t="str">
        <f>IFERROR(__xludf.DUMMYFUNCTION("""COMPUTED_VALUE"""),"La Sagra")</f>
        <v>La Sagra</v>
      </c>
      <c r="C313" s="2" t="str">
        <f>IFERROR(__xludf.DUMMYFUNCTION("""COMPUTED_VALUE"""),"Provincia de Madrid")</f>
        <v>Provincia de Madrid</v>
      </c>
      <c r="D313" s="2" t="str">
        <f>IFERROR(__xludf.DUMMYFUNCTION("""COMPUTED_VALUE"""),"Comunidad de Madrid")</f>
        <v>Comunidad de Madrid</v>
      </c>
      <c r="E313" s="2">
        <f>IFERROR(__xludf.DUMMYFUNCTION("""COMPUTED_VALUE"""),568.0)</f>
        <v>568</v>
      </c>
      <c r="F313" s="2">
        <f>IFERROR(__xludf.DUMMYFUNCTION("""COMPUTED_VALUE"""),49.64)</f>
        <v>49.64</v>
      </c>
      <c r="G313" s="4">
        <f>IFERROR(__xludf.DUMMYFUNCTION("""COMPUTED_VALUE"""),24592.0)</f>
        <v>24592</v>
      </c>
      <c r="H313" s="2">
        <f>IFERROR(__xludf.DUMMYFUNCTION("""COMPUTED_VALUE"""),495.41)</f>
        <v>495.41</v>
      </c>
    </row>
    <row r="314">
      <c r="A314" s="2" t="str">
        <f>IFERROR(__xludf.DUMMYFUNCTION("""COMPUTED_VALUE"""),"Alboraia")</f>
        <v>Alboraia</v>
      </c>
      <c r="B314" s="2" t="str">
        <f>IFERROR(__xludf.DUMMYFUNCTION("""COMPUTED_VALUE"""),"Huerta Norte")</f>
        <v>Huerta Norte</v>
      </c>
      <c r="C314" s="2" t="str">
        <f>IFERROR(__xludf.DUMMYFUNCTION("""COMPUTED_VALUE"""),"Provincia de València")</f>
        <v>Provincia de València</v>
      </c>
      <c r="D314" s="2" t="str">
        <f>IFERROR(__xludf.DUMMYFUNCTION("""COMPUTED_VALUE"""),"Comunidad Valenciana")</f>
        <v>Comunidad Valenciana</v>
      </c>
      <c r="E314" s="2">
        <f>IFERROR(__xludf.DUMMYFUNCTION("""COMPUTED_VALUE"""),5.0)</f>
        <v>5</v>
      </c>
      <c r="F314" s="2">
        <f>IFERROR(__xludf.DUMMYFUNCTION("""COMPUTED_VALUE"""),8.34)</f>
        <v>8.34</v>
      </c>
      <c r="G314" s="4">
        <f>IFERROR(__xludf.DUMMYFUNCTION("""COMPUTED_VALUE"""),24454.0)</f>
        <v>24454</v>
      </c>
      <c r="H314" s="5">
        <f>IFERROR(__xludf.DUMMYFUNCTION("""COMPUTED_VALUE"""),2932.13)</f>
        <v>2932.13</v>
      </c>
    </row>
    <row r="315">
      <c r="A315" s="2" t="str">
        <f>IFERROR(__xludf.DUMMYFUNCTION("""COMPUTED_VALUE"""),"La Pobla de Vallbona")</f>
        <v>La Pobla de Vallbona</v>
      </c>
      <c r="B315" s="2" t="str">
        <f>IFERROR(__xludf.DUMMYFUNCTION("""COMPUTED_VALUE"""),"Campo del Turia")</f>
        <v>Campo del Turia</v>
      </c>
      <c r="C315" s="2" t="str">
        <f>IFERROR(__xludf.DUMMYFUNCTION("""COMPUTED_VALUE"""),"Provincia de València")</f>
        <v>Provincia de València</v>
      </c>
      <c r="D315" s="2" t="str">
        <f>IFERROR(__xludf.DUMMYFUNCTION("""COMPUTED_VALUE"""),"Comunidad Valenciana")</f>
        <v>Comunidad Valenciana</v>
      </c>
      <c r="E315" s="2">
        <f>IFERROR(__xludf.DUMMYFUNCTION("""COMPUTED_VALUE"""),102.0)</f>
        <v>102</v>
      </c>
      <c r="F315" s="2">
        <f>IFERROR(__xludf.DUMMYFUNCTION("""COMPUTED_VALUE"""),33.1)</f>
        <v>33.1</v>
      </c>
      <c r="G315" s="4">
        <f>IFERROR(__xludf.DUMMYFUNCTION("""COMPUTED_VALUE"""),24433.0)</f>
        <v>24433</v>
      </c>
      <c r="H315" s="2">
        <f>IFERROR(__xludf.DUMMYFUNCTION("""COMPUTED_VALUE"""),738.16)</f>
        <v>738.16</v>
      </c>
    </row>
    <row r="316">
      <c r="A316" s="2" t="str">
        <f>IFERROR(__xludf.DUMMYFUNCTION("""COMPUTED_VALUE"""),"Almansa")</f>
        <v>Almansa</v>
      </c>
      <c r="B316" s="2" t="str">
        <f>IFERROR(__xludf.DUMMYFUNCTION("""COMPUTED_VALUE"""),"Altiplanicie de Almansa")</f>
        <v>Altiplanicie de Almansa</v>
      </c>
      <c r="C316" s="2" t="str">
        <f>IFERROR(__xludf.DUMMYFUNCTION("""COMPUTED_VALUE"""),"Provincia de Albacete")</f>
        <v>Provincia de Albacete</v>
      </c>
      <c r="D316" s="2" t="str">
        <f>IFERROR(__xludf.DUMMYFUNCTION("""COMPUTED_VALUE"""),"Castilla-La Mancha")</f>
        <v>Castilla-La Mancha</v>
      </c>
      <c r="E316" s="2">
        <f>IFERROR(__xludf.DUMMYFUNCTION("""COMPUTED_VALUE"""),712.0)</f>
        <v>712</v>
      </c>
      <c r="F316" s="2">
        <f>IFERROR(__xludf.DUMMYFUNCTION("""COMPUTED_VALUE"""),531.82)</f>
        <v>531.82</v>
      </c>
      <c r="G316" s="4">
        <f>IFERROR(__xludf.DUMMYFUNCTION("""COMPUTED_VALUE"""),24419.0)</f>
        <v>24419</v>
      </c>
      <c r="H316" s="2">
        <f>IFERROR(__xludf.DUMMYFUNCTION("""COMPUTED_VALUE"""),45.92)</f>
        <v>45.92</v>
      </c>
    </row>
    <row r="317">
      <c r="A317" s="2" t="str">
        <f>IFERROR(__xludf.DUMMYFUNCTION("""COMPUTED_VALUE"""),"Valls")</f>
        <v>Valls</v>
      </c>
      <c r="B317" s="2" t="str">
        <f>IFERROR(__xludf.DUMMYFUNCTION("""COMPUTED_VALUE"""),"Alt Camp")</f>
        <v>Alt Camp</v>
      </c>
      <c r="C317" s="2" t="str">
        <f>IFERROR(__xludf.DUMMYFUNCTION("""COMPUTED_VALUE"""),"Provincia de Tarragona")</f>
        <v>Provincia de Tarragona</v>
      </c>
      <c r="D317" s="2" t="str">
        <f>IFERROR(__xludf.DUMMYFUNCTION("""COMPUTED_VALUE"""),"Cataluña")</f>
        <v>Cataluña</v>
      </c>
      <c r="E317" s="2">
        <f>IFERROR(__xludf.DUMMYFUNCTION("""COMPUTED_VALUE"""),215.0)</f>
        <v>215</v>
      </c>
      <c r="F317" s="2">
        <f>IFERROR(__xludf.DUMMYFUNCTION("""COMPUTED_VALUE"""),55.35)</f>
        <v>55.35</v>
      </c>
      <c r="G317" s="4">
        <f>IFERROR(__xludf.DUMMYFUNCTION("""COMPUTED_VALUE"""),24359.0)</f>
        <v>24359</v>
      </c>
      <c r="H317" s="2">
        <f>IFERROR(__xludf.DUMMYFUNCTION("""COMPUTED_VALUE"""),440.09)</f>
        <v>440.09</v>
      </c>
    </row>
    <row r="318">
      <c r="A318" s="2" t="str">
        <f>IFERROR(__xludf.DUMMYFUNCTION("""COMPUTED_VALUE"""),"Erandio")</f>
        <v>Erandio</v>
      </c>
      <c r="B318" s="2" t="str">
        <f>IFERROR(__xludf.DUMMYFUNCTION("""COMPUTED_VALUE"""),"Gran Bilbao")</f>
        <v>Gran Bilbao</v>
      </c>
      <c r="C318" s="2" t="str">
        <f>IFERROR(__xludf.DUMMYFUNCTION("""COMPUTED_VALUE"""),"Provincia de Bizkaia")</f>
        <v>Provincia de Bizkaia</v>
      </c>
      <c r="D318" s="2" t="str">
        <f>IFERROR(__xludf.DUMMYFUNCTION("""COMPUTED_VALUE"""),"País Vasco")</f>
        <v>País Vasco</v>
      </c>
      <c r="E318" s="2">
        <f>IFERROR(__xludf.DUMMYFUNCTION("""COMPUTED_VALUE"""),2.0)</f>
        <v>2</v>
      </c>
      <c r="F318" s="2">
        <f>IFERROR(__xludf.DUMMYFUNCTION("""COMPUTED_VALUE"""),18.17)</f>
        <v>18.17</v>
      </c>
      <c r="G318" s="4">
        <f>IFERROR(__xludf.DUMMYFUNCTION("""COMPUTED_VALUE"""),24350.0)</f>
        <v>24350</v>
      </c>
      <c r="H318" s="5">
        <f>IFERROR(__xludf.DUMMYFUNCTION("""COMPUTED_VALUE"""),1340.12)</f>
        <v>1340.12</v>
      </c>
    </row>
    <row r="319">
      <c r="A319" s="2" t="str">
        <f>IFERROR(__xludf.DUMMYFUNCTION("""COMPUTED_VALUE"""),"Marín")</f>
        <v>Marín</v>
      </c>
      <c r="B319" s="2" t="str">
        <f>IFERROR(__xludf.DUMMYFUNCTION("""COMPUTED_VALUE"""),"Comarca del Morrazo")</f>
        <v>Comarca del Morrazo</v>
      </c>
      <c r="C319" s="2" t="str">
        <f>IFERROR(__xludf.DUMMYFUNCTION("""COMPUTED_VALUE"""),"Provincia de Pontevedra")</f>
        <v>Provincia de Pontevedra</v>
      </c>
      <c r="D319" s="2" t="str">
        <f>IFERROR(__xludf.DUMMYFUNCTION("""COMPUTED_VALUE"""),"Galicia")</f>
        <v>Galicia</v>
      </c>
      <c r="E319" s="2">
        <f>IFERROR(__xludf.DUMMYFUNCTION("""COMPUTED_VALUE"""),14.0)</f>
        <v>14</v>
      </c>
      <c r="F319" s="2">
        <f>IFERROR(__xludf.DUMMYFUNCTION("""COMPUTED_VALUE"""),36.66)</f>
        <v>36.66</v>
      </c>
      <c r="G319" s="4">
        <f>IFERROR(__xludf.DUMMYFUNCTION("""COMPUTED_VALUE"""),24319.0)</f>
        <v>24319</v>
      </c>
      <c r="H319" s="2">
        <f>IFERROR(__xludf.DUMMYFUNCTION("""COMPUTED_VALUE"""),663.37)</f>
        <v>663.37</v>
      </c>
    </row>
    <row r="320">
      <c r="A320" s="2" t="str">
        <f>IFERROR(__xludf.DUMMYFUNCTION("""COMPUTED_VALUE"""),"Bétera")</f>
        <v>Bétera</v>
      </c>
      <c r="B320" s="2" t="str">
        <f>IFERROR(__xludf.DUMMYFUNCTION("""COMPUTED_VALUE"""),"Campo de Turia")</f>
        <v>Campo de Turia</v>
      </c>
      <c r="C320" s="2" t="str">
        <f>IFERROR(__xludf.DUMMYFUNCTION("""COMPUTED_VALUE"""),"Provincia de València")</f>
        <v>Provincia de València</v>
      </c>
      <c r="D320" s="2" t="str">
        <f>IFERROR(__xludf.DUMMYFUNCTION("""COMPUTED_VALUE"""),"Comunidad Valenciana")</f>
        <v>Comunidad Valenciana</v>
      </c>
      <c r="E320" s="2">
        <f>IFERROR(__xludf.DUMMYFUNCTION("""COMPUTED_VALUE"""),125.0)</f>
        <v>125</v>
      </c>
      <c r="F320" s="2">
        <f>IFERROR(__xludf.DUMMYFUNCTION("""COMPUTED_VALUE"""),75.1)</f>
        <v>75.1</v>
      </c>
      <c r="G320" s="4">
        <f>IFERROR(__xludf.DUMMYFUNCTION("""COMPUTED_VALUE"""),24272.0)</f>
        <v>24272</v>
      </c>
      <c r="H320" s="2">
        <f>IFERROR(__xludf.DUMMYFUNCTION("""COMPUTED_VALUE"""),323.2)</f>
        <v>323.2</v>
      </c>
    </row>
    <row r="321">
      <c r="A321" s="2" t="str">
        <f>IFERROR(__xludf.DUMMYFUNCTION("""COMPUTED_VALUE"""),"Gáldar")</f>
        <v>Gáldar</v>
      </c>
      <c r="B321" s="2"/>
      <c r="C321" s="2" t="str">
        <f>IFERROR(__xludf.DUMMYFUNCTION("""COMPUTED_VALUE"""),"Provincia de Las Palmas")</f>
        <v>Provincia de Las Palmas</v>
      </c>
      <c r="D321" s="2" t="str">
        <f>IFERROR(__xludf.DUMMYFUNCTION("""COMPUTED_VALUE"""),"Canarias")</f>
        <v>Canarias</v>
      </c>
      <c r="E321" s="2">
        <f>IFERROR(__xludf.DUMMYFUNCTION("""COMPUTED_VALUE"""),124.0)</f>
        <v>124</v>
      </c>
      <c r="F321" s="2">
        <f>IFERROR(__xludf.DUMMYFUNCTION("""COMPUTED_VALUE"""),62.55)</f>
        <v>62.55</v>
      </c>
      <c r="G321" s="4">
        <f>IFERROR(__xludf.DUMMYFUNCTION("""COMPUTED_VALUE"""),24242.0)</f>
        <v>24242</v>
      </c>
      <c r="H321" s="2">
        <f>IFERROR(__xludf.DUMMYFUNCTION("""COMPUTED_VALUE"""),387.56)</f>
        <v>387.56</v>
      </c>
    </row>
    <row r="322">
      <c r="A322" s="2" t="str">
        <f>IFERROR(__xludf.DUMMYFUNCTION("""COMPUTED_VALUE"""),"Calahorra")</f>
        <v>Calahorra</v>
      </c>
      <c r="B322" s="2" t="str">
        <f>IFERROR(__xludf.DUMMYFUNCTION("""COMPUTED_VALUE"""),"Comarca de Calahorra")</f>
        <v>Comarca de Calahorra</v>
      </c>
      <c r="C322" s="2" t="str">
        <f>IFERROR(__xludf.DUMMYFUNCTION("""COMPUTED_VALUE"""),"Provincia de La Rioja")</f>
        <v>Provincia de La Rioja</v>
      </c>
      <c r="D322" s="2" t="str">
        <f>IFERROR(__xludf.DUMMYFUNCTION("""COMPUTED_VALUE"""),"La Rioja")</f>
        <v>La Rioja</v>
      </c>
      <c r="E322" s="2">
        <f>IFERROR(__xludf.DUMMYFUNCTION("""COMPUTED_VALUE"""),358.0)</f>
        <v>358</v>
      </c>
      <c r="F322" s="2">
        <f>IFERROR(__xludf.DUMMYFUNCTION("""COMPUTED_VALUE"""),93.57)</f>
        <v>93.57</v>
      </c>
      <c r="G322" s="4">
        <f>IFERROR(__xludf.DUMMYFUNCTION("""COMPUTED_VALUE"""),24220.0)</f>
        <v>24220</v>
      </c>
      <c r="H322" s="2">
        <f>IFERROR(__xludf.DUMMYFUNCTION("""COMPUTED_VALUE"""),258.84)</f>
        <v>258.84</v>
      </c>
    </row>
    <row r="323">
      <c r="A323" s="2" t="str">
        <f>IFERROR(__xludf.DUMMYFUNCTION("""COMPUTED_VALUE"""),"Martos")</f>
        <v>Martos</v>
      </c>
      <c r="B323" s="2" t="str">
        <f>IFERROR(__xludf.DUMMYFUNCTION("""COMPUTED_VALUE"""),"Comarca Metropolitana de Jaén")</f>
        <v>Comarca Metropolitana de Jaén</v>
      </c>
      <c r="C323" s="2" t="str">
        <f>IFERROR(__xludf.DUMMYFUNCTION("""COMPUTED_VALUE"""),"Provincia de Jaén")</f>
        <v>Provincia de Jaén</v>
      </c>
      <c r="D323" s="2" t="str">
        <f>IFERROR(__xludf.DUMMYFUNCTION("""COMPUTED_VALUE"""),"Andalucía")</f>
        <v>Andalucía</v>
      </c>
      <c r="E323" s="2">
        <f>IFERROR(__xludf.DUMMYFUNCTION("""COMPUTED_VALUE"""),753.0)</f>
        <v>753</v>
      </c>
      <c r="F323" s="2">
        <f>IFERROR(__xludf.DUMMYFUNCTION("""COMPUTED_VALUE"""),261.1)</f>
        <v>261.1</v>
      </c>
      <c r="G323" s="4">
        <f>IFERROR(__xludf.DUMMYFUNCTION("""COMPUTED_VALUE"""),24215.0)</f>
        <v>24215</v>
      </c>
      <c r="H323" s="2">
        <f>IFERROR(__xludf.DUMMYFUNCTION("""COMPUTED_VALUE"""),92.74)</f>
        <v>92.74</v>
      </c>
    </row>
    <row r="324">
      <c r="A324" s="2" t="str">
        <f>IFERROR(__xludf.DUMMYFUNCTION("""COMPUTED_VALUE"""),"Almonte")</f>
        <v>Almonte</v>
      </c>
      <c r="B324" s="2" t="str">
        <f>IFERROR(__xludf.DUMMYFUNCTION("""COMPUTED_VALUE"""),"El Condado (Huelva)")</f>
        <v>El Condado (Huelva)</v>
      </c>
      <c r="C324" s="2" t="str">
        <f>IFERROR(__xludf.DUMMYFUNCTION("""COMPUTED_VALUE"""),"Provincia de Huelva")</f>
        <v>Provincia de Huelva</v>
      </c>
      <c r="D324" s="2" t="str">
        <f>IFERROR(__xludf.DUMMYFUNCTION("""COMPUTED_VALUE"""),"Andalucía")</f>
        <v>Andalucía</v>
      </c>
      <c r="E324" s="2">
        <f>IFERROR(__xludf.DUMMYFUNCTION("""COMPUTED_VALUE"""),75.0)</f>
        <v>75</v>
      </c>
      <c r="F324" s="2">
        <f>IFERROR(__xludf.DUMMYFUNCTION("""COMPUTED_VALUE"""),859.21)</f>
        <v>859.21</v>
      </c>
      <c r="G324" s="4">
        <f>IFERROR(__xludf.DUMMYFUNCTION("""COMPUTED_VALUE"""),24191.0)</f>
        <v>24191</v>
      </c>
      <c r="H324" s="2">
        <f>IFERROR(__xludf.DUMMYFUNCTION("""COMPUTED_VALUE"""),28.15)</f>
        <v>28.15</v>
      </c>
    </row>
    <row r="325">
      <c r="A325" s="2" t="str">
        <f>IFERROR(__xludf.DUMMYFUNCTION("""COMPUTED_VALUE"""),"Castellar del Vallès")</f>
        <v>Castellar del Vallès</v>
      </c>
      <c r="B325" s="2" t="str">
        <f>IFERROR(__xludf.DUMMYFUNCTION("""COMPUTED_VALUE"""),"Vallès Occidental")</f>
        <v>Vallès Occidental</v>
      </c>
      <c r="C325" s="2" t="str">
        <f>IFERROR(__xludf.DUMMYFUNCTION("""COMPUTED_VALUE"""),"Provincia de Barcelona")</f>
        <v>Provincia de Barcelona</v>
      </c>
      <c r="D325" s="2" t="str">
        <f>IFERROR(__xludf.DUMMYFUNCTION("""COMPUTED_VALUE"""),"Cataluña")</f>
        <v>Cataluña</v>
      </c>
      <c r="E325" s="2">
        <f>IFERROR(__xludf.DUMMYFUNCTION("""COMPUTED_VALUE"""),331.0)</f>
        <v>331</v>
      </c>
      <c r="F325" s="2">
        <f>IFERROR(__xludf.DUMMYFUNCTION("""COMPUTED_VALUE"""),45.17)</f>
        <v>45.17</v>
      </c>
      <c r="G325" s="4">
        <f>IFERROR(__xludf.DUMMYFUNCTION("""COMPUTED_VALUE"""),24187.0)</f>
        <v>24187</v>
      </c>
      <c r="H325" s="2">
        <f>IFERROR(__xludf.DUMMYFUNCTION("""COMPUTED_VALUE"""),535.47)</f>
        <v>535.47</v>
      </c>
    </row>
    <row r="326">
      <c r="A326" s="2" t="str">
        <f>IFERROR(__xludf.DUMMYFUNCTION("""COMPUTED_VALUE"""),"Armilla")</f>
        <v>Armilla</v>
      </c>
      <c r="B326" s="2" t="str">
        <f>IFERROR(__xludf.DUMMYFUNCTION("""COMPUTED_VALUE"""),"Vega de Granada")</f>
        <v>Vega de Granada</v>
      </c>
      <c r="C326" s="2" t="str">
        <f>IFERROR(__xludf.DUMMYFUNCTION("""COMPUTED_VALUE"""),"Provincia de Granada")</f>
        <v>Provincia de Granada</v>
      </c>
      <c r="D326" s="2" t="str">
        <f>IFERROR(__xludf.DUMMYFUNCTION("""COMPUTED_VALUE"""),"Andalucía")</f>
        <v>Andalucía</v>
      </c>
      <c r="E326" s="2">
        <f>IFERROR(__xludf.DUMMYFUNCTION("""COMPUTED_VALUE"""),671.0)</f>
        <v>671</v>
      </c>
      <c r="F326" s="2">
        <f>IFERROR(__xludf.DUMMYFUNCTION("""COMPUTED_VALUE"""),4.31)</f>
        <v>4.31</v>
      </c>
      <c r="G326" s="4">
        <f>IFERROR(__xludf.DUMMYFUNCTION("""COMPUTED_VALUE"""),24174.0)</f>
        <v>24174</v>
      </c>
      <c r="H326" s="5">
        <f>IFERROR(__xludf.DUMMYFUNCTION("""COMPUTED_VALUE"""),5608.82)</f>
        <v>5608.82</v>
      </c>
    </row>
    <row r="327">
      <c r="A327" s="2" t="str">
        <f>IFERROR(__xludf.DUMMYFUNCTION("""COMPUTED_VALUE"""),"Tacoronte")</f>
        <v>Tacoronte</v>
      </c>
      <c r="B327" s="2" t="str">
        <f>IFERROR(__xludf.DUMMYFUNCTION("""COMPUTED_VALUE"""),"Comarca de Acentejo")</f>
        <v>Comarca de Acentejo</v>
      </c>
      <c r="C327" s="2" t="str">
        <f>IFERROR(__xludf.DUMMYFUNCTION("""COMPUTED_VALUE"""),"Provincia de Santa Cruz de Tenerife")</f>
        <v>Provincia de Santa Cruz de Tenerife</v>
      </c>
      <c r="D327" s="2" t="str">
        <f>IFERROR(__xludf.DUMMYFUNCTION("""COMPUTED_VALUE"""),"Canarias")</f>
        <v>Canarias</v>
      </c>
      <c r="E327" s="2">
        <f>IFERROR(__xludf.DUMMYFUNCTION("""COMPUTED_VALUE"""),510.0)</f>
        <v>510</v>
      </c>
      <c r="F327" s="2">
        <f>IFERROR(__xludf.DUMMYFUNCTION("""COMPUTED_VALUE"""),30.0)</f>
        <v>30</v>
      </c>
      <c r="G327" s="4">
        <f>IFERROR(__xludf.DUMMYFUNCTION("""COMPUTED_VALUE"""),24134.0)</f>
        <v>24134</v>
      </c>
      <c r="H327" s="2">
        <f>IFERROR(__xludf.DUMMYFUNCTION("""COMPUTED_VALUE"""),804.47)</f>
        <v>804.47</v>
      </c>
    </row>
    <row r="328">
      <c r="A328" s="2" t="str">
        <f>IFERROR(__xludf.DUMMYFUNCTION("""COMPUTED_VALUE"""),"Sant Joan d'Alacant")</f>
        <v>Sant Joan d'Alacant</v>
      </c>
      <c r="B328" s="2" t="str">
        <f>IFERROR(__xludf.DUMMYFUNCTION("""COMPUTED_VALUE"""),"Campo de Alicante")</f>
        <v>Campo de Alicante</v>
      </c>
      <c r="C328" s="2" t="str">
        <f>IFERROR(__xludf.DUMMYFUNCTION("""COMPUTED_VALUE"""),"Provincia de Alicante")</f>
        <v>Provincia de Alicante</v>
      </c>
      <c r="D328" s="2" t="str">
        <f>IFERROR(__xludf.DUMMYFUNCTION("""COMPUTED_VALUE"""),"Comunidad Valenciana")</f>
        <v>Comunidad Valenciana</v>
      </c>
      <c r="E328" s="2">
        <f>IFERROR(__xludf.DUMMYFUNCTION("""COMPUTED_VALUE"""),40.0)</f>
        <v>40</v>
      </c>
      <c r="F328" s="2">
        <f>IFERROR(__xludf.DUMMYFUNCTION("""COMPUTED_VALUE"""),9.64)</f>
        <v>9.64</v>
      </c>
      <c r="G328" s="4">
        <f>IFERROR(__xludf.DUMMYFUNCTION("""COMPUTED_VALUE"""),23915.0)</f>
        <v>23915</v>
      </c>
      <c r="H328" s="5">
        <f>IFERROR(__xludf.DUMMYFUNCTION("""COMPUTED_VALUE"""),2480.81)</f>
        <v>2480.81</v>
      </c>
    </row>
    <row r="329">
      <c r="A329" s="2" t="str">
        <f>IFERROR(__xludf.DUMMYFUNCTION("""COMPUTED_VALUE"""),"Olesa de Montserrat")</f>
        <v>Olesa de Montserrat</v>
      </c>
      <c r="B329" s="2" t="str">
        <f>IFERROR(__xludf.DUMMYFUNCTION("""COMPUTED_VALUE"""),"Bajo Llobregat")</f>
        <v>Bajo Llobregat</v>
      </c>
      <c r="C329" s="2" t="str">
        <f>IFERROR(__xludf.DUMMYFUNCTION("""COMPUTED_VALUE"""),"Provincia de Barcelona")</f>
        <v>Provincia de Barcelona</v>
      </c>
      <c r="D329" s="2" t="str">
        <f>IFERROR(__xludf.DUMMYFUNCTION("""COMPUTED_VALUE"""),"Cataluña")</f>
        <v>Cataluña</v>
      </c>
      <c r="E329" s="2">
        <f>IFERROR(__xludf.DUMMYFUNCTION("""COMPUTED_VALUE"""),124.0)</f>
        <v>124</v>
      </c>
      <c r="F329" s="2">
        <f>IFERROR(__xludf.DUMMYFUNCTION("""COMPUTED_VALUE"""),16.69)</f>
        <v>16.69</v>
      </c>
      <c r="G329" s="4">
        <f>IFERROR(__xludf.DUMMYFUNCTION("""COMPUTED_VALUE"""),23904.0)</f>
        <v>23904</v>
      </c>
      <c r="H329" s="5">
        <f>IFERROR(__xludf.DUMMYFUNCTION("""COMPUTED_VALUE"""),1432.23)</f>
        <v>1432.23</v>
      </c>
    </row>
    <row r="330">
      <c r="A330" s="2" t="str">
        <f>IFERROR(__xludf.DUMMYFUNCTION("""COMPUTED_VALUE"""),"Torrelodones")</f>
        <v>Torrelodones</v>
      </c>
      <c r="B330" s="2"/>
      <c r="C330" s="2" t="str">
        <f>IFERROR(__xludf.DUMMYFUNCTION("""COMPUTED_VALUE"""),"Provincia de Madrid")</f>
        <v>Provincia de Madrid</v>
      </c>
      <c r="D330" s="2" t="str">
        <f>IFERROR(__xludf.DUMMYFUNCTION("""COMPUTED_VALUE"""),"Comunidad de Madrid")</f>
        <v>Comunidad de Madrid</v>
      </c>
      <c r="E330" s="2">
        <f>IFERROR(__xludf.DUMMYFUNCTION("""COMPUTED_VALUE"""),844.0)</f>
        <v>844</v>
      </c>
      <c r="F330" s="2">
        <f>IFERROR(__xludf.DUMMYFUNCTION("""COMPUTED_VALUE"""),21.95)</f>
        <v>21.95</v>
      </c>
      <c r="G330" s="4">
        <f>IFERROR(__xludf.DUMMYFUNCTION("""COMPUTED_VALUE"""),23717.0)</f>
        <v>23717</v>
      </c>
      <c r="H330" s="5">
        <f>IFERROR(__xludf.DUMMYFUNCTION("""COMPUTED_VALUE"""),1080.5)</f>
        <v>1080.5</v>
      </c>
    </row>
    <row r="331">
      <c r="A331" s="2" t="str">
        <f>IFERROR(__xludf.DUMMYFUNCTION("""COMPUTED_VALUE"""),"Los Barrios")</f>
        <v>Los Barrios</v>
      </c>
      <c r="B331" s="2" t="str">
        <f>IFERROR(__xludf.DUMMYFUNCTION("""COMPUTED_VALUE"""),"Campo de Gibraltar")</f>
        <v>Campo de Gibraltar</v>
      </c>
      <c r="C331" s="2" t="str">
        <f>IFERROR(__xludf.DUMMYFUNCTION("""COMPUTED_VALUE"""),"Provincia de Cádiz")</f>
        <v>Provincia de Cádiz</v>
      </c>
      <c r="D331" s="2" t="str">
        <f>IFERROR(__xludf.DUMMYFUNCTION("""COMPUTED_VALUE"""),"Andalucía")</f>
        <v>Andalucía</v>
      </c>
      <c r="E331" s="2">
        <f>IFERROR(__xludf.DUMMYFUNCTION("""COMPUTED_VALUE"""),23.0)</f>
        <v>23</v>
      </c>
      <c r="F331" s="2">
        <f>IFERROR(__xludf.DUMMYFUNCTION("""COMPUTED_VALUE"""),330.44)</f>
        <v>330.44</v>
      </c>
      <c r="G331" s="4">
        <f>IFERROR(__xludf.DUMMYFUNCTION("""COMPUTED_VALUE"""),23642.0)</f>
        <v>23642</v>
      </c>
      <c r="H331" s="2">
        <f>IFERROR(__xludf.DUMMYFUNCTION("""COMPUTED_VALUE"""),71.55)</f>
        <v>71.55</v>
      </c>
    </row>
    <row r="332">
      <c r="A332" s="2" t="str">
        <f>IFERROR(__xludf.DUMMYFUNCTION("""COMPUTED_VALUE"""),"Mairena del Alcor")</f>
        <v>Mairena del Alcor</v>
      </c>
      <c r="B332" s="2" t="str">
        <f>IFERROR(__xludf.DUMMYFUNCTION("""COMPUTED_VALUE"""),"Campiña de Carmona")</f>
        <v>Campiña de Carmona</v>
      </c>
      <c r="C332" s="2" t="str">
        <f>IFERROR(__xludf.DUMMYFUNCTION("""COMPUTED_VALUE"""),"Provincia de Sevilla")</f>
        <v>Provincia de Sevilla</v>
      </c>
      <c r="D332" s="2" t="str">
        <f>IFERROR(__xludf.DUMMYFUNCTION("""COMPUTED_VALUE"""),"Andalucía")</f>
        <v>Andalucía</v>
      </c>
      <c r="E332" s="2">
        <f>IFERROR(__xludf.DUMMYFUNCTION("""COMPUTED_VALUE"""),135.0)</f>
        <v>135</v>
      </c>
      <c r="F332" s="2">
        <f>IFERROR(__xludf.DUMMYFUNCTION("""COMPUTED_VALUE"""),69.92)</f>
        <v>69.92</v>
      </c>
      <c r="G332" s="4">
        <f>IFERROR(__xludf.DUMMYFUNCTION("""COMPUTED_VALUE"""),23550.0)</f>
        <v>23550</v>
      </c>
      <c r="H332" s="2">
        <f>IFERROR(__xludf.DUMMYFUNCTION("""COMPUTED_VALUE"""),336.81)</f>
        <v>336.81</v>
      </c>
    </row>
    <row r="333">
      <c r="A333" s="2" t="str">
        <f>IFERROR(__xludf.DUMMYFUNCTION("""COMPUTED_VALUE"""),"El Masnou")</f>
        <v>El Masnou</v>
      </c>
      <c r="B333" s="2" t="str">
        <f>IFERROR(__xludf.DUMMYFUNCTION("""COMPUTED_VALUE"""),"Maresme")</f>
        <v>Maresme</v>
      </c>
      <c r="C333" s="2" t="str">
        <f>IFERROR(__xludf.DUMMYFUNCTION("""COMPUTED_VALUE"""),"Provincia de Barcelona")</f>
        <v>Provincia de Barcelona</v>
      </c>
      <c r="D333" s="2" t="str">
        <f>IFERROR(__xludf.DUMMYFUNCTION("""COMPUTED_VALUE"""),"Cataluña")</f>
        <v>Cataluña</v>
      </c>
      <c r="E333" s="2">
        <f>IFERROR(__xludf.DUMMYFUNCTION("""COMPUTED_VALUE"""),27.0)</f>
        <v>27</v>
      </c>
      <c r="F333" s="2">
        <f>IFERROR(__xludf.DUMMYFUNCTION("""COMPUTED_VALUE"""),3.21)</f>
        <v>3.21</v>
      </c>
      <c r="G333" s="4">
        <f>IFERROR(__xludf.DUMMYFUNCTION("""COMPUTED_VALUE"""),23515.0)</f>
        <v>23515</v>
      </c>
      <c r="H333" s="5">
        <f>IFERROR(__xludf.DUMMYFUNCTION("""COMPUTED_VALUE"""),7325.55)</f>
        <v>7325.55</v>
      </c>
    </row>
    <row r="334">
      <c r="A334" s="2" t="str">
        <f>IFERROR(__xludf.DUMMYFUNCTION("""COMPUTED_VALUE"""),"Ibi (Alicante)")</f>
        <v>Ibi (Alicante)</v>
      </c>
      <c r="B334" s="2" t="str">
        <f>IFERROR(__xludf.DUMMYFUNCTION("""COMPUTED_VALUE"""),"Hoya de Alcoy")</f>
        <v>Hoya de Alcoy</v>
      </c>
      <c r="C334" s="2" t="str">
        <f>IFERROR(__xludf.DUMMYFUNCTION("""COMPUTED_VALUE"""),"Provincia de Alicante")</f>
        <v>Provincia de Alicante</v>
      </c>
      <c r="D334" s="2" t="str">
        <f>IFERROR(__xludf.DUMMYFUNCTION("""COMPUTED_VALUE"""),"Comunidad Valenciana")</f>
        <v>Comunidad Valenciana</v>
      </c>
      <c r="E334" s="2">
        <f>IFERROR(__xludf.DUMMYFUNCTION("""COMPUTED_VALUE"""),755.0)</f>
        <v>755</v>
      </c>
      <c r="F334" s="2">
        <f>IFERROR(__xludf.DUMMYFUNCTION("""COMPUTED_VALUE"""),62.52)</f>
        <v>62.52</v>
      </c>
      <c r="G334" s="4">
        <f>IFERROR(__xludf.DUMMYFUNCTION("""COMPUTED_VALUE"""),23489.0)</f>
        <v>23489</v>
      </c>
      <c r="H334" s="2">
        <f>IFERROR(__xludf.DUMMYFUNCTION("""COMPUTED_VALUE"""),375.7)</f>
        <v>375.7</v>
      </c>
    </row>
    <row r="335">
      <c r="A335" s="2" t="str">
        <f>IFERROR(__xludf.DUMMYFUNCTION("""COMPUTED_VALUE"""),"Zarautz")</f>
        <v>Zarautz</v>
      </c>
      <c r="B335" s="2" t="str">
        <f>IFERROR(__xludf.DUMMYFUNCTION("""COMPUTED_VALUE"""),"Urola Costa")</f>
        <v>Urola Costa</v>
      </c>
      <c r="C335" s="2" t="str">
        <f>IFERROR(__xludf.DUMMYFUNCTION("""COMPUTED_VALUE"""),"Provincia de Gipuzkoa")</f>
        <v>Provincia de Gipuzkoa</v>
      </c>
      <c r="D335" s="2" t="str">
        <f>IFERROR(__xludf.DUMMYFUNCTION("""COMPUTED_VALUE"""),"País Vasco")</f>
        <v>País Vasco</v>
      </c>
      <c r="E335" s="2">
        <f>IFERROR(__xludf.DUMMYFUNCTION("""COMPUTED_VALUE"""),4.0)</f>
        <v>4</v>
      </c>
      <c r="F335" s="2">
        <f>IFERROR(__xludf.DUMMYFUNCTION("""COMPUTED_VALUE"""),14.35)</f>
        <v>14.35</v>
      </c>
      <c r="G335" s="4">
        <f>IFERROR(__xludf.DUMMYFUNCTION("""COMPUTED_VALUE"""),23323.0)</f>
        <v>23323</v>
      </c>
      <c r="H335" s="5">
        <f>IFERROR(__xludf.DUMMYFUNCTION("""COMPUTED_VALUE"""),1625.3)</f>
        <v>1625.3</v>
      </c>
    </row>
    <row r="336">
      <c r="A336" s="2" t="str">
        <f>IFERROR(__xludf.DUMMYFUNCTION("""COMPUTED_VALUE"""),"Mejorada del Campo")</f>
        <v>Mejorada del Campo</v>
      </c>
      <c r="B336" s="2" t="str">
        <f>IFERROR(__xludf.DUMMYFUNCTION("""COMPUTED_VALUE"""),"Comarca de Alcalá")</f>
        <v>Comarca de Alcalá</v>
      </c>
      <c r="C336" s="2" t="str">
        <f>IFERROR(__xludf.DUMMYFUNCTION("""COMPUTED_VALUE"""),"Provincia de Madrid")</f>
        <v>Provincia de Madrid</v>
      </c>
      <c r="D336" s="2" t="str">
        <f>IFERROR(__xludf.DUMMYFUNCTION("""COMPUTED_VALUE"""),"Comunidad de Madrid")</f>
        <v>Comunidad de Madrid</v>
      </c>
      <c r="E336" s="2">
        <f>IFERROR(__xludf.DUMMYFUNCTION("""COMPUTED_VALUE"""),578.0)</f>
        <v>578</v>
      </c>
      <c r="F336" s="2">
        <f>IFERROR(__xludf.DUMMYFUNCTION("""COMPUTED_VALUE"""),17.21)</f>
        <v>17.21</v>
      </c>
      <c r="G336" s="4">
        <f>IFERROR(__xludf.DUMMYFUNCTION("""COMPUTED_VALUE"""),23274.0)</f>
        <v>23274</v>
      </c>
      <c r="H336" s="5">
        <f>IFERROR(__xludf.DUMMYFUNCTION("""COMPUTED_VALUE"""),1352.35)</f>
        <v>1352.35</v>
      </c>
    </row>
    <row r="337">
      <c r="A337" s="2" t="str">
        <f>IFERROR(__xludf.DUMMYFUNCTION("""COMPUTED_VALUE"""),"Icod de los Vinos")</f>
        <v>Icod de los Vinos</v>
      </c>
      <c r="B337" s="2" t="str">
        <f>IFERROR(__xludf.DUMMYFUNCTION("""COMPUTED_VALUE"""),"Comarca de Icod-Daute-Isla Baja")</f>
        <v>Comarca de Icod-Daute-Isla Baja</v>
      </c>
      <c r="C337" s="2" t="str">
        <f>IFERROR(__xludf.DUMMYFUNCTION("""COMPUTED_VALUE"""),"Provincia de Santa Cruz de Tenerife")</f>
        <v>Provincia de Santa Cruz de Tenerife</v>
      </c>
      <c r="D337" s="2" t="str">
        <f>IFERROR(__xludf.DUMMYFUNCTION("""COMPUTED_VALUE"""),"Canarias")</f>
        <v>Canarias</v>
      </c>
      <c r="E337" s="2">
        <f>IFERROR(__xludf.DUMMYFUNCTION("""COMPUTED_VALUE"""),235.0)</f>
        <v>235</v>
      </c>
      <c r="F337" s="2">
        <f>IFERROR(__xludf.DUMMYFUNCTION("""COMPUTED_VALUE"""),95.94)</f>
        <v>95.94</v>
      </c>
      <c r="G337" s="4">
        <f>IFERROR(__xludf.DUMMYFUNCTION("""COMPUTED_VALUE"""),23254.0)</f>
        <v>23254</v>
      </c>
      <c r="H337" s="2">
        <f>IFERROR(__xludf.DUMMYFUNCTION("""COMPUTED_VALUE"""),242.38)</f>
        <v>242.38</v>
      </c>
    </row>
    <row r="338">
      <c r="A338" s="2" t="str">
        <f>IFERROR(__xludf.DUMMYFUNCTION("""COMPUTED_VALUE"""),"Llíria")</f>
        <v>Llíria</v>
      </c>
      <c r="B338" s="2" t="str">
        <f>IFERROR(__xludf.DUMMYFUNCTION("""COMPUTED_VALUE"""),"Campo de Turia")</f>
        <v>Campo de Turia</v>
      </c>
      <c r="C338" s="2" t="str">
        <f>IFERROR(__xludf.DUMMYFUNCTION("""COMPUTED_VALUE"""),"Provincia de València")</f>
        <v>Provincia de València</v>
      </c>
      <c r="D338" s="2" t="str">
        <f>IFERROR(__xludf.DUMMYFUNCTION("""COMPUTED_VALUE"""),"Comunidad Valenciana")</f>
        <v>Comunidad Valenciana</v>
      </c>
      <c r="E338" s="2">
        <f>IFERROR(__xludf.DUMMYFUNCTION("""COMPUTED_VALUE"""),164.0)</f>
        <v>164</v>
      </c>
      <c r="F338" s="2">
        <f>IFERROR(__xludf.DUMMYFUNCTION("""COMPUTED_VALUE"""),228.04)</f>
        <v>228.04</v>
      </c>
      <c r="G338" s="4">
        <f>IFERROR(__xludf.DUMMYFUNCTION("""COMPUTED_VALUE"""),23253.0)</f>
        <v>23253</v>
      </c>
      <c r="H338" s="2">
        <f>IFERROR(__xludf.DUMMYFUNCTION("""COMPUTED_VALUE"""),101.97)</f>
        <v>101.97</v>
      </c>
    </row>
    <row r="339">
      <c r="A339" s="2" t="str">
        <f>IFERROR(__xludf.DUMMYFUNCTION("""COMPUTED_VALUE"""),"Palafrugell")</f>
        <v>Palafrugell</v>
      </c>
      <c r="B339" s="2" t="str">
        <f>IFERROR(__xludf.DUMMYFUNCTION("""COMPUTED_VALUE"""),"Baix Empordà")</f>
        <v>Baix Empordà</v>
      </c>
      <c r="C339" s="2" t="str">
        <f>IFERROR(__xludf.DUMMYFUNCTION("""COMPUTED_VALUE"""),"Provincia de Girona")</f>
        <v>Provincia de Girona</v>
      </c>
      <c r="D339" s="2" t="str">
        <f>IFERROR(__xludf.DUMMYFUNCTION("""COMPUTED_VALUE"""),"Cataluña")</f>
        <v>Cataluña</v>
      </c>
      <c r="E339" s="2">
        <f>IFERROR(__xludf.DUMMYFUNCTION("""COMPUTED_VALUE"""),64.0)</f>
        <v>64</v>
      </c>
      <c r="F339" s="2">
        <f>IFERROR(__xludf.DUMMYFUNCTION("""COMPUTED_VALUE"""),26.93)</f>
        <v>26.93</v>
      </c>
      <c r="G339" s="4">
        <f>IFERROR(__xludf.DUMMYFUNCTION("""COMPUTED_VALUE"""),22974.0)</f>
        <v>22974</v>
      </c>
      <c r="H339" s="2">
        <f>IFERROR(__xludf.DUMMYFUNCTION("""COMPUTED_VALUE"""),853.1)</f>
        <v>853.1</v>
      </c>
    </row>
    <row r="340">
      <c r="A340" s="2" t="str">
        <f>IFERROR(__xludf.DUMMYFUNCTION("""COMPUTED_VALUE"""),"Ponteareas")</f>
        <v>Ponteareas</v>
      </c>
      <c r="B340" s="2" t="str">
        <f>IFERROR(__xludf.DUMMYFUNCTION("""COMPUTED_VALUE"""),"Comarca del Condado")</f>
        <v>Comarca del Condado</v>
      </c>
      <c r="C340" s="2" t="str">
        <f>IFERROR(__xludf.DUMMYFUNCTION("""COMPUTED_VALUE"""),"Provincia de Pontevedra")</f>
        <v>Provincia de Pontevedra</v>
      </c>
      <c r="D340" s="2" t="str">
        <f>IFERROR(__xludf.DUMMYFUNCTION("""COMPUTED_VALUE"""),"Galicia")</f>
        <v>Galicia</v>
      </c>
      <c r="E340" s="2">
        <f>IFERROR(__xludf.DUMMYFUNCTION("""COMPUTED_VALUE"""),39.0)</f>
        <v>39</v>
      </c>
      <c r="F340" s="2">
        <f>IFERROR(__xludf.DUMMYFUNCTION("""COMPUTED_VALUE"""),125.53)</f>
        <v>125.53</v>
      </c>
      <c r="G340" s="4">
        <f>IFERROR(__xludf.DUMMYFUNCTION("""COMPUTED_VALUE"""),22877.0)</f>
        <v>22877</v>
      </c>
      <c r="H340" s="2">
        <f>IFERROR(__xludf.DUMMYFUNCTION("""COMPUTED_VALUE"""),182.24)</f>
        <v>182.24</v>
      </c>
    </row>
    <row r="341">
      <c r="A341" s="2" t="str">
        <f>IFERROR(__xludf.DUMMYFUNCTION("""COMPUTED_VALUE"""),"Montilla")</f>
        <v>Montilla</v>
      </c>
      <c r="B341" s="2" t="str">
        <f>IFERROR(__xludf.DUMMYFUNCTION("""COMPUTED_VALUE"""),"Campiña Sur Cordobesa")</f>
        <v>Campiña Sur Cordobesa</v>
      </c>
      <c r="C341" s="2" t="str">
        <f>IFERROR(__xludf.DUMMYFUNCTION("""COMPUTED_VALUE"""),"Provincia de Córdoba")</f>
        <v>Provincia de Córdoba</v>
      </c>
      <c r="D341" s="2" t="str">
        <f>IFERROR(__xludf.DUMMYFUNCTION("""COMPUTED_VALUE"""),"Andalucía")</f>
        <v>Andalucía</v>
      </c>
      <c r="E341" s="2">
        <f>IFERROR(__xludf.DUMMYFUNCTION("""COMPUTED_VALUE"""),371.0)</f>
        <v>371</v>
      </c>
      <c r="F341" s="2">
        <f>IFERROR(__xludf.DUMMYFUNCTION("""COMPUTED_VALUE"""),169.03)</f>
        <v>169.03</v>
      </c>
      <c r="G341" s="4">
        <f>IFERROR(__xludf.DUMMYFUNCTION("""COMPUTED_VALUE"""),22859.0)</f>
        <v>22859</v>
      </c>
      <c r="H341" s="2">
        <f>IFERROR(__xludf.DUMMYFUNCTION("""COMPUTED_VALUE"""),135.24)</f>
        <v>135.24</v>
      </c>
    </row>
    <row r="342">
      <c r="A342" s="2" t="str">
        <f>IFERROR(__xludf.DUMMYFUNCTION("""COMPUTED_VALUE"""),"Calpe")</f>
        <v>Calpe</v>
      </c>
      <c r="B342" s="2" t="str">
        <f>IFERROR(__xludf.DUMMYFUNCTION("""COMPUTED_VALUE"""),"Marina Alta")</f>
        <v>Marina Alta</v>
      </c>
      <c r="C342" s="2" t="str">
        <f>IFERROR(__xludf.DUMMYFUNCTION("""COMPUTED_VALUE"""),"Provincia de Alicante")</f>
        <v>Provincia de Alicante</v>
      </c>
      <c r="D342" s="2" t="str">
        <f>IFERROR(__xludf.DUMMYFUNCTION("""COMPUTED_VALUE"""),"Comunidad Valenciana")</f>
        <v>Comunidad Valenciana</v>
      </c>
      <c r="E342" s="2">
        <f>IFERROR(__xludf.DUMMYFUNCTION("""COMPUTED_VALUE"""),59.0)</f>
        <v>59</v>
      </c>
      <c r="F342" s="2">
        <f>IFERROR(__xludf.DUMMYFUNCTION("""COMPUTED_VALUE"""),23.61)</f>
        <v>23.61</v>
      </c>
      <c r="G342" s="4">
        <f>IFERROR(__xludf.DUMMYFUNCTION("""COMPUTED_VALUE"""),22725.0)</f>
        <v>22725</v>
      </c>
      <c r="H342" s="2">
        <f>IFERROR(__xludf.DUMMYFUNCTION("""COMPUTED_VALUE"""),962.52)</f>
        <v>962.52</v>
      </c>
    </row>
    <row r="343">
      <c r="A343" s="2" t="str">
        <f>IFERROR(__xludf.DUMMYFUNCTION("""COMPUTED_VALUE"""),"Laguna de Duero")</f>
        <v>Laguna de Duero</v>
      </c>
      <c r="B343" s="2" t="str">
        <f>IFERROR(__xludf.DUMMYFUNCTION("""COMPUTED_VALUE"""),"Tierra de Pinares")</f>
        <v>Tierra de Pinares</v>
      </c>
      <c r="C343" s="2" t="str">
        <f>IFERROR(__xludf.DUMMYFUNCTION("""COMPUTED_VALUE"""),"Provincia de Valladolid")</f>
        <v>Provincia de Valladolid</v>
      </c>
      <c r="D343" s="2" t="str">
        <f>IFERROR(__xludf.DUMMYFUNCTION("""COMPUTED_VALUE"""),"Castilla y León")</f>
        <v>Castilla y León</v>
      </c>
      <c r="E343" s="2">
        <f>IFERROR(__xludf.DUMMYFUNCTION("""COMPUTED_VALUE"""),704.0)</f>
        <v>704</v>
      </c>
      <c r="F343" s="2">
        <f>IFERROR(__xludf.DUMMYFUNCTION("""COMPUTED_VALUE"""),29.23)</f>
        <v>29.23</v>
      </c>
      <c r="G343" s="4">
        <f>IFERROR(__xludf.DUMMYFUNCTION("""COMPUTED_VALUE"""),22725.0)</f>
        <v>22725</v>
      </c>
      <c r="H343" s="2">
        <f>IFERROR(__xludf.DUMMYFUNCTION("""COMPUTED_VALUE"""),777.45)</f>
        <v>777.45</v>
      </c>
    </row>
    <row r="344">
      <c r="A344" s="2" t="str">
        <f>IFERROR(__xludf.DUMMYFUNCTION("""COMPUTED_VALUE"""),"Conil de la Frontera")</f>
        <v>Conil de la Frontera</v>
      </c>
      <c r="B344" s="2" t="str">
        <f>IFERROR(__xludf.DUMMYFUNCTION("""COMPUTED_VALUE"""),"La Janda")</f>
        <v>La Janda</v>
      </c>
      <c r="C344" s="2" t="str">
        <f>IFERROR(__xludf.DUMMYFUNCTION("""COMPUTED_VALUE"""),"Provincia de Cádiz")</f>
        <v>Provincia de Cádiz</v>
      </c>
      <c r="D344" s="2" t="str">
        <f>IFERROR(__xludf.DUMMYFUNCTION("""COMPUTED_VALUE"""),"Andalucía")</f>
        <v>Andalucía</v>
      </c>
      <c r="E344" s="2">
        <f>IFERROR(__xludf.DUMMYFUNCTION("""COMPUTED_VALUE"""),41.0)</f>
        <v>41</v>
      </c>
      <c r="F344" s="2">
        <f>IFERROR(__xludf.DUMMYFUNCTION("""COMPUTED_VALUE"""),88.07)</f>
        <v>88.07</v>
      </c>
      <c r="G344" s="4">
        <f>IFERROR(__xludf.DUMMYFUNCTION("""COMPUTED_VALUE"""),22529.0)</f>
        <v>22529</v>
      </c>
      <c r="H344" s="2">
        <f>IFERROR(__xludf.DUMMYFUNCTION("""COMPUTED_VALUE"""),255.81)</f>
        <v>255.81</v>
      </c>
    </row>
    <row r="345">
      <c r="A345" s="2" t="str">
        <f>IFERROR(__xludf.DUMMYFUNCTION("""COMPUTED_VALUE"""),"Barbate")</f>
        <v>Barbate</v>
      </c>
      <c r="B345" s="2" t="str">
        <f>IFERROR(__xludf.DUMMYFUNCTION("""COMPUTED_VALUE"""),"La Janda")</f>
        <v>La Janda</v>
      </c>
      <c r="C345" s="2" t="str">
        <f>IFERROR(__xludf.DUMMYFUNCTION("""COMPUTED_VALUE"""),"Provincia de Cádiz")</f>
        <v>Provincia de Cádiz</v>
      </c>
      <c r="D345" s="2" t="str">
        <f>IFERROR(__xludf.DUMMYFUNCTION("""COMPUTED_VALUE"""),"Andalucía")</f>
        <v>Andalucía</v>
      </c>
      <c r="E345" s="2">
        <f>IFERROR(__xludf.DUMMYFUNCTION("""COMPUTED_VALUE"""),14.0)</f>
        <v>14</v>
      </c>
      <c r="F345" s="2">
        <f>IFERROR(__xludf.DUMMYFUNCTION("""COMPUTED_VALUE"""),142.17)</f>
        <v>142.17</v>
      </c>
      <c r="G345" s="4">
        <f>IFERROR(__xludf.DUMMYFUNCTION("""COMPUTED_VALUE"""),22518.0)</f>
        <v>22518</v>
      </c>
      <c r="H345" s="2">
        <f>IFERROR(__xludf.DUMMYFUNCTION("""COMPUTED_VALUE"""),158.39)</f>
        <v>158.39</v>
      </c>
    </row>
    <row r="346">
      <c r="A346" s="2" t="str">
        <f>IFERROR(__xludf.DUMMYFUNCTION("""COMPUTED_VALUE"""),"Priego de Córdoba")</f>
        <v>Priego de Córdoba</v>
      </c>
      <c r="B346" s="2" t="str">
        <f>IFERROR(__xludf.DUMMYFUNCTION("""COMPUTED_VALUE"""),"Subbética (Córdoba)")</f>
        <v>Subbética (Córdoba)</v>
      </c>
      <c r="C346" s="2" t="str">
        <f>IFERROR(__xludf.DUMMYFUNCTION("""COMPUTED_VALUE"""),"Provincia de Córdoba")</f>
        <v>Provincia de Córdoba</v>
      </c>
      <c r="D346" s="2" t="str">
        <f>IFERROR(__xludf.DUMMYFUNCTION("""COMPUTED_VALUE"""),"Andalucía")</f>
        <v>Andalucía</v>
      </c>
      <c r="E346" s="2">
        <f>IFERROR(__xludf.DUMMYFUNCTION("""COMPUTED_VALUE"""),652.0)</f>
        <v>652</v>
      </c>
      <c r="F346" s="2">
        <f>IFERROR(__xludf.DUMMYFUNCTION("""COMPUTED_VALUE"""),288.27)</f>
        <v>288.27</v>
      </c>
      <c r="G346" s="4">
        <f>IFERROR(__xludf.DUMMYFUNCTION("""COMPUTED_VALUE"""),22408.0)</f>
        <v>22408</v>
      </c>
      <c r="H346" s="2">
        <f>IFERROR(__xludf.DUMMYFUNCTION("""COMPUTED_VALUE"""),77.73)</f>
        <v>77.73</v>
      </c>
    </row>
    <row r="347">
      <c r="A347" s="2" t="str">
        <f>IFERROR(__xludf.DUMMYFUNCTION("""COMPUTED_VALUE"""),"Castrillón")</f>
        <v>Castrillón</v>
      </c>
      <c r="B347" s="2" t="str">
        <f>IFERROR(__xludf.DUMMYFUNCTION("""COMPUTED_VALUE"""),"Comarca de Avilés")</f>
        <v>Comarca de Avilés</v>
      </c>
      <c r="C347" s="2" t="str">
        <f>IFERROR(__xludf.DUMMYFUNCTION("""COMPUTED_VALUE"""),"Provincia de Asturias")</f>
        <v>Provincia de Asturias</v>
      </c>
      <c r="D347" s="2" t="str">
        <f>IFERROR(__xludf.DUMMYFUNCTION("""COMPUTED_VALUE"""),"Principado de Asturias")</f>
        <v>Principado de Asturias</v>
      </c>
      <c r="E347" s="2">
        <f>IFERROR(__xludf.DUMMYFUNCTION("""COMPUTED_VALUE"""),434.0)</f>
        <v>434</v>
      </c>
      <c r="F347" s="2">
        <f>IFERROR(__xludf.DUMMYFUNCTION("""COMPUTED_VALUE"""),55.34)</f>
        <v>55.34</v>
      </c>
      <c r="G347" s="4">
        <f>IFERROR(__xludf.DUMMYFUNCTION("""COMPUTED_VALUE"""),22376.0)</f>
        <v>22376</v>
      </c>
      <c r="H347" s="2">
        <f>IFERROR(__xludf.DUMMYFUNCTION("""COMPUTED_VALUE"""),404.34)</f>
        <v>404.34</v>
      </c>
    </row>
    <row r="348">
      <c r="A348" s="2" t="str">
        <f>IFERROR(__xludf.DUMMYFUNCTION("""COMPUTED_VALUE"""),"Teguise")</f>
        <v>Teguise</v>
      </c>
      <c r="B348" s="2"/>
      <c r="C348" s="2" t="str">
        <f>IFERROR(__xludf.DUMMYFUNCTION("""COMPUTED_VALUE"""),"Provincia de Las Palmas")</f>
        <v>Provincia de Las Palmas</v>
      </c>
      <c r="D348" s="2" t="str">
        <f>IFERROR(__xludf.DUMMYFUNCTION("""COMPUTED_VALUE"""),"Canarias")</f>
        <v>Canarias</v>
      </c>
      <c r="E348" s="2">
        <f>IFERROR(__xludf.DUMMYFUNCTION("""COMPUTED_VALUE"""),360.0)</f>
        <v>360</v>
      </c>
      <c r="F348" s="2">
        <f>IFERROR(__xludf.DUMMYFUNCTION("""COMPUTED_VALUE"""),263.03)</f>
        <v>263.03</v>
      </c>
      <c r="G348" s="4">
        <f>IFERROR(__xludf.DUMMYFUNCTION("""COMPUTED_VALUE"""),22342.0)</f>
        <v>22342</v>
      </c>
      <c r="H348" s="2">
        <f>IFERROR(__xludf.DUMMYFUNCTION("""COMPUTED_VALUE"""),84.94)</f>
        <v>84.94</v>
      </c>
    </row>
    <row r="349">
      <c r="A349" s="2" t="str">
        <f>IFERROR(__xludf.DUMMYFUNCTION("""COMPUTED_VALUE"""),"Altea")</f>
        <v>Altea</v>
      </c>
      <c r="B349" s="2" t="str">
        <f>IFERROR(__xludf.DUMMYFUNCTION("""COMPUTED_VALUE"""),"Marina Baja")</f>
        <v>Marina Baja</v>
      </c>
      <c r="C349" s="2" t="str">
        <f>IFERROR(__xludf.DUMMYFUNCTION("""COMPUTED_VALUE"""),"Provincia de Alicante")</f>
        <v>Provincia de Alicante</v>
      </c>
      <c r="D349" s="2" t="str">
        <f>IFERROR(__xludf.DUMMYFUNCTION("""COMPUTED_VALUE"""),"Comunidad Valenciana")</f>
        <v>Comunidad Valenciana</v>
      </c>
      <c r="E349" s="2">
        <f>IFERROR(__xludf.DUMMYFUNCTION("""COMPUTED_VALUE"""),61.0)</f>
        <v>61</v>
      </c>
      <c r="F349" s="2">
        <f>IFERROR(__xludf.DUMMYFUNCTION("""COMPUTED_VALUE"""),34.43)</f>
        <v>34.43</v>
      </c>
      <c r="G349" s="4">
        <f>IFERROR(__xludf.DUMMYFUNCTION("""COMPUTED_VALUE"""),22290.0)</f>
        <v>22290</v>
      </c>
      <c r="H349" s="2">
        <f>IFERROR(__xludf.DUMMYFUNCTION("""COMPUTED_VALUE"""),647.4)</f>
        <v>647.4</v>
      </c>
    </row>
    <row r="350">
      <c r="A350" s="2" t="str">
        <f>IFERROR(__xludf.DUMMYFUNCTION("""COMPUTED_VALUE"""),"Riba-roja de Túria")</f>
        <v>Riba-roja de Túria</v>
      </c>
      <c r="B350" s="2" t="str">
        <f>IFERROR(__xludf.DUMMYFUNCTION("""COMPUTED_VALUE"""),"Campo de Turia")</f>
        <v>Campo de Turia</v>
      </c>
      <c r="C350" s="2" t="str">
        <f>IFERROR(__xludf.DUMMYFUNCTION("""COMPUTED_VALUE"""),"Provincia de València")</f>
        <v>Provincia de València</v>
      </c>
      <c r="D350" s="2" t="str">
        <f>IFERROR(__xludf.DUMMYFUNCTION("""COMPUTED_VALUE"""),"Comunidad Valenciana")</f>
        <v>Comunidad Valenciana</v>
      </c>
      <c r="E350" s="2">
        <f>IFERROR(__xludf.DUMMYFUNCTION("""COMPUTED_VALUE"""),125.0)</f>
        <v>125</v>
      </c>
      <c r="F350" s="2">
        <f>IFERROR(__xludf.DUMMYFUNCTION("""COMPUTED_VALUE"""),57.49)</f>
        <v>57.49</v>
      </c>
      <c r="G350" s="4">
        <f>IFERROR(__xludf.DUMMYFUNCTION("""COMPUTED_VALUE"""),22264.0)</f>
        <v>22264</v>
      </c>
      <c r="H350" s="2">
        <f>IFERROR(__xludf.DUMMYFUNCTION("""COMPUTED_VALUE"""),387.27)</f>
        <v>387.27</v>
      </c>
    </row>
    <row r="351">
      <c r="A351" s="2" t="str">
        <f>IFERROR(__xludf.DUMMYFUNCTION("""COMPUTED_VALUE"""),"Esparreguera")</f>
        <v>Esparreguera</v>
      </c>
      <c r="B351" s="2" t="str">
        <f>IFERROR(__xludf.DUMMYFUNCTION("""COMPUTED_VALUE"""),"Bajo Llobregat")</f>
        <v>Bajo Llobregat</v>
      </c>
      <c r="C351" s="2" t="str">
        <f>IFERROR(__xludf.DUMMYFUNCTION("""COMPUTED_VALUE"""),"Provincia de Barcelona")</f>
        <v>Provincia de Barcelona</v>
      </c>
      <c r="D351" s="2" t="str">
        <f>IFERROR(__xludf.DUMMYFUNCTION("""COMPUTED_VALUE"""),"Cataluña")</f>
        <v>Cataluña</v>
      </c>
      <c r="E351" s="2">
        <f>IFERROR(__xludf.DUMMYFUNCTION("""COMPUTED_VALUE"""),187.0)</f>
        <v>187</v>
      </c>
      <c r="F351" s="2">
        <f>IFERROR(__xludf.DUMMYFUNCTION("""COMPUTED_VALUE"""),27.32)</f>
        <v>27.32</v>
      </c>
      <c r="G351" s="4">
        <f>IFERROR(__xludf.DUMMYFUNCTION("""COMPUTED_VALUE"""),22251.0)</f>
        <v>22251</v>
      </c>
      <c r="H351" s="2">
        <f>IFERROR(__xludf.DUMMYFUNCTION("""COMPUTED_VALUE"""),814.46)</f>
        <v>814.46</v>
      </c>
    </row>
    <row r="352">
      <c r="A352" s="2" t="str">
        <f>IFERROR(__xludf.DUMMYFUNCTION("""COMPUTED_VALUE"""),"Vila-seca")</f>
        <v>Vila-seca</v>
      </c>
      <c r="B352" s="2" t="str">
        <f>IFERROR(__xludf.DUMMYFUNCTION("""COMPUTED_VALUE"""),"Tarragonés")</f>
        <v>Tarragonés</v>
      </c>
      <c r="C352" s="2" t="str">
        <f>IFERROR(__xludf.DUMMYFUNCTION("""COMPUTED_VALUE"""),"Provincia de Tarragona")</f>
        <v>Provincia de Tarragona</v>
      </c>
      <c r="D352" s="2" t="str">
        <f>IFERROR(__xludf.DUMMYFUNCTION("""COMPUTED_VALUE"""),"Cataluña")</f>
        <v>Cataluña</v>
      </c>
      <c r="E352" s="2">
        <f>IFERROR(__xludf.DUMMYFUNCTION("""COMPUTED_VALUE"""),45.0)</f>
        <v>45</v>
      </c>
      <c r="F352" s="2">
        <f>IFERROR(__xludf.DUMMYFUNCTION("""COMPUTED_VALUE"""),21.78)</f>
        <v>21.78</v>
      </c>
      <c r="G352" s="4">
        <f>IFERROR(__xludf.DUMMYFUNCTION("""COMPUTED_VALUE"""),22187.0)</f>
        <v>22187</v>
      </c>
      <c r="H352" s="5">
        <f>IFERROR(__xludf.DUMMYFUNCTION("""COMPUTED_VALUE"""),1018.69)</f>
        <v>1018.69</v>
      </c>
    </row>
    <row r="353">
      <c r="A353" s="2" t="str">
        <f>IFERROR(__xludf.DUMMYFUNCTION("""COMPUTED_VALUE"""),"Coín")</f>
        <v>Coín</v>
      </c>
      <c r="B353" s="2" t="str">
        <f>IFERROR(__xludf.DUMMYFUNCTION("""COMPUTED_VALUE"""),"Valle del Guadalhorce")</f>
        <v>Valle del Guadalhorce</v>
      </c>
      <c r="C353" s="2" t="str">
        <f>IFERROR(__xludf.DUMMYFUNCTION("""COMPUTED_VALUE"""),"Provincia de Málaga")</f>
        <v>Provincia de Málaga</v>
      </c>
      <c r="D353" s="2" t="str">
        <f>IFERROR(__xludf.DUMMYFUNCTION("""COMPUTED_VALUE"""),"Andalucía")</f>
        <v>Andalucía</v>
      </c>
      <c r="E353" s="2">
        <f>IFERROR(__xludf.DUMMYFUNCTION("""COMPUTED_VALUE"""),202.0)</f>
        <v>202</v>
      </c>
      <c r="F353" s="2">
        <f>IFERROR(__xludf.DUMMYFUNCTION("""COMPUTED_VALUE"""),127.37)</f>
        <v>127.37</v>
      </c>
      <c r="G353" s="4">
        <f>IFERROR(__xludf.DUMMYFUNCTION("""COMPUTED_VALUE"""),22147.0)</f>
        <v>22147</v>
      </c>
      <c r="H353" s="2">
        <f>IFERROR(__xludf.DUMMYFUNCTION("""COMPUTED_VALUE"""),173.88)</f>
        <v>173.88</v>
      </c>
    </row>
    <row r="354">
      <c r="A354" s="2" t="str">
        <f>IFERROR(__xludf.DUMMYFUNCTION("""COMPUTED_VALUE"""),"Cullera")</f>
        <v>Cullera</v>
      </c>
      <c r="B354" s="2" t="str">
        <f>IFERROR(__xludf.DUMMYFUNCTION("""COMPUTED_VALUE"""),"Ribera Baixa")</f>
        <v>Ribera Baixa</v>
      </c>
      <c r="C354" s="2" t="str">
        <f>IFERROR(__xludf.DUMMYFUNCTION("""COMPUTED_VALUE"""),"Provincia de València")</f>
        <v>Provincia de València</v>
      </c>
      <c r="D354" s="2" t="str">
        <f>IFERROR(__xludf.DUMMYFUNCTION("""COMPUTED_VALUE"""),"Comunidad Valenciana")</f>
        <v>Comunidad Valenciana</v>
      </c>
      <c r="E354" s="2">
        <f>IFERROR(__xludf.DUMMYFUNCTION("""COMPUTED_VALUE"""),2.0)</f>
        <v>2</v>
      </c>
      <c r="F354" s="2">
        <f>IFERROR(__xludf.DUMMYFUNCTION("""COMPUTED_VALUE"""),53.82)</f>
        <v>53.82</v>
      </c>
      <c r="G354" s="4">
        <f>IFERROR(__xludf.DUMMYFUNCTION("""COMPUTED_VALUE"""),22145.0)</f>
        <v>22145</v>
      </c>
      <c r="H354" s="2">
        <f>IFERROR(__xludf.DUMMYFUNCTION("""COMPUTED_VALUE"""),411.46)</f>
        <v>411.46</v>
      </c>
    </row>
    <row r="355">
      <c r="A355" s="2" t="str">
        <f>IFERROR(__xludf.DUMMYFUNCTION("""COMPUTED_VALUE"""),"Maracena")</f>
        <v>Maracena</v>
      </c>
      <c r="B355" s="2" t="str">
        <f>IFERROR(__xludf.DUMMYFUNCTION("""COMPUTED_VALUE"""),"Vega de Granada")</f>
        <v>Vega de Granada</v>
      </c>
      <c r="C355" s="2" t="str">
        <f>IFERROR(__xludf.DUMMYFUNCTION("""COMPUTED_VALUE"""),"Provincia de Granada")</f>
        <v>Provincia de Granada</v>
      </c>
      <c r="D355" s="2" t="str">
        <f>IFERROR(__xludf.DUMMYFUNCTION("""COMPUTED_VALUE"""),"Andalucía")</f>
        <v>Andalucía</v>
      </c>
      <c r="E355" s="2">
        <f>IFERROR(__xludf.DUMMYFUNCTION("""COMPUTED_VALUE"""),660.0)</f>
        <v>660</v>
      </c>
      <c r="F355" s="2">
        <f>IFERROR(__xludf.DUMMYFUNCTION("""COMPUTED_VALUE"""),4.89)</f>
        <v>4.89</v>
      </c>
      <c r="G355" s="4">
        <f>IFERROR(__xludf.DUMMYFUNCTION("""COMPUTED_VALUE"""),22116.0)</f>
        <v>22116</v>
      </c>
      <c r="H355" s="5">
        <f>IFERROR(__xludf.DUMMYFUNCTION("""COMPUTED_VALUE"""),4522.7)</f>
        <v>4522.7</v>
      </c>
    </row>
    <row r="356">
      <c r="A356" s="2" t="str">
        <f>IFERROR(__xludf.DUMMYFUNCTION("""COMPUTED_VALUE"""),"Moguer")</f>
        <v>Moguer</v>
      </c>
      <c r="B356" s="2" t="str">
        <f>IFERROR(__xludf.DUMMYFUNCTION("""COMPUTED_VALUE"""),"Comarca Metropolitana de Huelva")</f>
        <v>Comarca Metropolitana de Huelva</v>
      </c>
      <c r="C356" s="2" t="str">
        <f>IFERROR(__xludf.DUMMYFUNCTION("""COMPUTED_VALUE"""),"Provincia de Huelva")</f>
        <v>Provincia de Huelva</v>
      </c>
      <c r="D356" s="2" t="str">
        <f>IFERROR(__xludf.DUMMYFUNCTION("""COMPUTED_VALUE"""),"Andalucía")</f>
        <v>Andalucía</v>
      </c>
      <c r="E356" s="2">
        <f>IFERROR(__xludf.DUMMYFUNCTION("""COMPUTED_VALUE"""),51.0)</f>
        <v>51</v>
      </c>
      <c r="F356" s="2">
        <f>IFERROR(__xludf.DUMMYFUNCTION("""COMPUTED_VALUE"""),203.74)</f>
        <v>203.74</v>
      </c>
      <c r="G356" s="4">
        <f>IFERROR(__xludf.DUMMYFUNCTION("""COMPUTED_VALUE"""),22088.0)</f>
        <v>22088</v>
      </c>
      <c r="H356" s="2">
        <f>IFERROR(__xludf.DUMMYFUNCTION("""COMPUTED_VALUE"""),108.41)</f>
        <v>108.41</v>
      </c>
    </row>
    <row r="357">
      <c r="A357" s="2" t="str">
        <f>IFERROR(__xludf.DUMMYFUNCTION("""COMPUTED_VALUE"""),"Alhama de Murcia")</f>
        <v>Alhama de Murcia</v>
      </c>
      <c r="B357" s="2" t="str">
        <f>IFERROR(__xludf.DUMMYFUNCTION("""COMPUTED_VALUE"""),"Bajo Guadalentín")</f>
        <v>Bajo Guadalentín</v>
      </c>
      <c r="C357" s="2" t="str">
        <f>IFERROR(__xludf.DUMMYFUNCTION("""COMPUTED_VALUE"""),"Provincia de Murcia")</f>
        <v>Provincia de Murcia</v>
      </c>
      <c r="D357" s="2" t="str">
        <f>IFERROR(__xludf.DUMMYFUNCTION("""COMPUTED_VALUE"""),"Región de Murcia")</f>
        <v>Región de Murcia</v>
      </c>
      <c r="E357" s="2">
        <f>IFERROR(__xludf.DUMMYFUNCTION("""COMPUTED_VALUE"""),176.0)</f>
        <v>176</v>
      </c>
      <c r="F357" s="2">
        <f>IFERROR(__xludf.DUMMYFUNCTION("""COMPUTED_VALUE"""),313.03)</f>
        <v>313.03</v>
      </c>
      <c r="G357" s="4">
        <f>IFERROR(__xludf.DUMMYFUNCTION("""COMPUTED_VALUE"""),22077.0)</f>
        <v>22077</v>
      </c>
      <c r="H357" s="2">
        <f>IFERROR(__xludf.DUMMYFUNCTION("""COMPUTED_VALUE"""),70.53)</f>
        <v>70.53</v>
      </c>
    </row>
    <row r="358">
      <c r="A358" s="2" t="str">
        <f>IFERROR(__xludf.DUMMYFUNCTION("""COMPUTED_VALUE"""),"Arrasate")</f>
        <v>Arrasate</v>
      </c>
      <c r="B358" s="2" t="str">
        <f>IFERROR(__xludf.DUMMYFUNCTION("""COMPUTED_VALUE"""),"Alto Deva")</f>
        <v>Alto Deva</v>
      </c>
      <c r="C358" s="2" t="str">
        <f>IFERROR(__xludf.DUMMYFUNCTION("""COMPUTED_VALUE"""),"Provincia de Gipuzkoa")</f>
        <v>Provincia de Gipuzkoa</v>
      </c>
      <c r="D358" s="2" t="str">
        <f>IFERROR(__xludf.DUMMYFUNCTION("""COMPUTED_VALUE"""),"País Vasco")</f>
        <v>País Vasco</v>
      </c>
      <c r="E358" s="2">
        <f>IFERROR(__xludf.DUMMYFUNCTION("""COMPUTED_VALUE"""),236.0)</f>
        <v>236</v>
      </c>
      <c r="F358" s="2">
        <f>IFERROR(__xludf.DUMMYFUNCTION("""COMPUTED_VALUE"""),30.8)</f>
        <v>30.8</v>
      </c>
      <c r="G358" s="4">
        <f>IFERROR(__xludf.DUMMYFUNCTION("""COMPUTED_VALUE"""),22001.0)</f>
        <v>22001</v>
      </c>
      <c r="H358" s="2">
        <f>IFERROR(__xludf.DUMMYFUNCTION("""COMPUTED_VALUE"""),714.32)</f>
        <v>714.32</v>
      </c>
    </row>
    <row r="359">
      <c r="A359" s="2" t="str">
        <f>IFERROR(__xludf.DUMMYFUNCTION("""COMPUTED_VALUE"""),"Bormujos")</f>
        <v>Bormujos</v>
      </c>
      <c r="B359" s="2" t="str">
        <f>IFERROR(__xludf.DUMMYFUNCTION("""COMPUTED_VALUE"""),"Comarca Metropolitana de Sevilla")</f>
        <v>Comarca Metropolitana de Sevilla</v>
      </c>
      <c r="C359" s="2" t="str">
        <f>IFERROR(__xludf.DUMMYFUNCTION("""COMPUTED_VALUE"""),"Provincia de Sevilla")</f>
        <v>Provincia de Sevilla</v>
      </c>
      <c r="D359" s="2" t="str">
        <f>IFERROR(__xludf.DUMMYFUNCTION("""COMPUTED_VALUE"""),"Andalucía")</f>
        <v>Andalucía</v>
      </c>
      <c r="E359" s="2">
        <f>IFERROR(__xludf.DUMMYFUNCTION("""COMPUTED_VALUE"""),98.0)</f>
        <v>98</v>
      </c>
      <c r="F359" s="2">
        <f>IFERROR(__xludf.DUMMYFUNCTION("""COMPUTED_VALUE"""),12.32)</f>
        <v>12.32</v>
      </c>
      <c r="G359" s="4">
        <f>IFERROR(__xludf.DUMMYFUNCTION("""COMPUTED_VALUE"""),21972.0)</f>
        <v>21972</v>
      </c>
      <c r="H359" s="5">
        <f>IFERROR(__xludf.DUMMYFUNCTION("""COMPUTED_VALUE"""),1783.44)</f>
        <v>1783.44</v>
      </c>
    </row>
    <row r="360">
      <c r="A360" s="2" t="str">
        <f>IFERROR(__xludf.DUMMYFUNCTION("""COMPUTED_VALUE"""),"Moncada")</f>
        <v>Moncada</v>
      </c>
      <c r="B360" s="2" t="str">
        <f>IFERROR(__xludf.DUMMYFUNCTION("""COMPUTED_VALUE"""),"Horta Nord")</f>
        <v>Horta Nord</v>
      </c>
      <c r="C360" s="2" t="str">
        <f>IFERROR(__xludf.DUMMYFUNCTION("""COMPUTED_VALUE"""),"Provincia de València")</f>
        <v>Provincia de València</v>
      </c>
      <c r="D360" s="2" t="str">
        <f>IFERROR(__xludf.DUMMYFUNCTION("""COMPUTED_VALUE"""),"Comunidad Valenciana")</f>
        <v>Comunidad Valenciana</v>
      </c>
      <c r="E360" s="2">
        <f>IFERROR(__xludf.DUMMYFUNCTION("""COMPUTED_VALUE"""),37.0)</f>
        <v>37</v>
      </c>
      <c r="F360" s="2">
        <f>IFERROR(__xludf.DUMMYFUNCTION("""COMPUTED_VALUE"""),15.83)</f>
        <v>15.83</v>
      </c>
      <c r="G360" s="4">
        <f>IFERROR(__xludf.DUMMYFUNCTION("""COMPUTED_VALUE"""),21935.0)</f>
        <v>21935</v>
      </c>
      <c r="H360" s="5">
        <f>IFERROR(__xludf.DUMMYFUNCTION("""COMPUTED_VALUE"""),1385.66)</f>
        <v>1385.66</v>
      </c>
    </row>
    <row r="361">
      <c r="A361" s="2" t="str">
        <f>IFERROR(__xludf.DUMMYFUNCTION("""COMPUTED_VALUE"""),"Sant Feliu de Guíxols")</f>
        <v>Sant Feliu de Guíxols</v>
      </c>
      <c r="B361" s="2" t="str">
        <f>IFERROR(__xludf.DUMMYFUNCTION("""COMPUTED_VALUE"""),"Baix Empordà")</f>
        <v>Baix Empordà</v>
      </c>
      <c r="C361" s="2" t="str">
        <f>IFERROR(__xludf.DUMMYFUNCTION("""COMPUTED_VALUE"""),"Provincia de Girona")</f>
        <v>Provincia de Girona</v>
      </c>
      <c r="D361" s="2" t="str">
        <f>IFERROR(__xludf.DUMMYFUNCTION("""COMPUTED_VALUE"""),"Cataluña")</f>
        <v>Cataluña</v>
      </c>
      <c r="E361" s="2">
        <f>IFERROR(__xludf.DUMMYFUNCTION("""COMPUTED_VALUE"""),4.0)</f>
        <v>4</v>
      </c>
      <c r="F361" s="2">
        <f>IFERROR(__xludf.DUMMYFUNCTION("""COMPUTED_VALUE"""),15.92)</f>
        <v>15.92</v>
      </c>
      <c r="G361" s="4">
        <f>IFERROR(__xludf.DUMMYFUNCTION("""COMPUTED_VALUE"""),21925.0)</f>
        <v>21925</v>
      </c>
      <c r="H361" s="5">
        <f>IFERROR(__xludf.DUMMYFUNCTION("""COMPUTED_VALUE"""),1377.2)</f>
        <v>1377.2</v>
      </c>
    </row>
    <row r="362">
      <c r="A362" s="2" t="str">
        <f>IFERROR(__xludf.DUMMYFUNCTION("""COMPUTED_VALUE"""),"Pilar de la Horadada")</f>
        <v>Pilar de la Horadada</v>
      </c>
      <c r="B362" s="2" t="str">
        <f>IFERROR(__xludf.DUMMYFUNCTION("""COMPUTED_VALUE"""),"Vega Baja del Segura")</f>
        <v>Vega Baja del Segura</v>
      </c>
      <c r="C362" s="2" t="str">
        <f>IFERROR(__xludf.DUMMYFUNCTION("""COMPUTED_VALUE"""),"Provincia de Alicante")</f>
        <v>Provincia de Alicante</v>
      </c>
      <c r="D362" s="2" t="str">
        <f>IFERROR(__xludf.DUMMYFUNCTION("""COMPUTED_VALUE"""),"Comunidad Valenciana")</f>
        <v>Comunidad Valenciana</v>
      </c>
      <c r="E362" s="2">
        <f>IFERROR(__xludf.DUMMYFUNCTION("""COMPUTED_VALUE"""),35.0)</f>
        <v>35</v>
      </c>
      <c r="F362" s="2">
        <f>IFERROR(__xludf.DUMMYFUNCTION("""COMPUTED_VALUE"""),77.81)</f>
        <v>77.81</v>
      </c>
      <c r="G362" s="4">
        <f>IFERROR(__xludf.DUMMYFUNCTION("""COMPUTED_VALUE"""),21905.0)</f>
        <v>21905</v>
      </c>
      <c r="H362" s="2">
        <f>IFERROR(__xludf.DUMMYFUNCTION("""COMPUTED_VALUE"""),281.52)</f>
        <v>281.52</v>
      </c>
    </row>
    <row r="363">
      <c r="A363" s="2" t="str">
        <f>IFERROR(__xludf.DUMMYFUNCTION("""COMPUTED_VALUE"""),"Alcalá la Real")</f>
        <v>Alcalá la Real</v>
      </c>
      <c r="B363" s="2" t="str">
        <f>IFERROR(__xludf.DUMMYFUNCTION("""COMPUTED_VALUE"""),"Sierra Sur")</f>
        <v>Sierra Sur</v>
      </c>
      <c r="C363" s="2" t="str">
        <f>IFERROR(__xludf.DUMMYFUNCTION("""COMPUTED_VALUE"""),"Provincia de Jaén")</f>
        <v>Provincia de Jaén</v>
      </c>
      <c r="D363" s="2" t="str">
        <f>IFERROR(__xludf.DUMMYFUNCTION("""COMPUTED_VALUE"""),"Andalucía")</f>
        <v>Andalucía</v>
      </c>
      <c r="E363" s="2">
        <f>IFERROR(__xludf.DUMMYFUNCTION("""COMPUTED_VALUE"""),918.0)</f>
        <v>918</v>
      </c>
      <c r="F363" s="2">
        <f>IFERROR(__xludf.DUMMYFUNCTION("""COMPUTED_VALUE"""),261.36)</f>
        <v>261.36</v>
      </c>
      <c r="G363" s="4">
        <f>IFERROR(__xludf.DUMMYFUNCTION("""COMPUTED_VALUE"""),21605.0)</f>
        <v>21605</v>
      </c>
      <c r="H363" s="2">
        <f>IFERROR(__xludf.DUMMYFUNCTION("""COMPUTED_VALUE"""),82.66)</f>
        <v>82.66</v>
      </c>
    </row>
    <row r="364">
      <c r="A364" s="2" t="str">
        <f>IFERROR(__xludf.DUMMYFUNCTION("""COMPUTED_VALUE"""),"Las Torres de Cotillas")</f>
        <v>Las Torres de Cotillas</v>
      </c>
      <c r="B364" s="2" t="str">
        <f>IFERROR(__xludf.DUMMYFUNCTION("""COMPUTED_VALUE"""),"Vega Media del Segura")</f>
        <v>Vega Media del Segura</v>
      </c>
      <c r="C364" s="2" t="str">
        <f>IFERROR(__xludf.DUMMYFUNCTION("""COMPUTED_VALUE"""),"Provincia de Murcia")</f>
        <v>Provincia de Murcia</v>
      </c>
      <c r="D364" s="2" t="str">
        <f>IFERROR(__xludf.DUMMYFUNCTION("""COMPUTED_VALUE"""),"Región de Murcia")</f>
        <v>Región de Murcia</v>
      </c>
      <c r="E364" s="2">
        <f>IFERROR(__xludf.DUMMYFUNCTION("""COMPUTED_VALUE"""),82.0)</f>
        <v>82</v>
      </c>
      <c r="F364" s="2">
        <f>IFERROR(__xludf.DUMMYFUNCTION("""COMPUTED_VALUE"""),38.76)</f>
        <v>38.76</v>
      </c>
      <c r="G364" s="4">
        <f>IFERROR(__xludf.DUMMYFUNCTION("""COMPUTED_VALUE"""),21471.0)</f>
        <v>21471</v>
      </c>
      <c r="H364" s="2">
        <f>IFERROR(__xludf.DUMMYFUNCTION("""COMPUTED_VALUE"""),553.95)</f>
        <v>553.95</v>
      </c>
    </row>
    <row r="365">
      <c r="A365" s="2" t="str">
        <f>IFERROR(__xludf.DUMMYFUNCTION("""COMPUTED_VALUE"""),"Villanueva de la Cañada")</f>
        <v>Villanueva de la Cañada</v>
      </c>
      <c r="B365" s="2" t="str">
        <f>IFERROR(__xludf.DUMMYFUNCTION("""COMPUTED_VALUE"""),"La Encina")</f>
        <v>La Encina</v>
      </c>
      <c r="C365" s="2" t="str">
        <f>IFERROR(__xludf.DUMMYFUNCTION("""COMPUTED_VALUE"""),"Provincia de Madrid")</f>
        <v>Provincia de Madrid</v>
      </c>
      <c r="D365" s="2" t="str">
        <f>IFERROR(__xludf.DUMMYFUNCTION("""COMPUTED_VALUE"""),"Comunidad de Madrid")</f>
        <v>Comunidad de Madrid</v>
      </c>
      <c r="E365" s="2">
        <f>IFERROR(__xludf.DUMMYFUNCTION("""COMPUTED_VALUE"""),652.0)</f>
        <v>652</v>
      </c>
      <c r="F365" s="2">
        <f>IFERROR(__xludf.DUMMYFUNCTION("""COMPUTED_VALUE"""),34.92)</f>
        <v>34.92</v>
      </c>
      <c r="G365" s="4">
        <f>IFERROR(__xludf.DUMMYFUNCTION("""COMPUTED_VALUE"""),21445.0)</f>
        <v>21445</v>
      </c>
      <c r="H365" s="2">
        <f>IFERROR(__xludf.DUMMYFUNCTION("""COMPUTED_VALUE"""),614.12)</f>
        <v>614.12</v>
      </c>
    </row>
    <row r="366">
      <c r="A366" s="2" t="str">
        <f>IFERROR(__xludf.DUMMYFUNCTION("""COMPUTED_VALUE"""),"San Juan de Aznalfarache")</f>
        <v>San Juan de Aznalfarache</v>
      </c>
      <c r="B366" s="2" t="str">
        <f>IFERROR(__xludf.DUMMYFUNCTION("""COMPUTED_VALUE"""),"Comarca Metropolitana de Sevilla")</f>
        <v>Comarca Metropolitana de Sevilla</v>
      </c>
      <c r="C366" s="2" t="str">
        <f>IFERROR(__xludf.DUMMYFUNCTION("""COMPUTED_VALUE"""),"Provincia de Sevilla")</f>
        <v>Provincia de Sevilla</v>
      </c>
      <c r="D366" s="2" t="str">
        <f>IFERROR(__xludf.DUMMYFUNCTION("""COMPUTED_VALUE"""),"Andalucía")</f>
        <v>Andalucía</v>
      </c>
      <c r="E366" s="2">
        <f>IFERROR(__xludf.DUMMYFUNCTION("""COMPUTED_VALUE"""),49.0)</f>
        <v>49</v>
      </c>
      <c r="F366" s="2">
        <f>IFERROR(__xludf.DUMMYFUNCTION("""COMPUTED_VALUE"""),4.11)</f>
        <v>4.11</v>
      </c>
      <c r="G366" s="4">
        <f>IFERROR(__xludf.DUMMYFUNCTION("""COMPUTED_VALUE"""),21416.0)</f>
        <v>21416</v>
      </c>
      <c r="H366" s="5">
        <f>IFERROR(__xludf.DUMMYFUNCTION("""COMPUTED_VALUE"""),5210.71)</f>
        <v>5210.71</v>
      </c>
    </row>
    <row r="367">
      <c r="A367" s="2" t="str">
        <f>IFERROR(__xludf.DUMMYFUNCTION("""COMPUTED_VALUE"""),"Guía de Isora")</f>
        <v>Guía de Isora</v>
      </c>
      <c r="B367" s="2" t="str">
        <f>IFERROR(__xludf.DUMMYFUNCTION("""COMPUTED_VALUE"""),"Comarca del Suroeste (Tenerife)")</f>
        <v>Comarca del Suroeste (Tenerife)</v>
      </c>
      <c r="C367" s="2" t="str">
        <f>IFERROR(__xludf.DUMMYFUNCTION("""COMPUTED_VALUE"""),"Provincia de Santa Cruz de Tenerife")</f>
        <v>Provincia de Santa Cruz de Tenerife</v>
      </c>
      <c r="D367" s="2" t="str">
        <f>IFERROR(__xludf.DUMMYFUNCTION("""COMPUTED_VALUE"""),"Canarias")</f>
        <v>Canarias</v>
      </c>
      <c r="E367" s="2">
        <f>IFERROR(__xludf.DUMMYFUNCTION("""COMPUTED_VALUE"""),540.0)</f>
        <v>540</v>
      </c>
      <c r="F367" s="2">
        <f>IFERROR(__xludf.DUMMYFUNCTION("""COMPUTED_VALUE"""),144.1)</f>
        <v>144.1</v>
      </c>
      <c r="G367" s="4">
        <f>IFERROR(__xludf.DUMMYFUNCTION("""COMPUTED_VALUE"""),21368.0)</f>
        <v>21368</v>
      </c>
      <c r="H367" s="2">
        <f>IFERROR(__xludf.DUMMYFUNCTION("""COMPUTED_VALUE"""),148.29)</f>
        <v>148.29</v>
      </c>
    </row>
    <row r="368">
      <c r="A368" s="2" t="str">
        <f>IFERROR(__xludf.DUMMYFUNCTION("""COMPUTED_VALUE"""),"Isla Cristina")</f>
        <v>Isla Cristina</v>
      </c>
      <c r="B368" s="2" t="str">
        <f>IFERROR(__xludf.DUMMYFUNCTION("""COMPUTED_VALUE"""),"Costa Occidental")</f>
        <v>Costa Occidental</v>
      </c>
      <c r="C368" s="2" t="str">
        <f>IFERROR(__xludf.DUMMYFUNCTION("""COMPUTED_VALUE"""),"Provincia de Huelva")</f>
        <v>Provincia de Huelva</v>
      </c>
      <c r="D368" s="2" t="str">
        <f>IFERROR(__xludf.DUMMYFUNCTION("""COMPUTED_VALUE"""),"Andalucía")</f>
        <v>Andalucía</v>
      </c>
      <c r="E368" s="2">
        <f>IFERROR(__xludf.DUMMYFUNCTION("""COMPUTED_VALUE"""),3.0)</f>
        <v>3</v>
      </c>
      <c r="F368" s="2">
        <f>IFERROR(__xludf.DUMMYFUNCTION("""COMPUTED_VALUE"""),49.36)</f>
        <v>49.36</v>
      </c>
      <c r="G368" s="4">
        <f>IFERROR(__xludf.DUMMYFUNCTION("""COMPUTED_VALUE"""),21264.0)</f>
        <v>21264</v>
      </c>
      <c r="H368" s="2">
        <f>IFERROR(__xludf.DUMMYFUNCTION("""COMPUTED_VALUE"""),430.79)</f>
        <v>430.79</v>
      </c>
    </row>
    <row r="369">
      <c r="A369" s="2" t="str">
        <f>IFERROR(__xludf.DUMMYFUNCTION("""COMPUTED_VALUE"""),"Aljaraque")</f>
        <v>Aljaraque</v>
      </c>
      <c r="B369" s="2"/>
      <c r="C369" s="2" t="str">
        <f>IFERROR(__xludf.DUMMYFUNCTION("""COMPUTED_VALUE"""),"Provincia de Huelva")</f>
        <v>Provincia de Huelva</v>
      </c>
      <c r="D369" s="2" t="str">
        <f>IFERROR(__xludf.DUMMYFUNCTION("""COMPUTED_VALUE"""),"Andalucía")</f>
        <v>Andalucía</v>
      </c>
      <c r="E369" s="2">
        <f>IFERROR(__xludf.DUMMYFUNCTION("""COMPUTED_VALUE"""),35.0)</f>
        <v>35</v>
      </c>
      <c r="F369" s="2">
        <f>IFERROR(__xludf.DUMMYFUNCTION("""COMPUTED_VALUE"""),33.82)</f>
        <v>33.82</v>
      </c>
      <c r="G369" s="4">
        <f>IFERROR(__xludf.DUMMYFUNCTION("""COMPUTED_VALUE"""),21260.0)</f>
        <v>21260</v>
      </c>
      <c r="H369" s="2">
        <f>IFERROR(__xludf.DUMMYFUNCTION("""COMPUTED_VALUE"""),628.62)</f>
        <v>628.62</v>
      </c>
    </row>
    <row r="370">
      <c r="A370" s="2" t="str">
        <f>IFERROR(__xludf.DUMMYFUNCTION("""COMPUTED_VALUE"""),"Egüés")</f>
        <v>Egüés</v>
      </c>
      <c r="B370" s="2" t="str">
        <f>IFERROR(__xludf.DUMMYFUNCTION("""COMPUTED_VALUE"""),"Cuenca de Pamplona")</f>
        <v>Cuenca de Pamplona</v>
      </c>
      <c r="C370" s="2" t="str">
        <f>IFERROR(__xludf.DUMMYFUNCTION("""COMPUTED_VALUE"""),"Provincia de Navarra")</f>
        <v>Provincia de Navarra</v>
      </c>
      <c r="D370" s="2" t="str">
        <f>IFERROR(__xludf.DUMMYFUNCTION("""COMPUTED_VALUE"""),"Comunidad Foral de Navarra")</f>
        <v>Comunidad Foral de Navarra</v>
      </c>
      <c r="E370" s="2">
        <f>IFERROR(__xludf.DUMMYFUNCTION("""COMPUTED_VALUE"""),503.0)</f>
        <v>503</v>
      </c>
      <c r="F370" s="2">
        <f>IFERROR(__xludf.DUMMYFUNCTION("""COMPUTED_VALUE"""),53.26)</f>
        <v>53.26</v>
      </c>
      <c r="G370" s="4">
        <f>IFERROR(__xludf.DUMMYFUNCTION("""COMPUTED_VALUE"""),21128.0)</f>
        <v>21128</v>
      </c>
      <c r="H370" s="2">
        <f>IFERROR(__xludf.DUMMYFUNCTION("""COMPUTED_VALUE"""),396.7)</f>
        <v>396.7</v>
      </c>
    </row>
    <row r="371">
      <c r="A371" s="2" t="str">
        <f>IFERROR(__xludf.DUMMYFUNCTION("""COMPUTED_VALUE"""),"Las Gabias")</f>
        <v>Las Gabias</v>
      </c>
      <c r="B371" s="2" t="str">
        <f>IFERROR(__xludf.DUMMYFUNCTION("""COMPUTED_VALUE"""),"Vega de Granada")</f>
        <v>Vega de Granada</v>
      </c>
      <c r="C371" s="2" t="str">
        <f>IFERROR(__xludf.DUMMYFUNCTION("""COMPUTED_VALUE"""),"Provincia de Granada")</f>
        <v>Provincia de Granada</v>
      </c>
      <c r="D371" s="2" t="str">
        <f>IFERROR(__xludf.DUMMYFUNCTION("""COMPUTED_VALUE"""),"Andalucía")</f>
        <v>Andalucía</v>
      </c>
      <c r="E371" s="2">
        <f>IFERROR(__xludf.DUMMYFUNCTION("""COMPUTED_VALUE"""),677.0)</f>
        <v>677</v>
      </c>
      <c r="F371" s="2">
        <f>IFERROR(__xludf.DUMMYFUNCTION("""COMPUTED_VALUE"""),39.06)</f>
        <v>39.06</v>
      </c>
      <c r="G371" s="4">
        <f>IFERROR(__xludf.DUMMYFUNCTION("""COMPUTED_VALUE"""),21115.0)</f>
        <v>21115</v>
      </c>
      <c r="H371" s="2">
        <f>IFERROR(__xludf.DUMMYFUNCTION("""COMPUTED_VALUE"""),540.58)</f>
        <v>540.58</v>
      </c>
    </row>
    <row r="372">
      <c r="A372" s="2" t="str">
        <f>IFERROR(__xludf.DUMMYFUNCTION("""COMPUTED_VALUE"""),"Pájara")</f>
        <v>Pájara</v>
      </c>
      <c r="B372" s="2"/>
      <c r="C372" s="2" t="str">
        <f>IFERROR(__xludf.DUMMYFUNCTION("""COMPUTED_VALUE"""),"Provincia de Las Palmas")</f>
        <v>Provincia de Las Palmas</v>
      </c>
      <c r="D372" s="2" t="str">
        <f>IFERROR(__xludf.DUMMYFUNCTION("""COMPUTED_VALUE"""),"Canarias")</f>
        <v>Canarias</v>
      </c>
      <c r="E372" s="2">
        <f>IFERROR(__xludf.DUMMYFUNCTION("""COMPUTED_VALUE"""),196.0)</f>
        <v>196</v>
      </c>
      <c r="F372" s="2">
        <f>IFERROR(__xludf.DUMMYFUNCTION("""COMPUTED_VALUE"""),383.52)</f>
        <v>383.52</v>
      </c>
      <c r="G372" s="4">
        <f>IFERROR(__xludf.DUMMYFUNCTION("""COMPUTED_VALUE"""),21093.0)</f>
        <v>21093</v>
      </c>
      <c r="H372" s="2">
        <f>IFERROR(__xludf.DUMMYFUNCTION("""COMPUTED_VALUE"""),55.0)</f>
        <v>55</v>
      </c>
    </row>
    <row r="373">
      <c r="A373" s="2" t="str">
        <f>IFERROR(__xludf.DUMMYFUNCTION("""COMPUTED_VALUE"""),"Nerja")</f>
        <v>Nerja</v>
      </c>
      <c r="B373" s="2" t="str">
        <f>IFERROR(__xludf.DUMMYFUNCTION("""COMPUTED_VALUE"""),"Axarquía - Costa del Sol")</f>
        <v>Axarquía - Costa del Sol</v>
      </c>
      <c r="C373" s="2" t="str">
        <f>IFERROR(__xludf.DUMMYFUNCTION("""COMPUTED_VALUE"""),"Provincia de Málaga")</f>
        <v>Provincia de Málaga</v>
      </c>
      <c r="D373" s="2" t="str">
        <f>IFERROR(__xludf.DUMMYFUNCTION("""COMPUTED_VALUE"""),"Andalucía")</f>
        <v>Andalucía</v>
      </c>
      <c r="E373" s="2">
        <f>IFERROR(__xludf.DUMMYFUNCTION("""COMPUTED_VALUE"""),26.0)</f>
        <v>26</v>
      </c>
      <c r="F373" s="2">
        <f>IFERROR(__xludf.DUMMYFUNCTION("""COMPUTED_VALUE"""),85.12)</f>
        <v>85.12</v>
      </c>
      <c r="G373" s="4">
        <f>IFERROR(__xludf.DUMMYFUNCTION("""COMPUTED_VALUE"""),21091.0)</f>
        <v>21091</v>
      </c>
      <c r="H373" s="2">
        <f>IFERROR(__xludf.DUMMYFUNCTION("""COMPUTED_VALUE"""),247.78)</f>
        <v>247.78</v>
      </c>
    </row>
    <row r="374">
      <c r="A374" s="2" t="str">
        <f>IFERROR(__xludf.DUMMYFUNCTION("""COMPUTED_VALUE"""),"Palma del Río")</f>
        <v>Palma del Río</v>
      </c>
      <c r="B374" s="2" t="str">
        <f>IFERROR(__xludf.DUMMYFUNCTION("""COMPUTED_VALUE"""),"Valle Medio del Guadalquivir")</f>
        <v>Valle Medio del Guadalquivir</v>
      </c>
      <c r="C374" s="2" t="str">
        <f>IFERROR(__xludf.DUMMYFUNCTION("""COMPUTED_VALUE"""),"Provincia de Córdoba")</f>
        <v>Provincia de Córdoba</v>
      </c>
      <c r="D374" s="2" t="str">
        <f>IFERROR(__xludf.DUMMYFUNCTION("""COMPUTED_VALUE"""),"Andalucía")</f>
        <v>Andalucía</v>
      </c>
      <c r="E374" s="2">
        <f>IFERROR(__xludf.DUMMYFUNCTION("""COMPUTED_VALUE"""),55.0)</f>
        <v>55</v>
      </c>
      <c r="F374" s="2">
        <f>IFERROR(__xludf.DUMMYFUNCTION("""COMPUTED_VALUE"""),200.19)</f>
        <v>200.19</v>
      </c>
      <c r="G374" s="4">
        <f>IFERROR(__xludf.DUMMYFUNCTION("""COMPUTED_VALUE"""),21064.0)</f>
        <v>21064</v>
      </c>
      <c r="H374" s="2">
        <f>IFERROR(__xludf.DUMMYFUNCTION("""COMPUTED_VALUE"""),105.22)</f>
        <v>105.22</v>
      </c>
    </row>
    <row r="375">
      <c r="A375" s="2" t="str">
        <f>IFERROR(__xludf.DUMMYFUNCTION("""COMPUTED_VALUE"""),"Ayamonte")</f>
        <v>Ayamonte</v>
      </c>
      <c r="B375" s="2" t="str">
        <f>IFERROR(__xludf.DUMMYFUNCTION("""COMPUTED_VALUE"""),"Costa Occidental de Huelva")</f>
        <v>Costa Occidental de Huelva</v>
      </c>
      <c r="C375" s="2" t="str">
        <f>IFERROR(__xludf.DUMMYFUNCTION("""COMPUTED_VALUE"""),"Provincia de Huelva")</f>
        <v>Provincia de Huelva</v>
      </c>
      <c r="D375" s="2" t="str">
        <f>IFERROR(__xludf.DUMMYFUNCTION("""COMPUTED_VALUE"""),"Andalucía")</f>
        <v>Andalucía</v>
      </c>
      <c r="E375" s="2">
        <f>IFERROR(__xludf.DUMMYFUNCTION("""COMPUTED_VALUE"""),63.0)</f>
        <v>63</v>
      </c>
      <c r="F375" s="2">
        <f>IFERROR(__xludf.DUMMYFUNCTION("""COMPUTED_VALUE"""),141.29)</f>
        <v>141.29</v>
      </c>
      <c r="G375" s="4">
        <f>IFERROR(__xludf.DUMMYFUNCTION("""COMPUTED_VALUE"""),20946.0)</f>
        <v>20946</v>
      </c>
      <c r="H375" s="2">
        <f>IFERROR(__xludf.DUMMYFUNCTION("""COMPUTED_VALUE"""),148.25)</f>
        <v>148.25</v>
      </c>
    </row>
    <row r="376">
      <c r="A376" s="2" t="str">
        <f>IFERROR(__xludf.DUMMYFUNCTION("""COMPUTED_VALUE"""),"Picassent")</f>
        <v>Picassent</v>
      </c>
      <c r="B376" s="2" t="str">
        <f>IFERROR(__xludf.DUMMYFUNCTION("""COMPUTED_VALUE"""),"Huerta Sur")</f>
        <v>Huerta Sur</v>
      </c>
      <c r="C376" s="2" t="str">
        <f>IFERROR(__xludf.DUMMYFUNCTION("""COMPUTED_VALUE"""),"Provincia de València")</f>
        <v>Provincia de València</v>
      </c>
      <c r="D376" s="2" t="str">
        <f>IFERROR(__xludf.DUMMYFUNCTION("""COMPUTED_VALUE"""),"Comunidad Valenciana")</f>
        <v>Comunidad Valenciana</v>
      </c>
      <c r="E376" s="2">
        <f>IFERROR(__xludf.DUMMYFUNCTION("""COMPUTED_VALUE"""),50.0)</f>
        <v>50</v>
      </c>
      <c r="F376" s="2">
        <f>IFERROR(__xludf.DUMMYFUNCTION("""COMPUTED_VALUE"""),85.79)</f>
        <v>85.79</v>
      </c>
      <c r="G376" s="4">
        <f>IFERROR(__xludf.DUMMYFUNCTION("""COMPUTED_VALUE"""),20942.0)</f>
        <v>20942</v>
      </c>
      <c r="H376" s="2">
        <f>IFERROR(__xludf.DUMMYFUNCTION("""COMPUTED_VALUE"""),244.11)</f>
        <v>244.11</v>
      </c>
    </row>
    <row r="377">
      <c r="A377" s="2" t="str">
        <f>IFERROR(__xludf.DUMMYFUNCTION("""COMPUTED_VALUE"""),"Alfafar")</f>
        <v>Alfafar</v>
      </c>
      <c r="B377" s="2" t="str">
        <f>IFERROR(__xludf.DUMMYFUNCTION("""COMPUTED_VALUE"""),"Huerta Sur")</f>
        <v>Huerta Sur</v>
      </c>
      <c r="C377" s="2" t="str">
        <f>IFERROR(__xludf.DUMMYFUNCTION("""COMPUTED_VALUE"""),"Provincia de València")</f>
        <v>Provincia de València</v>
      </c>
      <c r="D377" s="2" t="str">
        <f>IFERROR(__xludf.DUMMYFUNCTION("""COMPUTED_VALUE"""),"Comunidad Valenciana")</f>
        <v>Comunidad Valenciana</v>
      </c>
      <c r="E377" s="2">
        <f>IFERROR(__xludf.DUMMYFUNCTION("""COMPUTED_VALUE"""),6.0)</f>
        <v>6</v>
      </c>
      <c r="F377" s="2">
        <f>IFERROR(__xludf.DUMMYFUNCTION("""COMPUTED_VALUE"""),10.04)</f>
        <v>10.04</v>
      </c>
      <c r="G377" s="4">
        <f>IFERROR(__xludf.DUMMYFUNCTION("""COMPUTED_VALUE"""),20890.0)</f>
        <v>20890</v>
      </c>
      <c r="H377" s="5">
        <f>IFERROR(__xludf.DUMMYFUNCTION("""COMPUTED_VALUE"""),2080.68)</f>
        <v>2080.68</v>
      </c>
    </row>
    <row r="378">
      <c r="A378" s="2" t="str">
        <f>IFERROR(__xludf.DUMMYFUNCTION("""COMPUTED_VALUE"""),"San Miguel de Abona")</f>
        <v>San Miguel de Abona</v>
      </c>
      <c r="B378" s="2" t="str">
        <f>IFERROR(__xludf.DUMMYFUNCTION("""COMPUTED_VALUE"""),"Comarca de Abona")</f>
        <v>Comarca de Abona</v>
      </c>
      <c r="C378" s="2" t="str">
        <f>IFERROR(__xludf.DUMMYFUNCTION("""COMPUTED_VALUE"""),"Provincia de Santa Cruz de Tenerife")</f>
        <v>Provincia de Santa Cruz de Tenerife</v>
      </c>
      <c r="D378" s="2" t="str">
        <f>IFERROR(__xludf.DUMMYFUNCTION("""COMPUTED_VALUE"""),"Canarias")</f>
        <v>Canarias</v>
      </c>
      <c r="E378" s="2">
        <f>IFERROR(__xludf.DUMMYFUNCTION("""COMPUTED_VALUE"""),580.0)</f>
        <v>580</v>
      </c>
      <c r="F378" s="2">
        <f>IFERROR(__xludf.DUMMYFUNCTION("""COMPUTED_VALUE"""),42.04)</f>
        <v>42.04</v>
      </c>
      <c r="G378" s="4">
        <f>IFERROR(__xludf.DUMMYFUNCTION("""COMPUTED_VALUE"""),20886.0)</f>
        <v>20886</v>
      </c>
      <c r="H378" s="2">
        <f>IFERROR(__xludf.DUMMYFUNCTION("""COMPUTED_VALUE"""),496.81)</f>
        <v>496.81</v>
      </c>
    </row>
    <row r="379">
      <c r="A379" s="2" t="str">
        <f>IFERROR(__xludf.DUMMYFUNCTION("""COMPUTED_VALUE"""),"Vilassar de Mar")</f>
        <v>Vilassar de Mar</v>
      </c>
      <c r="B379" s="2" t="str">
        <f>IFERROR(__xludf.DUMMYFUNCTION("""COMPUTED_VALUE"""),"El Maresme")</f>
        <v>El Maresme</v>
      </c>
      <c r="C379" s="2" t="str">
        <f>IFERROR(__xludf.DUMMYFUNCTION("""COMPUTED_VALUE"""),"Provincia de Barcelona")</f>
        <v>Provincia de Barcelona</v>
      </c>
      <c r="D379" s="2" t="str">
        <f>IFERROR(__xludf.DUMMYFUNCTION("""COMPUTED_VALUE"""),"Cataluña")</f>
        <v>Cataluña</v>
      </c>
      <c r="E379" s="2">
        <f>IFERROR(__xludf.DUMMYFUNCTION("""COMPUTED_VALUE"""),10.0)</f>
        <v>10</v>
      </c>
      <c r="F379" s="2">
        <f>IFERROR(__xludf.DUMMYFUNCTION("""COMPUTED_VALUE"""),3.96)</f>
        <v>3.96</v>
      </c>
      <c r="G379" s="4">
        <f>IFERROR(__xludf.DUMMYFUNCTION("""COMPUTED_VALUE"""),20837.0)</f>
        <v>20837</v>
      </c>
      <c r="H379" s="5">
        <f>IFERROR(__xludf.DUMMYFUNCTION("""COMPUTED_VALUE"""),5261.87)</f>
        <v>5261.87</v>
      </c>
    </row>
    <row r="380">
      <c r="A380" s="2" t="str">
        <f>IFERROR(__xludf.DUMMYFUNCTION("""COMPUTED_VALUE"""),"Almoradí")</f>
        <v>Almoradí</v>
      </c>
      <c r="B380" s="2" t="str">
        <f>IFERROR(__xludf.DUMMYFUNCTION("""COMPUTED_VALUE"""),"Vega Baja del Segura")</f>
        <v>Vega Baja del Segura</v>
      </c>
      <c r="C380" s="2" t="str">
        <f>IFERROR(__xludf.DUMMYFUNCTION("""COMPUTED_VALUE"""),"Provincia de Alicante")</f>
        <v>Provincia de Alicante</v>
      </c>
      <c r="D380" s="2" t="str">
        <f>IFERROR(__xludf.DUMMYFUNCTION("""COMPUTED_VALUE"""),"Comunidad Valenciana")</f>
        <v>Comunidad Valenciana</v>
      </c>
      <c r="E380" s="2">
        <f>IFERROR(__xludf.DUMMYFUNCTION("""COMPUTED_VALUE"""),9.0)</f>
        <v>9</v>
      </c>
      <c r="F380" s="2">
        <f>IFERROR(__xludf.DUMMYFUNCTION("""COMPUTED_VALUE"""),42.69)</f>
        <v>42.69</v>
      </c>
      <c r="G380" s="4">
        <f>IFERROR(__xludf.DUMMYFUNCTION("""COMPUTED_VALUE"""),20803.0)</f>
        <v>20803</v>
      </c>
      <c r="H380" s="2">
        <f>IFERROR(__xludf.DUMMYFUNCTION("""COMPUTED_VALUE"""),487.3)</f>
        <v>487.3</v>
      </c>
    </row>
    <row r="381">
      <c r="A381" s="2" t="str">
        <f>IFERROR(__xludf.DUMMYFUNCTION("""COMPUTED_VALUE"""),"Amposta")</f>
        <v>Amposta</v>
      </c>
      <c r="B381" s="2" t="str">
        <f>IFERROR(__xludf.DUMMYFUNCTION("""COMPUTED_VALUE"""),"Montsiá")</f>
        <v>Montsiá</v>
      </c>
      <c r="C381" s="2" t="str">
        <f>IFERROR(__xludf.DUMMYFUNCTION("""COMPUTED_VALUE"""),"Provincia de Tarragona")</f>
        <v>Provincia de Tarragona</v>
      </c>
      <c r="D381" s="2" t="str">
        <f>IFERROR(__xludf.DUMMYFUNCTION("""COMPUTED_VALUE"""),"Cataluña")</f>
        <v>Cataluña</v>
      </c>
      <c r="E381" s="2">
        <f>IFERROR(__xludf.DUMMYFUNCTION("""COMPUTED_VALUE"""),8.0)</f>
        <v>8</v>
      </c>
      <c r="F381" s="2">
        <f>IFERROR(__xludf.DUMMYFUNCTION("""COMPUTED_VALUE"""),137.65)</f>
        <v>137.65</v>
      </c>
      <c r="G381" s="4">
        <f>IFERROR(__xludf.DUMMYFUNCTION("""COMPUTED_VALUE"""),20738.0)</f>
        <v>20738</v>
      </c>
      <c r="H381" s="2">
        <f>IFERROR(__xludf.DUMMYFUNCTION("""COMPUTED_VALUE"""),150.66)</f>
        <v>150.66</v>
      </c>
    </row>
    <row r="382">
      <c r="A382" s="2" t="str">
        <f>IFERROR(__xludf.DUMMYFUNCTION("""COMPUTED_VALUE"""),"Aspe")</f>
        <v>Aspe</v>
      </c>
      <c r="B382" s="2" t="str">
        <f>IFERROR(__xludf.DUMMYFUNCTION("""COMPUTED_VALUE"""),"Medio Vinalopó")</f>
        <v>Medio Vinalopó</v>
      </c>
      <c r="C382" s="2" t="str">
        <f>IFERROR(__xludf.DUMMYFUNCTION("""COMPUTED_VALUE"""),"Provincia de Alicante")</f>
        <v>Provincia de Alicante</v>
      </c>
      <c r="D382" s="2" t="str">
        <f>IFERROR(__xludf.DUMMYFUNCTION("""COMPUTED_VALUE"""),"Comunidad Valenciana")</f>
        <v>Comunidad Valenciana</v>
      </c>
      <c r="E382" s="2">
        <f>IFERROR(__xludf.DUMMYFUNCTION("""COMPUTED_VALUE"""),241.0)</f>
        <v>241</v>
      </c>
      <c r="F382" s="2">
        <f>IFERROR(__xludf.DUMMYFUNCTION("""COMPUTED_VALUE"""),70.57)</f>
        <v>70.57</v>
      </c>
      <c r="G382" s="4">
        <f>IFERROR(__xludf.DUMMYFUNCTION("""COMPUTED_VALUE"""),20714.0)</f>
        <v>20714</v>
      </c>
      <c r="H382" s="2">
        <f>IFERROR(__xludf.DUMMYFUNCTION("""COMPUTED_VALUE"""),293.52)</f>
        <v>293.52</v>
      </c>
    </row>
    <row r="383">
      <c r="A383" s="2" t="str">
        <f>IFERROR(__xludf.DUMMYFUNCTION("""COMPUTED_VALUE"""),"Algete")</f>
        <v>Algete</v>
      </c>
      <c r="B383" s="2" t="str">
        <f>IFERROR(__xludf.DUMMYFUNCTION("""COMPUTED_VALUE"""),"Comarca de Alcalá")</f>
        <v>Comarca de Alcalá</v>
      </c>
      <c r="C383" s="2" t="str">
        <f>IFERROR(__xludf.DUMMYFUNCTION("""COMPUTED_VALUE"""),"Provincia de Madrid")</f>
        <v>Provincia de Madrid</v>
      </c>
      <c r="D383" s="2" t="str">
        <f>IFERROR(__xludf.DUMMYFUNCTION("""COMPUTED_VALUE"""),"Comunidad de Madrid")</f>
        <v>Comunidad de Madrid</v>
      </c>
      <c r="E383" s="2">
        <f>IFERROR(__xludf.DUMMYFUNCTION("""COMPUTED_VALUE"""),741.0)</f>
        <v>741</v>
      </c>
      <c r="F383" s="2">
        <f>IFERROR(__xludf.DUMMYFUNCTION("""COMPUTED_VALUE"""),37.88)</f>
        <v>37.88</v>
      </c>
      <c r="G383" s="4">
        <f>IFERROR(__xludf.DUMMYFUNCTION("""COMPUTED_VALUE"""),20611.0)</f>
        <v>20611</v>
      </c>
      <c r="H383" s="2">
        <f>IFERROR(__xludf.DUMMYFUNCTION("""COMPUTED_VALUE"""),544.11)</f>
        <v>544.11</v>
      </c>
    </row>
    <row r="384">
      <c r="A384" s="2" t="str">
        <f>IFERROR(__xludf.DUMMYFUNCTION("""COMPUTED_VALUE"""),"Manlleu")</f>
        <v>Manlleu</v>
      </c>
      <c r="B384" s="2" t="str">
        <f>IFERROR(__xludf.DUMMYFUNCTION("""COMPUTED_VALUE"""),"Osona")</f>
        <v>Osona</v>
      </c>
      <c r="C384" s="2" t="str">
        <f>IFERROR(__xludf.DUMMYFUNCTION("""COMPUTED_VALUE"""),"Provincia de Barcelona")</f>
        <v>Provincia de Barcelona</v>
      </c>
      <c r="D384" s="2" t="str">
        <f>IFERROR(__xludf.DUMMYFUNCTION("""COMPUTED_VALUE"""),"Cataluña")</f>
        <v>Cataluña</v>
      </c>
      <c r="E384" s="2">
        <f>IFERROR(__xludf.DUMMYFUNCTION("""COMPUTED_VALUE"""),461.0)</f>
        <v>461</v>
      </c>
      <c r="F384" s="2">
        <f>IFERROR(__xludf.DUMMYFUNCTION("""COMPUTED_VALUE"""),17.29)</f>
        <v>17.29</v>
      </c>
      <c r="G384" s="4">
        <f>IFERROR(__xludf.DUMMYFUNCTION("""COMPUTED_VALUE"""),20573.0)</f>
        <v>20573</v>
      </c>
      <c r="H384" s="5">
        <f>IFERROR(__xludf.DUMMYFUNCTION("""COMPUTED_VALUE"""),1189.88)</f>
        <v>1189.88</v>
      </c>
    </row>
    <row r="385">
      <c r="A385" s="2" t="str">
        <f>IFERROR(__xludf.DUMMYFUNCTION("""COMPUTED_VALUE"""),"Medina del Campo")</f>
        <v>Medina del Campo</v>
      </c>
      <c r="B385" s="2" t="str">
        <f>IFERROR(__xludf.DUMMYFUNCTION("""COMPUTED_VALUE"""),"Tierras de Medina")</f>
        <v>Tierras de Medina</v>
      </c>
      <c r="C385" s="2" t="str">
        <f>IFERROR(__xludf.DUMMYFUNCTION("""COMPUTED_VALUE"""),"Provincia de Valladolid")</f>
        <v>Provincia de Valladolid</v>
      </c>
      <c r="D385" s="2" t="str">
        <f>IFERROR(__xludf.DUMMYFUNCTION("""COMPUTED_VALUE"""),"Castilla y León")</f>
        <v>Castilla y León</v>
      </c>
      <c r="E385" s="2">
        <f>IFERROR(__xludf.DUMMYFUNCTION("""COMPUTED_VALUE"""),720.0)</f>
        <v>720</v>
      </c>
      <c r="F385" s="2">
        <f>IFERROR(__xludf.DUMMYFUNCTION("""COMPUTED_VALUE"""),153.14)</f>
        <v>153.14</v>
      </c>
      <c r="G385" s="4">
        <f>IFERROR(__xludf.DUMMYFUNCTION("""COMPUTED_VALUE"""),20510.0)</f>
        <v>20510</v>
      </c>
      <c r="H385" s="2">
        <f>IFERROR(__xludf.DUMMYFUNCTION("""COMPUTED_VALUE"""),133.93)</f>
        <v>133.93</v>
      </c>
    </row>
    <row r="386">
      <c r="A386" s="2" t="str">
        <f>IFERROR(__xludf.DUMMYFUNCTION("""COMPUTED_VALUE"""),"L'Alfàs del Pi")</f>
        <v>L'Alfàs del Pi</v>
      </c>
      <c r="B386" s="2" t="str">
        <f>IFERROR(__xludf.DUMMYFUNCTION("""COMPUTED_VALUE"""),"Marina Baja")</f>
        <v>Marina Baja</v>
      </c>
      <c r="C386" s="2" t="str">
        <f>IFERROR(__xludf.DUMMYFUNCTION("""COMPUTED_VALUE"""),"Provincia de Alicante")</f>
        <v>Provincia de Alicante</v>
      </c>
      <c r="D386" s="2" t="str">
        <f>IFERROR(__xludf.DUMMYFUNCTION("""COMPUTED_VALUE"""),"Comunidad Valenciana")</f>
        <v>Comunidad Valenciana</v>
      </c>
      <c r="E386" s="2">
        <f>IFERROR(__xludf.DUMMYFUNCTION("""COMPUTED_VALUE"""),88.0)</f>
        <v>88</v>
      </c>
      <c r="F386" s="2">
        <f>IFERROR(__xludf.DUMMYFUNCTION("""COMPUTED_VALUE"""),19.26)</f>
        <v>19.26</v>
      </c>
      <c r="G386" s="4">
        <f>IFERROR(__xludf.DUMMYFUNCTION("""COMPUTED_VALUE"""),20482.0)</f>
        <v>20482</v>
      </c>
      <c r="H386" s="5">
        <f>IFERROR(__xludf.DUMMYFUNCTION("""COMPUTED_VALUE"""),1063.45)</f>
        <v>1063.45</v>
      </c>
    </row>
    <row r="387">
      <c r="A387" s="2" t="str">
        <f>IFERROR(__xludf.DUMMYFUNCTION("""COMPUTED_VALUE"""),"A Estrada")</f>
        <v>A Estrada</v>
      </c>
      <c r="B387" s="2" t="str">
        <f>IFERROR(__xludf.DUMMYFUNCTION("""COMPUTED_VALUE"""),"Comarca de Tabeirós - Tierra de Montes")</f>
        <v>Comarca de Tabeirós - Tierra de Montes</v>
      </c>
      <c r="C387" s="2" t="str">
        <f>IFERROR(__xludf.DUMMYFUNCTION("""COMPUTED_VALUE"""),"Provincia de Pontevedra")</f>
        <v>Provincia de Pontevedra</v>
      </c>
      <c r="D387" s="2" t="str">
        <f>IFERROR(__xludf.DUMMYFUNCTION("""COMPUTED_VALUE"""),"Galicia")</f>
        <v>Galicia</v>
      </c>
      <c r="E387" s="2">
        <f>IFERROR(__xludf.DUMMYFUNCTION("""COMPUTED_VALUE"""),281.0)</f>
        <v>281</v>
      </c>
      <c r="F387" s="2">
        <f>IFERROR(__xludf.DUMMYFUNCTION("""COMPUTED_VALUE"""),280.74)</f>
        <v>280.74</v>
      </c>
      <c r="G387" s="4">
        <f>IFERROR(__xludf.DUMMYFUNCTION("""COMPUTED_VALUE"""),20479.0)</f>
        <v>20479</v>
      </c>
      <c r="H387" s="2">
        <f>IFERROR(__xludf.DUMMYFUNCTION("""COMPUTED_VALUE"""),72.95)</f>
        <v>72.95</v>
      </c>
    </row>
    <row r="388">
      <c r="A388" s="2" t="str">
        <f>IFERROR(__xludf.DUMMYFUNCTION("""COMPUTED_VALUE"""),"Los Llanos de Aridane")</f>
        <v>Los Llanos de Aridane</v>
      </c>
      <c r="B388" s="2"/>
      <c r="C388" s="2" t="str">
        <f>IFERROR(__xludf.DUMMYFUNCTION("""COMPUTED_VALUE"""),"Provincia de Santa Cruz de Tenerife")</f>
        <v>Provincia de Santa Cruz de Tenerife</v>
      </c>
      <c r="D388" s="2" t="str">
        <f>IFERROR(__xludf.DUMMYFUNCTION("""COMPUTED_VALUE"""),"Canarias")</f>
        <v>Canarias</v>
      </c>
      <c r="E388" s="2">
        <f>IFERROR(__xludf.DUMMYFUNCTION("""COMPUTED_VALUE"""),340.0)</f>
        <v>340</v>
      </c>
      <c r="F388" s="2">
        <f>IFERROR(__xludf.DUMMYFUNCTION("""COMPUTED_VALUE"""),35.6)</f>
        <v>35.6</v>
      </c>
      <c r="G388" s="4">
        <f>IFERROR(__xludf.DUMMYFUNCTION("""COMPUTED_VALUE"""),20467.0)</f>
        <v>20467</v>
      </c>
      <c r="H388" s="2">
        <f>IFERROR(__xludf.DUMMYFUNCTION("""COMPUTED_VALUE"""),574.92)</f>
        <v>574.92</v>
      </c>
    </row>
    <row r="389">
      <c r="A389" s="2" t="str">
        <f>IFERROR(__xludf.DUMMYFUNCTION("""COMPUTED_VALUE"""),"Baza")</f>
        <v>Baza</v>
      </c>
      <c r="B389" s="2" t="str">
        <f>IFERROR(__xludf.DUMMYFUNCTION("""COMPUTED_VALUE"""),"Comarca de Baza")</f>
        <v>Comarca de Baza</v>
      </c>
      <c r="C389" s="2" t="str">
        <f>IFERROR(__xludf.DUMMYFUNCTION("""COMPUTED_VALUE"""),"Provincia de Granada")</f>
        <v>Provincia de Granada</v>
      </c>
      <c r="D389" s="2" t="str">
        <f>IFERROR(__xludf.DUMMYFUNCTION("""COMPUTED_VALUE"""),"Andalucía")</f>
        <v>Andalucía</v>
      </c>
      <c r="E389" s="2">
        <f>IFERROR(__xludf.DUMMYFUNCTION("""COMPUTED_VALUE"""),844.0)</f>
        <v>844</v>
      </c>
      <c r="F389" s="2">
        <f>IFERROR(__xludf.DUMMYFUNCTION("""COMPUTED_VALUE"""),545.39)</f>
        <v>545.39</v>
      </c>
      <c r="G389" s="4">
        <f>IFERROR(__xludf.DUMMYFUNCTION("""COMPUTED_VALUE"""),20412.0)</f>
        <v>20412</v>
      </c>
      <c r="H389" s="2">
        <f>IFERROR(__xludf.DUMMYFUNCTION("""COMPUTED_VALUE"""),37.43)</f>
        <v>37.43</v>
      </c>
    </row>
    <row r="390">
      <c r="A390" s="2" t="str">
        <f>IFERROR(__xludf.DUMMYFUNCTION("""COMPUTED_VALUE"""),"Carcaixent")</f>
        <v>Carcaixent</v>
      </c>
      <c r="B390" s="2" t="str">
        <f>IFERROR(__xludf.DUMMYFUNCTION("""COMPUTED_VALUE"""),"Ribera Alta (Valencia)")</f>
        <v>Ribera Alta (Valencia)</v>
      </c>
      <c r="C390" s="2" t="str">
        <f>IFERROR(__xludf.DUMMYFUNCTION("""COMPUTED_VALUE"""),"Provincia de València")</f>
        <v>Provincia de València</v>
      </c>
      <c r="D390" s="2" t="str">
        <f>IFERROR(__xludf.DUMMYFUNCTION("""COMPUTED_VALUE"""),"Comunidad Valenciana")</f>
        <v>Comunidad Valenciana</v>
      </c>
      <c r="E390" s="2">
        <f>IFERROR(__xludf.DUMMYFUNCTION("""COMPUTED_VALUE"""),21.0)</f>
        <v>21</v>
      </c>
      <c r="F390" s="2">
        <f>IFERROR(__xludf.DUMMYFUNCTION("""COMPUTED_VALUE"""),59.25)</f>
        <v>59.25</v>
      </c>
      <c r="G390" s="4">
        <f>IFERROR(__xludf.DUMMYFUNCTION("""COMPUTED_VALUE"""),20358.0)</f>
        <v>20358</v>
      </c>
      <c r="H390" s="2">
        <f>IFERROR(__xludf.DUMMYFUNCTION("""COMPUTED_VALUE"""),343.59)</f>
        <v>343.59</v>
      </c>
    </row>
    <row r="391">
      <c r="A391" s="2" t="str">
        <f>IFERROR(__xludf.DUMMYFUNCTION("""COMPUTED_VALUE"""),"Hernani")</f>
        <v>Hernani</v>
      </c>
      <c r="B391" s="2" t="str">
        <f>IFERROR(__xludf.DUMMYFUNCTION("""COMPUTED_VALUE"""),"Comarca de San Sebastián")</f>
        <v>Comarca de San Sebastián</v>
      </c>
      <c r="C391" s="2" t="str">
        <f>IFERROR(__xludf.DUMMYFUNCTION("""COMPUTED_VALUE"""),"Provincia de Gipuzkoa")</f>
        <v>Provincia de Gipuzkoa</v>
      </c>
      <c r="D391" s="2" t="str">
        <f>IFERROR(__xludf.DUMMYFUNCTION("""COMPUTED_VALUE"""),"País Vasco")</f>
        <v>País Vasco</v>
      </c>
      <c r="E391" s="2">
        <f>IFERROR(__xludf.DUMMYFUNCTION("""COMPUTED_VALUE"""),44.0)</f>
        <v>44</v>
      </c>
      <c r="F391" s="2">
        <f>IFERROR(__xludf.DUMMYFUNCTION("""COMPUTED_VALUE"""),39.81)</f>
        <v>39.81</v>
      </c>
      <c r="G391" s="4">
        <f>IFERROR(__xludf.DUMMYFUNCTION("""COMPUTED_VALUE"""),20354.0)</f>
        <v>20354</v>
      </c>
      <c r="H391" s="2">
        <f>IFERROR(__xludf.DUMMYFUNCTION("""COMPUTED_VALUE"""),511.28)</f>
        <v>511.28</v>
      </c>
    </row>
    <row r="392">
      <c r="A392" s="2" t="str">
        <f>IFERROR(__xludf.DUMMYFUNCTION("""COMPUTED_VALUE"""),"Loja")</f>
        <v>Loja</v>
      </c>
      <c r="B392" s="2" t="str">
        <f>IFERROR(__xludf.DUMMYFUNCTION("""COMPUTED_VALUE"""),"Comarca de Loja")</f>
        <v>Comarca de Loja</v>
      </c>
      <c r="C392" s="2" t="str">
        <f>IFERROR(__xludf.DUMMYFUNCTION("""COMPUTED_VALUE"""),"Provincia de Granada")</f>
        <v>Provincia de Granada</v>
      </c>
      <c r="D392" s="2" t="str">
        <f>IFERROR(__xludf.DUMMYFUNCTION("""COMPUTED_VALUE"""),"Andalucía")</f>
        <v>Andalucía</v>
      </c>
      <c r="E392" s="2">
        <f>IFERROR(__xludf.DUMMYFUNCTION("""COMPUTED_VALUE"""),448.0)</f>
        <v>448</v>
      </c>
      <c r="F392" s="2">
        <f>IFERROR(__xludf.DUMMYFUNCTION("""COMPUTED_VALUE"""),447.53)</f>
        <v>447.53</v>
      </c>
      <c r="G392" s="4">
        <f>IFERROR(__xludf.DUMMYFUNCTION("""COMPUTED_VALUE"""),20342.0)</f>
        <v>20342</v>
      </c>
      <c r="H392" s="2">
        <f>IFERROR(__xludf.DUMMYFUNCTION("""COMPUTED_VALUE"""),45.45)</f>
        <v>45.45</v>
      </c>
    </row>
    <row r="393">
      <c r="A393" s="2" t="str">
        <f>IFERROR(__xludf.DUMMYFUNCTION("""COMPUTED_VALUE"""),"Cabra (Córdoba)")</f>
        <v>Cabra (Córdoba)</v>
      </c>
      <c r="B393" s="2" t="str">
        <f>IFERROR(__xludf.DUMMYFUNCTION("""COMPUTED_VALUE"""),"Subbética (Córdoba)")</f>
        <v>Subbética (Córdoba)</v>
      </c>
      <c r="C393" s="2" t="str">
        <f>IFERROR(__xludf.DUMMYFUNCTION("""COMPUTED_VALUE"""),"Provincia de Córdoba")</f>
        <v>Provincia de Córdoba</v>
      </c>
      <c r="D393" s="2" t="str">
        <f>IFERROR(__xludf.DUMMYFUNCTION("""COMPUTED_VALUE"""),"Andalucía")</f>
        <v>Andalucía</v>
      </c>
      <c r="E393" s="2">
        <f>IFERROR(__xludf.DUMMYFUNCTION("""COMPUTED_VALUE"""),458.0)</f>
        <v>458</v>
      </c>
      <c r="F393" s="2">
        <f>IFERROR(__xludf.DUMMYFUNCTION("""COMPUTED_VALUE"""),229.08)</f>
        <v>229.08</v>
      </c>
      <c r="G393" s="4">
        <f>IFERROR(__xludf.DUMMYFUNCTION("""COMPUTED_VALUE"""),20341.0)</f>
        <v>20341</v>
      </c>
      <c r="H393" s="2">
        <f>IFERROR(__xludf.DUMMYFUNCTION("""COMPUTED_VALUE"""),88.79)</f>
        <v>88.79</v>
      </c>
    </row>
    <row r="394">
      <c r="A394" s="2" t="str">
        <f>IFERROR(__xludf.DUMMYFUNCTION("""COMPUTED_VALUE"""),"Requena")</f>
        <v>Requena</v>
      </c>
      <c r="B394" s="2" t="str">
        <f>IFERROR(__xludf.DUMMYFUNCTION("""COMPUTED_VALUE"""),"Requena-Utiel")</f>
        <v>Requena-Utiel</v>
      </c>
      <c r="C394" s="2" t="str">
        <f>IFERROR(__xludf.DUMMYFUNCTION("""COMPUTED_VALUE"""),"Provincia de València")</f>
        <v>Provincia de València</v>
      </c>
      <c r="D394" s="2" t="str">
        <f>IFERROR(__xludf.DUMMYFUNCTION("""COMPUTED_VALUE"""),"Comunidad Valenciana")</f>
        <v>Comunidad Valenciana</v>
      </c>
      <c r="E394" s="2">
        <f>IFERROR(__xludf.DUMMYFUNCTION("""COMPUTED_VALUE"""),692.0)</f>
        <v>692</v>
      </c>
      <c r="F394" s="2">
        <f>IFERROR(__xludf.DUMMYFUNCTION("""COMPUTED_VALUE"""),814.4)</f>
        <v>814.4</v>
      </c>
      <c r="G394" s="4">
        <f>IFERROR(__xludf.DUMMYFUNCTION("""COMPUTED_VALUE"""),20254.0)</f>
        <v>20254</v>
      </c>
      <c r="H394" s="2">
        <f>IFERROR(__xludf.DUMMYFUNCTION("""COMPUTED_VALUE"""),24.87)</f>
        <v>24.87</v>
      </c>
    </row>
    <row r="395">
      <c r="A395" s="2" t="str">
        <f>IFERROR(__xludf.DUMMYFUNCTION("""COMPUTED_VALUE"""),"Alcúdia")</f>
        <v>Alcúdia</v>
      </c>
      <c r="B395" s="2" t="str">
        <f>IFERROR(__xludf.DUMMYFUNCTION("""COMPUTED_VALUE"""),"Raiguer
Mallorca")</f>
        <v>Raiguer
Mallorca</v>
      </c>
      <c r="C395" s="2" t="str">
        <f>IFERROR(__xludf.DUMMYFUNCTION("""COMPUTED_VALUE"""),"Provincia de Baleares")</f>
        <v>Provincia de Baleares</v>
      </c>
      <c r="D395" s="2" t="str">
        <f>IFERROR(__xludf.DUMMYFUNCTION("""COMPUTED_VALUE"""),"Islas Baleares")</f>
        <v>Islas Baleares</v>
      </c>
      <c r="E395" s="2">
        <f>IFERROR(__xludf.DUMMYFUNCTION("""COMPUTED_VALUE"""),15.0)</f>
        <v>15</v>
      </c>
      <c r="F395" s="2">
        <f>IFERROR(__xludf.DUMMYFUNCTION("""COMPUTED_VALUE"""),60.02)</f>
        <v>60.02</v>
      </c>
      <c r="G395" s="4">
        <f>IFERROR(__xludf.DUMMYFUNCTION("""COMPUTED_VALUE"""),20241.0)</f>
        <v>20241</v>
      </c>
      <c r="H395" s="2">
        <f>IFERROR(__xludf.DUMMYFUNCTION("""COMPUTED_VALUE"""),337.24)</f>
        <v>337.24</v>
      </c>
    </row>
    <row r="396">
      <c r="A396" s="2" t="str">
        <f>IFERROR(__xludf.DUMMYFUNCTION("""COMPUTED_VALUE"""),"La Unión")</f>
        <v>La Unión</v>
      </c>
      <c r="B396" s="2" t="str">
        <f>IFERROR(__xludf.DUMMYFUNCTION("""COMPUTED_VALUE"""),"Campo de Cartagena")</f>
        <v>Campo de Cartagena</v>
      </c>
      <c r="C396" s="2" t="str">
        <f>IFERROR(__xludf.DUMMYFUNCTION("""COMPUTED_VALUE"""),"Provincia de Murcia")</f>
        <v>Provincia de Murcia</v>
      </c>
      <c r="D396" s="2" t="str">
        <f>IFERROR(__xludf.DUMMYFUNCTION("""COMPUTED_VALUE"""),"Región de Murcia")</f>
        <v>Región de Murcia</v>
      </c>
      <c r="E396" s="2">
        <f>IFERROR(__xludf.DUMMYFUNCTION("""COMPUTED_VALUE"""),86.0)</f>
        <v>86</v>
      </c>
      <c r="F396" s="2">
        <f>IFERROR(__xludf.DUMMYFUNCTION("""COMPUTED_VALUE"""),25.75)</f>
        <v>25.75</v>
      </c>
      <c r="G396" s="4">
        <f>IFERROR(__xludf.DUMMYFUNCTION("""COMPUTED_VALUE"""),20225.0)</f>
        <v>20225</v>
      </c>
      <c r="H396" s="2">
        <f>IFERROR(__xludf.DUMMYFUNCTION("""COMPUTED_VALUE"""),785.44)</f>
        <v>785.44</v>
      </c>
    </row>
    <row r="397">
      <c r="A397" s="2" t="str">
        <f>IFERROR(__xludf.DUMMYFUNCTION("""COMPUTED_VALUE"""),"Lalín")</f>
        <v>Lalín</v>
      </c>
      <c r="B397" s="2"/>
      <c r="C397" s="2" t="str">
        <f>IFERROR(__xludf.DUMMYFUNCTION("""COMPUTED_VALUE"""),"Provincia de Pontevedra")</f>
        <v>Provincia de Pontevedra</v>
      </c>
      <c r="D397" s="2" t="str">
        <f>IFERROR(__xludf.DUMMYFUNCTION("""COMPUTED_VALUE"""),"Galicia")</f>
        <v>Galicia</v>
      </c>
      <c r="E397" s="2">
        <f>IFERROR(__xludf.DUMMYFUNCTION("""COMPUTED_VALUE"""),541.0)</f>
        <v>541</v>
      </c>
      <c r="F397" s="2">
        <f>IFERROR(__xludf.DUMMYFUNCTION("""COMPUTED_VALUE"""),326.83)</f>
        <v>326.83</v>
      </c>
      <c r="G397" s="4">
        <f>IFERROR(__xludf.DUMMYFUNCTION("""COMPUTED_VALUE"""),20218.0)</f>
        <v>20218</v>
      </c>
      <c r="H397" s="2">
        <f>IFERROR(__xludf.DUMMYFUNCTION("""COMPUTED_VALUE"""),61.86)</f>
        <v>61.86</v>
      </c>
    </row>
    <row r="398">
      <c r="A398" s="2" t="str">
        <f>IFERROR(__xludf.DUMMYFUNCTION("""COMPUTED_VALUE"""),"Barañain")</f>
        <v>Barañain</v>
      </c>
      <c r="B398" s="2" t="str">
        <f>IFERROR(__xludf.DUMMYFUNCTION("""COMPUTED_VALUE"""),"Cuenca de Pamplona")</f>
        <v>Cuenca de Pamplona</v>
      </c>
      <c r="C398" s="2" t="str">
        <f>IFERROR(__xludf.DUMMYFUNCTION("""COMPUTED_VALUE"""),"Provincia de Navarra")</f>
        <v>Provincia de Navarra</v>
      </c>
      <c r="D398" s="2" t="str">
        <f>IFERROR(__xludf.DUMMYFUNCTION("""COMPUTED_VALUE"""),"Comunidad Foral de Navarra")</f>
        <v>Comunidad Foral de Navarra</v>
      </c>
      <c r="E398" s="2">
        <f>IFERROR(__xludf.DUMMYFUNCTION("""COMPUTED_VALUE"""),434.0)</f>
        <v>434</v>
      </c>
      <c r="F398" s="2">
        <f>IFERROR(__xludf.DUMMYFUNCTION("""COMPUTED_VALUE"""),1.39)</f>
        <v>1.39</v>
      </c>
      <c r="G398" s="4">
        <f>IFERROR(__xludf.DUMMYFUNCTION("""COMPUTED_VALUE"""),20199.0)</f>
        <v>20199</v>
      </c>
      <c r="H398" s="5">
        <f>IFERROR(__xludf.DUMMYFUNCTION("""COMPUTED_VALUE"""),14531.65)</f>
        <v>14531.65</v>
      </c>
    </row>
    <row r="399">
      <c r="A399" s="2" t="str">
        <f>IFERROR(__xludf.DUMMYFUNCTION("""COMPUTED_VALUE"""),"Güímar")</f>
        <v>Güímar</v>
      </c>
      <c r="B399" s="2" t="str">
        <f>IFERROR(__xludf.DUMMYFUNCTION("""COMPUTED_VALUE"""),"Comarca del Valle de Güímar")</f>
        <v>Comarca del Valle de Güímar</v>
      </c>
      <c r="C399" s="2" t="str">
        <f>IFERROR(__xludf.DUMMYFUNCTION("""COMPUTED_VALUE"""),"Provincia de Santa Cruz de Tenerife")</f>
        <v>Provincia de Santa Cruz de Tenerife</v>
      </c>
      <c r="D399" s="2" t="str">
        <f>IFERROR(__xludf.DUMMYFUNCTION("""COMPUTED_VALUE"""),"Canarias")</f>
        <v>Canarias</v>
      </c>
      <c r="E399" s="2">
        <f>IFERROR(__xludf.DUMMYFUNCTION("""COMPUTED_VALUE"""),289.0)</f>
        <v>289</v>
      </c>
      <c r="F399" s="2">
        <f>IFERROR(__xludf.DUMMYFUNCTION("""COMPUTED_VALUE"""),102.89)</f>
        <v>102.89</v>
      </c>
      <c r="G399" s="4">
        <f>IFERROR(__xludf.DUMMYFUNCTION("""COMPUTED_VALUE"""),20190.0)</f>
        <v>20190</v>
      </c>
      <c r="H399" s="2">
        <f>IFERROR(__xludf.DUMMYFUNCTION("""COMPUTED_VALUE"""),196.23)</f>
        <v>196.23</v>
      </c>
    </row>
    <row r="400">
      <c r="A400" s="2" t="str">
        <f>IFERROR(__xludf.DUMMYFUNCTION("""COMPUTED_VALUE"""),"Arroyo de la Encomienda")</f>
        <v>Arroyo de la Encomienda</v>
      </c>
      <c r="B400" s="2" t="str">
        <f>IFERROR(__xludf.DUMMYFUNCTION("""COMPUTED_VALUE"""),"Campiña del Pisuerga")</f>
        <v>Campiña del Pisuerga</v>
      </c>
      <c r="C400" s="2" t="str">
        <f>IFERROR(__xludf.DUMMYFUNCTION("""COMPUTED_VALUE"""),"Provincia de Valladolid")</f>
        <v>Provincia de Valladolid</v>
      </c>
      <c r="D400" s="2" t="str">
        <f>IFERROR(__xludf.DUMMYFUNCTION("""COMPUTED_VALUE"""),"Castilla y León")</f>
        <v>Castilla y León</v>
      </c>
      <c r="E400" s="2">
        <f>IFERROR(__xludf.DUMMYFUNCTION("""COMPUTED_VALUE"""),690.0)</f>
        <v>690</v>
      </c>
      <c r="F400" s="2">
        <f>IFERROR(__xludf.DUMMYFUNCTION("""COMPUTED_VALUE"""),11.91)</f>
        <v>11.91</v>
      </c>
      <c r="G400" s="4">
        <f>IFERROR(__xludf.DUMMYFUNCTION("""COMPUTED_VALUE"""),20179.0)</f>
        <v>20179</v>
      </c>
      <c r="H400" s="5">
        <f>IFERROR(__xludf.DUMMYFUNCTION("""COMPUTED_VALUE"""),1694.29)</f>
        <v>1694.29</v>
      </c>
    </row>
    <row r="401">
      <c r="A401" s="2" t="str">
        <f>IFERROR(__xludf.DUMMYFUNCTION("""COMPUTED_VALUE"""),"Tías")</f>
        <v>Tías</v>
      </c>
      <c r="B401" s="2"/>
      <c r="C401" s="2" t="str">
        <f>IFERROR(__xludf.DUMMYFUNCTION("""COMPUTED_VALUE"""),"Provincia de Las Palmas")</f>
        <v>Provincia de Las Palmas</v>
      </c>
      <c r="D401" s="2" t="str">
        <f>IFERROR(__xludf.DUMMYFUNCTION("""COMPUTED_VALUE"""),"Canarias")</f>
        <v>Canarias</v>
      </c>
      <c r="E401" s="2">
        <f>IFERROR(__xludf.DUMMYFUNCTION("""COMPUTED_VALUE"""),200.0)</f>
        <v>200</v>
      </c>
      <c r="F401" s="2">
        <f>IFERROR(__xludf.DUMMYFUNCTION("""COMPUTED_VALUE"""),64.32)</f>
        <v>64.32</v>
      </c>
      <c r="G401" s="4">
        <f>IFERROR(__xludf.DUMMYFUNCTION("""COMPUTED_VALUE"""),20170.0)</f>
        <v>20170</v>
      </c>
      <c r="H401" s="2">
        <f>IFERROR(__xludf.DUMMYFUNCTION("""COMPUTED_VALUE"""),313.59)</f>
        <v>313.59</v>
      </c>
    </row>
    <row r="402">
      <c r="A402" s="2" t="str">
        <f>IFERROR(__xludf.DUMMYFUNCTION("""COMPUTED_VALUE"""),"Sant Quirze del Vallès")</f>
        <v>Sant Quirze del Vallès</v>
      </c>
      <c r="B402" s="2" t="str">
        <f>IFERROR(__xludf.DUMMYFUNCTION("""COMPUTED_VALUE"""),"Vallès Occidental")</f>
        <v>Vallès Occidental</v>
      </c>
      <c r="C402" s="2" t="str">
        <f>IFERROR(__xludf.DUMMYFUNCTION("""COMPUTED_VALUE"""),"Provincia de Barcelona")</f>
        <v>Provincia de Barcelona</v>
      </c>
      <c r="D402" s="2" t="str">
        <f>IFERROR(__xludf.DUMMYFUNCTION("""COMPUTED_VALUE"""),"Cataluña")</f>
        <v>Cataluña</v>
      </c>
      <c r="E402" s="2">
        <f>IFERROR(__xludf.DUMMYFUNCTION("""COMPUTED_VALUE"""),188.0)</f>
        <v>188</v>
      </c>
      <c r="F402" s="2">
        <f>IFERROR(__xludf.DUMMYFUNCTION("""COMPUTED_VALUE"""),14.46)</f>
        <v>14.46</v>
      </c>
      <c r="G402" s="4">
        <f>IFERROR(__xludf.DUMMYFUNCTION("""COMPUTED_VALUE"""),20141.0)</f>
        <v>20141</v>
      </c>
      <c r="H402" s="5">
        <f>IFERROR(__xludf.DUMMYFUNCTION("""COMPUTED_VALUE"""),1392.88)</f>
        <v>1392.88</v>
      </c>
    </row>
    <row r="403">
      <c r="A403" s="2" t="str">
        <f>IFERROR(__xludf.DUMMYFUNCTION("""COMPUTED_VALUE"""),"Les Franqueses del Vallès")</f>
        <v>Les Franqueses del Vallès</v>
      </c>
      <c r="B403" s="2" t="str">
        <f>IFERROR(__xludf.DUMMYFUNCTION("""COMPUTED_VALUE"""),"Vallès Oriental")</f>
        <v>Vallès Oriental</v>
      </c>
      <c r="C403" s="2" t="str">
        <f>IFERROR(__xludf.DUMMYFUNCTION("""COMPUTED_VALUE"""),"Provincia de Barcelona")</f>
        <v>Provincia de Barcelona</v>
      </c>
      <c r="D403" s="2" t="str">
        <f>IFERROR(__xludf.DUMMYFUNCTION("""COMPUTED_VALUE"""),"Cataluña")</f>
        <v>Cataluña</v>
      </c>
      <c r="E403" s="2">
        <f>IFERROR(__xludf.DUMMYFUNCTION("""COMPUTED_VALUE"""),181.0)</f>
        <v>181</v>
      </c>
      <c r="F403" s="2">
        <f>IFERROR(__xludf.DUMMYFUNCTION("""COMPUTED_VALUE"""),29.74)</f>
        <v>29.74</v>
      </c>
      <c r="G403" s="4">
        <f>IFERROR(__xludf.DUMMYFUNCTION("""COMPUTED_VALUE"""),20092.0)</f>
        <v>20092</v>
      </c>
      <c r="H403" s="2">
        <f>IFERROR(__xludf.DUMMYFUNCTION("""COMPUTED_VALUE"""),675.59)</f>
        <v>675.59</v>
      </c>
    </row>
    <row r="404">
      <c r="A404" s="2" t="str">
        <f>IFERROR(__xludf.DUMMYFUNCTION("""COMPUTED_VALUE"""),"Mogán")</f>
        <v>Mogán</v>
      </c>
      <c r="B404" s="2"/>
      <c r="C404" s="2" t="str">
        <f>IFERROR(__xludf.DUMMYFUNCTION("""COMPUTED_VALUE"""),"Provincia de Las Palmas")</f>
        <v>Provincia de Las Palmas</v>
      </c>
      <c r="D404" s="2" t="str">
        <f>IFERROR(__xludf.DUMMYFUNCTION("""COMPUTED_VALUE"""),"Canarias")</f>
        <v>Canarias</v>
      </c>
      <c r="E404" s="2">
        <f>IFERROR(__xludf.DUMMYFUNCTION("""COMPUTED_VALUE"""),253.0)</f>
        <v>253</v>
      </c>
      <c r="F404" s="2">
        <f>IFERROR(__xludf.DUMMYFUNCTION("""COMPUTED_VALUE"""),171.42)</f>
        <v>171.42</v>
      </c>
      <c r="G404" s="4">
        <f>IFERROR(__xludf.DUMMYFUNCTION("""COMPUTED_VALUE"""),20072.0)</f>
        <v>20072</v>
      </c>
      <c r="H404" s="2">
        <f>IFERROR(__xludf.DUMMYFUNCTION("""COMPUTED_VALUE"""),117.09)</f>
        <v>117.09</v>
      </c>
    </row>
    <row r="405">
      <c r="A405" s="2" t="str">
        <f>IFERROR(__xludf.DUMMYFUNCTION("""COMPUTED_VALUE"""),"Calatayud")</f>
        <v>Calatayud</v>
      </c>
      <c r="B405" s="2" t="str">
        <f>IFERROR(__xludf.DUMMYFUNCTION("""COMPUTED_VALUE"""),"Comunidad de Calatayud")</f>
        <v>Comunidad de Calatayud</v>
      </c>
      <c r="C405" s="2" t="str">
        <f>IFERROR(__xludf.DUMMYFUNCTION("""COMPUTED_VALUE"""),"Provincia de Zaragoza")</f>
        <v>Provincia de Zaragoza</v>
      </c>
      <c r="D405" s="2" t="str">
        <f>IFERROR(__xludf.DUMMYFUNCTION("""COMPUTED_VALUE"""),"Aragón")</f>
        <v>Aragón</v>
      </c>
      <c r="E405" s="2">
        <f>IFERROR(__xludf.DUMMYFUNCTION("""COMPUTED_VALUE"""),530.0)</f>
        <v>530</v>
      </c>
      <c r="F405" s="2">
        <f>IFERROR(__xludf.DUMMYFUNCTION("""COMPUTED_VALUE"""),154.25)</f>
        <v>154.25</v>
      </c>
      <c r="G405" s="4">
        <f>IFERROR(__xludf.DUMMYFUNCTION("""COMPUTED_VALUE"""),20024.0)</f>
        <v>20024</v>
      </c>
      <c r="H405" s="2">
        <f>IFERROR(__xludf.DUMMYFUNCTION("""COMPUTED_VALUE"""),129.82)</f>
        <v>129.82</v>
      </c>
    </row>
    <row r="406">
      <c r="A406" s="2" t="str">
        <f>IFERROR(__xludf.DUMMYFUNCTION("""COMPUTED_VALUE"""),"Cartaya")</f>
        <v>Cartaya</v>
      </c>
      <c r="B406" s="2" t="str">
        <f>IFERROR(__xludf.DUMMYFUNCTION("""COMPUTED_VALUE"""),"Costa Occidental")</f>
        <v>Costa Occidental</v>
      </c>
      <c r="C406" s="2" t="str">
        <f>IFERROR(__xludf.DUMMYFUNCTION("""COMPUTED_VALUE"""),"Provincia de Huelva")</f>
        <v>Provincia de Huelva</v>
      </c>
      <c r="D406" s="2" t="str">
        <f>IFERROR(__xludf.DUMMYFUNCTION("""COMPUTED_VALUE"""),"Andalucía")</f>
        <v>Andalucía</v>
      </c>
      <c r="E406" s="2">
        <f>IFERROR(__xludf.DUMMYFUNCTION("""COMPUTED_VALUE"""),26.0)</f>
        <v>26</v>
      </c>
      <c r="F406" s="2">
        <f>IFERROR(__xludf.DUMMYFUNCTION("""COMPUTED_VALUE"""),225.32)</f>
        <v>225.32</v>
      </c>
      <c r="G406" s="4">
        <f>IFERROR(__xludf.DUMMYFUNCTION("""COMPUTED_VALUE"""),19974.0)</f>
        <v>19974</v>
      </c>
      <c r="H406" s="2">
        <f>IFERROR(__xludf.DUMMYFUNCTION("""COMPUTED_VALUE"""),88.65)</f>
        <v>88.65</v>
      </c>
    </row>
    <row r="407">
      <c r="A407" s="2" t="str">
        <f>IFERROR(__xludf.DUMMYFUNCTION("""COMPUTED_VALUE"""),"O Porriño")</f>
        <v>O Porriño</v>
      </c>
      <c r="B407" s="2" t="str">
        <f>IFERROR(__xludf.DUMMYFUNCTION("""COMPUTED_VALUE"""),"Comarca de Vigo")</f>
        <v>Comarca de Vigo</v>
      </c>
      <c r="C407" s="2" t="str">
        <f>IFERROR(__xludf.DUMMYFUNCTION("""COMPUTED_VALUE"""),"Provincia de Pontevedra")</f>
        <v>Provincia de Pontevedra</v>
      </c>
      <c r="D407" s="2" t="str">
        <f>IFERROR(__xludf.DUMMYFUNCTION("""COMPUTED_VALUE"""),"Galicia")</f>
        <v>Galicia</v>
      </c>
      <c r="E407" s="2">
        <f>IFERROR(__xludf.DUMMYFUNCTION("""COMPUTED_VALUE"""),109.0)</f>
        <v>109</v>
      </c>
      <c r="F407" s="2">
        <f>IFERROR(__xludf.DUMMYFUNCTION("""COMPUTED_VALUE"""),61.17)</f>
        <v>61.17</v>
      </c>
      <c r="G407" s="4">
        <f>IFERROR(__xludf.DUMMYFUNCTION("""COMPUTED_VALUE"""),19848.0)</f>
        <v>19848</v>
      </c>
      <c r="H407" s="2">
        <f>IFERROR(__xludf.DUMMYFUNCTION("""COMPUTED_VALUE"""),324.47)</f>
        <v>324.47</v>
      </c>
    </row>
    <row r="408">
      <c r="A408" s="2" t="str">
        <f>IFERROR(__xludf.DUMMYFUNCTION("""COMPUTED_VALUE"""),"Banyoles")</f>
        <v>Banyoles</v>
      </c>
      <c r="B408" s="2" t="str">
        <f>IFERROR(__xludf.DUMMYFUNCTION("""COMPUTED_VALUE"""),"Pla de l'Estany")</f>
        <v>Pla de l'Estany</v>
      </c>
      <c r="C408" s="2" t="str">
        <f>IFERROR(__xludf.DUMMYFUNCTION("""COMPUTED_VALUE"""),"Provincia de Girona")</f>
        <v>Provincia de Girona</v>
      </c>
      <c r="D408" s="2" t="str">
        <f>IFERROR(__xludf.DUMMYFUNCTION("""COMPUTED_VALUE"""),"Cataluña")</f>
        <v>Cataluña</v>
      </c>
      <c r="E408" s="2">
        <f>IFERROR(__xludf.DUMMYFUNCTION("""COMPUTED_VALUE"""),172.0)</f>
        <v>172</v>
      </c>
      <c r="F408" s="2">
        <f>IFERROR(__xludf.DUMMYFUNCTION("""COMPUTED_VALUE"""),11.02)</f>
        <v>11.02</v>
      </c>
      <c r="G408" s="4">
        <f>IFERROR(__xludf.DUMMYFUNCTION("""COMPUTED_VALUE"""),19826.0)</f>
        <v>19826</v>
      </c>
      <c r="H408" s="5">
        <f>IFERROR(__xludf.DUMMYFUNCTION("""COMPUTED_VALUE"""),1799.09)</f>
        <v>1799.09</v>
      </c>
    </row>
    <row r="409">
      <c r="A409" s="2" t="str">
        <f>IFERROR(__xludf.DUMMYFUNCTION("""COMPUTED_VALUE"""),"Humanes de Madrid")</f>
        <v>Humanes de Madrid</v>
      </c>
      <c r="B409" s="2" t="str">
        <f>IFERROR(__xludf.DUMMYFUNCTION("""COMPUTED_VALUE"""),"Comarca Sur")</f>
        <v>Comarca Sur</v>
      </c>
      <c r="C409" s="2" t="str">
        <f>IFERROR(__xludf.DUMMYFUNCTION("""COMPUTED_VALUE"""),"Provincia de Madrid")</f>
        <v>Provincia de Madrid</v>
      </c>
      <c r="D409" s="2" t="str">
        <f>IFERROR(__xludf.DUMMYFUNCTION("""COMPUTED_VALUE"""),"Comunidad de Madrid")</f>
        <v>Comunidad de Madrid</v>
      </c>
      <c r="E409" s="2">
        <f>IFERROR(__xludf.DUMMYFUNCTION("""COMPUTED_VALUE"""),677.0)</f>
        <v>677</v>
      </c>
      <c r="F409" s="2">
        <f>IFERROR(__xludf.DUMMYFUNCTION("""COMPUTED_VALUE"""),19.46)</f>
        <v>19.46</v>
      </c>
      <c r="G409" s="4">
        <f>IFERROR(__xludf.DUMMYFUNCTION("""COMPUTED_VALUE"""),19743.0)</f>
        <v>19743</v>
      </c>
      <c r="H409" s="5">
        <f>IFERROR(__xludf.DUMMYFUNCTION("""COMPUTED_VALUE"""),1014.54)</f>
        <v>1014.54</v>
      </c>
    </row>
    <row r="410">
      <c r="A410" s="2" t="str">
        <f>IFERROR(__xludf.DUMMYFUNCTION("""COMPUTED_VALUE"""),"Tolosa")</f>
        <v>Tolosa</v>
      </c>
      <c r="B410" s="2" t="str">
        <f>IFERROR(__xludf.DUMMYFUNCTION("""COMPUTED_VALUE"""),"Tolosaldea")</f>
        <v>Tolosaldea</v>
      </c>
      <c r="C410" s="2" t="str">
        <f>IFERROR(__xludf.DUMMYFUNCTION("""COMPUTED_VALUE"""),"Provincia de Gipuzkoa")</f>
        <v>Provincia de Gipuzkoa</v>
      </c>
      <c r="D410" s="2" t="str">
        <f>IFERROR(__xludf.DUMMYFUNCTION("""COMPUTED_VALUE"""),"País Vasco")</f>
        <v>País Vasco</v>
      </c>
      <c r="E410" s="2">
        <f>IFERROR(__xludf.DUMMYFUNCTION("""COMPUTED_VALUE"""),75.0)</f>
        <v>75</v>
      </c>
      <c r="F410" s="2">
        <f>IFERROR(__xludf.DUMMYFUNCTION("""COMPUTED_VALUE"""),37.39)</f>
        <v>37.39</v>
      </c>
      <c r="G410" s="4">
        <f>IFERROR(__xludf.DUMMYFUNCTION("""COMPUTED_VALUE"""),19667.0)</f>
        <v>19667</v>
      </c>
      <c r="H410" s="2">
        <f>IFERROR(__xludf.DUMMYFUNCTION("""COMPUTED_VALUE"""),526.0)</f>
        <v>526</v>
      </c>
    </row>
    <row r="411">
      <c r="A411" s="2" t="str">
        <f>IFERROR(__xludf.DUMMYFUNCTION("""COMPUTED_VALUE"""),"Roses")</f>
        <v>Roses</v>
      </c>
      <c r="B411" s="2" t="str">
        <f>IFERROR(__xludf.DUMMYFUNCTION("""COMPUTED_VALUE"""),"Alto Ampurdán")</f>
        <v>Alto Ampurdán</v>
      </c>
      <c r="C411" s="2" t="str">
        <f>IFERROR(__xludf.DUMMYFUNCTION("""COMPUTED_VALUE"""),"Provincia de Girona")</f>
        <v>Provincia de Girona</v>
      </c>
      <c r="D411" s="2" t="str">
        <f>IFERROR(__xludf.DUMMYFUNCTION("""COMPUTED_VALUE"""),"Cataluña")</f>
        <v>Cataluña</v>
      </c>
      <c r="E411" s="2">
        <f>IFERROR(__xludf.DUMMYFUNCTION("""COMPUTED_VALUE"""),5.0)</f>
        <v>5</v>
      </c>
      <c r="F411" s="2">
        <f>IFERROR(__xludf.DUMMYFUNCTION("""COMPUTED_VALUE"""),45.97)</f>
        <v>45.97</v>
      </c>
      <c r="G411" s="4">
        <f>IFERROR(__xludf.DUMMYFUNCTION("""COMPUTED_VALUE"""),19550.0)</f>
        <v>19550</v>
      </c>
      <c r="H411" s="2">
        <f>IFERROR(__xludf.DUMMYFUNCTION("""COMPUTED_VALUE"""),425.28)</f>
        <v>425.28</v>
      </c>
    </row>
    <row r="412">
      <c r="A412" s="2" t="str">
        <f>IFERROR(__xludf.DUMMYFUNCTION("""COMPUTED_VALUE"""),"Puçol")</f>
        <v>Puçol</v>
      </c>
      <c r="B412" s="2" t="str">
        <f>IFERROR(__xludf.DUMMYFUNCTION("""COMPUTED_VALUE"""),"Huerta Norte")</f>
        <v>Huerta Norte</v>
      </c>
      <c r="C412" s="2" t="str">
        <f>IFERROR(__xludf.DUMMYFUNCTION("""COMPUTED_VALUE"""),"Provincia de València")</f>
        <v>Provincia de València</v>
      </c>
      <c r="D412" s="2" t="str">
        <f>IFERROR(__xludf.DUMMYFUNCTION("""COMPUTED_VALUE"""),"Comunidad Valenciana")</f>
        <v>Comunidad Valenciana</v>
      </c>
      <c r="E412" s="2">
        <f>IFERROR(__xludf.DUMMYFUNCTION("""COMPUTED_VALUE"""),25.0)</f>
        <v>25</v>
      </c>
      <c r="F412" s="2">
        <f>IFERROR(__xludf.DUMMYFUNCTION("""COMPUTED_VALUE"""),18.1)</f>
        <v>18.1</v>
      </c>
      <c r="G412" s="4">
        <f>IFERROR(__xludf.DUMMYFUNCTION("""COMPUTED_VALUE"""),19495.0)</f>
        <v>19495</v>
      </c>
      <c r="H412" s="5">
        <f>IFERROR(__xludf.DUMMYFUNCTION("""COMPUTED_VALUE"""),1077.07)</f>
        <v>1077.07</v>
      </c>
    </row>
    <row r="413">
      <c r="A413" s="2" t="str">
        <f>IFERROR(__xludf.DUMMYFUNCTION("""COMPUTED_VALUE"""),"Marchena")</f>
        <v>Marchena</v>
      </c>
      <c r="B413" s="2" t="str">
        <f>IFERROR(__xludf.DUMMYFUNCTION("""COMPUTED_VALUE"""),"Campiña de Morón y Marchena")</f>
        <v>Campiña de Morón y Marchena</v>
      </c>
      <c r="C413" s="2" t="str">
        <f>IFERROR(__xludf.DUMMYFUNCTION("""COMPUTED_VALUE"""),"Provincia de Sevilla")</f>
        <v>Provincia de Sevilla</v>
      </c>
      <c r="D413" s="2" t="str">
        <f>IFERROR(__xludf.DUMMYFUNCTION("""COMPUTED_VALUE"""),"Andalucía")</f>
        <v>Andalucía</v>
      </c>
      <c r="E413" s="2">
        <f>IFERROR(__xludf.DUMMYFUNCTION("""COMPUTED_VALUE"""),150.0)</f>
        <v>150</v>
      </c>
      <c r="F413" s="2">
        <f>IFERROR(__xludf.DUMMYFUNCTION("""COMPUTED_VALUE"""),378.55)</f>
        <v>378.55</v>
      </c>
      <c r="G413" s="4">
        <f>IFERROR(__xludf.DUMMYFUNCTION("""COMPUTED_VALUE"""),19457.0)</f>
        <v>19457</v>
      </c>
      <c r="H413" s="2">
        <f>IFERROR(__xludf.DUMMYFUNCTION("""COMPUTED_VALUE"""),51.4)</f>
        <v>51.4</v>
      </c>
    </row>
    <row r="414">
      <c r="A414" s="2" t="str">
        <f>IFERROR(__xludf.DUMMYFUNCTION("""COMPUTED_VALUE"""),"Moaña")</f>
        <v>Moaña</v>
      </c>
      <c r="B414" s="2" t="str">
        <f>IFERROR(__xludf.DUMMYFUNCTION("""COMPUTED_VALUE"""),"Comarca del Morrazo")</f>
        <v>Comarca del Morrazo</v>
      </c>
      <c r="C414" s="2" t="str">
        <f>IFERROR(__xludf.DUMMYFUNCTION("""COMPUTED_VALUE"""),"Provincia de Pontevedra")</f>
        <v>Provincia de Pontevedra</v>
      </c>
      <c r="D414" s="2" t="str">
        <f>IFERROR(__xludf.DUMMYFUNCTION("""COMPUTED_VALUE"""),"Galicia")</f>
        <v>Galicia</v>
      </c>
      <c r="E414" s="2">
        <f>IFERROR(__xludf.DUMMYFUNCTION("""COMPUTED_VALUE"""),133.0)</f>
        <v>133</v>
      </c>
      <c r="F414" s="2">
        <f>IFERROR(__xludf.DUMMYFUNCTION("""COMPUTED_VALUE"""),35.06)</f>
        <v>35.06</v>
      </c>
      <c r="G414" s="4">
        <f>IFERROR(__xludf.DUMMYFUNCTION("""COMPUTED_VALUE"""),19399.0)</f>
        <v>19399</v>
      </c>
      <c r="H414" s="2">
        <f>IFERROR(__xludf.DUMMYFUNCTION("""COMPUTED_VALUE"""),553.31)</f>
        <v>553.31</v>
      </c>
    </row>
    <row r="415">
      <c r="A415" s="2" t="str">
        <f>IFERROR(__xludf.DUMMYFUNCTION("""COMPUTED_VALUE"""),"Amorebieta-Etxano")</f>
        <v>Amorebieta-Etxano</v>
      </c>
      <c r="B415" s="2" t="str">
        <f>IFERROR(__xludf.DUMMYFUNCTION("""COMPUTED_VALUE"""),"Duranguesado")</f>
        <v>Duranguesado</v>
      </c>
      <c r="C415" s="2" t="str">
        <f>IFERROR(__xludf.DUMMYFUNCTION("""COMPUTED_VALUE"""),"Provincia de Bizkaia")</f>
        <v>Provincia de Bizkaia</v>
      </c>
      <c r="D415" s="2" t="str">
        <f>IFERROR(__xludf.DUMMYFUNCTION("""COMPUTED_VALUE"""),"País Vasco")</f>
        <v>País Vasco</v>
      </c>
      <c r="E415" s="2">
        <f>IFERROR(__xludf.DUMMYFUNCTION("""COMPUTED_VALUE"""),65.0)</f>
        <v>65</v>
      </c>
      <c r="F415" s="2">
        <f>IFERROR(__xludf.DUMMYFUNCTION("""COMPUTED_VALUE"""),58.84)</f>
        <v>58.84</v>
      </c>
      <c r="G415" s="4">
        <f>IFERROR(__xludf.DUMMYFUNCTION("""COMPUTED_VALUE"""),19339.0)</f>
        <v>19339</v>
      </c>
      <c r="H415" s="2">
        <f>IFERROR(__xludf.DUMMYFUNCTION("""COMPUTED_VALUE"""),328.67)</f>
        <v>328.67</v>
      </c>
    </row>
    <row r="416">
      <c r="A416" s="2" t="str">
        <f>IFERROR(__xludf.DUMMYFUNCTION("""COMPUTED_VALUE"""),"Archena")</f>
        <v>Archena</v>
      </c>
      <c r="B416" s="2" t="str">
        <f>IFERROR(__xludf.DUMMYFUNCTION("""COMPUTED_VALUE"""),"Valle de Ricote")</f>
        <v>Valle de Ricote</v>
      </c>
      <c r="C416" s="2" t="str">
        <f>IFERROR(__xludf.DUMMYFUNCTION("""COMPUTED_VALUE"""),"Provincia de Murcia")</f>
        <v>Provincia de Murcia</v>
      </c>
      <c r="D416" s="2" t="str">
        <f>IFERROR(__xludf.DUMMYFUNCTION("""COMPUTED_VALUE"""),"Región de Murcia")</f>
        <v>Región de Murcia</v>
      </c>
      <c r="E416" s="2">
        <f>IFERROR(__xludf.DUMMYFUNCTION("""COMPUTED_VALUE"""),102.0)</f>
        <v>102</v>
      </c>
      <c r="F416" s="2">
        <f>IFERROR(__xludf.DUMMYFUNCTION("""COMPUTED_VALUE"""),16.38)</f>
        <v>16.38</v>
      </c>
      <c r="G416" s="4">
        <f>IFERROR(__xludf.DUMMYFUNCTION("""COMPUTED_VALUE"""),19301.0)</f>
        <v>19301</v>
      </c>
      <c r="H416" s="5">
        <f>IFERROR(__xludf.DUMMYFUNCTION("""COMPUTED_VALUE"""),1178.33)</f>
        <v>1178.33</v>
      </c>
    </row>
    <row r="417">
      <c r="A417" s="2" t="str">
        <f>IFERROR(__xludf.DUMMYFUNCTION("""COMPUTED_VALUE"""),"Baena")</f>
        <v>Baena</v>
      </c>
      <c r="B417" s="2" t="str">
        <f>IFERROR(__xludf.DUMMYFUNCTION("""COMPUTED_VALUE"""),"Campiña de Baena")</f>
        <v>Campiña de Baena</v>
      </c>
      <c r="C417" s="2" t="str">
        <f>IFERROR(__xludf.DUMMYFUNCTION("""COMPUTED_VALUE"""),"Provincia de Córdoba")</f>
        <v>Provincia de Córdoba</v>
      </c>
      <c r="D417" s="2" t="str">
        <f>IFERROR(__xludf.DUMMYFUNCTION("""COMPUTED_VALUE"""),"Andalucía")</f>
        <v>Andalucía</v>
      </c>
      <c r="E417" s="2">
        <f>IFERROR(__xludf.DUMMYFUNCTION("""COMPUTED_VALUE"""),405.0)</f>
        <v>405</v>
      </c>
      <c r="F417" s="2">
        <f>IFERROR(__xludf.DUMMYFUNCTION("""COMPUTED_VALUE"""),362.31)</f>
        <v>362.31</v>
      </c>
      <c r="G417" s="4">
        <f>IFERROR(__xludf.DUMMYFUNCTION("""COMPUTED_VALUE"""),19284.0)</f>
        <v>19284</v>
      </c>
      <c r="H417" s="2">
        <f>IFERROR(__xludf.DUMMYFUNCTION("""COMPUTED_VALUE"""),53.23)</f>
        <v>53.23</v>
      </c>
    </row>
    <row r="418">
      <c r="A418" s="2" t="str">
        <f>IFERROR(__xludf.DUMMYFUNCTION("""COMPUTED_VALUE"""),"El Viso del Alcor")</f>
        <v>El Viso del Alcor</v>
      </c>
      <c r="B418" s="2" t="str">
        <f>IFERROR(__xludf.DUMMYFUNCTION("""COMPUTED_VALUE"""),"Los Alcores")</f>
        <v>Los Alcores</v>
      </c>
      <c r="C418" s="2" t="str">
        <f>IFERROR(__xludf.DUMMYFUNCTION("""COMPUTED_VALUE"""),"Provincia de Sevilla")</f>
        <v>Provincia de Sevilla</v>
      </c>
      <c r="D418" s="2" t="str">
        <f>IFERROR(__xludf.DUMMYFUNCTION("""COMPUTED_VALUE"""),"Andalucía")</f>
        <v>Andalucía</v>
      </c>
      <c r="E418" s="2">
        <f>IFERROR(__xludf.DUMMYFUNCTION("""COMPUTED_VALUE"""),143.0)</f>
        <v>143</v>
      </c>
      <c r="F418" s="2">
        <f>IFERROR(__xludf.DUMMYFUNCTION("""COMPUTED_VALUE"""),20.22)</f>
        <v>20.22</v>
      </c>
      <c r="G418" s="4">
        <f>IFERROR(__xludf.DUMMYFUNCTION("""COMPUTED_VALUE"""),19266.0)</f>
        <v>19266</v>
      </c>
      <c r="H418" s="2">
        <f>IFERROR(__xludf.DUMMYFUNCTION("""COMPUTED_VALUE"""),952.82)</f>
        <v>952.82</v>
      </c>
    </row>
    <row r="419">
      <c r="A419" s="2" t="str">
        <f>IFERROR(__xludf.DUMMYFUNCTION("""COMPUTED_VALUE"""),"San Martín de la Vega")</f>
        <v>San Martín de la Vega</v>
      </c>
      <c r="B419" s="2" t="str">
        <f>IFERROR(__xludf.DUMMYFUNCTION("""COMPUTED_VALUE"""),"Comarca de Las Vegas")</f>
        <v>Comarca de Las Vegas</v>
      </c>
      <c r="C419" s="2" t="str">
        <f>IFERROR(__xludf.DUMMYFUNCTION("""COMPUTED_VALUE"""),"Provincia de Madrid")</f>
        <v>Provincia de Madrid</v>
      </c>
      <c r="D419" s="2" t="str">
        <f>IFERROR(__xludf.DUMMYFUNCTION("""COMPUTED_VALUE"""),"Comunidad de Madrid")</f>
        <v>Comunidad de Madrid</v>
      </c>
      <c r="E419" s="2">
        <f>IFERROR(__xludf.DUMMYFUNCTION("""COMPUTED_VALUE"""),515.0)</f>
        <v>515</v>
      </c>
      <c r="F419" s="2">
        <f>IFERROR(__xludf.DUMMYFUNCTION("""COMPUTED_VALUE"""),105.93)</f>
        <v>105.93</v>
      </c>
      <c r="G419" s="4">
        <f>IFERROR(__xludf.DUMMYFUNCTION("""COMPUTED_VALUE"""),19170.0)</f>
        <v>19170</v>
      </c>
      <c r="H419" s="2">
        <f>IFERROR(__xludf.DUMMYFUNCTION("""COMPUTED_VALUE"""),180.97)</f>
        <v>180.97</v>
      </c>
    </row>
    <row r="420">
      <c r="A420" s="2" t="str">
        <f>IFERROR(__xludf.DUMMYFUNCTION("""COMPUTED_VALUE"""),"La Zubia")</f>
        <v>La Zubia</v>
      </c>
      <c r="B420" s="2" t="str">
        <f>IFERROR(__xludf.DUMMYFUNCTION("""COMPUTED_VALUE"""),"Vega de Granada")</f>
        <v>Vega de Granada</v>
      </c>
      <c r="C420" s="2" t="str">
        <f>IFERROR(__xludf.DUMMYFUNCTION("""COMPUTED_VALUE"""),"Provincia de Granada")</f>
        <v>Provincia de Granada</v>
      </c>
      <c r="D420" s="2" t="str">
        <f>IFERROR(__xludf.DUMMYFUNCTION("""COMPUTED_VALUE"""),"Andalucía")</f>
        <v>Andalucía</v>
      </c>
      <c r="E420" s="2">
        <f>IFERROR(__xludf.DUMMYFUNCTION("""COMPUTED_VALUE"""),740.0)</f>
        <v>740</v>
      </c>
      <c r="F420" s="2">
        <f>IFERROR(__xludf.DUMMYFUNCTION("""COMPUTED_VALUE"""),20.11)</f>
        <v>20.11</v>
      </c>
      <c r="G420" s="4">
        <f>IFERROR(__xludf.DUMMYFUNCTION("""COMPUTED_VALUE"""),19155.0)</f>
        <v>19155</v>
      </c>
      <c r="H420" s="2">
        <f>IFERROR(__xludf.DUMMYFUNCTION("""COMPUTED_VALUE"""),952.51)</f>
        <v>952.51</v>
      </c>
    </row>
    <row r="421">
      <c r="A421" s="2" t="str">
        <f>IFERROR(__xludf.DUMMYFUNCTION("""COMPUTED_VALUE"""),"Huércal-Overa")</f>
        <v>Huércal-Overa</v>
      </c>
      <c r="B421" s="2" t="str">
        <f>IFERROR(__xludf.DUMMYFUNCTION("""COMPUTED_VALUE"""),"Levante Almeriense")</f>
        <v>Levante Almeriense</v>
      </c>
      <c r="C421" s="2" t="str">
        <f>IFERROR(__xludf.DUMMYFUNCTION("""COMPUTED_VALUE"""),"Provincia de Almería")</f>
        <v>Provincia de Almería</v>
      </c>
      <c r="D421" s="2" t="str">
        <f>IFERROR(__xludf.DUMMYFUNCTION("""COMPUTED_VALUE"""),"Andalucía")</f>
        <v>Andalucía</v>
      </c>
      <c r="E421" s="2">
        <f>IFERROR(__xludf.DUMMYFUNCTION("""COMPUTED_VALUE"""),280.0)</f>
        <v>280</v>
      </c>
      <c r="F421" s="2">
        <f>IFERROR(__xludf.DUMMYFUNCTION("""COMPUTED_VALUE"""),318.46)</f>
        <v>318.46</v>
      </c>
      <c r="G421" s="4">
        <f>IFERROR(__xludf.DUMMYFUNCTION("""COMPUTED_VALUE"""),19127.0)</f>
        <v>19127</v>
      </c>
      <c r="H421" s="2">
        <f>IFERROR(__xludf.DUMMYFUNCTION("""COMPUTED_VALUE"""),60.06)</f>
        <v>60.06</v>
      </c>
    </row>
    <row r="422">
      <c r="A422" s="2" t="str">
        <f>IFERROR(__xludf.DUMMYFUNCTION("""COMPUTED_VALUE"""),"Chipiona")</f>
        <v>Chipiona</v>
      </c>
      <c r="B422" s="2" t="str">
        <f>IFERROR(__xludf.DUMMYFUNCTION("""COMPUTED_VALUE"""),"Costa Noroeste de Cádiz")</f>
        <v>Costa Noroeste de Cádiz</v>
      </c>
      <c r="C422" s="2" t="str">
        <f>IFERROR(__xludf.DUMMYFUNCTION("""COMPUTED_VALUE"""),"Provincia de Cádiz")</f>
        <v>Provincia de Cádiz</v>
      </c>
      <c r="D422" s="2" t="str">
        <f>IFERROR(__xludf.DUMMYFUNCTION("""COMPUTED_VALUE"""),"Andalucía")</f>
        <v>Andalucía</v>
      </c>
      <c r="E422" s="2">
        <f>IFERROR(__xludf.DUMMYFUNCTION("""COMPUTED_VALUE"""),4.0)</f>
        <v>4</v>
      </c>
      <c r="F422" s="2">
        <f>IFERROR(__xludf.DUMMYFUNCTION("""COMPUTED_VALUE"""),32.9)</f>
        <v>32.9</v>
      </c>
      <c r="G422" s="4">
        <f>IFERROR(__xludf.DUMMYFUNCTION("""COMPUTED_VALUE"""),19123.0)</f>
        <v>19123</v>
      </c>
      <c r="H422" s="2">
        <f>IFERROR(__xludf.DUMMYFUNCTION("""COMPUTED_VALUE"""),581.25)</f>
        <v>581.25</v>
      </c>
    </row>
    <row r="423">
      <c r="A423" s="2" t="str">
        <f>IFERROR(__xludf.DUMMYFUNCTION("""COMPUTED_VALUE"""),"Burlada")</f>
        <v>Burlada</v>
      </c>
      <c r="B423" s="2" t="str">
        <f>IFERROR(__xludf.DUMMYFUNCTION("""COMPUTED_VALUE"""),"Cuenca de Pamplona")</f>
        <v>Cuenca de Pamplona</v>
      </c>
      <c r="C423" s="2" t="str">
        <f>IFERROR(__xludf.DUMMYFUNCTION("""COMPUTED_VALUE"""),"Provincia de Navarra")</f>
        <v>Provincia de Navarra</v>
      </c>
      <c r="D423" s="2" t="str">
        <f>IFERROR(__xludf.DUMMYFUNCTION("""COMPUTED_VALUE"""),"Comunidad Foral de Navarra")</f>
        <v>Comunidad Foral de Navarra</v>
      </c>
      <c r="E423" s="2">
        <f>IFERROR(__xludf.DUMMYFUNCTION("""COMPUTED_VALUE"""),423.0)</f>
        <v>423</v>
      </c>
      <c r="F423" s="2">
        <f>IFERROR(__xludf.DUMMYFUNCTION("""COMPUTED_VALUE"""),2.11)</f>
        <v>2.11</v>
      </c>
      <c r="G423" s="4">
        <f>IFERROR(__xludf.DUMMYFUNCTION("""COMPUTED_VALUE"""),19096.0)</f>
        <v>19096</v>
      </c>
      <c r="H423" s="5">
        <f>IFERROR(__xludf.DUMMYFUNCTION("""COMPUTED_VALUE"""),9050.24)</f>
        <v>9050.24</v>
      </c>
    </row>
    <row r="424">
      <c r="A424" s="2" t="str">
        <f>IFERROR(__xludf.DUMMYFUNCTION("""COMPUTED_VALUE"""),"Parets del Vallès")</f>
        <v>Parets del Vallès</v>
      </c>
      <c r="B424" s="2" t="str">
        <f>IFERROR(__xludf.DUMMYFUNCTION("""COMPUTED_VALUE"""),"Vallès Oriental")</f>
        <v>Vallès Oriental</v>
      </c>
      <c r="C424" s="2" t="str">
        <f>IFERROR(__xludf.DUMMYFUNCTION("""COMPUTED_VALUE"""),"Provincia de Barcelona")</f>
        <v>Provincia de Barcelona</v>
      </c>
      <c r="D424" s="2" t="str">
        <f>IFERROR(__xludf.DUMMYFUNCTION("""COMPUTED_VALUE"""),"Cataluña")</f>
        <v>Cataluña</v>
      </c>
      <c r="E424" s="2">
        <f>IFERROR(__xludf.DUMMYFUNCTION("""COMPUTED_VALUE"""),98.0)</f>
        <v>98</v>
      </c>
      <c r="F424" s="2">
        <f>IFERROR(__xludf.DUMMYFUNCTION("""COMPUTED_VALUE"""),9.16)</f>
        <v>9.16</v>
      </c>
      <c r="G424" s="4">
        <f>IFERROR(__xludf.DUMMYFUNCTION("""COMPUTED_VALUE"""),19082.0)</f>
        <v>19082</v>
      </c>
      <c r="H424" s="5">
        <f>IFERROR(__xludf.DUMMYFUNCTION("""COMPUTED_VALUE"""),2083.19)</f>
        <v>2083.19</v>
      </c>
    </row>
    <row r="425">
      <c r="A425" s="2" t="str">
        <f>IFERROR(__xludf.DUMMYFUNCTION("""COMPUTED_VALUE"""),"Calella")</f>
        <v>Calella</v>
      </c>
      <c r="B425" s="2" t="str">
        <f>IFERROR(__xludf.DUMMYFUNCTION("""COMPUTED_VALUE"""),"Maresme")</f>
        <v>Maresme</v>
      </c>
      <c r="C425" s="2" t="str">
        <f>IFERROR(__xludf.DUMMYFUNCTION("""COMPUTED_VALUE"""),"Provincia de Barcelona")</f>
        <v>Provincia de Barcelona</v>
      </c>
      <c r="D425" s="2" t="str">
        <f>IFERROR(__xludf.DUMMYFUNCTION("""COMPUTED_VALUE"""),"Cataluña")</f>
        <v>Cataluña</v>
      </c>
      <c r="E425" s="2">
        <f>IFERROR(__xludf.DUMMYFUNCTION("""COMPUTED_VALUE"""),5.0)</f>
        <v>5</v>
      </c>
      <c r="F425" s="2">
        <f>IFERROR(__xludf.DUMMYFUNCTION("""COMPUTED_VALUE"""),7.86)</f>
        <v>7.86</v>
      </c>
      <c r="G425" s="4">
        <f>IFERROR(__xludf.DUMMYFUNCTION("""COMPUTED_VALUE"""),19069.0)</f>
        <v>19069</v>
      </c>
      <c r="H425" s="5">
        <f>IFERROR(__xludf.DUMMYFUNCTION("""COMPUTED_VALUE"""),2426.08)</f>
        <v>2426.08</v>
      </c>
    </row>
    <row r="426">
      <c r="A426" s="2" t="str">
        <f>IFERROR(__xludf.DUMMYFUNCTION("""COMPUTED_VALUE"""),"Callosa de Segura")</f>
        <v>Callosa de Segura</v>
      </c>
      <c r="B426" s="2" t="str">
        <f>IFERROR(__xludf.DUMMYFUNCTION("""COMPUTED_VALUE"""),"Vega Baja del Segura")</f>
        <v>Vega Baja del Segura</v>
      </c>
      <c r="C426" s="2" t="str">
        <f>IFERROR(__xludf.DUMMYFUNCTION("""COMPUTED_VALUE"""),"Provincia de Alicante")</f>
        <v>Provincia de Alicante</v>
      </c>
      <c r="D426" s="2" t="str">
        <f>IFERROR(__xludf.DUMMYFUNCTION("""COMPUTED_VALUE"""),"Comunidad Valenciana")</f>
        <v>Comunidad Valenciana</v>
      </c>
      <c r="E426" s="2">
        <f>IFERROR(__xludf.DUMMYFUNCTION("""COMPUTED_VALUE"""),27.0)</f>
        <v>27</v>
      </c>
      <c r="F426" s="2">
        <f>IFERROR(__xludf.DUMMYFUNCTION("""COMPUTED_VALUE"""),24.91)</f>
        <v>24.91</v>
      </c>
      <c r="G426" s="4">
        <f>IFERROR(__xludf.DUMMYFUNCTION("""COMPUTED_VALUE"""),19038.0)</f>
        <v>19038</v>
      </c>
      <c r="H426" s="2">
        <f>IFERROR(__xludf.DUMMYFUNCTION("""COMPUTED_VALUE"""),764.27)</f>
        <v>764.27</v>
      </c>
    </row>
    <row r="427">
      <c r="A427" s="2" t="str">
        <f>IFERROR(__xludf.DUMMYFUNCTION("""COMPUTED_VALUE"""),"Boiro")</f>
        <v>Boiro</v>
      </c>
      <c r="B427" s="2" t="str">
        <f>IFERROR(__xludf.DUMMYFUNCTION("""COMPUTED_VALUE"""),"Comarca del Barbanza")</f>
        <v>Comarca del Barbanza</v>
      </c>
      <c r="C427" s="2" t="str">
        <f>IFERROR(__xludf.DUMMYFUNCTION("""COMPUTED_VALUE"""),"Provincia de A Coruña")</f>
        <v>Provincia de A Coruña</v>
      </c>
      <c r="D427" s="2" t="str">
        <f>IFERROR(__xludf.DUMMYFUNCTION("""COMPUTED_VALUE"""),"Galicia")</f>
        <v>Galicia</v>
      </c>
      <c r="E427" s="2">
        <f>IFERROR(__xludf.DUMMYFUNCTION("""COMPUTED_VALUE"""),32.0)</f>
        <v>32</v>
      </c>
      <c r="F427" s="2">
        <f>IFERROR(__xludf.DUMMYFUNCTION("""COMPUTED_VALUE"""),86.58)</f>
        <v>86.58</v>
      </c>
      <c r="G427" s="4">
        <f>IFERROR(__xludf.DUMMYFUNCTION("""COMPUTED_VALUE"""),18838.0)</f>
        <v>18838</v>
      </c>
      <c r="H427" s="2">
        <f>IFERROR(__xludf.DUMMYFUNCTION("""COMPUTED_VALUE"""),217.58)</f>
        <v>217.58</v>
      </c>
    </row>
    <row r="428">
      <c r="A428" s="2" t="str">
        <f>IFERROR(__xludf.DUMMYFUNCTION("""COMPUTED_VALUE"""),"San Bartolomé")</f>
        <v>San Bartolomé</v>
      </c>
      <c r="B428" s="2"/>
      <c r="C428" s="2" t="str">
        <f>IFERROR(__xludf.DUMMYFUNCTION("""COMPUTED_VALUE"""),"Provincia de Las Palmas")</f>
        <v>Provincia de Las Palmas</v>
      </c>
      <c r="D428" s="2" t="str">
        <f>IFERROR(__xludf.DUMMYFUNCTION("""COMPUTED_VALUE"""),"Canarias")</f>
        <v>Canarias</v>
      </c>
      <c r="E428" s="2">
        <f>IFERROR(__xludf.DUMMYFUNCTION("""COMPUTED_VALUE"""),240.0)</f>
        <v>240</v>
      </c>
      <c r="F428" s="2">
        <f>IFERROR(__xludf.DUMMYFUNCTION("""COMPUTED_VALUE"""),40.76)</f>
        <v>40.76</v>
      </c>
      <c r="G428" s="4">
        <f>IFERROR(__xludf.DUMMYFUNCTION("""COMPUTED_VALUE"""),18816.0)</f>
        <v>18816</v>
      </c>
      <c r="H428" s="2">
        <f>IFERROR(__xludf.DUMMYFUNCTION("""COMPUTED_VALUE"""),461.63)</f>
        <v>461.63</v>
      </c>
    </row>
    <row r="429">
      <c r="A429" s="2" t="str">
        <f>IFERROR(__xludf.DUMMYFUNCTION("""COMPUTED_VALUE"""),"Albolote")</f>
        <v>Albolote</v>
      </c>
      <c r="B429" s="2" t="str">
        <f>IFERROR(__xludf.DUMMYFUNCTION("""COMPUTED_VALUE"""),"Vega de Granada")</f>
        <v>Vega de Granada</v>
      </c>
      <c r="C429" s="2" t="str">
        <f>IFERROR(__xludf.DUMMYFUNCTION("""COMPUTED_VALUE"""),"Provincia de Granada")</f>
        <v>Provincia de Granada</v>
      </c>
      <c r="D429" s="2" t="str">
        <f>IFERROR(__xludf.DUMMYFUNCTION("""COMPUTED_VALUE"""),"Andalucía")</f>
        <v>Andalucía</v>
      </c>
      <c r="E429" s="2">
        <f>IFERROR(__xludf.DUMMYFUNCTION("""COMPUTED_VALUE"""),655.0)</f>
        <v>655</v>
      </c>
      <c r="F429" s="2">
        <f>IFERROR(__xludf.DUMMYFUNCTION("""COMPUTED_VALUE"""),78.58)</f>
        <v>78.58</v>
      </c>
      <c r="G429" s="4">
        <f>IFERROR(__xludf.DUMMYFUNCTION("""COMPUTED_VALUE"""),18808.0)</f>
        <v>18808</v>
      </c>
      <c r="H429" s="2">
        <f>IFERROR(__xludf.DUMMYFUNCTION("""COMPUTED_VALUE"""),239.35)</f>
        <v>239.35</v>
      </c>
    </row>
    <row r="430">
      <c r="A430" s="2" t="str">
        <f>IFERROR(__xludf.DUMMYFUNCTION("""COMPUTED_VALUE"""),"Silla")</f>
        <v>Silla</v>
      </c>
      <c r="B430" s="2" t="str">
        <f>IFERROR(__xludf.DUMMYFUNCTION("""COMPUTED_VALUE"""),"Huerta Sur")</f>
        <v>Huerta Sur</v>
      </c>
      <c r="C430" s="2" t="str">
        <f>IFERROR(__xludf.DUMMYFUNCTION("""COMPUTED_VALUE"""),"Provincia de València")</f>
        <v>Provincia de València</v>
      </c>
      <c r="D430" s="2" t="str">
        <f>IFERROR(__xludf.DUMMYFUNCTION("""COMPUTED_VALUE"""),"Comunidad Valenciana")</f>
        <v>Comunidad Valenciana</v>
      </c>
      <c r="E430" s="2">
        <f>IFERROR(__xludf.DUMMYFUNCTION("""COMPUTED_VALUE"""),8.0)</f>
        <v>8</v>
      </c>
      <c r="F430" s="2">
        <f>IFERROR(__xludf.DUMMYFUNCTION("""COMPUTED_VALUE"""),25.02)</f>
        <v>25.02</v>
      </c>
      <c r="G430" s="4">
        <f>IFERROR(__xludf.DUMMYFUNCTION("""COMPUTED_VALUE"""),18771.0)</f>
        <v>18771</v>
      </c>
      <c r="H430" s="2">
        <f>IFERROR(__xludf.DUMMYFUNCTION("""COMPUTED_VALUE"""),750.24)</f>
        <v>750.24</v>
      </c>
    </row>
    <row r="431">
      <c r="A431" s="2" t="str">
        <f>IFERROR(__xludf.DUMMYFUNCTION("""COMPUTED_VALUE"""),"Atarfe")</f>
        <v>Atarfe</v>
      </c>
      <c r="B431" s="2" t="str">
        <f>IFERROR(__xludf.DUMMYFUNCTION("""COMPUTED_VALUE"""),"Vega de Granada")</f>
        <v>Vega de Granada</v>
      </c>
      <c r="C431" s="2" t="str">
        <f>IFERROR(__xludf.DUMMYFUNCTION("""COMPUTED_VALUE"""),"Provincia de Granada")</f>
        <v>Provincia de Granada</v>
      </c>
      <c r="D431" s="2" t="str">
        <f>IFERROR(__xludf.DUMMYFUNCTION("""COMPUTED_VALUE"""),"Andalucía")</f>
        <v>Andalucía</v>
      </c>
      <c r="E431" s="2">
        <f>IFERROR(__xludf.DUMMYFUNCTION("""COMPUTED_VALUE"""),602.0)</f>
        <v>602</v>
      </c>
      <c r="F431" s="2">
        <f>IFERROR(__xludf.DUMMYFUNCTION("""COMPUTED_VALUE"""),47.25)</f>
        <v>47.25</v>
      </c>
      <c r="G431" s="4">
        <f>IFERROR(__xludf.DUMMYFUNCTION("""COMPUTED_VALUE"""),18706.0)</f>
        <v>18706</v>
      </c>
      <c r="H431" s="2">
        <f>IFERROR(__xludf.DUMMYFUNCTION("""COMPUTED_VALUE"""),395.89)</f>
        <v>395.89</v>
      </c>
    </row>
    <row r="432">
      <c r="A432" s="2" t="str">
        <f>IFERROR(__xludf.DUMMYFUNCTION("""COMPUTED_VALUE"""),"Utebo")</f>
        <v>Utebo</v>
      </c>
      <c r="B432" s="2" t="str">
        <f>IFERROR(__xludf.DUMMYFUNCTION("""COMPUTED_VALUE"""),"Zaragoza (comarca)")</f>
        <v>Zaragoza (comarca)</v>
      </c>
      <c r="C432" s="2" t="str">
        <f>IFERROR(__xludf.DUMMYFUNCTION("""COMPUTED_VALUE"""),"Provincia de Zaragoza")</f>
        <v>Provincia de Zaragoza</v>
      </c>
      <c r="D432" s="2" t="str">
        <f>IFERROR(__xludf.DUMMYFUNCTION("""COMPUTED_VALUE"""),"Aragón")</f>
        <v>Aragón</v>
      </c>
      <c r="E432" s="2">
        <f>IFERROR(__xludf.DUMMYFUNCTION("""COMPUTED_VALUE"""),207.0)</f>
        <v>207</v>
      </c>
      <c r="F432" s="2">
        <f>IFERROR(__xludf.DUMMYFUNCTION("""COMPUTED_VALUE"""),17.72)</f>
        <v>17.72</v>
      </c>
      <c r="G432" s="4">
        <f>IFERROR(__xludf.DUMMYFUNCTION("""COMPUTED_VALUE"""),18691.0)</f>
        <v>18691</v>
      </c>
      <c r="H432" s="5">
        <f>IFERROR(__xludf.DUMMYFUNCTION("""COMPUTED_VALUE"""),1054.8)</f>
        <v>1054.8</v>
      </c>
    </row>
    <row r="433">
      <c r="A433" s="2" t="str">
        <f>IFERROR(__xludf.DUMMYFUNCTION("""COMPUTED_VALUE"""),"Lora del Río")</f>
        <v>Lora del Río</v>
      </c>
      <c r="B433" s="2" t="str">
        <f>IFERROR(__xludf.DUMMYFUNCTION("""COMPUTED_VALUE"""),"Vega del Guadalquivir")</f>
        <v>Vega del Guadalquivir</v>
      </c>
      <c r="C433" s="2" t="str">
        <f>IFERROR(__xludf.DUMMYFUNCTION("""COMPUTED_VALUE"""),"Provincia de Sevilla")</f>
        <v>Provincia de Sevilla</v>
      </c>
      <c r="D433" s="2" t="str">
        <f>IFERROR(__xludf.DUMMYFUNCTION("""COMPUTED_VALUE"""),"Andalucía")</f>
        <v>Andalucía</v>
      </c>
      <c r="E433" s="2">
        <f>IFERROR(__xludf.DUMMYFUNCTION("""COMPUTED_VALUE"""),38.0)</f>
        <v>38</v>
      </c>
      <c r="F433" s="2">
        <f>IFERROR(__xludf.DUMMYFUNCTION("""COMPUTED_VALUE"""),294.25)</f>
        <v>294.25</v>
      </c>
      <c r="G433" s="4">
        <f>IFERROR(__xludf.DUMMYFUNCTION("""COMPUTED_VALUE"""),18662.0)</f>
        <v>18662</v>
      </c>
      <c r="H433" s="2">
        <f>IFERROR(__xludf.DUMMYFUNCTION("""COMPUTED_VALUE"""),63.42)</f>
        <v>63.42</v>
      </c>
    </row>
    <row r="434">
      <c r="A434" s="2" t="str">
        <f>IFERROR(__xludf.DUMMYFUNCTION("""COMPUTED_VALUE"""),"Villaquilambre")</f>
        <v>Villaquilambre</v>
      </c>
      <c r="B434" s="2" t="str">
        <f>IFERROR(__xludf.DUMMYFUNCTION("""COMPUTED_VALUE"""),"Tierra de León")</f>
        <v>Tierra de León</v>
      </c>
      <c r="C434" s="2" t="str">
        <f>IFERROR(__xludf.DUMMYFUNCTION("""COMPUTED_VALUE"""),"Provincia de León")</f>
        <v>Provincia de León</v>
      </c>
      <c r="D434" s="2" t="str">
        <f>IFERROR(__xludf.DUMMYFUNCTION("""COMPUTED_VALUE"""),"Castilla y León")</f>
        <v>Castilla y León</v>
      </c>
      <c r="E434" s="2">
        <f>IFERROR(__xludf.DUMMYFUNCTION("""COMPUTED_VALUE"""),890.0)</f>
        <v>890</v>
      </c>
      <c r="F434" s="2">
        <f>IFERROR(__xludf.DUMMYFUNCTION("""COMPUTED_VALUE"""),52.69)</f>
        <v>52.69</v>
      </c>
      <c r="G434" s="4">
        <f>IFERROR(__xludf.DUMMYFUNCTION("""COMPUTED_VALUE"""),18638.0)</f>
        <v>18638</v>
      </c>
      <c r="H434" s="2">
        <f>IFERROR(__xludf.DUMMYFUNCTION("""COMPUTED_VALUE"""),353.73)</f>
        <v>353.73</v>
      </c>
    </row>
    <row r="435">
      <c r="A435" s="2" t="str">
        <f>IFERROR(__xludf.DUMMYFUNCTION("""COMPUTED_VALUE"""),"La Nucia")</f>
        <v>La Nucia</v>
      </c>
      <c r="B435" s="2" t="str">
        <f>IFERROR(__xludf.DUMMYFUNCTION("""COMPUTED_VALUE"""),"Marina Baja")</f>
        <v>Marina Baja</v>
      </c>
      <c r="C435" s="2" t="str">
        <f>IFERROR(__xludf.DUMMYFUNCTION("""COMPUTED_VALUE"""),"Provincia de Alicante")</f>
        <v>Provincia de Alicante</v>
      </c>
      <c r="D435" s="2" t="str">
        <f>IFERROR(__xludf.DUMMYFUNCTION("""COMPUTED_VALUE"""),"Comunidad Valenciana")</f>
        <v>Comunidad Valenciana</v>
      </c>
      <c r="E435" s="2">
        <f>IFERROR(__xludf.DUMMYFUNCTION("""COMPUTED_VALUE"""),226.0)</f>
        <v>226</v>
      </c>
      <c r="F435" s="2">
        <f>IFERROR(__xludf.DUMMYFUNCTION("""COMPUTED_VALUE"""),21.36)</f>
        <v>21.36</v>
      </c>
      <c r="G435" s="4">
        <f>IFERROR(__xludf.DUMMYFUNCTION("""COMPUTED_VALUE"""),18603.0)</f>
        <v>18603</v>
      </c>
      <c r="H435" s="2">
        <f>IFERROR(__xludf.DUMMYFUNCTION("""COMPUTED_VALUE"""),870.93)</f>
        <v>870.93</v>
      </c>
    </row>
    <row r="436">
      <c r="A436" s="2" t="str">
        <f>IFERROR(__xludf.DUMMYFUNCTION("""COMPUTED_VALUE"""),"Malgrat de Mar")</f>
        <v>Malgrat de Mar</v>
      </c>
      <c r="B436" s="2" t="str">
        <f>IFERROR(__xludf.DUMMYFUNCTION("""COMPUTED_VALUE"""),"Maresme")</f>
        <v>Maresme</v>
      </c>
      <c r="C436" s="2" t="str">
        <f>IFERROR(__xludf.DUMMYFUNCTION("""COMPUTED_VALUE"""),"Provincia de Barcelona")</f>
        <v>Provincia de Barcelona</v>
      </c>
      <c r="D436" s="2" t="str">
        <f>IFERROR(__xludf.DUMMYFUNCTION("""COMPUTED_VALUE"""),"Cataluña")</f>
        <v>Cataluña</v>
      </c>
      <c r="E436" s="2">
        <f>IFERROR(__xludf.DUMMYFUNCTION("""COMPUTED_VALUE"""),4.0)</f>
        <v>4</v>
      </c>
      <c r="F436" s="2">
        <f>IFERROR(__xludf.DUMMYFUNCTION("""COMPUTED_VALUE"""),8.75)</f>
        <v>8.75</v>
      </c>
      <c r="G436" s="4">
        <f>IFERROR(__xludf.DUMMYFUNCTION("""COMPUTED_VALUE"""),18579.0)</f>
        <v>18579</v>
      </c>
      <c r="H436" s="5">
        <f>IFERROR(__xludf.DUMMYFUNCTION("""COMPUTED_VALUE"""),2123.31)</f>
        <v>2123.31</v>
      </c>
    </row>
    <row r="437">
      <c r="A437" s="2" t="str">
        <f>IFERROR(__xludf.DUMMYFUNCTION("""COMPUTED_VALUE"""),"Teo")</f>
        <v>Teo</v>
      </c>
      <c r="B437" s="2" t="str">
        <f>IFERROR(__xludf.DUMMYFUNCTION("""COMPUTED_VALUE"""),"Comarca de Santiago")</f>
        <v>Comarca de Santiago</v>
      </c>
      <c r="C437" s="2" t="str">
        <f>IFERROR(__xludf.DUMMYFUNCTION("""COMPUTED_VALUE"""),"Provincia de A Coruña")</f>
        <v>Provincia de A Coruña</v>
      </c>
      <c r="D437" s="2" t="str">
        <f>IFERROR(__xludf.DUMMYFUNCTION("""COMPUTED_VALUE"""),"Galicia")</f>
        <v>Galicia</v>
      </c>
      <c r="E437" s="2">
        <f>IFERROR(__xludf.DUMMYFUNCTION("""COMPUTED_VALUE"""),79.65)</f>
        <v>79.65</v>
      </c>
      <c r="F437" s="2">
        <f>IFERROR(__xludf.DUMMYFUNCTION("""COMPUTED_VALUE"""),79.25)</f>
        <v>79.25</v>
      </c>
      <c r="G437" s="4">
        <f>IFERROR(__xludf.DUMMYFUNCTION("""COMPUTED_VALUE"""),18579.0)</f>
        <v>18579</v>
      </c>
      <c r="H437" s="2">
        <f>IFERROR(__xludf.DUMMYFUNCTION("""COMPUTED_VALUE"""),234.44)</f>
        <v>234.44</v>
      </c>
    </row>
    <row r="438">
      <c r="A438" s="2" t="str">
        <f>IFERROR(__xludf.DUMMYFUNCTION("""COMPUTED_VALUE"""),"Monforte de Lemos")</f>
        <v>Monforte de Lemos</v>
      </c>
      <c r="B438" s="2" t="str">
        <f>IFERROR(__xludf.DUMMYFUNCTION("""COMPUTED_VALUE"""),"Terra de Lemos")</f>
        <v>Terra de Lemos</v>
      </c>
      <c r="C438" s="2" t="str">
        <f>IFERROR(__xludf.DUMMYFUNCTION("""COMPUTED_VALUE"""),"Provincia de Lugo")</f>
        <v>Provincia de Lugo</v>
      </c>
      <c r="D438" s="2" t="str">
        <f>IFERROR(__xludf.DUMMYFUNCTION("""COMPUTED_VALUE"""),"Galicia")</f>
        <v>Galicia</v>
      </c>
      <c r="E438" s="2">
        <f>IFERROR(__xludf.DUMMYFUNCTION("""COMPUTED_VALUE"""),360.0)</f>
        <v>360</v>
      </c>
      <c r="F438" s="2">
        <f>IFERROR(__xludf.DUMMYFUNCTION("""COMPUTED_VALUE"""),199.52)</f>
        <v>199.52</v>
      </c>
      <c r="G438" s="4">
        <f>IFERROR(__xludf.DUMMYFUNCTION("""COMPUTED_VALUE"""),18433.0)</f>
        <v>18433</v>
      </c>
      <c r="H438" s="2">
        <f>IFERROR(__xludf.DUMMYFUNCTION("""COMPUTED_VALUE"""),92.39)</f>
        <v>92.39</v>
      </c>
    </row>
    <row r="439">
      <c r="A439" s="2" t="str">
        <f>IFERROR(__xludf.DUMMYFUNCTION("""COMPUTED_VALUE"""),"Guadix")</f>
        <v>Guadix</v>
      </c>
      <c r="B439" s="2" t="str">
        <f>IFERROR(__xludf.DUMMYFUNCTION("""COMPUTED_VALUE"""),"Comarca de Guadix")</f>
        <v>Comarca de Guadix</v>
      </c>
      <c r="C439" s="2" t="str">
        <f>IFERROR(__xludf.DUMMYFUNCTION("""COMPUTED_VALUE"""),"Provincia de Granada")</f>
        <v>Provincia de Granada</v>
      </c>
      <c r="D439" s="2" t="str">
        <f>IFERROR(__xludf.DUMMYFUNCTION("""COMPUTED_VALUE"""),"Andalucía")</f>
        <v>Andalucía</v>
      </c>
      <c r="E439" s="2">
        <f>IFERROR(__xludf.DUMMYFUNCTION("""COMPUTED_VALUE"""),949.0)</f>
        <v>949</v>
      </c>
      <c r="F439" s="2">
        <f>IFERROR(__xludf.DUMMYFUNCTION("""COMPUTED_VALUE"""),324.2)</f>
        <v>324.2</v>
      </c>
      <c r="G439" s="4">
        <f>IFERROR(__xludf.DUMMYFUNCTION("""COMPUTED_VALUE"""),18422.0)</f>
        <v>18422</v>
      </c>
      <c r="H439" s="2">
        <f>IFERROR(__xludf.DUMMYFUNCTION("""COMPUTED_VALUE"""),56.82)</f>
        <v>56.82</v>
      </c>
    </row>
    <row r="440">
      <c r="A440" s="2" t="str">
        <f>IFERROR(__xludf.DUMMYFUNCTION("""COMPUTED_VALUE"""),"Lasarte-Oria")</f>
        <v>Lasarte-Oria</v>
      </c>
      <c r="B440" s="2" t="str">
        <f>IFERROR(__xludf.DUMMYFUNCTION("""COMPUTED_VALUE"""),"Comarca de San Sebastián")</f>
        <v>Comarca de San Sebastián</v>
      </c>
      <c r="C440" s="2" t="str">
        <f>IFERROR(__xludf.DUMMYFUNCTION("""COMPUTED_VALUE"""),"Provincia de Gipuzkoa")</f>
        <v>Provincia de Gipuzkoa</v>
      </c>
      <c r="D440" s="2" t="str">
        <f>IFERROR(__xludf.DUMMYFUNCTION("""COMPUTED_VALUE"""),"País Vasco")</f>
        <v>País Vasco</v>
      </c>
      <c r="E440" s="2"/>
      <c r="F440" s="2">
        <f>IFERROR(__xludf.DUMMYFUNCTION("""COMPUTED_VALUE"""),6.01)</f>
        <v>6.01</v>
      </c>
      <c r="G440" s="4">
        <f>IFERROR(__xludf.DUMMYFUNCTION("""COMPUTED_VALUE"""),18380.0)</f>
        <v>18380</v>
      </c>
      <c r="H440" s="5">
        <f>IFERROR(__xludf.DUMMYFUNCTION("""COMPUTED_VALUE"""),3058.24)</f>
        <v>3058.24</v>
      </c>
    </row>
    <row r="441">
      <c r="A441" s="2" t="str">
        <f>IFERROR(__xludf.DUMMYFUNCTION("""COMPUTED_VALUE"""),"San Lorenzo del Escorial")</f>
        <v>San Lorenzo del Escorial</v>
      </c>
      <c r="B441" s="2" t="str">
        <f>IFERROR(__xludf.DUMMYFUNCTION("""COMPUTED_VALUE"""),"Cuenca del Guadarrama")</f>
        <v>Cuenca del Guadarrama</v>
      </c>
      <c r="C441" s="2" t="str">
        <f>IFERROR(__xludf.DUMMYFUNCTION("""COMPUTED_VALUE"""),"Provincia de Madrid")</f>
        <v>Provincia de Madrid</v>
      </c>
      <c r="D441" s="2" t="str">
        <f>IFERROR(__xludf.DUMMYFUNCTION("""COMPUTED_VALUE"""),"Comunidad de Madrid")</f>
        <v>Comunidad de Madrid</v>
      </c>
      <c r="E441" s="4">
        <f>IFERROR(__xludf.DUMMYFUNCTION("""COMPUTED_VALUE"""),1032.0)</f>
        <v>1032</v>
      </c>
      <c r="F441" s="2">
        <f>IFERROR(__xludf.DUMMYFUNCTION("""COMPUTED_VALUE"""),56.4)</f>
        <v>56.4</v>
      </c>
      <c r="G441" s="4">
        <f>IFERROR(__xludf.DUMMYFUNCTION("""COMPUTED_VALUE"""),18369.0)</f>
        <v>18369</v>
      </c>
      <c r="H441" s="2">
        <f>IFERROR(__xludf.DUMMYFUNCTION("""COMPUTED_VALUE"""),325.69)</f>
        <v>325.69</v>
      </c>
    </row>
    <row r="442">
      <c r="A442" s="2" t="str">
        <f>IFERROR(__xludf.DUMMYFUNCTION("""COMPUTED_VALUE"""),"Cardedeu")</f>
        <v>Cardedeu</v>
      </c>
      <c r="B442" s="2" t="str">
        <f>IFERROR(__xludf.DUMMYFUNCTION("""COMPUTED_VALUE"""),"Vallès Oriental")</f>
        <v>Vallès Oriental</v>
      </c>
      <c r="C442" s="2" t="str">
        <f>IFERROR(__xludf.DUMMYFUNCTION("""COMPUTED_VALUE"""),"Provincia de Barcelona")</f>
        <v>Provincia de Barcelona</v>
      </c>
      <c r="D442" s="2" t="str">
        <f>IFERROR(__xludf.DUMMYFUNCTION("""COMPUTED_VALUE"""),"Cataluña")</f>
        <v>Cataluña</v>
      </c>
      <c r="E442" s="2">
        <f>IFERROR(__xludf.DUMMYFUNCTION("""COMPUTED_VALUE"""),193.0)</f>
        <v>193</v>
      </c>
      <c r="F442" s="2">
        <f>IFERROR(__xludf.DUMMYFUNCTION("""COMPUTED_VALUE"""),12.24)</f>
        <v>12.24</v>
      </c>
      <c r="G442" s="4">
        <f>IFERROR(__xludf.DUMMYFUNCTION("""COMPUTED_VALUE"""),18357.0)</f>
        <v>18357</v>
      </c>
      <c r="H442" s="5">
        <f>IFERROR(__xludf.DUMMYFUNCTION("""COMPUTED_VALUE"""),1499.75)</f>
        <v>1499.75</v>
      </c>
    </row>
    <row r="443">
      <c r="A443" s="2" t="str">
        <f>IFERROR(__xludf.DUMMYFUNCTION("""COMPUTED_VALUE"""),"Santa Brígida")</f>
        <v>Santa Brígida</v>
      </c>
      <c r="B443" s="2"/>
      <c r="C443" s="2" t="str">
        <f>IFERROR(__xludf.DUMMYFUNCTION("""COMPUTED_VALUE"""),"Provincia de Las Palmas")</f>
        <v>Provincia de Las Palmas</v>
      </c>
      <c r="D443" s="2" t="str">
        <f>IFERROR(__xludf.DUMMYFUNCTION("""COMPUTED_VALUE"""),"Canarias")</f>
        <v>Canarias</v>
      </c>
      <c r="E443" s="2">
        <f>IFERROR(__xludf.DUMMYFUNCTION("""COMPUTED_VALUE"""),520.0)</f>
        <v>520</v>
      </c>
      <c r="F443" s="2">
        <f>IFERROR(__xludf.DUMMYFUNCTION("""COMPUTED_VALUE"""),23.83)</f>
        <v>23.83</v>
      </c>
      <c r="G443" s="4">
        <f>IFERROR(__xludf.DUMMYFUNCTION("""COMPUTED_VALUE"""),18263.0)</f>
        <v>18263</v>
      </c>
      <c r="H443" s="2">
        <f>IFERROR(__xludf.DUMMYFUNCTION("""COMPUTED_VALUE"""),766.39)</f>
        <v>766.39</v>
      </c>
    </row>
    <row r="444">
      <c r="A444" s="2" t="str">
        <f>IFERROR(__xludf.DUMMYFUNCTION("""COMPUTED_VALUE"""),"L'Eliana")</f>
        <v>L'Eliana</v>
      </c>
      <c r="B444" s="2" t="str">
        <f>IFERROR(__xludf.DUMMYFUNCTION("""COMPUTED_VALUE"""),"Campo de Turia")</f>
        <v>Campo de Turia</v>
      </c>
      <c r="C444" s="2" t="str">
        <f>IFERROR(__xludf.DUMMYFUNCTION("""COMPUTED_VALUE"""),"Provincia de València")</f>
        <v>Provincia de València</v>
      </c>
      <c r="D444" s="2" t="str">
        <f>IFERROR(__xludf.DUMMYFUNCTION("""COMPUTED_VALUE"""),"Comunidad Valenciana")</f>
        <v>Comunidad Valenciana</v>
      </c>
      <c r="E444" s="2">
        <f>IFERROR(__xludf.DUMMYFUNCTION("""COMPUTED_VALUE"""),93.0)</f>
        <v>93</v>
      </c>
      <c r="F444" s="2">
        <f>IFERROR(__xludf.DUMMYFUNCTION("""COMPUTED_VALUE"""),8.77)</f>
        <v>8.77</v>
      </c>
      <c r="G444" s="4">
        <f>IFERROR(__xludf.DUMMYFUNCTION("""COMPUTED_VALUE"""),18235.0)</f>
        <v>18235</v>
      </c>
      <c r="H444" s="5">
        <f>IFERROR(__xludf.DUMMYFUNCTION("""COMPUTED_VALUE"""),2079.25)</f>
        <v>2079.25</v>
      </c>
    </row>
    <row r="445">
      <c r="A445" s="2" t="str">
        <f>IFERROR(__xludf.DUMMYFUNCTION("""COMPUTED_VALUE"""),"Benicassim")</f>
        <v>Benicassim</v>
      </c>
      <c r="B445" s="2" t="str">
        <f>IFERROR(__xludf.DUMMYFUNCTION("""COMPUTED_VALUE"""),"Plana Alta")</f>
        <v>Plana Alta</v>
      </c>
      <c r="C445" s="2" t="str">
        <f>IFERROR(__xludf.DUMMYFUNCTION("""COMPUTED_VALUE"""),"Provincia de Castellón")</f>
        <v>Provincia de Castellón</v>
      </c>
      <c r="D445" s="2" t="str">
        <f>IFERROR(__xludf.DUMMYFUNCTION("""COMPUTED_VALUE"""),"Comunidad Valenciana")</f>
        <v>Comunidad Valenciana</v>
      </c>
      <c r="E445" s="2">
        <f>IFERROR(__xludf.DUMMYFUNCTION("""COMPUTED_VALUE"""),15.0)</f>
        <v>15</v>
      </c>
      <c r="F445" s="2">
        <f>IFERROR(__xludf.DUMMYFUNCTION("""COMPUTED_VALUE"""),36.29)</f>
        <v>36.29</v>
      </c>
      <c r="G445" s="4">
        <f>IFERROR(__xludf.DUMMYFUNCTION("""COMPUTED_VALUE"""),18192.0)</f>
        <v>18192</v>
      </c>
      <c r="H445" s="2">
        <f>IFERROR(__xludf.DUMMYFUNCTION("""COMPUTED_VALUE"""),501.3)</f>
        <v>501.3</v>
      </c>
    </row>
    <row r="446">
      <c r="A446" s="2" t="str">
        <f>IFERROR(__xludf.DUMMYFUNCTION("""COMPUTED_VALUE"""),"Tarifa")</f>
        <v>Tarifa</v>
      </c>
      <c r="B446" s="2" t="str">
        <f>IFERROR(__xludf.DUMMYFUNCTION("""COMPUTED_VALUE"""),"Campo de Gibraltar")</f>
        <v>Campo de Gibraltar</v>
      </c>
      <c r="C446" s="2" t="str">
        <f>IFERROR(__xludf.DUMMYFUNCTION("""COMPUTED_VALUE"""),"Provincia de Cádiz")</f>
        <v>Provincia de Cádiz</v>
      </c>
      <c r="D446" s="2" t="str">
        <f>IFERROR(__xludf.DUMMYFUNCTION("""COMPUTED_VALUE"""),"Andalucía")</f>
        <v>Andalucía</v>
      </c>
      <c r="E446" s="2">
        <f>IFERROR(__xludf.DUMMYFUNCTION("""COMPUTED_VALUE"""),7.0)</f>
        <v>7</v>
      </c>
      <c r="F446" s="2">
        <f>IFERROR(__xludf.DUMMYFUNCTION("""COMPUTED_VALUE"""),419.76)</f>
        <v>419.76</v>
      </c>
      <c r="G446" s="4">
        <f>IFERROR(__xludf.DUMMYFUNCTION("""COMPUTED_VALUE"""),18162.0)</f>
        <v>18162</v>
      </c>
      <c r="H446" s="2">
        <f>IFERROR(__xludf.DUMMYFUNCTION("""COMPUTED_VALUE"""),43.27)</f>
        <v>43.27</v>
      </c>
    </row>
    <row r="447">
      <c r="A447" s="2" t="str">
        <f>IFERROR(__xludf.DUMMYFUNCTION("""COMPUTED_VALUE"""),"El Astillero")</f>
        <v>El Astillero</v>
      </c>
      <c r="B447" s="2" t="str">
        <f>IFERROR(__xludf.DUMMYFUNCTION("""COMPUTED_VALUE"""),"Comarca de Santander")</f>
        <v>Comarca de Santander</v>
      </c>
      <c r="C447" s="2" t="str">
        <f>IFERROR(__xludf.DUMMYFUNCTION("""COMPUTED_VALUE"""),"Provincia de Cantabria")</f>
        <v>Provincia de Cantabria</v>
      </c>
      <c r="D447" s="2" t="str">
        <f>IFERROR(__xludf.DUMMYFUNCTION("""COMPUTED_VALUE"""),"Cantabria")</f>
        <v>Cantabria</v>
      </c>
      <c r="E447" s="2">
        <f>IFERROR(__xludf.DUMMYFUNCTION("""COMPUTED_VALUE"""),20.0)</f>
        <v>20</v>
      </c>
      <c r="F447" s="2">
        <f>IFERROR(__xludf.DUMMYFUNCTION("""COMPUTED_VALUE"""),6.56)</f>
        <v>6.56</v>
      </c>
      <c r="G447" s="4">
        <f>IFERROR(__xludf.DUMMYFUNCTION("""COMPUTED_VALUE"""),18111.0)</f>
        <v>18111</v>
      </c>
      <c r="H447" s="5">
        <f>IFERROR(__xludf.DUMMYFUNCTION("""COMPUTED_VALUE"""),2760.82)</f>
        <v>2760.82</v>
      </c>
    </row>
    <row r="448">
      <c r="A448" s="2" t="str">
        <f>IFERROR(__xludf.DUMMYFUNCTION("""COMPUTED_VALUE"""),"Laudio/Llodio")</f>
        <v>Laudio/Llodio</v>
      </c>
      <c r="B448" s="2" t="str">
        <f>IFERROR(__xludf.DUMMYFUNCTION("""COMPUTED_VALUE"""),"Cuadrilla de Ayala")</f>
        <v>Cuadrilla de Ayala</v>
      </c>
      <c r="C448" s="2" t="str">
        <f>IFERROR(__xludf.DUMMYFUNCTION("""COMPUTED_VALUE"""),"Provincia de Araba")</f>
        <v>Provincia de Araba</v>
      </c>
      <c r="D448" s="2" t="str">
        <f>IFERROR(__xludf.DUMMYFUNCTION("""COMPUTED_VALUE"""),"País Vasco")</f>
        <v>País Vasco</v>
      </c>
      <c r="E448" s="2">
        <f>IFERROR(__xludf.DUMMYFUNCTION("""COMPUTED_VALUE"""),130.0)</f>
        <v>130</v>
      </c>
      <c r="F448" s="2">
        <f>IFERROR(__xludf.DUMMYFUNCTION("""COMPUTED_VALUE"""),37.56)</f>
        <v>37.56</v>
      </c>
      <c r="G448" s="4">
        <f>IFERROR(__xludf.DUMMYFUNCTION("""COMPUTED_VALUE"""),18102.0)</f>
        <v>18102</v>
      </c>
      <c r="H448" s="2">
        <f>IFERROR(__xludf.DUMMYFUNCTION("""COMPUTED_VALUE"""),481.95)</f>
        <v>481.95</v>
      </c>
    </row>
    <row r="449">
      <c r="A449" s="2" t="str">
        <f>IFERROR(__xludf.DUMMYFUNCTION("""COMPUTED_VALUE"""),"Manzanares")</f>
        <v>Manzanares</v>
      </c>
      <c r="B449" s="2" t="str">
        <f>IFERROR(__xludf.DUMMYFUNCTION("""COMPUTED_VALUE"""),"La Mancha")</f>
        <v>La Mancha</v>
      </c>
      <c r="C449" s="2" t="str">
        <f>IFERROR(__xludf.DUMMYFUNCTION("""COMPUTED_VALUE"""),"Provincia de Ciudad Real")</f>
        <v>Provincia de Ciudad Real</v>
      </c>
      <c r="D449" s="2" t="str">
        <f>IFERROR(__xludf.DUMMYFUNCTION("""COMPUTED_VALUE"""),"Castilla-La Mancha")</f>
        <v>Castilla-La Mancha</v>
      </c>
      <c r="E449" s="2">
        <f>IFERROR(__xludf.DUMMYFUNCTION("""COMPUTED_VALUE"""),654.0)</f>
        <v>654</v>
      </c>
      <c r="F449" s="2">
        <f>IFERROR(__xludf.DUMMYFUNCTION("""COMPUTED_VALUE"""),474.22)</f>
        <v>474.22</v>
      </c>
      <c r="G449" s="4">
        <f>IFERROR(__xludf.DUMMYFUNCTION("""COMPUTED_VALUE"""),17997.0)</f>
        <v>17997</v>
      </c>
      <c r="H449" s="2">
        <f>IFERROR(__xludf.DUMMYFUNCTION("""COMPUTED_VALUE"""),37.95)</f>
        <v>37.95</v>
      </c>
    </row>
    <row r="450">
      <c r="A450" s="2" t="str">
        <f>IFERROR(__xludf.DUMMYFUNCTION("""COMPUTED_VALUE"""),"Benavente")</f>
        <v>Benavente</v>
      </c>
      <c r="B450" s="2" t="str">
        <f>IFERROR(__xludf.DUMMYFUNCTION("""COMPUTED_VALUE"""),"Benavente y Los Valles")</f>
        <v>Benavente y Los Valles</v>
      </c>
      <c r="C450" s="2" t="str">
        <f>IFERROR(__xludf.DUMMYFUNCTION("""COMPUTED_VALUE"""),"Provincia de Ávila")</f>
        <v>Provincia de Ávila</v>
      </c>
      <c r="D450" s="2" t="str">
        <f>IFERROR(__xludf.DUMMYFUNCTION("""COMPUTED_VALUE"""),"Castilla y León")</f>
        <v>Castilla y León</v>
      </c>
      <c r="E450" s="2">
        <f>IFERROR(__xludf.DUMMYFUNCTION("""COMPUTED_VALUE"""),800.0)</f>
        <v>800</v>
      </c>
      <c r="F450" s="2">
        <f>IFERROR(__xludf.DUMMYFUNCTION("""COMPUTED_VALUE"""),45.12)</f>
        <v>45.12</v>
      </c>
      <c r="G450" s="4">
        <f>IFERROR(__xludf.DUMMYFUNCTION("""COMPUTED_VALUE"""),17935.0)</f>
        <v>17935</v>
      </c>
      <c r="H450" s="2">
        <f>IFERROR(__xludf.DUMMYFUNCTION("""COMPUTED_VALUE"""),397.5)</f>
        <v>397.5</v>
      </c>
    </row>
    <row r="451">
      <c r="A451" s="2" t="str">
        <f>IFERROR(__xludf.DUMMYFUNCTION("""COMPUTED_VALUE"""),"Daimiel")</f>
        <v>Daimiel</v>
      </c>
      <c r="B451" s="2" t="str">
        <f>IFERROR(__xludf.DUMMYFUNCTION("""COMPUTED_VALUE"""),"La Mancha (Ciudad Real)")</f>
        <v>La Mancha (Ciudad Real)</v>
      </c>
      <c r="C451" s="2" t="str">
        <f>IFERROR(__xludf.DUMMYFUNCTION("""COMPUTED_VALUE"""),"Provincia de Ciudad Real")</f>
        <v>Provincia de Ciudad Real</v>
      </c>
      <c r="D451" s="2" t="str">
        <f>IFERROR(__xludf.DUMMYFUNCTION("""COMPUTED_VALUE"""),"Castilla-La Mancha")</f>
        <v>Castilla-La Mancha</v>
      </c>
      <c r="E451" s="2">
        <f>IFERROR(__xludf.DUMMYFUNCTION("""COMPUTED_VALUE"""),627.0)</f>
        <v>627</v>
      </c>
      <c r="F451" s="2">
        <f>IFERROR(__xludf.DUMMYFUNCTION("""COMPUTED_VALUE"""),438.06)</f>
        <v>438.06</v>
      </c>
      <c r="G451" s="4">
        <f>IFERROR(__xludf.DUMMYFUNCTION("""COMPUTED_VALUE"""),17929.0)</f>
        <v>17929</v>
      </c>
      <c r="H451" s="2">
        <f>IFERROR(__xludf.DUMMYFUNCTION("""COMPUTED_VALUE"""),40.93)</f>
        <v>40.93</v>
      </c>
    </row>
    <row r="452">
      <c r="A452" s="2" t="str">
        <f>IFERROR(__xludf.DUMMYFUNCTION("""COMPUTED_VALUE"""),"Palamós")</f>
        <v>Palamós</v>
      </c>
      <c r="B452" s="2" t="str">
        <f>IFERROR(__xludf.DUMMYFUNCTION("""COMPUTED_VALUE"""),"Baix Empordà")</f>
        <v>Baix Empordà</v>
      </c>
      <c r="C452" s="2" t="str">
        <f>IFERROR(__xludf.DUMMYFUNCTION("""COMPUTED_VALUE"""),"Provincia de Girona")</f>
        <v>Provincia de Girona</v>
      </c>
      <c r="D452" s="2" t="str">
        <f>IFERROR(__xludf.DUMMYFUNCTION("""COMPUTED_VALUE"""),"Cataluña")</f>
        <v>Cataluña</v>
      </c>
      <c r="E452" s="2">
        <f>IFERROR(__xludf.DUMMYFUNCTION("""COMPUTED_VALUE"""),12.0)</f>
        <v>12</v>
      </c>
      <c r="F452" s="2">
        <f>IFERROR(__xludf.DUMMYFUNCTION("""COMPUTED_VALUE"""),13.96)</f>
        <v>13.96</v>
      </c>
      <c r="G452" s="4">
        <f>IFERROR(__xludf.DUMMYFUNCTION("""COMPUTED_VALUE"""),17910.0)</f>
        <v>17910</v>
      </c>
      <c r="H452" s="5">
        <f>IFERROR(__xludf.DUMMYFUNCTION("""COMPUTED_VALUE"""),1282.95)</f>
        <v>1282.95</v>
      </c>
    </row>
    <row r="453">
      <c r="A453" s="2" t="str">
        <f>IFERROR(__xludf.DUMMYFUNCTION("""COMPUTED_VALUE"""),"Sant Celoni")</f>
        <v>Sant Celoni</v>
      </c>
      <c r="B453" s="2" t="str">
        <f>IFERROR(__xludf.DUMMYFUNCTION("""COMPUTED_VALUE"""),"Vallès Oriental")</f>
        <v>Vallès Oriental</v>
      </c>
      <c r="C453" s="2" t="str">
        <f>IFERROR(__xludf.DUMMYFUNCTION("""COMPUTED_VALUE"""),"Provincia de Barcelona")</f>
        <v>Provincia de Barcelona</v>
      </c>
      <c r="D453" s="2" t="str">
        <f>IFERROR(__xludf.DUMMYFUNCTION("""COMPUTED_VALUE"""),"Cataluña")</f>
        <v>Cataluña</v>
      </c>
      <c r="E453" s="2">
        <f>IFERROR(__xludf.DUMMYFUNCTION("""COMPUTED_VALUE"""),152.0)</f>
        <v>152</v>
      </c>
      <c r="F453" s="2">
        <f>IFERROR(__xludf.DUMMYFUNCTION("""COMPUTED_VALUE"""),65.49)</f>
        <v>65.49</v>
      </c>
      <c r="G453" s="4">
        <f>IFERROR(__xludf.DUMMYFUNCTION("""COMPUTED_VALUE"""),17904.0)</f>
        <v>17904</v>
      </c>
      <c r="H453" s="2">
        <f>IFERROR(__xludf.DUMMYFUNCTION("""COMPUTED_VALUE"""),273.39)</f>
        <v>273.39</v>
      </c>
    </row>
    <row r="454">
      <c r="A454" s="2" t="str">
        <f>IFERROR(__xludf.DUMMYFUNCTION("""COMPUTED_VALUE"""),"Sant Just Desvern")</f>
        <v>Sant Just Desvern</v>
      </c>
      <c r="B454" s="2" t="str">
        <f>IFERROR(__xludf.DUMMYFUNCTION("""COMPUTED_VALUE"""),"Bajo Llobregat")</f>
        <v>Bajo Llobregat</v>
      </c>
      <c r="C454" s="2" t="str">
        <f>IFERROR(__xludf.DUMMYFUNCTION("""COMPUTED_VALUE"""),"Provincia de Barcelona")</f>
        <v>Provincia de Barcelona</v>
      </c>
      <c r="D454" s="2" t="str">
        <f>IFERROR(__xludf.DUMMYFUNCTION("""COMPUTED_VALUE"""),"Cataluña")</f>
        <v>Cataluña</v>
      </c>
      <c r="E454" s="2">
        <f>IFERROR(__xludf.DUMMYFUNCTION("""COMPUTED_VALUE"""),122.0)</f>
        <v>122</v>
      </c>
      <c r="F454" s="2">
        <f>IFERROR(__xludf.DUMMYFUNCTION("""COMPUTED_VALUE"""),7.78)</f>
        <v>7.78</v>
      </c>
      <c r="G454" s="4">
        <f>IFERROR(__xludf.DUMMYFUNCTION("""COMPUTED_VALUE"""),17805.0)</f>
        <v>17805</v>
      </c>
      <c r="H454" s="5">
        <f>IFERROR(__xludf.DUMMYFUNCTION("""COMPUTED_VALUE"""),2288.56)</f>
        <v>2288.56</v>
      </c>
    </row>
    <row r="455">
      <c r="A455" s="2" t="str">
        <f>IFERROR(__xludf.DUMMYFUNCTION("""COMPUTED_VALUE"""),"Felanitx")</f>
        <v>Felanitx</v>
      </c>
      <c r="B455" s="2" t="str">
        <f>IFERROR(__xludf.DUMMYFUNCTION("""COMPUTED_VALUE"""),"Migjorn")</f>
        <v>Migjorn</v>
      </c>
      <c r="C455" s="2" t="str">
        <f>IFERROR(__xludf.DUMMYFUNCTION("""COMPUTED_VALUE"""),"Provincia de Baleares")</f>
        <v>Provincia de Baleares</v>
      </c>
      <c r="D455" s="2" t="str">
        <f>IFERROR(__xludf.DUMMYFUNCTION("""COMPUTED_VALUE"""),"Islas Baleares")</f>
        <v>Islas Baleares</v>
      </c>
      <c r="E455" s="2">
        <f>IFERROR(__xludf.DUMMYFUNCTION("""COMPUTED_VALUE"""),95.0)</f>
        <v>95</v>
      </c>
      <c r="F455" s="2">
        <f>IFERROR(__xludf.DUMMYFUNCTION("""COMPUTED_VALUE"""),169.79)</f>
        <v>169.79</v>
      </c>
      <c r="G455" s="4">
        <f>IFERROR(__xludf.DUMMYFUNCTION("""COMPUTED_VALUE"""),17780.0)</f>
        <v>17780</v>
      </c>
      <c r="H455" s="2">
        <f>IFERROR(__xludf.DUMMYFUNCTION("""COMPUTED_VALUE"""),104.72)</f>
        <v>104.72</v>
      </c>
    </row>
    <row r="456">
      <c r="A456" s="2" t="str">
        <f>IFERROR(__xludf.DUMMYFUNCTION("""COMPUTED_VALUE"""),"Mungia")</f>
        <v>Mungia</v>
      </c>
      <c r="B456" s="2" t="str">
        <f>IFERROR(__xludf.DUMMYFUNCTION("""COMPUTED_VALUE"""),"Uribe (España)")</f>
        <v>Uribe (España)</v>
      </c>
      <c r="C456" s="2" t="str">
        <f>IFERROR(__xludf.DUMMYFUNCTION("""COMPUTED_VALUE"""),"Provincia de Bizkaia")</f>
        <v>Provincia de Bizkaia</v>
      </c>
      <c r="D456" s="2" t="str">
        <f>IFERROR(__xludf.DUMMYFUNCTION("""COMPUTED_VALUE"""),"País Vasco")</f>
        <v>País Vasco</v>
      </c>
      <c r="E456" s="2">
        <f>IFERROR(__xludf.DUMMYFUNCTION("""COMPUTED_VALUE"""),20.0)</f>
        <v>20</v>
      </c>
      <c r="F456" s="2">
        <f>IFERROR(__xludf.DUMMYFUNCTION("""COMPUTED_VALUE"""),44.46)</f>
        <v>44.46</v>
      </c>
      <c r="G456" s="4">
        <f>IFERROR(__xludf.DUMMYFUNCTION("""COMPUTED_VALUE"""),17691.0)</f>
        <v>17691</v>
      </c>
      <c r="H456" s="2">
        <f>IFERROR(__xludf.DUMMYFUNCTION("""COMPUTED_VALUE"""),397.91)</f>
        <v>397.91</v>
      </c>
    </row>
    <row r="457">
      <c r="A457" s="2" t="str">
        <f>IFERROR(__xludf.DUMMYFUNCTION("""COMPUTED_VALUE"""),"Nigrán")</f>
        <v>Nigrán</v>
      </c>
      <c r="B457" s="2" t="str">
        <f>IFERROR(__xludf.DUMMYFUNCTION("""COMPUTED_VALUE"""),"Comarca de Vigo")</f>
        <v>Comarca de Vigo</v>
      </c>
      <c r="C457" s="2" t="str">
        <f>IFERROR(__xludf.DUMMYFUNCTION("""COMPUTED_VALUE"""),"Provincia de Pontevedra")</f>
        <v>Provincia de Pontevedra</v>
      </c>
      <c r="D457" s="2" t="str">
        <f>IFERROR(__xludf.DUMMYFUNCTION("""COMPUTED_VALUE"""),"Galicia")</f>
        <v>Galicia</v>
      </c>
      <c r="E457" s="2">
        <f>IFERROR(__xludf.DUMMYFUNCTION("""COMPUTED_VALUE"""),350.0)</f>
        <v>350</v>
      </c>
      <c r="F457" s="2">
        <f>IFERROR(__xludf.DUMMYFUNCTION("""COMPUTED_VALUE"""),34.77)</f>
        <v>34.77</v>
      </c>
      <c r="G457" s="4">
        <f>IFERROR(__xludf.DUMMYFUNCTION("""COMPUTED_VALUE"""),17675.0)</f>
        <v>17675</v>
      </c>
      <c r="H457" s="2">
        <f>IFERROR(__xludf.DUMMYFUNCTION("""COMPUTED_VALUE"""),508.34)</f>
        <v>508.34</v>
      </c>
    </row>
    <row r="458">
      <c r="A458" s="2" t="str">
        <f>IFERROR(__xludf.DUMMYFUNCTION("""COMPUTED_VALUE"""),"Bailén")</f>
        <v>Bailén</v>
      </c>
      <c r="B458" s="2" t="str">
        <f>IFERROR(__xludf.DUMMYFUNCTION("""COMPUTED_VALUE"""),"Sierra Morena (Jaén)")</f>
        <v>Sierra Morena (Jaén)</v>
      </c>
      <c r="C458" s="2" t="str">
        <f>IFERROR(__xludf.DUMMYFUNCTION("""COMPUTED_VALUE"""),"Provincia de Jaén")</f>
        <v>Provincia de Jaén</v>
      </c>
      <c r="D458" s="2" t="str">
        <f>IFERROR(__xludf.DUMMYFUNCTION("""COMPUTED_VALUE"""),"Andalucía")</f>
        <v>Andalucía</v>
      </c>
      <c r="E458" s="2">
        <f>IFERROR(__xludf.DUMMYFUNCTION("""COMPUTED_VALUE"""),343.0)</f>
        <v>343</v>
      </c>
      <c r="F458" s="2">
        <f>IFERROR(__xludf.DUMMYFUNCTION("""COMPUTED_VALUE"""),117.14)</f>
        <v>117.14</v>
      </c>
      <c r="G458" s="4">
        <f>IFERROR(__xludf.DUMMYFUNCTION("""COMPUTED_VALUE"""),17667.0)</f>
        <v>17667</v>
      </c>
      <c r="H458" s="2">
        <f>IFERROR(__xludf.DUMMYFUNCTION("""COMPUTED_VALUE"""),150.82)</f>
        <v>150.82</v>
      </c>
    </row>
    <row r="459">
      <c r="A459" s="2" t="str">
        <f>IFERROR(__xludf.DUMMYFUNCTION("""COMPUTED_VALUE"""),"Huércal de Almería")</f>
        <v>Huércal de Almería</v>
      </c>
      <c r="B459" s="2" t="str">
        <f>IFERROR(__xludf.DUMMYFUNCTION("""COMPUTED_VALUE"""),"Comarca Metropolitana de Almería")</f>
        <v>Comarca Metropolitana de Almería</v>
      </c>
      <c r="C459" s="2" t="str">
        <f>IFERROR(__xludf.DUMMYFUNCTION("""COMPUTED_VALUE"""),"Provincia de Almería")</f>
        <v>Provincia de Almería</v>
      </c>
      <c r="D459" s="2" t="str">
        <f>IFERROR(__xludf.DUMMYFUNCTION("""COMPUTED_VALUE"""),"Andalucía")</f>
        <v>Andalucía</v>
      </c>
      <c r="E459" s="2">
        <f>IFERROR(__xludf.DUMMYFUNCTION("""COMPUTED_VALUE"""),94.0)</f>
        <v>94</v>
      </c>
      <c r="F459" s="2">
        <f>IFERROR(__xludf.DUMMYFUNCTION("""COMPUTED_VALUE"""),20.93)</f>
        <v>20.93</v>
      </c>
      <c r="G459" s="4">
        <f>IFERROR(__xludf.DUMMYFUNCTION("""COMPUTED_VALUE"""),17651.0)</f>
        <v>17651</v>
      </c>
      <c r="H459" s="2">
        <f>IFERROR(__xludf.DUMMYFUNCTION("""COMPUTED_VALUE"""),843.33)</f>
        <v>843.33</v>
      </c>
    </row>
    <row r="460">
      <c r="A460" s="2" t="str">
        <f>IFERROR(__xludf.DUMMYFUNCTION("""COMPUTED_VALUE"""),"Osuna")</f>
        <v>Osuna</v>
      </c>
      <c r="B460" s="2" t="str">
        <f>IFERROR(__xludf.DUMMYFUNCTION("""COMPUTED_VALUE"""),"Sierra Sur de Sevilla")</f>
        <v>Sierra Sur de Sevilla</v>
      </c>
      <c r="C460" s="2" t="str">
        <f>IFERROR(__xludf.DUMMYFUNCTION("""COMPUTED_VALUE"""),"Provincia de Sevilla")</f>
        <v>Provincia de Sevilla</v>
      </c>
      <c r="D460" s="2" t="str">
        <f>IFERROR(__xludf.DUMMYFUNCTION("""COMPUTED_VALUE"""),"Andalucía")</f>
        <v>Andalucía</v>
      </c>
      <c r="E460" s="2">
        <f>IFERROR(__xludf.DUMMYFUNCTION("""COMPUTED_VALUE"""),328.0)</f>
        <v>328</v>
      </c>
      <c r="F460" s="2">
        <f>IFERROR(__xludf.DUMMYFUNCTION("""COMPUTED_VALUE"""),592.25)</f>
        <v>592.25</v>
      </c>
      <c r="G460" s="4">
        <f>IFERROR(__xludf.DUMMYFUNCTION("""COMPUTED_VALUE"""),17560.0)</f>
        <v>17560</v>
      </c>
      <c r="H460" s="2">
        <f>IFERROR(__xludf.DUMMYFUNCTION("""COMPUTED_VALUE"""),29.65)</f>
        <v>29.65</v>
      </c>
    </row>
    <row r="461">
      <c r="A461" s="2" t="str">
        <f>IFERROR(__xludf.DUMMYFUNCTION("""COMPUTED_VALUE"""),"Caldes de Montbui")</f>
        <v>Caldes de Montbui</v>
      </c>
      <c r="B461" s="2" t="str">
        <f>IFERROR(__xludf.DUMMYFUNCTION("""COMPUTED_VALUE"""),"Vallès Oriental")</f>
        <v>Vallès Oriental</v>
      </c>
      <c r="C461" s="2" t="str">
        <f>IFERROR(__xludf.DUMMYFUNCTION("""COMPUTED_VALUE"""),"Provincia de Barcelona")</f>
        <v>Provincia de Barcelona</v>
      </c>
      <c r="D461" s="2" t="str">
        <f>IFERROR(__xludf.DUMMYFUNCTION("""COMPUTED_VALUE"""),"Cataluña")</f>
        <v>Cataluña</v>
      </c>
      <c r="E461" s="2">
        <f>IFERROR(__xludf.DUMMYFUNCTION("""COMPUTED_VALUE"""),203.0)</f>
        <v>203</v>
      </c>
      <c r="F461" s="2">
        <f>IFERROR(__xludf.DUMMYFUNCTION("""COMPUTED_VALUE"""),37.65)</f>
        <v>37.65</v>
      </c>
      <c r="G461" s="4">
        <f>IFERROR(__xludf.DUMMYFUNCTION("""COMPUTED_VALUE"""),17554.0)</f>
        <v>17554</v>
      </c>
      <c r="H461" s="2">
        <f>IFERROR(__xludf.DUMMYFUNCTION("""COMPUTED_VALUE"""),466.24)</f>
        <v>466.24</v>
      </c>
    </row>
    <row r="462">
      <c r="A462" s="2" t="str">
        <f>IFERROR(__xludf.DUMMYFUNCTION("""COMPUTED_VALUE"""),"Castilleja de la Cuesta")</f>
        <v>Castilleja de la Cuesta</v>
      </c>
      <c r="B462" s="2" t="str">
        <f>IFERROR(__xludf.DUMMYFUNCTION("""COMPUTED_VALUE"""),"Aljarafe")</f>
        <v>Aljarafe</v>
      </c>
      <c r="C462" s="2" t="str">
        <f>IFERROR(__xludf.DUMMYFUNCTION("""COMPUTED_VALUE"""),"Provincia de Sevilla")</f>
        <v>Provincia de Sevilla</v>
      </c>
      <c r="D462" s="2" t="str">
        <f>IFERROR(__xludf.DUMMYFUNCTION("""COMPUTED_VALUE"""),"Andalucía")</f>
        <v>Andalucía</v>
      </c>
      <c r="E462" s="2">
        <f>IFERROR(__xludf.DUMMYFUNCTION("""COMPUTED_VALUE"""),96.0)</f>
        <v>96</v>
      </c>
      <c r="F462" s="2">
        <f>IFERROR(__xludf.DUMMYFUNCTION("""COMPUTED_VALUE"""),2.17)</f>
        <v>2.17</v>
      </c>
      <c r="G462" s="4">
        <f>IFERROR(__xludf.DUMMYFUNCTION("""COMPUTED_VALUE"""),17418.0)</f>
        <v>17418</v>
      </c>
      <c r="H462" s="5">
        <f>IFERROR(__xludf.DUMMYFUNCTION("""COMPUTED_VALUE"""),8026.73)</f>
        <v>8026.73</v>
      </c>
    </row>
    <row r="463">
      <c r="A463" s="2" t="str">
        <f>IFERROR(__xludf.DUMMYFUNCTION("""COMPUTED_VALUE"""),"El Rosario")</f>
        <v>El Rosario</v>
      </c>
      <c r="B463" s="2" t="str">
        <f>IFERROR(__xludf.DUMMYFUNCTION("""COMPUTED_VALUE"""),"Comarca del Área Metropolitana (Tenerife)")</f>
        <v>Comarca del Área Metropolitana (Tenerife)</v>
      </c>
      <c r="C463" s="2" t="str">
        <f>IFERROR(__xludf.DUMMYFUNCTION("""COMPUTED_VALUE"""),"Provincia de Santa Cruz de Tenerife")</f>
        <v>Provincia de Santa Cruz de Tenerife</v>
      </c>
      <c r="D463" s="2" t="str">
        <f>IFERROR(__xludf.DUMMYFUNCTION("""COMPUTED_VALUE"""),"Canarias")</f>
        <v>Canarias</v>
      </c>
      <c r="E463" s="2">
        <f>IFERROR(__xludf.DUMMYFUNCTION("""COMPUTED_VALUE"""),905.0)</f>
        <v>905</v>
      </c>
      <c r="F463" s="2">
        <f>IFERROR(__xludf.DUMMYFUNCTION("""COMPUTED_VALUE"""),39.31)</f>
        <v>39.31</v>
      </c>
      <c r="G463" s="4">
        <f>IFERROR(__xludf.DUMMYFUNCTION("""COMPUTED_VALUE"""),17370.0)</f>
        <v>17370</v>
      </c>
      <c r="H463" s="2">
        <f>IFERROR(__xludf.DUMMYFUNCTION("""COMPUTED_VALUE"""),441.87)</f>
        <v>441.87</v>
      </c>
    </row>
    <row r="464">
      <c r="A464" s="2" t="str">
        <f>IFERROR(__xludf.DUMMYFUNCTION("""COMPUTED_VALUE"""),"Sanxenxo")</f>
        <v>Sanxenxo</v>
      </c>
      <c r="B464" s="2" t="str">
        <f>IFERROR(__xludf.DUMMYFUNCTION("""COMPUTED_VALUE"""),"O Salnés")</f>
        <v>O Salnés</v>
      </c>
      <c r="C464" s="2" t="str">
        <f>IFERROR(__xludf.DUMMYFUNCTION("""COMPUTED_VALUE"""),"Provincia de Pontevedra")</f>
        <v>Provincia de Pontevedra</v>
      </c>
      <c r="D464" s="2" t="str">
        <f>IFERROR(__xludf.DUMMYFUNCTION("""COMPUTED_VALUE"""),"Galicia")</f>
        <v>Galicia</v>
      </c>
      <c r="E464" s="2">
        <f>IFERROR(__xludf.DUMMYFUNCTION("""COMPUTED_VALUE"""),0.0)</f>
        <v>0</v>
      </c>
      <c r="F464" s="2">
        <f>IFERROR(__xludf.DUMMYFUNCTION("""COMPUTED_VALUE"""),45.08)</f>
        <v>45.08</v>
      </c>
      <c r="G464" s="4">
        <f>IFERROR(__xludf.DUMMYFUNCTION("""COMPUTED_VALUE"""),17347.0)</f>
        <v>17347</v>
      </c>
      <c r="H464" s="2">
        <f>IFERROR(__xludf.DUMMYFUNCTION("""COMPUTED_VALUE"""),384.8)</f>
        <v>384.8</v>
      </c>
    </row>
    <row r="465">
      <c r="A465" s="2" t="str">
        <f>IFERROR(__xludf.DUMMYFUNCTION("""COMPUTED_VALUE"""),"Monzón")</f>
        <v>Monzón</v>
      </c>
      <c r="B465" s="2" t="str">
        <f>IFERROR(__xludf.DUMMYFUNCTION("""COMPUTED_VALUE"""),"Cinca Medio")</f>
        <v>Cinca Medio</v>
      </c>
      <c r="C465" s="2" t="str">
        <f>IFERROR(__xludf.DUMMYFUNCTION("""COMPUTED_VALUE"""),"Provincia de Huesca")</f>
        <v>Provincia de Huesca</v>
      </c>
      <c r="D465" s="2" t="str">
        <f>IFERROR(__xludf.DUMMYFUNCTION("""COMPUTED_VALUE"""),"Aragón")</f>
        <v>Aragón</v>
      </c>
      <c r="E465" s="2">
        <f>IFERROR(__xludf.DUMMYFUNCTION("""COMPUTED_VALUE"""),273.0)</f>
        <v>273</v>
      </c>
      <c r="F465" s="2">
        <f>IFERROR(__xludf.DUMMYFUNCTION("""COMPUTED_VALUE"""),155.02)</f>
        <v>155.02</v>
      </c>
      <c r="G465" s="4">
        <f>IFERROR(__xludf.DUMMYFUNCTION("""COMPUTED_VALUE"""),17236.0)</f>
        <v>17236</v>
      </c>
      <c r="H465" s="2">
        <f>IFERROR(__xludf.DUMMYFUNCTION("""COMPUTED_VALUE"""),111.19)</f>
        <v>111.19</v>
      </c>
    </row>
    <row r="466">
      <c r="A466" s="2" t="str">
        <f>IFERROR(__xludf.DUMMYFUNCTION("""COMPUTED_VALUE"""),"Torrox")</f>
        <v>Torrox</v>
      </c>
      <c r="B466" s="2" t="str">
        <f>IFERROR(__xludf.DUMMYFUNCTION("""COMPUTED_VALUE"""),"Axarquía - Costa del Sol")</f>
        <v>Axarquía - Costa del Sol</v>
      </c>
      <c r="C466" s="2" t="str">
        <f>IFERROR(__xludf.DUMMYFUNCTION("""COMPUTED_VALUE"""),"Provincia de Málaga")</f>
        <v>Provincia de Málaga</v>
      </c>
      <c r="D466" s="2" t="str">
        <f>IFERROR(__xludf.DUMMYFUNCTION("""COMPUTED_VALUE"""),"Andalucía")</f>
        <v>Andalucía</v>
      </c>
      <c r="E466" s="2">
        <f>IFERROR(__xludf.DUMMYFUNCTION("""COMPUTED_VALUE"""),120.0)</f>
        <v>120</v>
      </c>
      <c r="F466" s="2">
        <f>IFERROR(__xludf.DUMMYFUNCTION("""COMPUTED_VALUE"""),50.05)</f>
        <v>50.05</v>
      </c>
      <c r="G466" s="4">
        <f>IFERROR(__xludf.DUMMYFUNCTION("""COMPUTED_VALUE"""),17234.0)</f>
        <v>17234</v>
      </c>
      <c r="H466" s="2">
        <f>IFERROR(__xludf.DUMMYFUNCTION("""COMPUTED_VALUE"""),344.34)</f>
        <v>344.34</v>
      </c>
    </row>
    <row r="467">
      <c r="A467" s="2" t="str">
        <f>IFERROR(__xludf.DUMMYFUNCTION("""COMPUTED_VALUE"""),"Tordera")</f>
        <v>Tordera</v>
      </c>
      <c r="B467" s="2" t="str">
        <f>IFERROR(__xludf.DUMMYFUNCTION("""COMPUTED_VALUE"""),"Maresme")</f>
        <v>Maresme</v>
      </c>
      <c r="C467" s="2" t="str">
        <f>IFERROR(__xludf.DUMMYFUNCTION("""COMPUTED_VALUE"""),"Provincia de Barcelona")</f>
        <v>Provincia de Barcelona</v>
      </c>
      <c r="D467" s="2" t="str">
        <f>IFERROR(__xludf.DUMMYFUNCTION("""COMPUTED_VALUE"""),"Cataluña")</f>
        <v>Cataluña</v>
      </c>
      <c r="E467" s="2">
        <f>IFERROR(__xludf.DUMMYFUNCTION("""COMPUTED_VALUE"""),34.0)</f>
        <v>34</v>
      </c>
      <c r="F467" s="2">
        <f>IFERROR(__xludf.DUMMYFUNCTION("""COMPUTED_VALUE"""),84.6)</f>
        <v>84.6</v>
      </c>
      <c r="G467" s="4">
        <f>IFERROR(__xludf.DUMMYFUNCTION("""COMPUTED_VALUE"""),17216.0)</f>
        <v>17216</v>
      </c>
      <c r="H467" s="2">
        <f>IFERROR(__xludf.DUMMYFUNCTION("""COMPUTED_VALUE"""),203.5)</f>
        <v>203.5</v>
      </c>
    </row>
    <row r="468">
      <c r="A468" s="2" t="str">
        <f>IFERROR(__xludf.DUMMYFUNCTION("""COMPUTED_VALUE"""),"Pozoblanco")</f>
        <v>Pozoblanco</v>
      </c>
      <c r="B468" s="2" t="str">
        <f>IFERROR(__xludf.DUMMYFUNCTION("""COMPUTED_VALUE"""),"Los Pedroches")</f>
        <v>Los Pedroches</v>
      </c>
      <c r="C468" s="2" t="str">
        <f>IFERROR(__xludf.DUMMYFUNCTION("""COMPUTED_VALUE"""),"Provincia de Córdoba")</f>
        <v>Provincia de Córdoba</v>
      </c>
      <c r="D468" s="2" t="str">
        <f>IFERROR(__xludf.DUMMYFUNCTION("""COMPUTED_VALUE"""),"Andalucía")</f>
        <v>Andalucía</v>
      </c>
      <c r="E468" s="2">
        <f>IFERROR(__xludf.DUMMYFUNCTION("""COMPUTED_VALUE"""),654.0)</f>
        <v>654</v>
      </c>
      <c r="F468" s="2">
        <f>IFERROR(__xludf.DUMMYFUNCTION("""COMPUTED_VALUE"""),329.91)</f>
        <v>329.91</v>
      </c>
      <c r="G468" s="4">
        <f>IFERROR(__xludf.DUMMYFUNCTION("""COMPUTED_VALUE"""),17210.0)</f>
        <v>17210</v>
      </c>
      <c r="H468" s="2">
        <f>IFERROR(__xludf.DUMMYFUNCTION("""COMPUTED_VALUE"""),52.17)</f>
        <v>52.17</v>
      </c>
    </row>
    <row r="469">
      <c r="A469" s="2" t="str">
        <f>IFERROR(__xludf.DUMMYFUNCTION("""COMPUTED_VALUE"""),"Tavernes de la Valldigna")</f>
        <v>Tavernes de la Valldigna</v>
      </c>
      <c r="B469" s="2" t="str">
        <f>IFERROR(__xludf.DUMMYFUNCTION("""COMPUTED_VALUE"""),"Safor")</f>
        <v>Safor</v>
      </c>
      <c r="C469" s="2" t="str">
        <f>IFERROR(__xludf.DUMMYFUNCTION("""COMPUTED_VALUE"""),"Provincia de València")</f>
        <v>Provincia de València</v>
      </c>
      <c r="D469" s="2" t="str">
        <f>IFERROR(__xludf.DUMMYFUNCTION("""COMPUTED_VALUE"""),"Comunidad Valenciana")</f>
        <v>Comunidad Valenciana</v>
      </c>
      <c r="E469" s="2">
        <f>IFERROR(__xludf.DUMMYFUNCTION("""COMPUTED_VALUE"""),15.0)</f>
        <v>15</v>
      </c>
      <c r="F469" s="2">
        <f>IFERROR(__xludf.DUMMYFUNCTION("""COMPUTED_VALUE"""),49.23)</f>
        <v>49.23</v>
      </c>
      <c r="G469" s="4">
        <f>IFERROR(__xludf.DUMMYFUNCTION("""COMPUTED_VALUE"""),17201.0)</f>
        <v>17201</v>
      </c>
      <c r="H469" s="2">
        <f>IFERROR(__xludf.DUMMYFUNCTION("""COMPUTED_VALUE"""),349.4)</f>
        <v>349.4</v>
      </c>
    </row>
    <row r="470">
      <c r="A470" s="2" t="str">
        <f>IFERROR(__xludf.DUMMYFUNCTION("""COMPUTED_VALUE"""),"Villanueva del Pardillo")</f>
        <v>Villanueva del Pardillo</v>
      </c>
      <c r="B470" s="2" t="str">
        <f>IFERROR(__xludf.DUMMYFUNCTION("""COMPUTED_VALUE"""),"La Encina")</f>
        <v>La Encina</v>
      </c>
      <c r="C470" s="2" t="str">
        <f>IFERROR(__xludf.DUMMYFUNCTION("""COMPUTED_VALUE"""),"Provincia de Madrid")</f>
        <v>Provincia de Madrid</v>
      </c>
      <c r="D470" s="2" t="str">
        <f>IFERROR(__xludf.DUMMYFUNCTION("""COMPUTED_VALUE"""),"Comunidad de Madrid")</f>
        <v>Comunidad de Madrid</v>
      </c>
      <c r="E470" s="2">
        <f>IFERROR(__xludf.DUMMYFUNCTION("""COMPUTED_VALUE"""),650.0)</f>
        <v>650</v>
      </c>
      <c r="F470" s="2">
        <f>IFERROR(__xludf.DUMMYFUNCTION("""COMPUTED_VALUE"""),25.35)</f>
        <v>25.35</v>
      </c>
      <c r="G470" s="4">
        <f>IFERROR(__xludf.DUMMYFUNCTION("""COMPUTED_VALUE"""),17180.0)</f>
        <v>17180</v>
      </c>
      <c r="H470" s="2">
        <f>IFERROR(__xludf.DUMMYFUNCTION("""COMPUTED_VALUE"""),677.71)</f>
        <v>677.71</v>
      </c>
    </row>
    <row r="471">
      <c r="A471" s="2" t="str">
        <f>IFERROR(__xludf.DUMMYFUNCTION("""COMPUTED_VALUE"""),"Balaguer")</f>
        <v>Balaguer</v>
      </c>
      <c r="B471" s="2" t="str">
        <f>IFERROR(__xludf.DUMMYFUNCTION("""COMPUTED_VALUE"""),"Noguera")</f>
        <v>Noguera</v>
      </c>
      <c r="C471" s="2" t="str">
        <f>IFERROR(__xludf.DUMMYFUNCTION("""COMPUTED_VALUE"""),"Provincia de Barcelona")</f>
        <v>Provincia de Barcelona</v>
      </c>
      <c r="D471" s="2" t="str">
        <f>IFERROR(__xludf.DUMMYFUNCTION("""COMPUTED_VALUE"""),"Cataluña")</f>
        <v>Cataluña</v>
      </c>
      <c r="E471" s="2">
        <f>IFERROR(__xludf.DUMMYFUNCTION("""COMPUTED_VALUE"""),233.0)</f>
        <v>233</v>
      </c>
      <c r="F471" s="2">
        <f>IFERROR(__xludf.DUMMYFUNCTION("""COMPUTED_VALUE"""),57.17)</f>
        <v>57.17</v>
      </c>
      <c r="G471" s="4">
        <f>IFERROR(__xludf.DUMMYFUNCTION("""COMPUTED_VALUE"""),17162.0)</f>
        <v>17162</v>
      </c>
      <c r="H471" s="2">
        <f>IFERROR(__xludf.DUMMYFUNCTION("""COMPUTED_VALUE"""),300.19)</f>
        <v>300.19</v>
      </c>
    </row>
    <row r="472">
      <c r="A472" s="2" t="str">
        <f>IFERROR(__xludf.DUMMYFUNCTION("""COMPUTED_VALUE"""),"Navalmoral de la Mata")</f>
        <v>Navalmoral de la Mata</v>
      </c>
      <c r="B472" s="2" t="str">
        <f>IFERROR(__xludf.DUMMYFUNCTION("""COMPUTED_VALUE"""),"Campo Arañuelo")</f>
        <v>Campo Arañuelo</v>
      </c>
      <c r="C472" s="2" t="str">
        <f>IFERROR(__xludf.DUMMYFUNCTION("""COMPUTED_VALUE"""),"Provincia de Cáceres")</f>
        <v>Provincia de Cáceres</v>
      </c>
      <c r="D472" s="2" t="str">
        <f>IFERROR(__xludf.DUMMYFUNCTION("""COMPUTED_VALUE"""),"Extremadura")</f>
        <v>Extremadura</v>
      </c>
      <c r="E472" s="2">
        <f>IFERROR(__xludf.DUMMYFUNCTION("""COMPUTED_VALUE"""),291.0)</f>
        <v>291</v>
      </c>
      <c r="F472" s="2">
        <f>IFERROR(__xludf.DUMMYFUNCTION("""COMPUTED_VALUE"""),155.96)</f>
        <v>155.96</v>
      </c>
      <c r="G472" s="4">
        <f>IFERROR(__xludf.DUMMYFUNCTION("""COMPUTED_VALUE"""),17129.0)</f>
        <v>17129</v>
      </c>
      <c r="H472" s="2">
        <f>IFERROR(__xludf.DUMMYFUNCTION("""COMPUTED_VALUE"""),109.83)</f>
        <v>109.83</v>
      </c>
    </row>
    <row r="473">
      <c r="A473" s="2" t="str">
        <f>IFERROR(__xludf.DUMMYFUNCTION("""COMPUTED_VALUE"""),"Tàrrega")</f>
        <v>Tàrrega</v>
      </c>
      <c r="B473" s="2" t="str">
        <f>IFERROR(__xludf.DUMMYFUNCTION("""COMPUTED_VALUE"""),"Urgell")</f>
        <v>Urgell</v>
      </c>
      <c r="C473" s="2" t="str">
        <f>IFERROR(__xludf.DUMMYFUNCTION("""COMPUTED_VALUE"""),"Provincia de Lleida")</f>
        <v>Provincia de Lleida</v>
      </c>
      <c r="D473" s="2" t="str">
        <f>IFERROR(__xludf.DUMMYFUNCTION("""COMPUTED_VALUE"""),"Cataluña")</f>
        <v>Cataluña</v>
      </c>
      <c r="E473" s="2">
        <f>IFERROR(__xludf.DUMMYFUNCTION("""COMPUTED_VALUE"""),373.0)</f>
        <v>373</v>
      </c>
      <c r="F473" s="2">
        <f>IFERROR(__xludf.DUMMYFUNCTION("""COMPUTED_VALUE"""),87.96)</f>
        <v>87.96</v>
      </c>
      <c r="G473" s="4">
        <f>IFERROR(__xludf.DUMMYFUNCTION("""COMPUTED_VALUE"""),17098.0)</f>
        <v>17098</v>
      </c>
      <c r="H473" s="2">
        <f>IFERROR(__xludf.DUMMYFUNCTION("""COMPUTED_VALUE"""),194.38)</f>
        <v>194.38</v>
      </c>
    </row>
    <row r="474">
      <c r="A474" s="2" t="str">
        <f>IFERROR(__xludf.DUMMYFUNCTION("""COMPUTED_VALUE"""),"Poio")</f>
        <v>Poio</v>
      </c>
      <c r="B474" s="2"/>
      <c r="C474" s="2" t="str">
        <f>IFERROR(__xludf.DUMMYFUNCTION("""COMPUTED_VALUE"""),"Provincia de Pontevedra")</f>
        <v>Provincia de Pontevedra</v>
      </c>
      <c r="D474" s="2" t="str">
        <f>IFERROR(__xludf.DUMMYFUNCTION("""COMPUTED_VALUE"""),"Galicia")</f>
        <v>Galicia</v>
      </c>
      <c r="E474" s="2">
        <f>IFERROR(__xludf.DUMMYFUNCTION("""COMPUTED_VALUE"""),91.0)</f>
        <v>91</v>
      </c>
      <c r="F474" s="2">
        <f>IFERROR(__xludf.DUMMYFUNCTION("""COMPUTED_VALUE"""),33.93)</f>
        <v>33.93</v>
      </c>
      <c r="G474" s="4">
        <f>IFERROR(__xludf.DUMMYFUNCTION("""COMPUTED_VALUE"""),17082.0)</f>
        <v>17082</v>
      </c>
      <c r="H474" s="2">
        <f>IFERROR(__xludf.DUMMYFUNCTION("""COMPUTED_VALUE"""),503.45)</f>
        <v>503.45</v>
      </c>
    </row>
    <row r="475">
      <c r="A475" s="2" t="str">
        <f>IFERROR(__xludf.DUMMYFUNCTION("""COMPUTED_VALUE"""),"Gernika-Lumo")</f>
        <v>Gernika-Lumo</v>
      </c>
      <c r="B475" s="2" t="str">
        <f>IFERROR(__xludf.DUMMYFUNCTION("""COMPUTED_VALUE"""),"Busturialdea - Urdaibai")</f>
        <v>Busturialdea - Urdaibai</v>
      </c>
      <c r="C475" s="2" t="str">
        <f>IFERROR(__xludf.DUMMYFUNCTION("""COMPUTED_VALUE"""),"Provincia de Bizkaia")</f>
        <v>Provincia de Bizkaia</v>
      </c>
      <c r="D475" s="2" t="str">
        <f>IFERROR(__xludf.DUMMYFUNCTION("""COMPUTED_VALUE"""),"País Vasco")</f>
        <v>País Vasco</v>
      </c>
      <c r="E475" s="2">
        <f>IFERROR(__xludf.DUMMYFUNCTION("""COMPUTED_VALUE"""),10.0)</f>
        <v>10</v>
      </c>
      <c r="F475" s="2">
        <f>IFERROR(__xludf.DUMMYFUNCTION("""COMPUTED_VALUE"""),8.53)</f>
        <v>8.53</v>
      </c>
      <c r="G475" s="4">
        <f>IFERROR(__xludf.DUMMYFUNCTION("""COMPUTED_VALUE"""),17016.0)</f>
        <v>17016</v>
      </c>
      <c r="H475" s="5">
        <f>IFERROR(__xludf.DUMMYFUNCTION("""COMPUTED_VALUE"""),1994.84)</f>
        <v>1994.84</v>
      </c>
    </row>
    <row r="476">
      <c r="A476" s="2" t="str">
        <f>IFERROR(__xludf.DUMMYFUNCTION("""COMPUTED_VALUE"""),"Barbastro")</f>
        <v>Barbastro</v>
      </c>
      <c r="B476" s="2" t="str">
        <f>IFERROR(__xludf.DUMMYFUNCTION("""COMPUTED_VALUE"""),"Somontano de Barbastro")</f>
        <v>Somontano de Barbastro</v>
      </c>
      <c r="C476" s="2" t="str">
        <f>IFERROR(__xludf.DUMMYFUNCTION("""COMPUTED_VALUE"""),"Provincia de Huesca")</f>
        <v>Provincia de Huesca</v>
      </c>
      <c r="D476" s="2" t="str">
        <f>IFERROR(__xludf.DUMMYFUNCTION("""COMPUTED_VALUE"""),"Aragón")</f>
        <v>Aragón</v>
      </c>
      <c r="E476" s="2">
        <f>IFERROR(__xludf.DUMMYFUNCTION("""COMPUTED_VALUE"""),341.0)</f>
        <v>341</v>
      </c>
      <c r="F476" s="2">
        <f>IFERROR(__xludf.DUMMYFUNCTION("""COMPUTED_VALUE"""),107.6)</f>
        <v>107.6</v>
      </c>
      <c r="G476" s="4">
        <f>IFERROR(__xludf.DUMMYFUNCTION("""COMPUTED_VALUE"""),16979.0)</f>
        <v>16979</v>
      </c>
      <c r="H476" s="2">
        <f>IFERROR(__xludf.DUMMYFUNCTION("""COMPUTED_VALUE"""),157.8)</f>
        <v>157.8</v>
      </c>
    </row>
    <row r="477">
      <c r="A477" s="2" t="str">
        <f>IFERROR(__xludf.DUMMYFUNCTION("""COMPUTED_VALUE"""),"Rojales")</f>
        <v>Rojales</v>
      </c>
      <c r="B477" s="2" t="str">
        <f>IFERROR(__xludf.DUMMYFUNCTION("""COMPUTED_VALUE"""),"Vega Baja del Segura")</f>
        <v>Vega Baja del Segura</v>
      </c>
      <c r="C477" s="2" t="str">
        <f>IFERROR(__xludf.DUMMYFUNCTION("""COMPUTED_VALUE"""),"Provincia de Alicante")</f>
        <v>Provincia de Alicante</v>
      </c>
      <c r="D477" s="2" t="str">
        <f>IFERROR(__xludf.DUMMYFUNCTION("""COMPUTED_VALUE"""),"Comunidad Valenciana")</f>
        <v>Comunidad Valenciana</v>
      </c>
      <c r="E477" s="2">
        <f>IFERROR(__xludf.DUMMYFUNCTION("""COMPUTED_VALUE"""),8.0)</f>
        <v>8</v>
      </c>
      <c r="F477" s="2">
        <f>IFERROR(__xludf.DUMMYFUNCTION("""COMPUTED_VALUE"""),27.73)</f>
        <v>27.73</v>
      </c>
      <c r="G477" s="4">
        <f>IFERROR(__xludf.DUMMYFUNCTION("""COMPUTED_VALUE"""),16963.0)</f>
        <v>16963</v>
      </c>
      <c r="H477" s="2">
        <f>IFERROR(__xludf.DUMMYFUNCTION("""COMPUTED_VALUE"""),611.72)</f>
        <v>611.72</v>
      </c>
    </row>
    <row r="478">
      <c r="A478" s="2" t="str">
        <f>IFERROR(__xludf.DUMMYFUNCTION("""COMPUTED_VALUE"""),"Mula")</f>
        <v>Mula</v>
      </c>
      <c r="B478" s="2" t="str">
        <f>IFERROR(__xludf.DUMMYFUNCTION("""COMPUTED_VALUE"""),"Comarca del Río Mula")</f>
        <v>Comarca del Río Mula</v>
      </c>
      <c r="C478" s="2" t="str">
        <f>IFERROR(__xludf.DUMMYFUNCTION("""COMPUTED_VALUE"""),"Provincia de Murcia")</f>
        <v>Provincia de Murcia</v>
      </c>
      <c r="D478" s="2" t="str">
        <f>IFERROR(__xludf.DUMMYFUNCTION("""COMPUTED_VALUE"""),"Región de Murcia")</f>
        <v>Región de Murcia</v>
      </c>
      <c r="E478" s="2">
        <f>IFERROR(__xludf.DUMMYFUNCTION("""COMPUTED_VALUE"""),313.0)</f>
        <v>313</v>
      </c>
      <c r="F478" s="2">
        <f>IFERROR(__xludf.DUMMYFUNCTION("""COMPUTED_VALUE"""),633.84)</f>
        <v>633.84</v>
      </c>
      <c r="G478" s="4">
        <f>IFERROR(__xludf.DUMMYFUNCTION("""COMPUTED_VALUE"""),16883.0)</f>
        <v>16883</v>
      </c>
      <c r="H478" s="2">
        <f>IFERROR(__xludf.DUMMYFUNCTION("""COMPUTED_VALUE"""),26.64)</f>
        <v>26.64</v>
      </c>
    </row>
    <row r="479">
      <c r="A479" s="2" t="str">
        <f>IFERROR(__xludf.DUMMYFUNCTION("""COMPUTED_VALUE"""),"Hondarribia")</f>
        <v>Hondarribia</v>
      </c>
      <c r="B479" s="2" t="str">
        <f>IFERROR(__xludf.DUMMYFUNCTION("""COMPUTED_VALUE"""),"Bajo Bidasoa")</f>
        <v>Bajo Bidasoa</v>
      </c>
      <c r="C479" s="2" t="str">
        <f>IFERROR(__xludf.DUMMYFUNCTION("""COMPUTED_VALUE"""),"Provincia de Gipuzkoa")</f>
        <v>Provincia de Gipuzkoa</v>
      </c>
      <c r="D479" s="2" t="str">
        <f>IFERROR(__xludf.DUMMYFUNCTION("""COMPUTED_VALUE"""),"País Vasco")</f>
        <v>País Vasco</v>
      </c>
      <c r="E479" s="2">
        <f>IFERROR(__xludf.DUMMYFUNCTION("""COMPUTED_VALUE"""),16.0)</f>
        <v>16</v>
      </c>
      <c r="F479" s="2">
        <f>IFERROR(__xludf.DUMMYFUNCTION("""COMPUTED_VALUE"""),28.63)</f>
        <v>28.63</v>
      </c>
      <c r="G479" s="4">
        <f>IFERROR(__xludf.DUMMYFUNCTION("""COMPUTED_VALUE"""),16828.0)</f>
        <v>16828</v>
      </c>
      <c r="H479" s="2">
        <f>IFERROR(__xludf.DUMMYFUNCTION("""COMPUTED_VALUE"""),587.78)</f>
        <v>587.78</v>
      </c>
    </row>
    <row r="480">
      <c r="A480" s="2" t="str">
        <f>IFERROR(__xludf.DUMMYFUNCTION("""COMPUTED_VALUE"""),"Zafra")</f>
        <v>Zafra</v>
      </c>
      <c r="B480" s="2" t="str">
        <f>IFERROR(__xludf.DUMMYFUNCTION("""COMPUTED_VALUE"""),"Zafra - Río Bodión")</f>
        <v>Zafra - Río Bodión</v>
      </c>
      <c r="C480" s="2" t="str">
        <f>IFERROR(__xludf.DUMMYFUNCTION("""COMPUTED_VALUE"""),"Provincia de Badajoz")</f>
        <v>Provincia de Badajoz</v>
      </c>
      <c r="D480" s="2" t="str">
        <f>IFERROR(__xludf.DUMMYFUNCTION("""COMPUTED_VALUE"""),"Extremadura")</f>
        <v>Extremadura</v>
      </c>
      <c r="E480" s="2">
        <f>IFERROR(__xludf.DUMMYFUNCTION("""COMPUTED_VALUE"""),508.0)</f>
        <v>508</v>
      </c>
      <c r="F480" s="2">
        <f>IFERROR(__xludf.DUMMYFUNCTION("""COMPUTED_VALUE"""),62.6)</f>
        <v>62.6</v>
      </c>
      <c r="G480" s="4">
        <f>IFERROR(__xludf.DUMMYFUNCTION("""COMPUTED_VALUE"""),16797.0)</f>
        <v>16797</v>
      </c>
      <c r="H480" s="2">
        <f>IFERROR(__xludf.DUMMYFUNCTION("""COMPUTED_VALUE"""),268.32)</f>
        <v>268.32</v>
      </c>
    </row>
    <row r="481">
      <c r="A481" s="2" t="str">
        <f>IFERROR(__xludf.DUMMYFUNCTION("""COMPUTED_VALUE"""),"Exeya")</f>
        <v>Exeya</v>
      </c>
      <c r="B481" s="2" t="str">
        <f>IFERROR(__xludf.DUMMYFUNCTION("""COMPUTED_VALUE"""),"Zinco Billas")</f>
        <v>Zinco Billas</v>
      </c>
      <c r="C481" s="2" t="str">
        <f>IFERROR(__xludf.DUMMYFUNCTION("""COMPUTED_VALUE"""),"Provincia de Zaragoza")</f>
        <v>Provincia de Zaragoza</v>
      </c>
      <c r="D481" s="2" t="str">
        <f>IFERROR(__xludf.DUMMYFUNCTION("""COMPUTED_VALUE"""),"Aragón")</f>
        <v>Aragón</v>
      </c>
      <c r="E481" s="2">
        <f>IFERROR(__xludf.DUMMYFUNCTION("""COMPUTED_VALUE"""),346.0)</f>
        <v>346</v>
      </c>
      <c r="F481" s="2">
        <f>IFERROR(__xludf.DUMMYFUNCTION("""COMPUTED_VALUE"""),609.92)</f>
        <v>609.92</v>
      </c>
      <c r="G481" s="4">
        <f>IFERROR(__xludf.DUMMYFUNCTION("""COMPUTED_VALUE"""),16783.0)</f>
        <v>16783</v>
      </c>
      <c r="H481" s="2">
        <f>IFERROR(__xludf.DUMMYFUNCTION("""COMPUTED_VALUE"""),27.52)</f>
        <v>27.52</v>
      </c>
    </row>
    <row r="482">
      <c r="A482" s="2" t="str">
        <f>IFERROR(__xludf.DUMMYFUNCTION("""COMPUTED_VALUE"""),"Bermeo")</f>
        <v>Bermeo</v>
      </c>
      <c r="B482" s="2" t="str">
        <f>IFERROR(__xludf.DUMMYFUNCTION("""COMPUTED_VALUE"""),"Busturialdea - Urdaibai")</f>
        <v>Busturialdea - Urdaibai</v>
      </c>
      <c r="C482" s="2" t="str">
        <f>IFERROR(__xludf.DUMMYFUNCTION("""COMPUTED_VALUE"""),"Provincia de Bizkaia")</f>
        <v>Provincia de Bizkaia</v>
      </c>
      <c r="D482" s="2" t="str">
        <f>IFERROR(__xludf.DUMMYFUNCTION("""COMPUTED_VALUE"""),"País Vasco")</f>
        <v>País Vasco</v>
      </c>
      <c r="E482" s="2">
        <f>IFERROR(__xludf.DUMMYFUNCTION("""COMPUTED_VALUE"""),11.0)</f>
        <v>11</v>
      </c>
      <c r="F482" s="2">
        <f>IFERROR(__xludf.DUMMYFUNCTION("""COMPUTED_VALUE"""),33.81)</f>
        <v>33.81</v>
      </c>
      <c r="G482" s="4">
        <f>IFERROR(__xludf.DUMMYFUNCTION("""COMPUTED_VALUE"""),16765.0)</f>
        <v>16765</v>
      </c>
      <c r="H482" s="2">
        <f>IFERROR(__xludf.DUMMYFUNCTION("""COMPUTED_VALUE"""),495.86)</f>
        <v>495.86</v>
      </c>
    </row>
    <row r="483">
      <c r="A483" s="2" t="str">
        <f>IFERROR(__xludf.DUMMYFUNCTION("""COMPUTED_VALUE"""),"Tui")</f>
        <v>Tui</v>
      </c>
      <c r="B483" s="2" t="str">
        <f>IFERROR(__xludf.DUMMYFUNCTION("""COMPUTED_VALUE"""),"Bajo Miño")</f>
        <v>Bajo Miño</v>
      </c>
      <c r="C483" s="2" t="str">
        <f>IFERROR(__xludf.DUMMYFUNCTION("""COMPUTED_VALUE"""),"Provincia de Pontevedra")</f>
        <v>Provincia de Pontevedra</v>
      </c>
      <c r="D483" s="2" t="str">
        <f>IFERROR(__xludf.DUMMYFUNCTION("""COMPUTED_VALUE"""),"Galicia")</f>
        <v>Galicia</v>
      </c>
      <c r="E483" s="2">
        <f>IFERROR(__xludf.DUMMYFUNCTION("""COMPUTED_VALUE"""),44.0)</f>
        <v>44</v>
      </c>
      <c r="F483" s="2">
        <f>IFERROR(__xludf.DUMMYFUNCTION("""COMPUTED_VALUE"""),68.32)</f>
        <v>68.32</v>
      </c>
      <c r="G483" s="4">
        <f>IFERROR(__xludf.DUMMYFUNCTION("""COMPUTED_VALUE"""),16701.0)</f>
        <v>16701</v>
      </c>
      <c r="H483" s="2">
        <f>IFERROR(__xludf.DUMMYFUNCTION("""COMPUTED_VALUE"""),244.45)</f>
        <v>244.45</v>
      </c>
    </row>
    <row r="484">
      <c r="A484" s="2" t="str">
        <f>IFERROR(__xludf.DUMMYFUNCTION("""COMPUTED_VALUE"""),"Canovelles")</f>
        <v>Canovelles</v>
      </c>
      <c r="B484" s="2" t="str">
        <f>IFERROR(__xludf.DUMMYFUNCTION("""COMPUTED_VALUE"""),"Vallès Oriental")</f>
        <v>Vallès Oriental</v>
      </c>
      <c r="C484" s="2" t="str">
        <f>IFERROR(__xludf.DUMMYFUNCTION("""COMPUTED_VALUE"""),"Provincia de Barcelona")</f>
        <v>Provincia de Barcelona</v>
      </c>
      <c r="D484" s="2" t="str">
        <f>IFERROR(__xludf.DUMMYFUNCTION("""COMPUTED_VALUE"""),"Cataluña")</f>
        <v>Cataluña</v>
      </c>
      <c r="E484" s="2">
        <f>IFERROR(__xludf.DUMMYFUNCTION("""COMPUTED_VALUE"""),175.0)</f>
        <v>175</v>
      </c>
      <c r="F484" s="2">
        <f>IFERROR(__xludf.DUMMYFUNCTION("""COMPUTED_VALUE"""),6.76)</f>
        <v>6.76</v>
      </c>
      <c r="G484" s="4">
        <f>IFERROR(__xludf.DUMMYFUNCTION("""COMPUTED_VALUE"""),16629.0)</f>
        <v>16629</v>
      </c>
      <c r="H484" s="5">
        <f>IFERROR(__xludf.DUMMYFUNCTION("""COMPUTED_VALUE"""),2459.91)</f>
        <v>2459.91</v>
      </c>
    </row>
    <row r="485">
      <c r="A485" s="2" t="str">
        <f>IFERROR(__xludf.DUMMYFUNCTION("""COMPUTED_VALUE"""),"Ubrique")</f>
        <v>Ubrique</v>
      </c>
      <c r="B485" s="2" t="str">
        <f>IFERROR(__xludf.DUMMYFUNCTION("""COMPUTED_VALUE"""),"Sierra de Cádiz")</f>
        <v>Sierra de Cádiz</v>
      </c>
      <c r="C485" s="2" t="str">
        <f>IFERROR(__xludf.DUMMYFUNCTION("""COMPUTED_VALUE"""),"Provincia de Cádiz")</f>
        <v>Provincia de Cádiz</v>
      </c>
      <c r="D485" s="2" t="str">
        <f>IFERROR(__xludf.DUMMYFUNCTION("""COMPUTED_VALUE"""),"Andalucía")</f>
        <v>Andalucía</v>
      </c>
      <c r="E485" s="2">
        <f>IFERROR(__xludf.DUMMYFUNCTION("""COMPUTED_VALUE"""),330.0)</f>
        <v>330</v>
      </c>
      <c r="F485" s="2">
        <f>IFERROR(__xludf.DUMMYFUNCTION("""COMPUTED_VALUE"""),69.75)</f>
        <v>69.75</v>
      </c>
      <c r="G485" s="4">
        <f>IFERROR(__xludf.DUMMYFUNCTION("""COMPUTED_VALUE"""),16597.0)</f>
        <v>16597</v>
      </c>
      <c r="H485" s="2">
        <f>IFERROR(__xludf.DUMMYFUNCTION("""COMPUTED_VALUE"""),237.95)</f>
        <v>237.95</v>
      </c>
    </row>
    <row r="486">
      <c r="A486" s="2" t="str">
        <f>IFERROR(__xludf.DUMMYFUNCTION("""COMPUTED_VALUE"""),"Fuente Álamo de Murcia")</f>
        <v>Fuente Álamo de Murcia</v>
      </c>
      <c r="B486" s="2" t="str">
        <f>IFERROR(__xludf.DUMMYFUNCTION("""COMPUTED_VALUE"""),"Campo de Cartagena")</f>
        <v>Campo de Cartagena</v>
      </c>
      <c r="C486" s="2" t="str">
        <f>IFERROR(__xludf.DUMMYFUNCTION("""COMPUTED_VALUE"""),"Provincia de Murcia")</f>
        <v>Provincia de Murcia</v>
      </c>
      <c r="D486" s="2" t="str">
        <f>IFERROR(__xludf.DUMMYFUNCTION("""COMPUTED_VALUE"""),"Región de Murcia")</f>
        <v>Región de Murcia</v>
      </c>
      <c r="E486" s="2">
        <f>IFERROR(__xludf.DUMMYFUNCTION("""COMPUTED_VALUE"""),127.0)</f>
        <v>127</v>
      </c>
      <c r="F486" s="2">
        <f>IFERROR(__xludf.DUMMYFUNCTION("""COMPUTED_VALUE"""),274.19)</f>
        <v>274.19</v>
      </c>
      <c r="G486" s="4">
        <f>IFERROR(__xludf.DUMMYFUNCTION("""COMPUTED_VALUE"""),16583.0)</f>
        <v>16583</v>
      </c>
      <c r="H486" s="2">
        <f>IFERROR(__xludf.DUMMYFUNCTION("""COMPUTED_VALUE"""),60.48)</f>
        <v>60.48</v>
      </c>
    </row>
    <row r="487">
      <c r="A487" s="2" t="str">
        <f>IFERROR(__xludf.DUMMYFUNCTION("""COMPUTED_VALUE"""),"Yaiza")</f>
        <v>Yaiza</v>
      </c>
      <c r="B487" s="2"/>
      <c r="C487" s="2" t="str">
        <f>IFERROR(__xludf.DUMMYFUNCTION("""COMPUTED_VALUE"""),"Provincia de Las Palmas")</f>
        <v>Provincia de Las Palmas</v>
      </c>
      <c r="D487" s="2" t="str">
        <f>IFERROR(__xludf.DUMMYFUNCTION("""COMPUTED_VALUE"""),"Canarias")</f>
        <v>Canarias</v>
      </c>
      <c r="E487" s="2">
        <f>IFERROR(__xludf.DUMMYFUNCTION("""COMPUTED_VALUE"""),192.0)</f>
        <v>192</v>
      </c>
      <c r="F487" s="2">
        <f>IFERROR(__xludf.DUMMYFUNCTION("""COMPUTED_VALUE"""),212.09)</f>
        <v>212.09</v>
      </c>
      <c r="G487" s="4">
        <f>IFERROR(__xludf.DUMMYFUNCTION("""COMPUTED_VALUE"""),16571.0)</f>
        <v>16571</v>
      </c>
      <c r="H487" s="2">
        <f>IFERROR(__xludf.DUMMYFUNCTION("""COMPUTED_VALUE"""),78.13)</f>
        <v>78.13</v>
      </c>
    </row>
    <row r="488">
      <c r="A488" s="2" t="str">
        <f>IFERROR(__xludf.DUMMYFUNCTION("""COMPUTED_VALUE"""),"La Garriga")</f>
        <v>La Garriga</v>
      </c>
      <c r="B488" s="2" t="str">
        <f>IFERROR(__xludf.DUMMYFUNCTION("""COMPUTED_VALUE"""),"Vallès Oriental")</f>
        <v>Vallès Oriental</v>
      </c>
      <c r="C488" s="2" t="str">
        <f>IFERROR(__xludf.DUMMYFUNCTION("""COMPUTED_VALUE"""),"Provincia de Barcelona")</f>
        <v>Provincia de Barcelona</v>
      </c>
      <c r="D488" s="2" t="str">
        <f>IFERROR(__xludf.DUMMYFUNCTION("""COMPUTED_VALUE"""),"Cataluña")</f>
        <v>Cataluña</v>
      </c>
      <c r="E488" s="2">
        <f>IFERROR(__xludf.DUMMYFUNCTION("""COMPUTED_VALUE"""),252.0)</f>
        <v>252</v>
      </c>
      <c r="F488" s="2">
        <f>IFERROR(__xludf.DUMMYFUNCTION("""COMPUTED_VALUE"""),18.99)</f>
        <v>18.99</v>
      </c>
      <c r="G488" s="4">
        <f>IFERROR(__xludf.DUMMYFUNCTION("""COMPUTED_VALUE"""),16514.0)</f>
        <v>16514</v>
      </c>
      <c r="H488" s="2">
        <f>IFERROR(__xludf.DUMMYFUNCTION("""COMPUTED_VALUE"""),869.62)</f>
        <v>869.62</v>
      </c>
    </row>
    <row r="489">
      <c r="A489" s="2" t="str">
        <f>IFERROR(__xludf.DUMMYFUNCTION("""COMPUTED_VALUE"""),"Berga")</f>
        <v>Berga</v>
      </c>
      <c r="B489" s="2" t="str">
        <f>IFERROR(__xludf.DUMMYFUNCTION("""COMPUTED_VALUE"""),"Berguedá")</f>
        <v>Berguedá</v>
      </c>
      <c r="C489" s="2" t="str">
        <f>IFERROR(__xludf.DUMMYFUNCTION("""COMPUTED_VALUE"""),"Provincia de Barcelona")</f>
        <v>Provincia de Barcelona</v>
      </c>
      <c r="D489" s="2" t="str">
        <f>IFERROR(__xludf.DUMMYFUNCTION("""COMPUTED_VALUE"""),"Cataluña")</f>
        <v>Cataluña</v>
      </c>
      <c r="E489" s="2">
        <f>IFERROR(__xludf.DUMMYFUNCTION("""COMPUTED_VALUE"""),704.0)</f>
        <v>704</v>
      </c>
      <c r="F489" s="2">
        <f>IFERROR(__xludf.DUMMYFUNCTION("""COMPUTED_VALUE"""),22.54)</f>
        <v>22.54</v>
      </c>
      <c r="G489" s="4">
        <f>IFERROR(__xludf.DUMMYFUNCTION("""COMPUTED_VALUE"""),16494.0)</f>
        <v>16494</v>
      </c>
      <c r="H489" s="2">
        <f>IFERROR(__xludf.DUMMYFUNCTION("""COMPUTED_VALUE"""),731.77)</f>
        <v>731.77</v>
      </c>
    </row>
    <row r="490">
      <c r="A490" s="2" t="str">
        <f>IFERROR(__xludf.DUMMYFUNCTION("""COMPUTED_VALUE"""),"Vera")</f>
        <v>Vera</v>
      </c>
      <c r="B490" s="2" t="str">
        <f>IFERROR(__xludf.DUMMYFUNCTION("""COMPUTED_VALUE"""),"Levante Almeriense")</f>
        <v>Levante Almeriense</v>
      </c>
      <c r="C490" s="2" t="str">
        <f>IFERROR(__xludf.DUMMYFUNCTION("""COMPUTED_VALUE"""),"Provincia de Almería")</f>
        <v>Provincia de Almería</v>
      </c>
      <c r="D490" s="2" t="str">
        <f>IFERROR(__xludf.DUMMYFUNCTION("""COMPUTED_VALUE"""),"Andalucía")</f>
        <v>Andalucía</v>
      </c>
      <c r="E490" s="2">
        <f>IFERROR(__xludf.DUMMYFUNCTION("""COMPUTED_VALUE"""),95.0)</f>
        <v>95</v>
      </c>
      <c r="F490" s="2">
        <f>IFERROR(__xludf.DUMMYFUNCTION("""COMPUTED_VALUE"""),57.59)</f>
        <v>57.59</v>
      </c>
      <c r="G490" s="4">
        <f>IFERROR(__xludf.DUMMYFUNCTION("""COMPUTED_VALUE"""),16452.0)</f>
        <v>16452</v>
      </c>
      <c r="H490" s="2">
        <f>IFERROR(__xludf.DUMMYFUNCTION("""COMPUTED_VALUE"""),285.67)</f>
        <v>285.67</v>
      </c>
    </row>
    <row r="491">
      <c r="A491" s="2" t="str">
        <f>IFERROR(__xludf.DUMMYFUNCTION("""COMPUTED_VALUE"""),"Las Cabezas de San Juan")</f>
        <v>Las Cabezas de San Juan</v>
      </c>
      <c r="B491" s="2"/>
      <c r="C491" s="2" t="str">
        <f>IFERROR(__xludf.DUMMYFUNCTION("""COMPUTED_VALUE"""),"Provincia de Sevilla")</f>
        <v>Provincia de Sevilla</v>
      </c>
      <c r="D491" s="2" t="str">
        <f>IFERROR(__xludf.DUMMYFUNCTION("""COMPUTED_VALUE"""),"Andalucía")</f>
        <v>Andalucía</v>
      </c>
      <c r="E491" s="2">
        <f>IFERROR(__xludf.DUMMYFUNCTION("""COMPUTED_VALUE"""),76.0)</f>
        <v>76</v>
      </c>
      <c r="F491" s="2">
        <f>IFERROR(__xludf.DUMMYFUNCTION("""COMPUTED_VALUE"""),229.7)</f>
        <v>229.7</v>
      </c>
      <c r="G491" s="4">
        <f>IFERROR(__xludf.DUMMYFUNCTION("""COMPUTED_VALUE"""),16417.0)</f>
        <v>16417</v>
      </c>
      <c r="H491" s="2">
        <f>IFERROR(__xludf.DUMMYFUNCTION("""COMPUTED_VALUE"""),71.47)</f>
        <v>71.47</v>
      </c>
    </row>
    <row r="492">
      <c r="A492" s="2" t="str">
        <f>IFERROR(__xludf.DUMMYFUNCTION("""COMPUTED_VALUE"""),"Albal")</f>
        <v>Albal</v>
      </c>
      <c r="B492" s="2" t="str">
        <f>IFERROR(__xludf.DUMMYFUNCTION("""COMPUTED_VALUE"""),"Huerta Sur")</f>
        <v>Huerta Sur</v>
      </c>
      <c r="C492" s="2" t="str">
        <f>IFERROR(__xludf.DUMMYFUNCTION("""COMPUTED_VALUE"""),"Provincia de València")</f>
        <v>Provincia de València</v>
      </c>
      <c r="D492" s="2" t="str">
        <f>IFERROR(__xludf.DUMMYFUNCTION("""COMPUTED_VALUE"""),"Comunidad Valenciana")</f>
        <v>Comunidad Valenciana</v>
      </c>
      <c r="E492" s="2">
        <f>IFERROR(__xludf.DUMMYFUNCTION("""COMPUTED_VALUE"""),15.0)</f>
        <v>15</v>
      </c>
      <c r="F492" s="2">
        <f>IFERROR(__xludf.DUMMYFUNCTION("""COMPUTED_VALUE"""),7.33)</f>
        <v>7.33</v>
      </c>
      <c r="G492" s="4">
        <f>IFERROR(__xludf.DUMMYFUNCTION("""COMPUTED_VALUE"""),16399.0)</f>
        <v>16399</v>
      </c>
      <c r="H492" s="5">
        <f>IFERROR(__xludf.DUMMYFUNCTION("""COMPUTED_VALUE"""),2237.24)</f>
        <v>2237.24</v>
      </c>
    </row>
    <row r="493">
      <c r="A493" s="2" t="str">
        <f>IFERROR(__xludf.DUMMYFUNCTION("""COMPUTED_VALUE"""),"Montornès del Vallès")</f>
        <v>Montornès del Vallès</v>
      </c>
      <c r="B493" s="2" t="str">
        <f>IFERROR(__xludf.DUMMYFUNCTION("""COMPUTED_VALUE"""),"Vallès Oriental")</f>
        <v>Vallès Oriental</v>
      </c>
      <c r="C493" s="2" t="str">
        <f>IFERROR(__xludf.DUMMYFUNCTION("""COMPUTED_VALUE"""),"Provincia de Barcelona")</f>
        <v>Provincia de Barcelona</v>
      </c>
      <c r="D493" s="2" t="str">
        <f>IFERROR(__xludf.DUMMYFUNCTION("""COMPUTED_VALUE"""),"Cataluña")</f>
        <v>Cataluña</v>
      </c>
      <c r="E493" s="2">
        <f>IFERROR(__xludf.DUMMYFUNCTION("""COMPUTED_VALUE"""),116.0)</f>
        <v>116</v>
      </c>
      <c r="F493" s="2">
        <f>IFERROR(__xludf.DUMMYFUNCTION("""COMPUTED_VALUE"""),10.25)</f>
        <v>10.25</v>
      </c>
      <c r="G493" s="4">
        <f>IFERROR(__xludf.DUMMYFUNCTION("""COMPUTED_VALUE"""),16393.0)</f>
        <v>16393</v>
      </c>
      <c r="H493" s="5">
        <f>IFERROR(__xludf.DUMMYFUNCTION("""COMPUTED_VALUE"""),1599.32)</f>
        <v>1599.32</v>
      </c>
    </row>
    <row r="494">
      <c r="A494" s="2" t="str">
        <f>IFERROR(__xludf.DUMMYFUNCTION("""COMPUTED_VALUE"""),"La Algaba")</f>
        <v>La Algaba</v>
      </c>
      <c r="B494" s="2" t="str">
        <f>IFERROR(__xludf.DUMMYFUNCTION("""COMPUTED_VALUE"""),"Vega del Guadalquivir")</f>
        <v>Vega del Guadalquivir</v>
      </c>
      <c r="C494" s="2" t="str">
        <f>IFERROR(__xludf.DUMMYFUNCTION("""COMPUTED_VALUE"""),"Provincia de Sevilla")</f>
        <v>Provincia de Sevilla</v>
      </c>
      <c r="D494" s="2" t="str">
        <f>IFERROR(__xludf.DUMMYFUNCTION("""COMPUTED_VALUE"""),"Andalucía")</f>
        <v>Andalucía</v>
      </c>
      <c r="E494" s="2">
        <f>IFERROR(__xludf.DUMMYFUNCTION("""COMPUTED_VALUE"""),11.0)</f>
        <v>11</v>
      </c>
      <c r="F494" s="2">
        <f>IFERROR(__xludf.DUMMYFUNCTION("""COMPUTED_VALUE"""),17.69)</f>
        <v>17.69</v>
      </c>
      <c r="G494" s="4">
        <f>IFERROR(__xludf.DUMMYFUNCTION("""COMPUTED_VALUE"""),16374.0)</f>
        <v>16374</v>
      </c>
      <c r="H494" s="2">
        <f>IFERROR(__xludf.DUMMYFUNCTION("""COMPUTED_VALUE"""),925.61)</f>
        <v>925.61</v>
      </c>
    </row>
    <row r="495">
      <c r="A495" s="2" t="str">
        <f>IFERROR(__xludf.DUMMYFUNCTION("""COMPUTED_VALUE"""),"Pollença")</f>
        <v>Pollença</v>
      </c>
      <c r="B495" s="2" t="str">
        <f>IFERROR(__xludf.DUMMYFUNCTION("""COMPUTED_VALUE"""),"Sierra de Tramontana")</f>
        <v>Sierra de Tramontana</v>
      </c>
      <c r="C495" s="2" t="str">
        <f>IFERROR(__xludf.DUMMYFUNCTION("""COMPUTED_VALUE"""),"Provincia de Baleares")</f>
        <v>Provincia de Baleares</v>
      </c>
      <c r="D495" s="2" t="str">
        <f>IFERROR(__xludf.DUMMYFUNCTION("""COMPUTED_VALUE"""),"Islas Baleares")</f>
        <v>Islas Baleares</v>
      </c>
      <c r="E495" s="2">
        <f>IFERROR(__xludf.DUMMYFUNCTION("""COMPUTED_VALUE"""),47.0)</f>
        <v>47</v>
      </c>
      <c r="F495" s="2">
        <f>IFERROR(__xludf.DUMMYFUNCTION("""COMPUTED_VALUE"""),151.65)</f>
        <v>151.65</v>
      </c>
      <c r="G495" s="4">
        <f>IFERROR(__xludf.DUMMYFUNCTION("""COMPUTED_VALUE"""),16283.0)</f>
        <v>16283</v>
      </c>
      <c r="H495" s="2">
        <f>IFERROR(__xludf.DUMMYFUNCTION("""COMPUTED_VALUE"""),107.37)</f>
        <v>107.37</v>
      </c>
    </row>
    <row r="496">
      <c r="A496" s="2" t="str">
        <f>IFERROR(__xludf.DUMMYFUNCTION("""COMPUTED_VALUE"""),"Santomera")</f>
        <v>Santomera</v>
      </c>
      <c r="B496" s="2" t="str">
        <f>IFERROR(__xludf.DUMMYFUNCTION("""COMPUTED_VALUE"""),"Huerta de Murcia")</f>
        <v>Huerta de Murcia</v>
      </c>
      <c r="C496" s="2" t="str">
        <f>IFERROR(__xludf.DUMMYFUNCTION("""COMPUTED_VALUE"""),"Provincia de Murcia")</f>
        <v>Provincia de Murcia</v>
      </c>
      <c r="D496" s="2" t="str">
        <f>IFERROR(__xludf.DUMMYFUNCTION("""COMPUTED_VALUE"""),"Región de Murcia")</f>
        <v>Región de Murcia</v>
      </c>
      <c r="E496" s="2">
        <f>IFERROR(__xludf.DUMMYFUNCTION("""COMPUTED_VALUE"""),35.0)</f>
        <v>35</v>
      </c>
      <c r="F496" s="2">
        <f>IFERROR(__xludf.DUMMYFUNCTION("""COMPUTED_VALUE"""),44.12)</f>
        <v>44.12</v>
      </c>
      <c r="G496" s="4">
        <f>IFERROR(__xludf.DUMMYFUNCTION("""COMPUTED_VALUE"""),16206.0)</f>
        <v>16206</v>
      </c>
      <c r="H496" s="2">
        <f>IFERROR(__xludf.DUMMYFUNCTION("""COMPUTED_VALUE"""),367.32)</f>
        <v>367.32</v>
      </c>
    </row>
    <row r="497">
      <c r="A497" s="2" t="str">
        <f>IFERROR(__xludf.DUMMYFUNCTION("""COMPUTED_VALUE"""),"Torredembarra")</f>
        <v>Torredembarra</v>
      </c>
      <c r="B497" s="2" t="str">
        <f>IFERROR(__xludf.DUMMYFUNCTION("""COMPUTED_VALUE"""),"Tarragonés")</f>
        <v>Tarragonés</v>
      </c>
      <c r="C497" s="2" t="str">
        <f>IFERROR(__xludf.DUMMYFUNCTION("""COMPUTED_VALUE"""),"Provincia de Tarragona")</f>
        <v>Provincia de Tarragona</v>
      </c>
      <c r="D497" s="2" t="str">
        <f>IFERROR(__xludf.DUMMYFUNCTION("""COMPUTED_VALUE"""),"Cataluña")</f>
        <v>Cataluña</v>
      </c>
      <c r="E497" s="2">
        <f>IFERROR(__xludf.DUMMYFUNCTION("""COMPUTED_VALUE"""),15.0)</f>
        <v>15</v>
      </c>
      <c r="F497" s="2">
        <f>IFERROR(__xludf.DUMMYFUNCTION("""COMPUTED_VALUE"""),8.66)</f>
        <v>8.66</v>
      </c>
      <c r="G497" s="4">
        <f>IFERROR(__xludf.DUMMYFUNCTION("""COMPUTED_VALUE"""),16184.0)</f>
        <v>16184</v>
      </c>
      <c r="H497" s="5">
        <f>IFERROR(__xludf.DUMMYFUNCTION("""COMPUTED_VALUE"""),1868.82)</f>
        <v>1868.82</v>
      </c>
    </row>
    <row r="498">
      <c r="A498" s="2" t="str">
        <f>IFERROR(__xludf.DUMMYFUNCTION("""COMPUTED_VALUE"""),"El Escorial")</f>
        <v>El Escorial</v>
      </c>
      <c r="B498" s="2" t="str">
        <f>IFERROR(__xludf.DUMMYFUNCTION("""COMPUTED_VALUE"""),"Cuenca del Guadarrama")</f>
        <v>Cuenca del Guadarrama</v>
      </c>
      <c r="C498" s="2" t="str">
        <f>IFERROR(__xludf.DUMMYFUNCTION("""COMPUTED_VALUE"""),"Provincia de Madrid")</f>
        <v>Provincia de Madrid</v>
      </c>
      <c r="D498" s="2" t="str">
        <f>IFERROR(__xludf.DUMMYFUNCTION("""COMPUTED_VALUE"""),"Comunidad de Madrid")</f>
        <v>Comunidad de Madrid</v>
      </c>
      <c r="E498" s="2">
        <f>IFERROR(__xludf.DUMMYFUNCTION("""COMPUTED_VALUE"""),909.0)</f>
        <v>909</v>
      </c>
      <c r="F498" s="2">
        <f>IFERROR(__xludf.DUMMYFUNCTION("""COMPUTED_VALUE"""),68.75)</f>
        <v>68.75</v>
      </c>
      <c r="G498" s="4">
        <f>IFERROR(__xludf.DUMMYFUNCTION("""COMPUTED_VALUE"""),16162.0)</f>
        <v>16162</v>
      </c>
      <c r="H498" s="2">
        <f>IFERROR(__xludf.DUMMYFUNCTION("""COMPUTED_VALUE"""),235.08)</f>
        <v>235.08</v>
      </c>
    </row>
    <row r="499">
      <c r="A499" s="2" t="str">
        <f>IFERROR(__xludf.DUMMYFUNCTION("""COMPUTED_VALUE"""),"Pasaia")</f>
        <v>Pasaia</v>
      </c>
      <c r="B499" s="2" t="str">
        <f>IFERROR(__xludf.DUMMYFUNCTION("""COMPUTED_VALUE"""),"Comarca de San Sebastián")</f>
        <v>Comarca de San Sebastián</v>
      </c>
      <c r="C499" s="2" t="str">
        <f>IFERROR(__xludf.DUMMYFUNCTION("""COMPUTED_VALUE"""),"Provincia de Gipuzkoa")</f>
        <v>Provincia de Gipuzkoa</v>
      </c>
      <c r="D499" s="2" t="str">
        <f>IFERROR(__xludf.DUMMYFUNCTION("""COMPUTED_VALUE"""),"País Vasco")</f>
        <v>País Vasco</v>
      </c>
      <c r="E499" s="2">
        <f>IFERROR(__xludf.DUMMYFUNCTION("""COMPUTED_VALUE"""),4.0)</f>
        <v>4</v>
      </c>
      <c r="F499" s="2">
        <f>IFERROR(__xludf.DUMMYFUNCTION("""COMPUTED_VALUE"""),11.34)</f>
        <v>11.34</v>
      </c>
      <c r="G499" s="4">
        <f>IFERROR(__xludf.DUMMYFUNCTION("""COMPUTED_VALUE"""),16156.0)</f>
        <v>16156</v>
      </c>
      <c r="H499" s="5">
        <f>IFERROR(__xludf.DUMMYFUNCTION("""COMPUTED_VALUE"""),1424.69)</f>
        <v>1424.69</v>
      </c>
    </row>
    <row r="500">
      <c r="A500" s="2" t="str">
        <f>IFERROR(__xludf.DUMMYFUNCTION("""COMPUTED_VALUE"""),"Los Alcázares")</f>
        <v>Los Alcázares</v>
      </c>
      <c r="B500" s="2"/>
      <c r="C500" s="2" t="str">
        <f>IFERROR(__xludf.DUMMYFUNCTION("""COMPUTED_VALUE"""),"Provincia de Murcia")</f>
        <v>Provincia de Murcia</v>
      </c>
      <c r="D500" s="2" t="str">
        <f>IFERROR(__xludf.DUMMYFUNCTION("""COMPUTED_VALUE"""),"Región de Murcia")</f>
        <v>Región de Murcia</v>
      </c>
      <c r="E500" s="2">
        <f>IFERROR(__xludf.DUMMYFUNCTION("""COMPUTED_VALUE"""),6.0)</f>
        <v>6</v>
      </c>
      <c r="F500" s="2">
        <f>IFERROR(__xludf.DUMMYFUNCTION("""COMPUTED_VALUE"""),20.06)</f>
        <v>20.06</v>
      </c>
      <c r="G500" s="4">
        <f>IFERROR(__xludf.DUMMYFUNCTION("""COMPUTED_VALUE"""),16138.0)</f>
        <v>16138</v>
      </c>
      <c r="H500" s="2">
        <f>IFERROR(__xludf.DUMMYFUNCTION("""COMPUTED_VALUE"""),804.49)</f>
        <v>804.49</v>
      </c>
    </row>
    <row r="501">
      <c r="A501" s="2" t="str">
        <f>IFERROR(__xludf.DUMMYFUNCTION("""COMPUTED_VALUE"""),"Samartín del Rei Aurelio")</f>
        <v>Samartín del Rei Aurelio</v>
      </c>
      <c r="B501" s="2" t="str">
        <f>IFERROR(__xludf.DUMMYFUNCTION("""COMPUTED_VALUE"""),"Nalón")</f>
        <v>Nalón</v>
      </c>
      <c r="C501" s="2" t="str">
        <f>IFERROR(__xludf.DUMMYFUNCTION("""COMPUTED_VALUE"""),"Provincia de Asturias")</f>
        <v>Provincia de Asturias</v>
      </c>
      <c r="D501" s="2" t="str">
        <f>IFERROR(__xludf.DUMMYFUNCTION("""COMPUTED_VALUE"""),"Principado de Asturias")</f>
        <v>Principado de Asturias</v>
      </c>
      <c r="E501" s="2"/>
      <c r="F501" s="2">
        <f>IFERROR(__xludf.DUMMYFUNCTION("""COMPUTED_VALUE"""),55.05)</f>
        <v>55.05</v>
      </c>
      <c r="G501" s="4">
        <f>IFERROR(__xludf.DUMMYFUNCTION("""COMPUTED_VALUE"""),16074.0)</f>
        <v>16074</v>
      </c>
      <c r="H501" s="2">
        <f>IFERROR(__xludf.DUMMYFUNCTION("""COMPUTED_VALUE"""),291.99)</f>
        <v>291.99</v>
      </c>
    </row>
    <row r="502">
      <c r="A502" s="2" t="str">
        <f>IFERROR(__xludf.DUMMYFUNCTION("""COMPUTED_VALUE"""),"Guadarrama")</f>
        <v>Guadarrama</v>
      </c>
      <c r="B502" s="2" t="str">
        <f>IFERROR(__xludf.DUMMYFUNCTION("""COMPUTED_VALUE"""),"Cuenca del Guadarrama")</f>
        <v>Cuenca del Guadarrama</v>
      </c>
      <c r="C502" s="2" t="str">
        <f>IFERROR(__xludf.DUMMYFUNCTION("""COMPUTED_VALUE"""),"Provincia de Madrid")</f>
        <v>Provincia de Madrid</v>
      </c>
      <c r="D502" s="2" t="str">
        <f>IFERROR(__xludf.DUMMYFUNCTION("""COMPUTED_VALUE"""),"Comunidad de Madrid")</f>
        <v>Comunidad de Madrid</v>
      </c>
      <c r="E502" s="2">
        <f>IFERROR(__xludf.DUMMYFUNCTION("""COMPUTED_VALUE"""),981.0)</f>
        <v>981</v>
      </c>
      <c r="F502" s="2">
        <f>IFERROR(__xludf.DUMMYFUNCTION("""COMPUTED_VALUE"""),56.98)</f>
        <v>56.98</v>
      </c>
      <c r="G502" s="4">
        <f>IFERROR(__xludf.DUMMYFUNCTION("""COMPUTED_VALUE"""),16032.0)</f>
        <v>16032</v>
      </c>
      <c r="H502" s="2">
        <f>IFERROR(__xludf.DUMMYFUNCTION("""COMPUTED_VALUE"""),281.36)</f>
        <v>281.36</v>
      </c>
    </row>
    <row r="503">
      <c r="A503" s="2" t="str">
        <f>IFERROR(__xludf.DUMMYFUNCTION("""COMPUTED_VALUE"""),"Massamagrell")</f>
        <v>Massamagrell</v>
      </c>
      <c r="B503" s="2" t="str">
        <f>IFERROR(__xludf.DUMMYFUNCTION("""COMPUTED_VALUE"""),"Huerta Norte")</f>
        <v>Huerta Norte</v>
      </c>
      <c r="C503" s="2" t="str">
        <f>IFERROR(__xludf.DUMMYFUNCTION("""COMPUTED_VALUE"""),"Provincia de València")</f>
        <v>Provincia de València</v>
      </c>
      <c r="D503" s="2" t="str">
        <f>IFERROR(__xludf.DUMMYFUNCTION("""COMPUTED_VALUE"""),"Comunidad Valenciana")</f>
        <v>Comunidad Valenciana</v>
      </c>
      <c r="E503" s="2">
        <f>IFERROR(__xludf.DUMMYFUNCTION("""COMPUTED_VALUE"""),15.0)</f>
        <v>15</v>
      </c>
      <c r="F503" s="2">
        <f>IFERROR(__xludf.DUMMYFUNCTION("""COMPUTED_VALUE"""),6.16)</f>
        <v>6.16</v>
      </c>
      <c r="G503" s="4">
        <f>IFERROR(__xludf.DUMMYFUNCTION("""COMPUTED_VALUE"""),15952.0)</f>
        <v>15952</v>
      </c>
      <c r="H503" s="5">
        <f>IFERROR(__xludf.DUMMYFUNCTION("""COMPUTED_VALUE"""),2589.61)</f>
        <v>2589.61</v>
      </c>
    </row>
    <row r="504">
      <c r="A504" s="2" t="str">
        <f>IFERROR(__xludf.DUMMYFUNCTION("""COMPUTED_VALUE"""),"Alcañiz")</f>
        <v>Alcañiz</v>
      </c>
      <c r="B504" s="2" t="str">
        <f>IFERROR(__xludf.DUMMYFUNCTION("""COMPUTED_VALUE"""),"Bajo Aragón")</f>
        <v>Bajo Aragón</v>
      </c>
      <c r="C504" s="2" t="str">
        <f>IFERROR(__xludf.DUMMYFUNCTION("""COMPUTED_VALUE"""),"Provincia de Teruel")</f>
        <v>Provincia de Teruel</v>
      </c>
      <c r="D504" s="2" t="str">
        <f>IFERROR(__xludf.DUMMYFUNCTION("""COMPUTED_VALUE"""),"Aragón")</f>
        <v>Aragón</v>
      </c>
      <c r="E504" s="2">
        <f>IFERROR(__xludf.DUMMYFUNCTION("""COMPUTED_VALUE"""),340.0)</f>
        <v>340</v>
      </c>
      <c r="F504" s="2">
        <f>IFERROR(__xludf.DUMMYFUNCTION("""COMPUTED_VALUE"""),472.12)</f>
        <v>472.12</v>
      </c>
      <c r="G504" s="4">
        <f>IFERROR(__xludf.DUMMYFUNCTION("""COMPUTED_VALUE"""),15947.0)</f>
        <v>15947</v>
      </c>
      <c r="H504" s="2">
        <f>IFERROR(__xludf.DUMMYFUNCTION("""COMPUTED_VALUE"""),33.78)</f>
        <v>33.78</v>
      </c>
    </row>
    <row r="505">
      <c r="A505" s="2" t="str">
        <f>IFERROR(__xludf.DUMMYFUNCTION("""COMPUTED_VALUE"""),"Ermua")</f>
        <v>Ermua</v>
      </c>
      <c r="B505" s="2" t="str">
        <f>IFERROR(__xludf.DUMMYFUNCTION("""COMPUTED_VALUE"""),"Durangaldea")</f>
        <v>Durangaldea</v>
      </c>
      <c r="C505" s="2" t="str">
        <f>IFERROR(__xludf.DUMMYFUNCTION("""COMPUTED_VALUE"""),"Provincia de Bizkaia")</f>
        <v>Provincia de Bizkaia</v>
      </c>
      <c r="D505" s="2" t="str">
        <f>IFERROR(__xludf.DUMMYFUNCTION("""COMPUTED_VALUE"""),"País Vasco")</f>
        <v>País Vasco</v>
      </c>
      <c r="E505" s="2">
        <f>IFERROR(__xludf.DUMMYFUNCTION("""COMPUTED_VALUE"""),165.0)</f>
        <v>165</v>
      </c>
      <c r="F505" s="2">
        <f>IFERROR(__xludf.DUMMYFUNCTION("""COMPUTED_VALUE"""),6.47)</f>
        <v>6.47</v>
      </c>
      <c r="G505" s="4">
        <f>IFERROR(__xludf.DUMMYFUNCTION("""COMPUTED_VALUE"""),15880.0)</f>
        <v>15880</v>
      </c>
      <c r="H505" s="5">
        <f>IFERROR(__xludf.DUMMYFUNCTION("""COMPUTED_VALUE"""),2454.4)</f>
        <v>2454.4</v>
      </c>
    </row>
    <row r="506">
      <c r="A506" s="2" t="str">
        <f>IFERROR(__xludf.DUMMYFUNCTION("""COMPUTED_VALUE"""),"Baeza")</f>
        <v>Baeza</v>
      </c>
      <c r="B506" s="2" t="str">
        <f>IFERROR(__xludf.DUMMYFUNCTION("""COMPUTED_VALUE"""),"La Loma")</f>
        <v>La Loma</v>
      </c>
      <c r="C506" s="2" t="str">
        <f>IFERROR(__xludf.DUMMYFUNCTION("""COMPUTED_VALUE"""),"Provincia de Jaén")</f>
        <v>Provincia de Jaén</v>
      </c>
      <c r="D506" s="2" t="str">
        <f>IFERROR(__xludf.DUMMYFUNCTION("""COMPUTED_VALUE"""),"Andalucía")</f>
        <v>Andalucía</v>
      </c>
      <c r="E506" s="2">
        <f>IFERROR(__xludf.DUMMYFUNCTION("""COMPUTED_VALUE"""),769.0)</f>
        <v>769</v>
      </c>
      <c r="F506" s="2">
        <f>IFERROR(__xludf.DUMMYFUNCTION("""COMPUTED_VALUE"""),192.77)</f>
        <v>192.77</v>
      </c>
      <c r="G506" s="4">
        <f>IFERROR(__xludf.DUMMYFUNCTION("""COMPUTED_VALUE"""),15841.0)</f>
        <v>15841</v>
      </c>
      <c r="H506" s="2">
        <f>IFERROR(__xludf.DUMMYFUNCTION("""COMPUTED_VALUE"""),82.18)</f>
        <v>82.18</v>
      </c>
    </row>
    <row r="507">
      <c r="A507" s="2" t="str">
        <f>IFERROR(__xludf.DUMMYFUNCTION("""COMPUTED_VALUE"""),"Sada")</f>
        <v>Sada</v>
      </c>
      <c r="B507" s="2" t="str">
        <f>IFERROR(__xludf.DUMMYFUNCTION("""COMPUTED_VALUE"""),"Comarca de La Coruña")</f>
        <v>Comarca de La Coruña</v>
      </c>
      <c r="C507" s="2" t="str">
        <f>IFERROR(__xludf.DUMMYFUNCTION("""COMPUTED_VALUE"""),"Provincia de A Coruña")</f>
        <v>Provincia de A Coruña</v>
      </c>
      <c r="D507" s="2" t="str">
        <f>IFERROR(__xludf.DUMMYFUNCTION("""COMPUTED_VALUE"""),"Galicia")</f>
        <v>Galicia</v>
      </c>
      <c r="E507" s="2"/>
      <c r="F507" s="2">
        <f>IFERROR(__xludf.DUMMYFUNCTION("""COMPUTED_VALUE"""),27.49)</f>
        <v>27.49</v>
      </c>
      <c r="G507" s="4">
        <f>IFERROR(__xludf.DUMMYFUNCTION("""COMPUTED_VALUE"""),15841.0)</f>
        <v>15841</v>
      </c>
      <c r="H507" s="2">
        <f>IFERROR(__xludf.DUMMYFUNCTION("""COMPUTED_VALUE"""),576.25)</f>
        <v>576.25</v>
      </c>
    </row>
    <row r="508">
      <c r="A508" s="2" t="str">
        <f>IFERROR(__xludf.DUMMYFUNCTION("""COMPUTED_VALUE"""),"Espartinas")</f>
        <v>Espartinas</v>
      </c>
      <c r="B508" s="2" t="str">
        <f>IFERROR(__xludf.DUMMYFUNCTION("""COMPUTED_VALUE"""),"Aljarafe")</f>
        <v>Aljarafe</v>
      </c>
      <c r="C508" s="2" t="str">
        <f>IFERROR(__xludf.DUMMYFUNCTION("""COMPUTED_VALUE"""),"Provincia de Sevilla")</f>
        <v>Provincia de Sevilla</v>
      </c>
      <c r="D508" s="2" t="str">
        <f>IFERROR(__xludf.DUMMYFUNCTION("""COMPUTED_VALUE"""),"Andalucía")</f>
        <v>Andalucía</v>
      </c>
      <c r="E508" s="2">
        <f>IFERROR(__xludf.DUMMYFUNCTION("""COMPUTED_VALUE"""),132.0)</f>
        <v>132</v>
      </c>
      <c r="F508" s="2">
        <f>IFERROR(__xludf.DUMMYFUNCTION("""COMPUTED_VALUE"""),22.68)</f>
        <v>22.68</v>
      </c>
      <c r="G508" s="4">
        <f>IFERROR(__xludf.DUMMYFUNCTION("""COMPUTED_VALUE"""),15791.0)</f>
        <v>15791</v>
      </c>
      <c r="H508" s="2">
        <f>IFERROR(__xludf.DUMMYFUNCTION("""COMPUTED_VALUE"""),696.25)</f>
        <v>696.25</v>
      </c>
    </row>
    <row r="509">
      <c r="A509" s="2" t="str">
        <f>IFERROR(__xludf.DUMMYFUNCTION("""COMPUTED_VALUE"""),"Arenys de Mar")</f>
        <v>Arenys de Mar</v>
      </c>
      <c r="B509" s="2" t="str">
        <f>IFERROR(__xludf.DUMMYFUNCTION("""COMPUTED_VALUE"""),"Maresme")</f>
        <v>Maresme</v>
      </c>
      <c r="C509" s="2" t="str">
        <f>IFERROR(__xludf.DUMMYFUNCTION("""COMPUTED_VALUE"""),"Provincia de Barcelona")</f>
        <v>Provincia de Barcelona</v>
      </c>
      <c r="D509" s="2" t="str">
        <f>IFERROR(__xludf.DUMMYFUNCTION("""COMPUTED_VALUE"""),"Cataluña")</f>
        <v>Cataluña</v>
      </c>
      <c r="E509" s="2">
        <f>IFERROR(__xludf.DUMMYFUNCTION("""COMPUTED_VALUE"""),10.0)</f>
        <v>10</v>
      </c>
      <c r="F509" s="2">
        <f>IFERROR(__xludf.DUMMYFUNCTION("""COMPUTED_VALUE"""),6.45)</f>
        <v>6.45</v>
      </c>
      <c r="G509" s="4">
        <f>IFERROR(__xludf.DUMMYFUNCTION("""COMPUTED_VALUE"""),15776.0)</f>
        <v>15776</v>
      </c>
      <c r="H509" s="5">
        <f>IFERROR(__xludf.DUMMYFUNCTION("""COMPUTED_VALUE"""),2445.89)</f>
        <v>2445.89</v>
      </c>
    </row>
    <row r="510">
      <c r="A510" s="2" t="str">
        <f>IFERROR(__xludf.DUMMYFUNCTION("""COMPUTED_VALUE"""),"Santa Cruz de la Palma")</f>
        <v>Santa Cruz de la Palma</v>
      </c>
      <c r="B510" s="2"/>
      <c r="C510" s="2" t="str">
        <f>IFERROR(__xludf.DUMMYFUNCTION("""COMPUTED_VALUE"""),"Provincia de Santa Cruz de Tenerife")</f>
        <v>Provincia de Santa Cruz de Tenerife</v>
      </c>
      <c r="D510" s="2" t="str">
        <f>IFERROR(__xludf.DUMMYFUNCTION("""COMPUTED_VALUE"""),"Canarias")</f>
        <v>Canarias</v>
      </c>
      <c r="E510" s="2">
        <f>IFERROR(__xludf.DUMMYFUNCTION("""COMPUTED_VALUE"""),4.0)</f>
        <v>4</v>
      </c>
      <c r="F510" s="2">
        <f>IFERROR(__xludf.DUMMYFUNCTION("""COMPUTED_VALUE"""),43.41)</f>
        <v>43.41</v>
      </c>
      <c r="G510" s="4">
        <f>IFERROR(__xludf.DUMMYFUNCTION("""COMPUTED_VALUE"""),15716.0)</f>
        <v>15716</v>
      </c>
      <c r="H510" s="2">
        <f>IFERROR(__xludf.DUMMYFUNCTION("""COMPUTED_VALUE"""),362.04)</f>
        <v>362.04</v>
      </c>
    </row>
    <row r="511">
      <c r="A511" s="2" t="str">
        <f>IFERROR(__xludf.DUMMYFUNCTION("""COMPUTED_VALUE"""),"Piera")</f>
        <v>Piera</v>
      </c>
      <c r="B511" s="2" t="str">
        <f>IFERROR(__xludf.DUMMYFUNCTION("""COMPUTED_VALUE"""),"Anoia")</f>
        <v>Anoia</v>
      </c>
      <c r="C511" s="2" t="str">
        <f>IFERROR(__xludf.DUMMYFUNCTION("""COMPUTED_VALUE"""),"Provincia de Barcelona")</f>
        <v>Provincia de Barcelona</v>
      </c>
      <c r="D511" s="2" t="str">
        <f>IFERROR(__xludf.DUMMYFUNCTION("""COMPUTED_VALUE"""),"Cataluña")</f>
        <v>Cataluña</v>
      </c>
      <c r="E511" s="2"/>
      <c r="F511" s="2">
        <f>IFERROR(__xludf.DUMMYFUNCTION("""COMPUTED_VALUE"""),57.22)</f>
        <v>57.22</v>
      </c>
      <c r="G511" s="4">
        <f>IFERROR(__xludf.DUMMYFUNCTION("""COMPUTED_VALUE"""),15603.0)</f>
        <v>15603</v>
      </c>
      <c r="H511" s="2">
        <f>IFERROR(__xludf.DUMMYFUNCTION("""COMPUTED_VALUE"""),272.68)</f>
        <v>272.68</v>
      </c>
    </row>
    <row r="512">
      <c r="A512" s="2" t="str">
        <f>IFERROR(__xludf.DUMMYFUNCTION("""COMPUTED_VALUE"""),"Carlet")</f>
        <v>Carlet</v>
      </c>
      <c r="B512" s="2" t="str">
        <f>IFERROR(__xludf.DUMMYFUNCTION("""COMPUTED_VALUE"""),"Ribera Alta (Valencia)")</f>
        <v>Ribera Alta (Valencia)</v>
      </c>
      <c r="C512" s="2" t="str">
        <f>IFERROR(__xludf.DUMMYFUNCTION("""COMPUTED_VALUE"""),"Provincia de València")</f>
        <v>Provincia de València</v>
      </c>
      <c r="D512" s="2" t="str">
        <f>IFERROR(__xludf.DUMMYFUNCTION("""COMPUTED_VALUE"""),"Comunidad Valenciana")</f>
        <v>Comunidad Valenciana</v>
      </c>
      <c r="E512" s="2">
        <f>IFERROR(__xludf.DUMMYFUNCTION("""COMPUTED_VALUE"""),48.0)</f>
        <v>48</v>
      </c>
      <c r="F512" s="2">
        <f>IFERROR(__xludf.DUMMYFUNCTION("""COMPUTED_VALUE"""),45.62)</f>
        <v>45.62</v>
      </c>
      <c r="G512" s="4">
        <f>IFERROR(__xludf.DUMMYFUNCTION("""COMPUTED_VALUE"""),15598.0)</f>
        <v>15598</v>
      </c>
      <c r="H512" s="2">
        <f>IFERROR(__xludf.DUMMYFUNCTION("""COMPUTED_VALUE"""),341.91)</f>
        <v>341.91</v>
      </c>
    </row>
    <row r="513">
      <c r="A513" s="2" t="str">
        <f>IFERROR(__xludf.DUMMYFUNCTION("""COMPUTED_VALUE"""),"Corvera de Asturias")</f>
        <v>Corvera de Asturias</v>
      </c>
      <c r="B513" s="2"/>
      <c r="C513" s="2" t="str">
        <f>IFERROR(__xludf.DUMMYFUNCTION("""COMPUTED_VALUE"""),"Provincia de Asturias")</f>
        <v>Provincia de Asturias</v>
      </c>
      <c r="D513" s="2" t="str">
        <f>IFERROR(__xludf.DUMMYFUNCTION("""COMPUTED_VALUE"""),"Principado de Asturias")</f>
        <v>Principado de Asturias</v>
      </c>
      <c r="E513" s="2">
        <f>IFERROR(__xludf.DUMMYFUNCTION("""COMPUTED_VALUE"""),362.0)</f>
        <v>362</v>
      </c>
      <c r="F513" s="2">
        <f>IFERROR(__xludf.DUMMYFUNCTION("""COMPUTED_VALUE"""),46.01)</f>
        <v>46.01</v>
      </c>
      <c r="G513" s="4">
        <f>IFERROR(__xludf.DUMMYFUNCTION("""COMPUTED_VALUE"""),15549.0)</f>
        <v>15549</v>
      </c>
      <c r="H513" s="2">
        <f>IFERROR(__xludf.DUMMYFUNCTION("""COMPUTED_VALUE"""),337.95)</f>
        <v>337.95</v>
      </c>
    </row>
    <row r="514">
      <c r="A514" s="2" t="str">
        <f>IFERROR(__xludf.DUMMYFUNCTION("""COMPUTED_VALUE"""),"Manilva")</f>
        <v>Manilva</v>
      </c>
      <c r="B514" s="2" t="str">
        <f>IFERROR(__xludf.DUMMYFUNCTION("""COMPUTED_VALUE"""),"Costa del Sol Occidental")</f>
        <v>Costa del Sol Occidental</v>
      </c>
      <c r="C514" s="2" t="str">
        <f>IFERROR(__xludf.DUMMYFUNCTION("""COMPUTED_VALUE"""),"Provincia de Málaga")</f>
        <v>Provincia de Málaga</v>
      </c>
      <c r="D514" s="2" t="str">
        <f>IFERROR(__xludf.DUMMYFUNCTION("""COMPUTED_VALUE"""),"Andalucía")</f>
        <v>Andalucía</v>
      </c>
      <c r="E514" s="2">
        <f>IFERROR(__xludf.DUMMYFUNCTION("""COMPUTED_VALUE"""),128.0)</f>
        <v>128</v>
      </c>
      <c r="F514" s="2">
        <f>IFERROR(__xludf.DUMMYFUNCTION("""COMPUTED_VALUE"""),35.58)</f>
        <v>35.58</v>
      </c>
      <c r="G514" s="4">
        <f>IFERROR(__xludf.DUMMYFUNCTION("""COMPUTED_VALUE"""),15528.0)</f>
        <v>15528</v>
      </c>
      <c r="H514" s="2">
        <f>IFERROR(__xludf.DUMMYFUNCTION("""COMPUTED_VALUE"""),436.42)</f>
        <v>436.42</v>
      </c>
    </row>
    <row r="515">
      <c r="A515" s="2" t="str">
        <f>IFERROR(__xludf.DUMMYFUNCTION("""COMPUTED_VALUE"""),"La Solana")</f>
        <v>La Solana</v>
      </c>
      <c r="B515" s="2" t="str">
        <f>IFERROR(__xludf.DUMMYFUNCTION("""COMPUTED_VALUE"""),"Campo de Montiel (histórico)")</f>
        <v>Campo de Montiel (histórico)</v>
      </c>
      <c r="C515" s="2" t="str">
        <f>IFERROR(__xludf.DUMMYFUNCTION("""COMPUTED_VALUE"""),"Provincia de Ciudad Real")</f>
        <v>Provincia de Ciudad Real</v>
      </c>
      <c r="D515" s="2" t="str">
        <f>IFERROR(__xludf.DUMMYFUNCTION("""COMPUTED_VALUE"""),"Castilla-La Mancha")</f>
        <v>Castilla-La Mancha</v>
      </c>
      <c r="E515" s="2">
        <f>IFERROR(__xludf.DUMMYFUNCTION("""COMPUTED_VALUE"""),745.0)</f>
        <v>745</v>
      </c>
      <c r="F515" s="2">
        <f>IFERROR(__xludf.DUMMYFUNCTION("""COMPUTED_VALUE"""),134.27)</f>
        <v>134.27</v>
      </c>
      <c r="G515" s="4">
        <f>IFERROR(__xludf.DUMMYFUNCTION("""COMPUTED_VALUE"""),15479.0)</f>
        <v>15479</v>
      </c>
      <c r="H515" s="2">
        <f>IFERROR(__xludf.DUMMYFUNCTION("""COMPUTED_VALUE"""),115.28)</f>
        <v>115.28</v>
      </c>
    </row>
    <row r="516">
      <c r="A516" s="2" t="str">
        <f>IFERROR(__xludf.DUMMYFUNCTION("""COMPUTED_VALUE"""),"La Roda")</f>
        <v>La Roda</v>
      </c>
      <c r="B516" s="2" t="str">
        <f>IFERROR(__xludf.DUMMYFUNCTION("""COMPUTED_VALUE"""),"Mancha Alta Albaceteña")</f>
        <v>Mancha Alta Albaceteña</v>
      </c>
      <c r="C516" s="2" t="str">
        <f>IFERROR(__xludf.DUMMYFUNCTION("""COMPUTED_VALUE"""),"Provincia de Albacete")</f>
        <v>Provincia de Albacete</v>
      </c>
      <c r="D516" s="2" t="str">
        <f>IFERROR(__xludf.DUMMYFUNCTION("""COMPUTED_VALUE"""),"Castilla-La Mancha")</f>
        <v>Castilla-La Mancha</v>
      </c>
      <c r="E516" s="2">
        <f>IFERROR(__xludf.DUMMYFUNCTION("""COMPUTED_VALUE"""),716.0)</f>
        <v>716</v>
      </c>
      <c r="F516" s="2">
        <f>IFERROR(__xludf.DUMMYFUNCTION("""COMPUTED_VALUE"""),398.89)</f>
        <v>398.89</v>
      </c>
      <c r="G516" s="4">
        <f>IFERROR(__xludf.DUMMYFUNCTION("""COMPUTED_VALUE"""),15476.0)</f>
        <v>15476</v>
      </c>
      <c r="H516" s="2">
        <f>IFERROR(__xludf.DUMMYFUNCTION("""COMPUTED_VALUE"""),38.8)</f>
        <v>38.8</v>
      </c>
    </row>
    <row r="517">
      <c r="A517" s="2" t="str">
        <f>IFERROR(__xludf.DUMMYFUNCTION("""COMPUTED_VALUE"""),"Viveiro")</f>
        <v>Viveiro</v>
      </c>
      <c r="B517" s="2" t="str">
        <f>IFERROR(__xludf.DUMMYFUNCTION("""COMPUTED_VALUE"""),"Mariña Occidental")</f>
        <v>Mariña Occidental</v>
      </c>
      <c r="C517" s="2" t="str">
        <f>IFERROR(__xludf.DUMMYFUNCTION("""COMPUTED_VALUE"""),"Provincia de Lugo")</f>
        <v>Provincia de Lugo</v>
      </c>
      <c r="D517" s="2" t="str">
        <f>IFERROR(__xludf.DUMMYFUNCTION("""COMPUTED_VALUE"""),"Galicia")</f>
        <v>Galicia</v>
      </c>
      <c r="E517" s="2">
        <f>IFERROR(__xludf.DUMMYFUNCTION("""COMPUTED_VALUE"""),12.0)</f>
        <v>12</v>
      </c>
      <c r="F517" s="2">
        <f>IFERROR(__xludf.DUMMYFUNCTION("""COMPUTED_VALUE"""),109.34)</f>
        <v>109.34</v>
      </c>
      <c r="G517" s="4">
        <f>IFERROR(__xludf.DUMMYFUNCTION("""COMPUTED_VALUE"""),15466.0)</f>
        <v>15466</v>
      </c>
      <c r="H517" s="2">
        <f>IFERROR(__xludf.DUMMYFUNCTION("""COMPUTED_VALUE"""),141.45)</f>
        <v>141.45</v>
      </c>
    </row>
    <row r="518">
      <c r="A518" s="2" t="str">
        <f>IFERROR(__xludf.DUMMYFUNCTION("""COMPUTED_VALUE"""),"Montijo")</f>
        <v>Montijo</v>
      </c>
      <c r="B518" s="2" t="str">
        <f>IFERROR(__xludf.DUMMYFUNCTION("""COMPUTED_VALUE"""),"Tierra de Mérida - Vegas Bajas")</f>
        <v>Tierra de Mérida - Vegas Bajas</v>
      </c>
      <c r="C518" s="2" t="str">
        <f>IFERROR(__xludf.DUMMYFUNCTION("""COMPUTED_VALUE"""),"Provincia de Badajoz")</f>
        <v>Provincia de Badajoz</v>
      </c>
      <c r="D518" s="2" t="str">
        <f>IFERROR(__xludf.DUMMYFUNCTION("""COMPUTED_VALUE"""),"Extremadura")</f>
        <v>Extremadura</v>
      </c>
      <c r="E518" s="2">
        <f>IFERROR(__xludf.DUMMYFUNCTION("""COMPUTED_VALUE"""),201.0)</f>
        <v>201</v>
      </c>
      <c r="F518" s="2">
        <f>IFERROR(__xludf.DUMMYFUNCTION("""COMPUTED_VALUE"""),119.68)</f>
        <v>119.68</v>
      </c>
      <c r="G518" s="4">
        <f>IFERROR(__xludf.DUMMYFUNCTION("""COMPUTED_VALUE"""),15457.0)</f>
        <v>15457</v>
      </c>
      <c r="H518" s="2">
        <f>IFERROR(__xludf.DUMMYFUNCTION("""COMPUTED_VALUE"""),129.15)</f>
        <v>129.15</v>
      </c>
    </row>
    <row r="519">
      <c r="A519" s="2" t="str">
        <f>IFERROR(__xludf.DUMMYFUNCTION("""COMPUTED_VALUE"""),"Puerto Lumbreras")</f>
        <v>Puerto Lumbreras</v>
      </c>
      <c r="B519" s="2" t="str">
        <f>IFERROR(__xludf.DUMMYFUNCTION("""COMPUTED_VALUE"""),"Alto Guadalentín")</f>
        <v>Alto Guadalentín</v>
      </c>
      <c r="C519" s="2" t="str">
        <f>IFERROR(__xludf.DUMMYFUNCTION("""COMPUTED_VALUE"""),"Provincia de Murcia")</f>
        <v>Provincia de Murcia</v>
      </c>
      <c r="D519" s="2" t="str">
        <f>IFERROR(__xludf.DUMMYFUNCTION("""COMPUTED_VALUE"""),"Región de Murcia")</f>
        <v>Región de Murcia</v>
      </c>
      <c r="E519" s="2">
        <f>IFERROR(__xludf.DUMMYFUNCTION("""COMPUTED_VALUE"""),465.0)</f>
        <v>465</v>
      </c>
      <c r="F519" s="2">
        <f>IFERROR(__xludf.DUMMYFUNCTION("""COMPUTED_VALUE"""),144.63)</f>
        <v>144.63</v>
      </c>
      <c r="G519" s="4">
        <f>IFERROR(__xludf.DUMMYFUNCTION("""COMPUTED_VALUE"""),15394.0)</f>
        <v>15394</v>
      </c>
      <c r="H519" s="2">
        <f>IFERROR(__xludf.DUMMYFUNCTION("""COMPUTED_VALUE"""),106.44)</f>
        <v>106.44</v>
      </c>
    </row>
    <row r="520">
      <c r="A520" s="2" t="str">
        <f>IFERROR(__xludf.DUMMYFUNCTION("""COMPUTED_VALUE"""),"Miguelturra")</f>
        <v>Miguelturra</v>
      </c>
      <c r="B520" s="2" t="str">
        <f>IFERROR(__xludf.DUMMYFUNCTION("""COMPUTED_VALUE"""),"Campo de Calatrava")</f>
        <v>Campo de Calatrava</v>
      </c>
      <c r="C520" s="2" t="str">
        <f>IFERROR(__xludf.DUMMYFUNCTION("""COMPUTED_VALUE"""),"Provincia de Ciudad Real")</f>
        <v>Provincia de Ciudad Real</v>
      </c>
      <c r="D520" s="2" t="str">
        <f>IFERROR(__xludf.DUMMYFUNCTION("""COMPUTED_VALUE"""),"Castilla-La Mancha")</f>
        <v>Castilla-La Mancha</v>
      </c>
      <c r="E520" s="2">
        <f>IFERROR(__xludf.DUMMYFUNCTION("""COMPUTED_VALUE"""),635.0)</f>
        <v>635</v>
      </c>
      <c r="F520" s="2">
        <f>IFERROR(__xludf.DUMMYFUNCTION("""COMPUTED_VALUE"""),118.12)</f>
        <v>118.12</v>
      </c>
      <c r="G520" s="4">
        <f>IFERROR(__xludf.DUMMYFUNCTION("""COMPUTED_VALUE"""),15368.0)</f>
        <v>15368</v>
      </c>
      <c r="H520" s="2">
        <f>IFERROR(__xludf.DUMMYFUNCTION("""COMPUTED_VALUE"""),130.1)</f>
        <v>130.1</v>
      </c>
    </row>
    <row r="521">
      <c r="A521" s="2" t="str">
        <f>IFERROR(__xludf.DUMMYFUNCTION("""COMPUTED_VALUE"""),"Guardamar del Segura")</f>
        <v>Guardamar del Segura</v>
      </c>
      <c r="B521" s="2" t="str">
        <f>IFERROR(__xludf.DUMMYFUNCTION("""COMPUTED_VALUE"""),"Vega Baja del Segura")</f>
        <v>Vega Baja del Segura</v>
      </c>
      <c r="C521" s="2" t="str">
        <f>IFERROR(__xludf.DUMMYFUNCTION("""COMPUTED_VALUE"""),"Provincia de Alicante")</f>
        <v>Provincia de Alicante</v>
      </c>
      <c r="D521" s="2" t="str">
        <f>IFERROR(__xludf.DUMMYFUNCTION("""COMPUTED_VALUE"""),"Comunidad Valenciana")</f>
        <v>Comunidad Valenciana</v>
      </c>
      <c r="E521" s="2">
        <f>IFERROR(__xludf.DUMMYFUNCTION("""COMPUTED_VALUE"""),25.0)</f>
        <v>25</v>
      </c>
      <c r="F521" s="2">
        <f>IFERROR(__xludf.DUMMYFUNCTION("""COMPUTED_VALUE"""),33.94)</f>
        <v>33.94</v>
      </c>
      <c r="G521" s="4">
        <f>IFERROR(__xludf.DUMMYFUNCTION("""COMPUTED_VALUE"""),15348.0)</f>
        <v>15348</v>
      </c>
      <c r="H521" s="2">
        <f>IFERROR(__xludf.DUMMYFUNCTION("""COMPUTED_VALUE"""),452.21)</f>
        <v>452.21</v>
      </c>
    </row>
    <row r="522">
      <c r="A522" s="2" t="str">
        <f>IFERROR(__xludf.DUMMYFUNCTION("""COMPUTED_VALUE"""),"Cubelles")</f>
        <v>Cubelles</v>
      </c>
      <c r="B522" s="2" t="str">
        <f>IFERROR(__xludf.DUMMYFUNCTION("""COMPUTED_VALUE"""),"Garraf")</f>
        <v>Garraf</v>
      </c>
      <c r="C522" s="2" t="str">
        <f>IFERROR(__xludf.DUMMYFUNCTION("""COMPUTED_VALUE"""),"Provincia de Barcelona")</f>
        <v>Provincia de Barcelona</v>
      </c>
      <c r="D522" s="2" t="str">
        <f>IFERROR(__xludf.DUMMYFUNCTION("""COMPUTED_VALUE"""),"Cataluña")</f>
        <v>Cataluña</v>
      </c>
      <c r="E522" s="2">
        <f>IFERROR(__xludf.DUMMYFUNCTION("""COMPUTED_VALUE"""),12.0)</f>
        <v>12</v>
      </c>
      <c r="F522" s="2">
        <f>IFERROR(__xludf.DUMMYFUNCTION("""COMPUTED_VALUE"""),13.33)</f>
        <v>13.33</v>
      </c>
      <c r="G522" s="4">
        <f>IFERROR(__xludf.DUMMYFUNCTION("""COMPUTED_VALUE"""),15329.0)</f>
        <v>15329</v>
      </c>
      <c r="H522" s="5">
        <f>IFERROR(__xludf.DUMMYFUNCTION("""COMPUTED_VALUE"""),1149.96)</f>
        <v>1149.96</v>
      </c>
    </row>
    <row r="523">
      <c r="A523" s="2" t="str">
        <f>IFERROR(__xludf.DUMMYFUNCTION("""COMPUTED_VALUE"""),"Tarancón")</f>
        <v>Tarancón</v>
      </c>
      <c r="B523" s="2" t="str">
        <f>IFERROR(__xludf.DUMMYFUNCTION("""COMPUTED_VALUE"""),"Mancha Alta")</f>
        <v>Mancha Alta</v>
      </c>
      <c r="C523" s="2" t="str">
        <f>IFERROR(__xludf.DUMMYFUNCTION("""COMPUTED_VALUE"""),"Provincia de Cuenca")</f>
        <v>Provincia de Cuenca</v>
      </c>
      <c r="D523" s="2" t="str">
        <f>IFERROR(__xludf.DUMMYFUNCTION("""COMPUTED_VALUE"""),"Castilla-La Mancha")</f>
        <v>Castilla-La Mancha</v>
      </c>
      <c r="E523" s="2">
        <f>IFERROR(__xludf.DUMMYFUNCTION("""COMPUTED_VALUE"""),800.0)</f>
        <v>800</v>
      </c>
      <c r="F523" s="2">
        <f>IFERROR(__xludf.DUMMYFUNCTION("""COMPUTED_VALUE"""),106.84)</f>
        <v>106.84</v>
      </c>
      <c r="G523" s="4">
        <f>IFERROR(__xludf.DUMMYFUNCTION("""COMPUTED_VALUE"""),15271.0)</f>
        <v>15271</v>
      </c>
      <c r="H523" s="2">
        <f>IFERROR(__xludf.DUMMYFUNCTION("""COMPUTED_VALUE"""),142.93)</f>
        <v>142.93</v>
      </c>
    </row>
    <row r="524">
      <c r="A524" s="2" t="str">
        <f>IFERROR(__xludf.DUMMYFUNCTION("""COMPUTED_VALUE"""),"La Carolina")</f>
        <v>La Carolina</v>
      </c>
      <c r="B524" s="2" t="str">
        <f>IFERROR(__xludf.DUMMYFUNCTION("""COMPUTED_VALUE"""),"Sierra Morena")</f>
        <v>Sierra Morena</v>
      </c>
      <c r="C524" s="2" t="str">
        <f>IFERROR(__xludf.DUMMYFUNCTION("""COMPUTED_VALUE"""),"Provincia de Jaén")</f>
        <v>Provincia de Jaén</v>
      </c>
      <c r="D524" s="2" t="str">
        <f>IFERROR(__xludf.DUMMYFUNCTION("""COMPUTED_VALUE"""),"Andalucía")</f>
        <v>Andalucía</v>
      </c>
      <c r="E524" s="2">
        <f>IFERROR(__xludf.DUMMYFUNCTION("""COMPUTED_VALUE"""),595.0)</f>
        <v>595</v>
      </c>
      <c r="F524" s="2">
        <f>IFERROR(__xludf.DUMMYFUNCTION("""COMPUTED_VALUE"""),201.37)</f>
        <v>201.37</v>
      </c>
      <c r="G524" s="4">
        <f>IFERROR(__xludf.DUMMYFUNCTION("""COMPUTED_VALUE"""),15261.0)</f>
        <v>15261</v>
      </c>
      <c r="H524" s="2">
        <f>IFERROR(__xludf.DUMMYFUNCTION("""COMPUTED_VALUE"""),75.79)</f>
        <v>75.79</v>
      </c>
    </row>
    <row r="525">
      <c r="A525" s="2" t="str">
        <f>IFERROR(__xludf.DUMMYFUNCTION("""COMPUTED_VALUE"""),"Lliçà d'Amunt")</f>
        <v>Lliçà d'Amunt</v>
      </c>
      <c r="B525" s="2" t="str">
        <f>IFERROR(__xludf.DUMMYFUNCTION("""COMPUTED_VALUE"""),"Vallès Oriental")</f>
        <v>Vallès Oriental</v>
      </c>
      <c r="C525" s="2" t="str">
        <f>IFERROR(__xludf.DUMMYFUNCTION("""COMPUTED_VALUE"""),"Provincia de Barcelona")</f>
        <v>Provincia de Barcelona</v>
      </c>
      <c r="D525" s="2" t="str">
        <f>IFERROR(__xludf.DUMMYFUNCTION("""COMPUTED_VALUE"""),"Cataluña")</f>
        <v>Cataluña</v>
      </c>
      <c r="E525" s="2">
        <f>IFERROR(__xludf.DUMMYFUNCTION("""COMPUTED_VALUE"""),145.0)</f>
        <v>145</v>
      </c>
      <c r="F525" s="2">
        <f>IFERROR(__xludf.DUMMYFUNCTION("""COMPUTED_VALUE"""),22.35)</f>
        <v>22.35</v>
      </c>
      <c r="G525" s="4">
        <f>IFERROR(__xludf.DUMMYFUNCTION("""COMPUTED_VALUE"""),15256.0)</f>
        <v>15256</v>
      </c>
      <c r="H525" s="2">
        <f>IFERROR(__xludf.DUMMYFUNCTION("""COMPUTED_VALUE"""),682.6)</f>
        <v>682.6</v>
      </c>
    </row>
    <row r="526">
      <c r="A526" s="2" t="str">
        <f>IFERROR(__xludf.DUMMYFUNCTION("""COMPUTED_VALUE"""),"Punta Umbría")</f>
        <v>Punta Umbría</v>
      </c>
      <c r="B526" s="2" t="str">
        <f>IFERROR(__xludf.DUMMYFUNCTION("""COMPUTED_VALUE"""),"Comarca metropolitana de Huelva")</f>
        <v>Comarca metropolitana de Huelva</v>
      </c>
      <c r="C526" s="2" t="str">
        <f>IFERROR(__xludf.DUMMYFUNCTION("""COMPUTED_VALUE"""),"Provincia de Huelva")</f>
        <v>Provincia de Huelva</v>
      </c>
      <c r="D526" s="2" t="str">
        <f>IFERROR(__xludf.DUMMYFUNCTION("""COMPUTED_VALUE"""),"Andalucía")</f>
        <v>Andalucía</v>
      </c>
      <c r="E526" s="2">
        <f>IFERROR(__xludf.DUMMYFUNCTION("""COMPUTED_VALUE"""),6.0)</f>
        <v>6</v>
      </c>
      <c r="F526" s="2">
        <f>IFERROR(__xludf.DUMMYFUNCTION("""COMPUTED_VALUE"""),38.77)</f>
        <v>38.77</v>
      </c>
      <c r="G526" s="4">
        <f>IFERROR(__xludf.DUMMYFUNCTION("""COMPUTED_VALUE"""),15242.0)</f>
        <v>15242</v>
      </c>
      <c r="H526" s="2">
        <f>IFERROR(__xludf.DUMMYFUNCTION("""COMPUTED_VALUE"""),393.14)</f>
        <v>393.14</v>
      </c>
    </row>
    <row r="527">
      <c r="A527" s="2" t="str">
        <f>IFERROR(__xludf.DUMMYFUNCTION("""COMPUTED_VALUE"""),"Tuineje")</f>
        <v>Tuineje</v>
      </c>
      <c r="B527" s="2"/>
      <c r="C527" s="2" t="str">
        <f>IFERROR(__xludf.DUMMYFUNCTION("""COMPUTED_VALUE"""),"Provincia de Las Palmas")</f>
        <v>Provincia de Las Palmas</v>
      </c>
      <c r="D527" s="2" t="str">
        <f>IFERROR(__xludf.DUMMYFUNCTION("""COMPUTED_VALUE"""),"Canarias")</f>
        <v>Canarias</v>
      </c>
      <c r="E527" s="2">
        <f>IFERROR(__xludf.DUMMYFUNCTION("""COMPUTED_VALUE"""),205.0)</f>
        <v>205</v>
      </c>
      <c r="F527" s="2">
        <f>IFERROR(__xludf.DUMMYFUNCTION("""COMPUTED_VALUE"""),276.3)</f>
        <v>276.3</v>
      </c>
      <c r="G527" s="4">
        <f>IFERROR(__xludf.DUMMYFUNCTION("""COMPUTED_VALUE"""),15241.0)</f>
        <v>15241</v>
      </c>
      <c r="H527" s="2">
        <f>IFERROR(__xludf.DUMMYFUNCTION("""COMPUTED_VALUE"""),55.16)</f>
        <v>55.16</v>
      </c>
    </row>
    <row r="528">
      <c r="A528" s="2" t="str">
        <f>IFERROR(__xludf.DUMMYFUNCTION("""COMPUTED_VALUE"""),"Churriana de la Vega")</f>
        <v>Churriana de la Vega</v>
      </c>
      <c r="B528" s="2" t="str">
        <f>IFERROR(__xludf.DUMMYFUNCTION("""COMPUTED_VALUE"""),"Vega de Granada")</f>
        <v>Vega de Granada</v>
      </c>
      <c r="C528" s="2" t="str">
        <f>IFERROR(__xludf.DUMMYFUNCTION("""COMPUTED_VALUE"""),"Provincia de Granada")</f>
        <v>Provincia de Granada</v>
      </c>
      <c r="D528" s="2" t="str">
        <f>IFERROR(__xludf.DUMMYFUNCTION("""COMPUTED_VALUE"""),"Andalucía")</f>
        <v>Andalucía</v>
      </c>
      <c r="E528" s="2">
        <f>IFERROR(__xludf.DUMMYFUNCTION("""COMPUTED_VALUE"""),655.0)</f>
        <v>655</v>
      </c>
      <c r="F528" s="2">
        <f>IFERROR(__xludf.DUMMYFUNCTION("""COMPUTED_VALUE"""),6.57)</f>
        <v>6.57</v>
      </c>
      <c r="G528" s="4">
        <f>IFERROR(__xludf.DUMMYFUNCTION("""COMPUTED_VALUE"""),15200.0)</f>
        <v>15200</v>
      </c>
      <c r="H528" s="5">
        <f>IFERROR(__xludf.DUMMYFUNCTION("""COMPUTED_VALUE"""),2313.55)</f>
        <v>2313.55</v>
      </c>
    </row>
    <row r="529">
      <c r="A529" s="2" t="str">
        <f>IFERROR(__xludf.DUMMYFUNCTION("""COMPUTED_VALUE"""),"Santa Fe")</f>
        <v>Santa Fe</v>
      </c>
      <c r="B529" s="2" t="str">
        <f>IFERROR(__xludf.DUMMYFUNCTION("""COMPUTED_VALUE"""),"Vega de Granada")</f>
        <v>Vega de Granada</v>
      </c>
      <c r="C529" s="2" t="str">
        <f>IFERROR(__xludf.DUMMYFUNCTION("""COMPUTED_VALUE"""),"Provincia de Granada")</f>
        <v>Provincia de Granada</v>
      </c>
      <c r="D529" s="2" t="str">
        <f>IFERROR(__xludf.DUMMYFUNCTION("""COMPUTED_VALUE"""),"Andalucía")</f>
        <v>Andalucía</v>
      </c>
      <c r="E529" s="2">
        <f>IFERROR(__xludf.DUMMYFUNCTION("""COMPUTED_VALUE"""),582.0)</f>
        <v>582</v>
      </c>
      <c r="F529" s="2">
        <f>IFERROR(__xludf.DUMMYFUNCTION("""COMPUTED_VALUE"""),38.3)</f>
        <v>38.3</v>
      </c>
      <c r="G529" s="4">
        <f>IFERROR(__xludf.DUMMYFUNCTION("""COMPUTED_VALUE"""),15157.0)</f>
        <v>15157</v>
      </c>
      <c r="H529" s="2">
        <f>IFERROR(__xludf.DUMMYFUNCTION("""COMPUTED_VALUE"""),395.74)</f>
        <v>395.74</v>
      </c>
    </row>
    <row r="530">
      <c r="A530" s="2" t="str">
        <f>IFERROR(__xludf.DUMMYFUNCTION("""COMPUTED_VALUE"""),"Chiva")</f>
        <v>Chiva</v>
      </c>
      <c r="B530" s="2" t="str">
        <f>IFERROR(__xludf.DUMMYFUNCTION("""COMPUTED_VALUE"""),"Hoya de Buñol")</f>
        <v>Hoya de Buñol</v>
      </c>
      <c r="C530" s="2" t="str">
        <f>IFERROR(__xludf.DUMMYFUNCTION("""COMPUTED_VALUE"""),"Provincia de València")</f>
        <v>Provincia de València</v>
      </c>
      <c r="D530" s="2" t="str">
        <f>IFERROR(__xludf.DUMMYFUNCTION("""COMPUTED_VALUE"""),"Comunidad Valenciana")</f>
        <v>Comunidad Valenciana</v>
      </c>
      <c r="E530" s="2"/>
      <c r="F530" s="2">
        <f>IFERROR(__xludf.DUMMYFUNCTION("""COMPUTED_VALUE"""),178.73)</f>
        <v>178.73</v>
      </c>
      <c r="G530" s="4">
        <f>IFERROR(__xludf.DUMMYFUNCTION("""COMPUTED_VALUE"""),15123.0)</f>
        <v>15123</v>
      </c>
      <c r="H530" s="2">
        <f>IFERROR(__xludf.DUMMYFUNCTION("""COMPUTED_VALUE"""),84.61)</f>
        <v>84.61</v>
      </c>
    </row>
    <row r="531">
      <c r="A531" s="2" t="str">
        <f>IFERROR(__xludf.DUMMYFUNCTION("""COMPUTED_VALUE"""),"Mos")</f>
        <v>Mos</v>
      </c>
      <c r="B531" s="2" t="str">
        <f>IFERROR(__xludf.DUMMYFUNCTION("""COMPUTED_VALUE"""),"Comarca de Vigo")</f>
        <v>Comarca de Vigo</v>
      </c>
      <c r="C531" s="2" t="str">
        <f>IFERROR(__xludf.DUMMYFUNCTION("""COMPUTED_VALUE"""),"Provincia de Pontevedra")</f>
        <v>Provincia de Pontevedra</v>
      </c>
      <c r="D531" s="2" t="str">
        <f>IFERROR(__xludf.DUMMYFUNCTION("""COMPUTED_VALUE"""),"Galicia")</f>
        <v>Galicia</v>
      </c>
      <c r="E531" s="2">
        <f>IFERROR(__xludf.DUMMYFUNCTION("""COMPUTED_VALUE"""),399.0)</f>
        <v>399</v>
      </c>
      <c r="F531" s="2">
        <f>IFERROR(__xludf.DUMMYFUNCTION("""COMPUTED_VALUE"""),53.29)</f>
        <v>53.29</v>
      </c>
      <c r="G531" s="4">
        <f>IFERROR(__xludf.DUMMYFUNCTION("""COMPUTED_VALUE"""),15078.0)</f>
        <v>15078</v>
      </c>
      <c r="H531" s="2">
        <f>IFERROR(__xludf.DUMMYFUNCTION("""COMPUTED_VALUE"""),282.94)</f>
        <v>282.94</v>
      </c>
    </row>
    <row r="532">
      <c r="A532" s="2" t="str">
        <f>IFERROR(__xludf.DUMMYFUNCTION("""COMPUTED_VALUE"""),"Fraga (Huesca)")</f>
        <v>Fraga (Huesca)</v>
      </c>
      <c r="B532" s="2" t="str">
        <f>IFERROR(__xludf.DUMMYFUNCTION("""COMPUTED_VALUE"""),"Bajo Cinca")</f>
        <v>Bajo Cinca</v>
      </c>
      <c r="C532" s="2" t="str">
        <f>IFERROR(__xludf.DUMMYFUNCTION("""COMPUTED_VALUE"""),"Provincia de Huesca")</f>
        <v>Provincia de Huesca</v>
      </c>
      <c r="D532" s="2" t="str">
        <f>IFERROR(__xludf.DUMMYFUNCTION("""COMPUTED_VALUE"""),"Aragón")</f>
        <v>Aragón</v>
      </c>
      <c r="E532" s="2">
        <f>IFERROR(__xludf.DUMMYFUNCTION("""COMPUTED_VALUE"""),118.0)</f>
        <v>118</v>
      </c>
      <c r="F532" s="2">
        <f>IFERROR(__xludf.DUMMYFUNCTION("""COMPUTED_VALUE"""),437.64)</f>
        <v>437.64</v>
      </c>
      <c r="G532" s="4">
        <f>IFERROR(__xludf.DUMMYFUNCTION("""COMPUTED_VALUE"""),15033.0)</f>
        <v>15033</v>
      </c>
      <c r="H532" s="2">
        <f>IFERROR(__xludf.DUMMYFUNCTION("""COMPUTED_VALUE"""),34.35)</f>
        <v>34.35</v>
      </c>
    </row>
    <row r="533">
      <c r="A533" s="2" t="str">
        <f>IFERROR(__xludf.DUMMYFUNCTION("""COMPUTED_VALUE"""),"Vallirana")</f>
        <v>Vallirana</v>
      </c>
      <c r="B533" s="2" t="str">
        <f>IFERROR(__xludf.DUMMYFUNCTION("""COMPUTED_VALUE"""),"Bajo Llobregat")</f>
        <v>Bajo Llobregat</v>
      </c>
      <c r="C533" s="2" t="str">
        <f>IFERROR(__xludf.DUMMYFUNCTION("""COMPUTED_VALUE"""),"Provincia de Barcelona")</f>
        <v>Provincia de Barcelona</v>
      </c>
      <c r="D533" s="2" t="str">
        <f>IFERROR(__xludf.DUMMYFUNCTION("""COMPUTED_VALUE"""),"Cataluña")</f>
        <v>Cataluña</v>
      </c>
      <c r="E533" s="2">
        <f>IFERROR(__xludf.DUMMYFUNCTION("""COMPUTED_VALUE"""),177.0)</f>
        <v>177</v>
      </c>
      <c r="F533" s="2">
        <f>IFERROR(__xludf.DUMMYFUNCTION("""COMPUTED_VALUE"""),23.81)</f>
        <v>23.81</v>
      </c>
      <c r="G533" s="4">
        <f>IFERROR(__xludf.DUMMYFUNCTION("""COMPUTED_VALUE"""),15006.0)</f>
        <v>15006</v>
      </c>
      <c r="H533" s="2">
        <f>IFERROR(__xludf.DUMMYFUNCTION("""COMPUTED_VALUE"""),630.24)</f>
        <v>630.24</v>
      </c>
    </row>
    <row r="534">
      <c r="A534" s="2" t="str">
        <f>IFERROR(__xludf.DUMMYFUNCTION("""COMPUTED_VALUE"""),"Cehegín")</f>
        <v>Cehegín</v>
      </c>
      <c r="B534" s="2" t="str">
        <f>IFERROR(__xludf.DUMMYFUNCTION("""COMPUTED_VALUE"""),"Comarca del Noroeste")</f>
        <v>Comarca del Noroeste</v>
      </c>
      <c r="C534" s="2" t="str">
        <f>IFERROR(__xludf.DUMMYFUNCTION("""COMPUTED_VALUE"""),"Provincia de Murcia")</f>
        <v>Provincia de Murcia</v>
      </c>
      <c r="D534" s="2" t="str">
        <f>IFERROR(__xludf.DUMMYFUNCTION("""COMPUTED_VALUE"""),"Región de Murcia")</f>
        <v>Región de Murcia</v>
      </c>
      <c r="E534" s="2">
        <f>IFERROR(__xludf.DUMMYFUNCTION("""COMPUTED_VALUE"""),570.0)</f>
        <v>570</v>
      </c>
      <c r="F534" s="2">
        <f>IFERROR(__xludf.DUMMYFUNCTION("""COMPUTED_VALUE"""),300.12)</f>
        <v>300.12</v>
      </c>
      <c r="G534" s="4">
        <f>IFERROR(__xludf.DUMMYFUNCTION("""COMPUTED_VALUE"""),14983.0)</f>
        <v>14983</v>
      </c>
      <c r="H534" s="2">
        <f>IFERROR(__xludf.DUMMYFUNCTION("""COMPUTED_VALUE"""),49.92)</f>
        <v>49.92</v>
      </c>
    </row>
    <row r="535">
      <c r="A535" s="2" t="str">
        <f>IFERROR(__xludf.DUMMYFUNCTION("""COMPUTED_VALUE"""),"Azpeitia")</f>
        <v>Azpeitia</v>
      </c>
      <c r="B535" s="2" t="str">
        <f>IFERROR(__xludf.DUMMYFUNCTION("""COMPUTED_VALUE"""),"Urola-Costa")</f>
        <v>Urola-Costa</v>
      </c>
      <c r="C535" s="2" t="str">
        <f>IFERROR(__xludf.DUMMYFUNCTION("""COMPUTED_VALUE"""),"Provincia de Gipuzkoa")</f>
        <v>Provincia de Gipuzkoa</v>
      </c>
      <c r="D535" s="2" t="str">
        <f>IFERROR(__xludf.DUMMYFUNCTION("""COMPUTED_VALUE"""),"País Vasco")</f>
        <v>País Vasco</v>
      </c>
      <c r="E535" s="2">
        <f>IFERROR(__xludf.DUMMYFUNCTION("""COMPUTED_VALUE"""),80.0)</f>
        <v>80</v>
      </c>
      <c r="F535" s="2">
        <f>IFERROR(__xludf.DUMMYFUNCTION("""COMPUTED_VALUE"""),69.39)</f>
        <v>69.39</v>
      </c>
      <c r="G535" s="4">
        <f>IFERROR(__xludf.DUMMYFUNCTION("""COMPUTED_VALUE"""),14936.0)</f>
        <v>14936</v>
      </c>
      <c r="H535" s="2">
        <f>IFERROR(__xludf.DUMMYFUNCTION("""COMPUTED_VALUE"""),215.25)</f>
        <v>215.25</v>
      </c>
    </row>
    <row r="536">
      <c r="A536" s="2" t="str">
        <f>IFERROR(__xludf.DUMMYFUNCTION("""COMPUTED_VALUE"""),"Zizur Mayor/Zizur Nagusia")</f>
        <v>Zizur Mayor/Zizur Nagusia</v>
      </c>
      <c r="B536" s="2" t="str">
        <f>IFERROR(__xludf.DUMMYFUNCTION("""COMPUTED_VALUE"""),"Cuenca de Pamplona")</f>
        <v>Cuenca de Pamplona</v>
      </c>
      <c r="C536" s="2" t="str">
        <f>IFERROR(__xludf.DUMMYFUNCTION("""COMPUTED_VALUE"""),"Provincia de Navarra")</f>
        <v>Provincia de Navarra</v>
      </c>
      <c r="D536" s="2" t="str">
        <f>IFERROR(__xludf.DUMMYFUNCTION("""COMPUTED_VALUE"""),"Comunidad Foral de Navarra")</f>
        <v>Comunidad Foral de Navarra</v>
      </c>
      <c r="E536" s="2">
        <f>IFERROR(__xludf.DUMMYFUNCTION("""COMPUTED_VALUE"""),470.0)</f>
        <v>470</v>
      </c>
      <c r="F536" s="2">
        <f>IFERROR(__xludf.DUMMYFUNCTION("""COMPUTED_VALUE"""),5.05)</f>
        <v>5.05</v>
      </c>
      <c r="G536" s="4">
        <f>IFERROR(__xludf.DUMMYFUNCTION("""COMPUTED_VALUE"""),14894.0)</f>
        <v>14894</v>
      </c>
      <c r="H536" s="5">
        <f>IFERROR(__xludf.DUMMYFUNCTION("""COMPUTED_VALUE"""),2949.31)</f>
        <v>2949.31</v>
      </c>
    </row>
    <row r="537">
      <c r="A537" s="2" t="str">
        <f>IFERROR(__xludf.DUMMYFUNCTION("""COMPUTED_VALUE"""),"Arnedo")</f>
        <v>Arnedo</v>
      </c>
      <c r="B537" s="2" t="str">
        <f>IFERROR(__xludf.DUMMYFUNCTION("""COMPUTED_VALUE"""),"Comarca de Arnedo")</f>
        <v>Comarca de Arnedo</v>
      </c>
      <c r="C537" s="2" t="str">
        <f>IFERROR(__xludf.DUMMYFUNCTION("""COMPUTED_VALUE"""),"Provincia de La Rioja")</f>
        <v>Provincia de La Rioja</v>
      </c>
      <c r="D537" s="2" t="str">
        <f>IFERROR(__xludf.DUMMYFUNCTION("""COMPUTED_VALUE"""),"La Rioja")</f>
        <v>La Rioja</v>
      </c>
      <c r="E537" s="2">
        <f>IFERROR(__xludf.DUMMYFUNCTION("""COMPUTED_VALUE"""),550.0)</f>
        <v>550</v>
      </c>
      <c r="F537" s="2">
        <f>IFERROR(__xludf.DUMMYFUNCTION("""COMPUTED_VALUE"""),85.4)</f>
        <v>85.4</v>
      </c>
      <c r="G537" s="4">
        <f>IFERROR(__xludf.DUMMYFUNCTION("""COMPUTED_VALUE"""),14875.0)</f>
        <v>14875</v>
      </c>
      <c r="H537" s="2">
        <f>IFERROR(__xludf.DUMMYFUNCTION("""COMPUTED_VALUE"""),174.18)</f>
        <v>174.18</v>
      </c>
    </row>
    <row r="538">
      <c r="A538" s="2" t="str">
        <f>IFERROR(__xludf.DUMMYFUNCTION("""COMPUTED_VALUE"""),"Corbera de Llobregat")</f>
        <v>Corbera de Llobregat</v>
      </c>
      <c r="B538" s="2" t="str">
        <f>IFERROR(__xludf.DUMMYFUNCTION("""COMPUTED_VALUE"""),"Bajo Llobregat")</f>
        <v>Bajo Llobregat</v>
      </c>
      <c r="C538" s="2" t="str">
        <f>IFERROR(__xludf.DUMMYFUNCTION("""COMPUTED_VALUE"""),"Provincia de Barcelona")</f>
        <v>Provincia de Barcelona</v>
      </c>
      <c r="D538" s="2" t="str">
        <f>IFERROR(__xludf.DUMMYFUNCTION("""COMPUTED_VALUE"""),"Cataluña")</f>
        <v>Cataluña</v>
      </c>
      <c r="E538" s="2">
        <f>IFERROR(__xludf.DUMMYFUNCTION("""COMPUTED_VALUE"""),342.0)</f>
        <v>342</v>
      </c>
      <c r="F538" s="2">
        <f>IFERROR(__xludf.DUMMYFUNCTION("""COMPUTED_VALUE"""),18.31)</f>
        <v>18.31</v>
      </c>
      <c r="G538" s="4">
        <f>IFERROR(__xludf.DUMMYFUNCTION("""COMPUTED_VALUE"""),14822.0)</f>
        <v>14822</v>
      </c>
      <c r="H538" s="2">
        <f>IFERROR(__xludf.DUMMYFUNCTION("""COMPUTED_VALUE"""),809.5)</f>
        <v>809.5</v>
      </c>
    </row>
    <row r="539">
      <c r="A539" s="2" t="str">
        <f>IFERROR(__xludf.DUMMYFUNCTION("""COMPUTED_VALUE"""),"Santa Marta de Tormes")</f>
        <v>Santa Marta de Tormes</v>
      </c>
      <c r="B539" s="2" t="str">
        <f>IFERROR(__xludf.DUMMYFUNCTION("""COMPUTED_VALUE"""),"Campo de Salamanca")</f>
        <v>Campo de Salamanca</v>
      </c>
      <c r="C539" s="2" t="str">
        <f>IFERROR(__xludf.DUMMYFUNCTION("""COMPUTED_VALUE"""),"Provincia de Salamanca")</f>
        <v>Provincia de Salamanca</v>
      </c>
      <c r="D539" s="2" t="str">
        <f>IFERROR(__xludf.DUMMYFUNCTION("""COMPUTED_VALUE"""),"Castilla y León")</f>
        <v>Castilla y León</v>
      </c>
      <c r="E539" s="2">
        <f>IFERROR(__xludf.DUMMYFUNCTION("""COMPUTED_VALUE"""),778.0)</f>
        <v>778</v>
      </c>
      <c r="F539" s="2">
        <f>IFERROR(__xludf.DUMMYFUNCTION("""COMPUTED_VALUE"""),10.01)</f>
        <v>10.01</v>
      </c>
      <c r="G539" s="4">
        <f>IFERROR(__xludf.DUMMYFUNCTION("""COMPUTED_VALUE"""),14805.0)</f>
        <v>14805</v>
      </c>
      <c r="H539" s="5">
        <f>IFERROR(__xludf.DUMMYFUNCTION("""COMPUTED_VALUE"""),1479.02)</f>
        <v>1479.02</v>
      </c>
    </row>
    <row r="540">
      <c r="A540" s="2" t="str">
        <f>IFERROR(__xludf.DUMMYFUNCTION("""COMPUTED_VALUE"""),"Benetússer")</f>
        <v>Benetússer</v>
      </c>
      <c r="B540" s="2" t="str">
        <f>IFERROR(__xludf.DUMMYFUNCTION("""COMPUTED_VALUE"""),"Huerta Sur")</f>
        <v>Huerta Sur</v>
      </c>
      <c r="C540" s="2" t="str">
        <f>IFERROR(__xludf.DUMMYFUNCTION("""COMPUTED_VALUE"""),"Provincia de València")</f>
        <v>Provincia de València</v>
      </c>
      <c r="D540" s="2" t="str">
        <f>IFERROR(__xludf.DUMMYFUNCTION("""COMPUTED_VALUE"""),"Comunidad Valenciana")</f>
        <v>Comunidad Valenciana</v>
      </c>
      <c r="E540" s="2">
        <f>IFERROR(__xludf.DUMMYFUNCTION("""COMPUTED_VALUE"""),11.0)</f>
        <v>11</v>
      </c>
      <c r="F540" s="2">
        <f>IFERROR(__xludf.DUMMYFUNCTION("""COMPUTED_VALUE"""),0.78)</f>
        <v>0.78</v>
      </c>
      <c r="G540" s="4">
        <f>IFERROR(__xludf.DUMMYFUNCTION("""COMPUTED_VALUE"""),14799.0)</f>
        <v>14799</v>
      </c>
      <c r="H540" s="5">
        <f>IFERROR(__xludf.DUMMYFUNCTION("""COMPUTED_VALUE"""),18973.08)</f>
        <v>18973.08</v>
      </c>
    </row>
    <row r="541">
      <c r="A541" s="2" t="str">
        <f>IFERROR(__xludf.DUMMYFUNCTION("""COMPUTED_VALUE"""),"Sant Carles de la Ràpita")</f>
        <v>Sant Carles de la Ràpita</v>
      </c>
      <c r="B541" s="2" t="str">
        <f>IFERROR(__xludf.DUMMYFUNCTION("""COMPUTED_VALUE"""),"Montsiá")</f>
        <v>Montsiá</v>
      </c>
      <c r="C541" s="2" t="str">
        <f>IFERROR(__xludf.DUMMYFUNCTION("""COMPUTED_VALUE"""),"Provincia de Tarragona")</f>
        <v>Provincia de Tarragona</v>
      </c>
      <c r="D541" s="2" t="str">
        <f>IFERROR(__xludf.DUMMYFUNCTION("""COMPUTED_VALUE"""),"Cataluña")</f>
        <v>Cataluña</v>
      </c>
      <c r="E541" s="2">
        <f>IFERROR(__xludf.DUMMYFUNCTION("""COMPUTED_VALUE"""),11.0)</f>
        <v>11</v>
      </c>
      <c r="F541" s="2">
        <f>IFERROR(__xludf.DUMMYFUNCTION("""COMPUTED_VALUE"""),53.23)</f>
        <v>53.23</v>
      </c>
      <c r="G541" s="4">
        <f>IFERROR(__xludf.DUMMYFUNCTION("""COMPUTED_VALUE"""),14789.0)</f>
        <v>14789</v>
      </c>
      <c r="H541" s="2">
        <f>IFERROR(__xludf.DUMMYFUNCTION("""COMPUTED_VALUE"""),277.83)</f>
        <v>277.83</v>
      </c>
    </row>
    <row r="542">
      <c r="A542" s="2" t="str">
        <f>IFERROR(__xludf.DUMMYFUNCTION("""COMPUTED_VALUE"""),"Palau-solità i Plegamans")</f>
        <v>Palau-solità i Plegamans</v>
      </c>
      <c r="B542" s="2" t="str">
        <f>IFERROR(__xludf.DUMMYFUNCTION("""COMPUTED_VALUE"""),"Vallès Occidental")</f>
        <v>Vallès Occidental</v>
      </c>
      <c r="C542" s="2" t="str">
        <f>IFERROR(__xludf.DUMMYFUNCTION("""COMPUTED_VALUE"""),"Provincia de Barcelona")</f>
        <v>Provincia de Barcelona</v>
      </c>
      <c r="D542" s="2" t="str">
        <f>IFERROR(__xludf.DUMMYFUNCTION("""COMPUTED_VALUE"""),"Cataluña")</f>
        <v>Cataluña</v>
      </c>
      <c r="E542" s="2">
        <f>IFERROR(__xludf.DUMMYFUNCTION("""COMPUTED_VALUE"""),130.0)</f>
        <v>130</v>
      </c>
      <c r="F542" s="2">
        <f>IFERROR(__xludf.DUMMYFUNCTION("""COMPUTED_VALUE"""),15.08)</f>
        <v>15.08</v>
      </c>
      <c r="G542" s="4">
        <f>IFERROR(__xludf.DUMMYFUNCTION("""COMPUTED_VALUE"""),14771.0)</f>
        <v>14771</v>
      </c>
      <c r="H542" s="2">
        <f>IFERROR(__xludf.DUMMYFUNCTION("""COMPUTED_VALUE"""),979.51)</f>
        <v>979.51</v>
      </c>
    </row>
    <row r="543">
      <c r="A543" s="2" t="str">
        <f>IFERROR(__xludf.DUMMYFUNCTION("""COMPUTED_VALUE"""),"Mollerussa")</f>
        <v>Mollerussa</v>
      </c>
      <c r="B543" s="2" t="str">
        <f>IFERROR(__xludf.DUMMYFUNCTION("""COMPUTED_VALUE"""),"Plana de Urgel")</f>
        <v>Plana de Urgel</v>
      </c>
      <c r="C543" s="2" t="str">
        <f>IFERROR(__xludf.DUMMYFUNCTION("""COMPUTED_VALUE"""),"Provincia de Lleida")</f>
        <v>Provincia de Lleida</v>
      </c>
      <c r="D543" s="2" t="str">
        <f>IFERROR(__xludf.DUMMYFUNCTION("""COMPUTED_VALUE"""),"Cataluña")</f>
        <v>Cataluña</v>
      </c>
      <c r="E543" s="2">
        <f>IFERROR(__xludf.DUMMYFUNCTION("""COMPUTED_VALUE"""),250.0)</f>
        <v>250</v>
      </c>
      <c r="F543" s="2">
        <f>IFERROR(__xludf.DUMMYFUNCTION("""COMPUTED_VALUE"""),6.95)</f>
        <v>6.95</v>
      </c>
      <c r="G543" s="4">
        <f>IFERROR(__xludf.DUMMYFUNCTION("""COMPUTED_VALUE"""),14683.0)</f>
        <v>14683</v>
      </c>
      <c r="H543" s="5">
        <f>IFERROR(__xludf.DUMMYFUNCTION("""COMPUTED_VALUE"""),2112.66)</f>
        <v>2112.66</v>
      </c>
    </row>
    <row r="544">
      <c r="A544" s="2" t="str">
        <f>IFERROR(__xludf.DUMMYFUNCTION("""COMPUTED_VALUE"""),"Santa Úrsula")</f>
        <v>Santa Úrsula</v>
      </c>
      <c r="B544" s="2" t="str">
        <f>IFERROR(__xludf.DUMMYFUNCTION("""COMPUTED_VALUE"""),"Comarca de Acentejo")</f>
        <v>Comarca de Acentejo</v>
      </c>
      <c r="C544" s="2" t="str">
        <f>IFERROR(__xludf.DUMMYFUNCTION("""COMPUTED_VALUE"""),"Provincia de Santa Cruz de Tenerife")</f>
        <v>Provincia de Santa Cruz de Tenerife</v>
      </c>
      <c r="D544" s="2" t="str">
        <f>IFERROR(__xludf.DUMMYFUNCTION("""COMPUTED_VALUE"""),"Canarias")</f>
        <v>Canarias</v>
      </c>
      <c r="E544" s="2">
        <f>IFERROR(__xludf.DUMMYFUNCTION("""COMPUTED_VALUE"""),290.0)</f>
        <v>290</v>
      </c>
      <c r="F544" s="2">
        <f>IFERROR(__xludf.DUMMYFUNCTION("""COMPUTED_VALUE"""),22.37)</f>
        <v>22.37</v>
      </c>
      <c r="G544" s="4">
        <f>IFERROR(__xludf.DUMMYFUNCTION("""COMPUTED_VALUE"""),14679.0)</f>
        <v>14679</v>
      </c>
      <c r="H544" s="2">
        <f>IFERROR(__xludf.DUMMYFUNCTION("""COMPUTED_VALUE"""),656.19)</f>
        <v>656.19</v>
      </c>
    </row>
    <row r="545">
      <c r="A545" s="2" t="str">
        <f>IFERROR(__xludf.DUMMYFUNCTION("""COMPUTED_VALUE"""),"Andoain")</f>
        <v>Andoain</v>
      </c>
      <c r="B545" s="2" t="str">
        <f>IFERROR(__xludf.DUMMYFUNCTION("""COMPUTED_VALUE"""),"Comarca de San Sebastián")</f>
        <v>Comarca de San Sebastián</v>
      </c>
      <c r="C545" s="2" t="str">
        <f>IFERROR(__xludf.DUMMYFUNCTION("""COMPUTED_VALUE"""),"Provincia de Gipuzkoa")</f>
        <v>Provincia de Gipuzkoa</v>
      </c>
      <c r="D545" s="2" t="str">
        <f>IFERROR(__xludf.DUMMYFUNCTION("""COMPUTED_VALUE"""),"País Vasco")</f>
        <v>País Vasco</v>
      </c>
      <c r="E545" s="2">
        <f>IFERROR(__xludf.DUMMYFUNCTION("""COMPUTED_VALUE"""),65.0)</f>
        <v>65</v>
      </c>
      <c r="F545" s="2">
        <f>IFERROR(__xludf.DUMMYFUNCTION("""COMPUTED_VALUE"""),27.17)</f>
        <v>27.17</v>
      </c>
      <c r="G545" s="4">
        <f>IFERROR(__xludf.DUMMYFUNCTION("""COMPUTED_VALUE"""),14637.0)</f>
        <v>14637</v>
      </c>
      <c r="H545" s="2">
        <f>IFERROR(__xludf.DUMMYFUNCTION("""COMPUTED_VALUE"""),538.72)</f>
        <v>538.72</v>
      </c>
    </row>
    <row r="546">
      <c r="A546" s="2" t="str">
        <f>IFERROR(__xludf.DUMMYFUNCTION("""COMPUTED_VALUE"""),"Bergara")</f>
        <v>Bergara</v>
      </c>
      <c r="B546" s="2" t="str">
        <f>IFERROR(__xludf.DUMMYFUNCTION("""COMPUTED_VALUE"""),"Alto Deva")</f>
        <v>Alto Deva</v>
      </c>
      <c r="C546" s="2" t="str">
        <f>IFERROR(__xludf.DUMMYFUNCTION("""COMPUTED_VALUE"""),"Provincia de Gipuzkoa")</f>
        <v>Provincia de Gipuzkoa</v>
      </c>
      <c r="D546" s="2" t="str">
        <f>IFERROR(__xludf.DUMMYFUNCTION("""COMPUTED_VALUE"""),"País Vasco")</f>
        <v>País Vasco</v>
      </c>
      <c r="E546" s="2">
        <f>IFERROR(__xludf.DUMMYFUNCTION("""COMPUTED_VALUE"""),110.0)</f>
        <v>110</v>
      </c>
      <c r="F546" s="2">
        <f>IFERROR(__xludf.DUMMYFUNCTION("""COMPUTED_VALUE"""),75.95)</f>
        <v>75.95</v>
      </c>
      <c r="G546" s="4">
        <f>IFERROR(__xludf.DUMMYFUNCTION("""COMPUTED_VALUE"""),14637.0)</f>
        <v>14637</v>
      </c>
      <c r="H546" s="2">
        <f>IFERROR(__xludf.DUMMYFUNCTION("""COMPUTED_VALUE"""),192.72)</f>
        <v>192.72</v>
      </c>
    </row>
    <row r="547">
      <c r="A547" s="2" t="str">
        <f>IFERROR(__xludf.DUMMYFUNCTION("""COMPUTED_VALUE"""),"Alpedrete")</f>
        <v>Alpedrete</v>
      </c>
      <c r="B547" s="2" t="str">
        <f>IFERROR(__xludf.DUMMYFUNCTION("""COMPUTED_VALUE"""),"Cuenca del Guadarrama")</f>
        <v>Cuenca del Guadarrama</v>
      </c>
      <c r="C547" s="2" t="str">
        <f>IFERROR(__xludf.DUMMYFUNCTION("""COMPUTED_VALUE"""),"Provincia de Madrid")</f>
        <v>Provincia de Madrid</v>
      </c>
      <c r="D547" s="2" t="str">
        <f>IFERROR(__xludf.DUMMYFUNCTION("""COMPUTED_VALUE"""),"Comunidad de Madrid")</f>
        <v>Comunidad de Madrid</v>
      </c>
      <c r="E547" s="2">
        <f>IFERROR(__xludf.DUMMYFUNCTION("""COMPUTED_VALUE"""),919.0)</f>
        <v>919</v>
      </c>
      <c r="F547" s="2">
        <f>IFERROR(__xludf.DUMMYFUNCTION("""COMPUTED_VALUE"""),12.64)</f>
        <v>12.64</v>
      </c>
      <c r="G547" s="4">
        <f>IFERROR(__xludf.DUMMYFUNCTION("""COMPUTED_VALUE"""),14575.0)</f>
        <v>14575</v>
      </c>
      <c r="H547" s="5">
        <f>IFERROR(__xludf.DUMMYFUNCTION("""COMPUTED_VALUE"""),1153.09)</f>
        <v>1153.09</v>
      </c>
    </row>
    <row r="548">
      <c r="A548" s="2" t="str">
        <f>IFERROR(__xludf.DUMMYFUNCTION("""COMPUTED_VALUE"""),"Canet de Mar")</f>
        <v>Canet de Mar</v>
      </c>
      <c r="B548" s="2" t="str">
        <f>IFERROR(__xludf.DUMMYFUNCTION("""COMPUTED_VALUE"""),"Maresme")</f>
        <v>Maresme</v>
      </c>
      <c r="C548" s="2" t="str">
        <f>IFERROR(__xludf.DUMMYFUNCTION("""COMPUTED_VALUE"""),"Provincia de Barcelona")</f>
        <v>Provincia de Barcelona</v>
      </c>
      <c r="D548" s="2" t="str">
        <f>IFERROR(__xludf.DUMMYFUNCTION("""COMPUTED_VALUE"""),"Cataluña")</f>
        <v>Cataluña</v>
      </c>
      <c r="E548" s="2">
        <f>IFERROR(__xludf.DUMMYFUNCTION("""COMPUTED_VALUE"""),15.0)</f>
        <v>15</v>
      </c>
      <c r="F548" s="2">
        <f>IFERROR(__xludf.DUMMYFUNCTION("""COMPUTED_VALUE"""),6.32)</f>
        <v>6.32</v>
      </c>
      <c r="G548" s="4">
        <f>IFERROR(__xludf.DUMMYFUNCTION("""COMPUTED_VALUE"""),14526.0)</f>
        <v>14526</v>
      </c>
      <c r="H548" s="5">
        <f>IFERROR(__xludf.DUMMYFUNCTION("""COMPUTED_VALUE"""),2298.42)</f>
        <v>2298.42</v>
      </c>
    </row>
    <row r="549">
      <c r="A549" s="2" t="str">
        <f>IFERROR(__xludf.DUMMYFUNCTION("""COMPUTED_VALUE"""),"Villaviciosa")</f>
        <v>Villaviciosa</v>
      </c>
      <c r="B549" s="2" t="str">
        <f>IFERROR(__xludf.DUMMYFUNCTION("""COMPUTED_VALUE"""),"Comarca de Gijón")</f>
        <v>Comarca de Gijón</v>
      </c>
      <c r="C549" s="2" t="str">
        <f>IFERROR(__xludf.DUMMYFUNCTION("""COMPUTED_VALUE"""),"Provincia de Asturias")</f>
        <v>Provincia de Asturias</v>
      </c>
      <c r="D549" s="2" t="str">
        <f>IFERROR(__xludf.DUMMYFUNCTION("""COMPUTED_VALUE"""),"Principado de Asturias")</f>
        <v>Principado de Asturias</v>
      </c>
      <c r="E549" s="2">
        <f>IFERROR(__xludf.DUMMYFUNCTION("""COMPUTED_VALUE"""),662.0)</f>
        <v>662</v>
      </c>
      <c r="F549" s="2">
        <f>IFERROR(__xludf.DUMMYFUNCTION("""COMPUTED_VALUE"""),276.23)</f>
        <v>276.23</v>
      </c>
      <c r="G549" s="4">
        <f>IFERROR(__xludf.DUMMYFUNCTION("""COMPUTED_VALUE"""),14439.0)</f>
        <v>14439</v>
      </c>
      <c r="H549" s="2">
        <f>IFERROR(__xludf.DUMMYFUNCTION("""COMPUTED_VALUE"""),52.27)</f>
        <v>52.27</v>
      </c>
    </row>
    <row r="550">
      <c r="A550" s="2" t="str">
        <f>IFERROR(__xludf.DUMMYFUNCTION("""COMPUTED_VALUE"""),"Torelló")</f>
        <v>Torelló</v>
      </c>
      <c r="B550" s="2" t="str">
        <f>IFERROR(__xludf.DUMMYFUNCTION("""COMPUTED_VALUE"""),"Osona")</f>
        <v>Osona</v>
      </c>
      <c r="C550" s="2" t="str">
        <f>IFERROR(__xludf.DUMMYFUNCTION("""COMPUTED_VALUE"""),"Provincia de Barcelona")</f>
        <v>Provincia de Barcelona</v>
      </c>
      <c r="D550" s="2" t="str">
        <f>IFERROR(__xludf.DUMMYFUNCTION("""COMPUTED_VALUE"""),"Cataluña")</f>
        <v>Cataluña</v>
      </c>
      <c r="E550" s="2">
        <f>IFERROR(__xludf.DUMMYFUNCTION("""COMPUTED_VALUE"""),508.0)</f>
        <v>508</v>
      </c>
      <c r="F550" s="2">
        <f>IFERROR(__xludf.DUMMYFUNCTION("""COMPUTED_VALUE"""),13.52)</f>
        <v>13.52</v>
      </c>
      <c r="G550" s="4">
        <f>IFERROR(__xludf.DUMMYFUNCTION("""COMPUTED_VALUE"""),14347.0)</f>
        <v>14347</v>
      </c>
      <c r="H550" s="5">
        <f>IFERROR(__xludf.DUMMYFUNCTION("""COMPUTED_VALUE"""),1061.17)</f>
        <v>1061.17</v>
      </c>
    </row>
    <row r="551">
      <c r="A551" s="2" t="str">
        <f>IFERROR(__xludf.DUMMYFUNCTION("""COMPUTED_VALUE"""),"Meco")</f>
        <v>Meco</v>
      </c>
      <c r="B551" s="2" t="str">
        <f>IFERROR(__xludf.DUMMYFUNCTION("""COMPUTED_VALUE"""),"Comarca de Alcalá")</f>
        <v>Comarca de Alcalá</v>
      </c>
      <c r="C551" s="2" t="str">
        <f>IFERROR(__xludf.DUMMYFUNCTION("""COMPUTED_VALUE"""),"Provincia de Madrid")</f>
        <v>Provincia de Madrid</v>
      </c>
      <c r="D551" s="2" t="str">
        <f>IFERROR(__xludf.DUMMYFUNCTION("""COMPUTED_VALUE"""),"Comunidad de Madrid")</f>
        <v>Comunidad de Madrid</v>
      </c>
      <c r="E551" s="2">
        <f>IFERROR(__xludf.DUMMYFUNCTION("""COMPUTED_VALUE"""),673.0)</f>
        <v>673</v>
      </c>
      <c r="F551" s="2">
        <f>IFERROR(__xludf.DUMMYFUNCTION("""COMPUTED_VALUE"""),35.11)</f>
        <v>35.11</v>
      </c>
      <c r="G551" s="4">
        <f>IFERROR(__xludf.DUMMYFUNCTION("""COMPUTED_VALUE"""),14305.0)</f>
        <v>14305</v>
      </c>
      <c r="H551" s="2">
        <f>IFERROR(__xludf.DUMMYFUNCTION("""COMPUTED_VALUE"""),407.43)</f>
        <v>407.43</v>
      </c>
    </row>
    <row r="552">
      <c r="A552" s="2" t="str">
        <f>IFERROR(__xludf.DUMMYFUNCTION("""COMPUTED_VALUE"""),"Gondomar")</f>
        <v>Gondomar</v>
      </c>
      <c r="B552" s="2" t="str">
        <f>IFERROR(__xludf.DUMMYFUNCTION("""COMPUTED_VALUE"""),"Comarca de Vigo")</f>
        <v>Comarca de Vigo</v>
      </c>
      <c r="C552" s="2" t="str">
        <f>IFERROR(__xludf.DUMMYFUNCTION("""COMPUTED_VALUE"""),"Provincia de Pontevedra")</f>
        <v>Provincia de Pontevedra</v>
      </c>
      <c r="D552" s="2" t="str">
        <f>IFERROR(__xludf.DUMMYFUNCTION("""COMPUTED_VALUE"""),"Galicia")</f>
        <v>Galicia</v>
      </c>
      <c r="E552" s="2">
        <f>IFERROR(__xludf.DUMMYFUNCTION("""COMPUTED_VALUE"""),15.0)</f>
        <v>15</v>
      </c>
      <c r="F552" s="2">
        <f>IFERROR(__xludf.DUMMYFUNCTION("""COMPUTED_VALUE"""),74.51)</f>
        <v>74.51</v>
      </c>
      <c r="G552" s="4">
        <f>IFERROR(__xludf.DUMMYFUNCTION("""COMPUTED_VALUE"""),14286.0)</f>
        <v>14286</v>
      </c>
      <c r="H552" s="2">
        <f>IFERROR(__xludf.DUMMYFUNCTION("""COMPUTED_VALUE"""),191.73)</f>
        <v>191.73</v>
      </c>
    </row>
    <row r="553">
      <c r="A553" s="2" t="str">
        <f>IFERROR(__xludf.DUMMYFUNCTION("""COMPUTED_VALUE"""),"Bollullos Par del Condado")</f>
        <v>Bollullos Par del Condado</v>
      </c>
      <c r="B553" s="2"/>
      <c r="C553" s="2" t="str">
        <f>IFERROR(__xludf.DUMMYFUNCTION("""COMPUTED_VALUE"""),"Provincia de Huelva")</f>
        <v>Provincia de Huelva</v>
      </c>
      <c r="D553" s="2" t="str">
        <f>IFERROR(__xludf.DUMMYFUNCTION("""COMPUTED_VALUE"""),"Andalucía")</f>
        <v>Andalucía</v>
      </c>
      <c r="E553" s="2">
        <f>IFERROR(__xludf.DUMMYFUNCTION("""COMPUTED_VALUE"""),131.0)</f>
        <v>131</v>
      </c>
      <c r="F553" s="2">
        <f>IFERROR(__xludf.DUMMYFUNCTION("""COMPUTED_VALUE"""),49.31)</f>
        <v>49.31</v>
      </c>
      <c r="G553" s="4">
        <f>IFERROR(__xludf.DUMMYFUNCTION("""COMPUTED_VALUE"""),14272.0)</f>
        <v>14272</v>
      </c>
      <c r="H553" s="2">
        <f>IFERROR(__xludf.DUMMYFUNCTION("""COMPUTED_VALUE"""),289.43)</f>
        <v>289.43</v>
      </c>
    </row>
    <row r="554">
      <c r="A554" s="2" t="str">
        <f>IFERROR(__xludf.DUMMYFUNCTION("""COMPUTED_VALUE"""),"Noia")</f>
        <v>Noia</v>
      </c>
      <c r="B554" s="2" t="str">
        <f>IFERROR(__xludf.DUMMYFUNCTION("""COMPUTED_VALUE"""),"Comarca de Noya")</f>
        <v>Comarca de Noya</v>
      </c>
      <c r="C554" s="2" t="str">
        <f>IFERROR(__xludf.DUMMYFUNCTION("""COMPUTED_VALUE"""),"Provincia de A Coruña")</f>
        <v>Provincia de A Coruña</v>
      </c>
      <c r="D554" s="2" t="str">
        <f>IFERROR(__xludf.DUMMYFUNCTION("""COMPUTED_VALUE"""),"Galicia")</f>
        <v>Galicia</v>
      </c>
      <c r="E554" s="2">
        <f>IFERROR(__xludf.DUMMYFUNCTION("""COMPUTED_VALUE"""),10.0)</f>
        <v>10</v>
      </c>
      <c r="F554" s="2">
        <f>IFERROR(__xludf.DUMMYFUNCTION("""COMPUTED_VALUE"""),37.21)</f>
        <v>37.21</v>
      </c>
      <c r="G554" s="4">
        <f>IFERROR(__xludf.DUMMYFUNCTION("""COMPUTED_VALUE"""),14263.0)</f>
        <v>14263</v>
      </c>
      <c r="H554" s="2">
        <f>IFERROR(__xludf.DUMMYFUNCTION("""COMPUTED_VALUE"""),383.31)</f>
        <v>383.31</v>
      </c>
    </row>
    <row r="555">
      <c r="A555" s="2" t="str">
        <f>IFERROR(__xludf.DUMMYFUNCTION("""COMPUTED_VALUE"""),"Torredelcampo")</f>
        <v>Torredelcampo</v>
      </c>
      <c r="B555" s="2" t="str">
        <f>IFERROR(__xludf.DUMMYFUNCTION("""COMPUTED_VALUE"""),"Comarca Metropolitana de Jaén")</f>
        <v>Comarca Metropolitana de Jaén</v>
      </c>
      <c r="C555" s="2" t="str">
        <f>IFERROR(__xludf.DUMMYFUNCTION("""COMPUTED_VALUE"""),"Provincia de Jaén")</f>
        <v>Provincia de Jaén</v>
      </c>
      <c r="D555" s="2" t="str">
        <f>IFERROR(__xludf.DUMMYFUNCTION("""COMPUTED_VALUE"""),"Andalucía")</f>
        <v>Andalucía</v>
      </c>
      <c r="E555" s="2">
        <f>IFERROR(__xludf.DUMMYFUNCTION("""COMPUTED_VALUE"""),640.0)</f>
        <v>640</v>
      </c>
      <c r="F555" s="2">
        <f>IFERROR(__xludf.DUMMYFUNCTION("""COMPUTED_VALUE"""),182.16)</f>
        <v>182.16</v>
      </c>
      <c r="G555" s="4">
        <f>IFERROR(__xludf.DUMMYFUNCTION("""COMPUTED_VALUE"""),14247.0)</f>
        <v>14247</v>
      </c>
      <c r="H555" s="2">
        <f>IFERROR(__xludf.DUMMYFUNCTION("""COMPUTED_VALUE"""),78.21)</f>
        <v>78.21</v>
      </c>
    </row>
    <row r="556">
      <c r="A556" s="2" t="str">
        <f>IFERROR(__xludf.DUMMYFUNCTION("""COMPUTED_VALUE"""),"Ogíjares")</f>
        <v>Ogíjares</v>
      </c>
      <c r="B556" s="2" t="str">
        <f>IFERROR(__xludf.DUMMYFUNCTION("""COMPUTED_VALUE"""),"Vega de Granada")</f>
        <v>Vega de Granada</v>
      </c>
      <c r="C556" s="2" t="str">
        <f>IFERROR(__xludf.DUMMYFUNCTION("""COMPUTED_VALUE"""),"Provincia de Granada")</f>
        <v>Provincia de Granada</v>
      </c>
      <c r="D556" s="2" t="str">
        <f>IFERROR(__xludf.DUMMYFUNCTION("""COMPUTED_VALUE"""),"Andalucía")</f>
        <v>Andalucía</v>
      </c>
      <c r="E556" s="2">
        <f>IFERROR(__xludf.DUMMYFUNCTION("""COMPUTED_VALUE"""),732.0)</f>
        <v>732</v>
      </c>
      <c r="F556" s="2">
        <f>IFERROR(__xludf.DUMMYFUNCTION("""COMPUTED_VALUE"""),6.95)</f>
        <v>6.95</v>
      </c>
      <c r="G556" s="4">
        <f>IFERROR(__xludf.DUMMYFUNCTION("""COMPUTED_VALUE"""),14160.0)</f>
        <v>14160</v>
      </c>
      <c r="H556" s="5">
        <f>IFERROR(__xludf.DUMMYFUNCTION("""COMPUTED_VALUE"""),2037.41)</f>
        <v>2037.41</v>
      </c>
    </row>
    <row r="557">
      <c r="A557" s="2" t="str">
        <f>IFERROR(__xludf.DUMMYFUNCTION("""COMPUTED_VALUE"""),"Cuevas del Almanzora")</f>
        <v>Cuevas del Almanzora</v>
      </c>
      <c r="B557" s="2" t="str">
        <f>IFERROR(__xludf.DUMMYFUNCTION("""COMPUTED_VALUE"""),"Levante Almeriense")</f>
        <v>Levante Almeriense</v>
      </c>
      <c r="C557" s="2" t="str">
        <f>IFERROR(__xludf.DUMMYFUNCTION("""COMPUTED_VALUE"""),"Provincia de Almería")</f>
        <v>Provincia de Almería</v>
      </c>
      <c r="D557" s="2" t="str">
        <f>IFERROR(__xludf.DUMMYFUNCTION("""COMPUTED_VALUE"""),"Andalucía")</f>
        <v>Andalucía</v>
      </c>
      <c r="E557" s="2">
        <f>IFERROR(__xludf.DUMMYFUNCTION("""COMPUTED_VALUE"""),88.0)</f>
        <v>88</v>
      </c>
      <c r="F557" s="2">
        <f>IFERROR(__xludf.DUMMYFUNCTION("""COMPUTED_VALUE"""),263.98)</f>
        <v>263.98</v>
      </c>
      <c r="G557" s="4">
        <f>IFERROR(__xludf.DUMMYFUNCTION("""COMPUTED_VALUE"""),14081.0)</f>
        <v>14081</v>
      </c>
      <c r="H557" s="2">
        <f>IFERROR(__xludf.DUMMYFUNCTION("""COMPUTED_VALUE"""),53.34)</f>
        <v>53.34</v>
      </c>
    </row>
    <row r="558">
      <c r="A558" s="2" t="str">
        <f>IFERROR(__xludf.DUMMYFUNCTION("""COMPUTED_VALUE"""),"Vilalba")</f>
        <v>Vilalba</v>
      </c>
      <c r="B558" s="2" t="str">
        <f>IFERROR(__xludf.DUMMYFUNCTION("""COMPUTED_VALUE"""),"Terra Chá")</f>
        <v>Terra Chá</v>
      </c>
      <c r="C558" s="2" t="str">
        <f>IFERROR(__xludf.DUMMYFUNCTION("""COMPUTED_VALUE"""),"Provincia de Lugo")</f>
        <v>Provincia de Lugo</v>
      </c>
      <c r="D558" s="2" t="str">
        <f>IFERROR(__xludf.DUMMYFUNCTION("""COMPUTED_VALUE"""),"Galicia")</f>
        <v>Galicia</v>
      </c>
      <c r="E558" s="2">
        <f>IFERROR(__xludf.DUMMYFUNCTION("""COMPUTED_VALUE"""),480.0)</f>
        <v>480</v>
      </c>
      <c r="F558" s="2">
        <f>IFERROR(__xludf.DUMMYFUNCTION("""COMPUTED_VALUE"""),379.36)</f>
        <v>379.36</v>
      </c>
      <c r="G558" s="4">
        <f>IFERROR(__xludf.DUMMYFUNCTION("""COMPUTED_VALUE"""),14072.0)</f>
        <v>14072</v>
      </c>
      <c r="H558" s="2">
        <f>IFERROR(__xludf.DUMMYFUNCTION("""COMPUTED_VALUE"""),37.09)</f>
        <v>37.09</v>
      </c>
    </row>
    <row r="559">
      <c r="A559" s="2" t="str">
        <f>IFERROR(__xludf.DUMMYFUNCTION("""COMPUTED_VALUE"""),"La Carlota")</f>
        <v>La Carlota</v>
      </c>
      <c r="B559" s="2" t="str">
        <f>IFERROR(__xludf.DUMMYFUNCTION("""COMPUTED_VALUE"""),"Valle Medio del Guadalquivir")</f>
        <v>Valle Medio del Guadalquivir</v>
      </c>
      <c r="C559" s="2" t="str">
        <f>IFERROR(__xludf.DUMMYFUNCTION("""COMPUTED_VALUE"""),"Provincia de Córdoba")</f>
        <v>Provincia de Córdoba</v>
      </c>
      <c r="D559" s="2" t="str">
        <f>IFERROR(__xludf.DUMMYFUNCTION("""COMPUTED_VALUE"""),"Andalucía")</f>
        <v>Andalucía</v>
      </c>
      <c r="E559" s="2">
        <f>IFERROR(__xludf.DUMMYFUNCTION("""COMPUTED_VALUE"""),228.0)</f>
        <v>228</v>
      </c>
      <c r="F559" s="2">
        <f>IFERROR(__xludf.DUMMYFUNCTION("""COMPUTED_VALUE"""),79.08)</f>
        <v>79.08</v>
      </c>
      <c r="G559" s="4">
        <f>IFERROR(__xludf.DUMMYFUNCTION("""COMPUTED_VALUE"""),14061.0)</f>
        <v>14061</v>
      </c>
      <c r="H559" s="2">
        <f>IFERROR(__xludf.DUMMYFUNCTION("""COMPUTED_VALUE"""),177.81)</f>
        <v>177.81</v>
      </c>
    </row>
    <row r="560">
      <c r="A560" s="2" t="str">
        <f>IFERROR(__xludf.DUMMYFUNCTION("""COMPUTED_VALUE"""),"O Carballiño")</f>
        <v>O Carballiño</v>
      </c>
      <c r="B560" s="2"/>
      <c r="C560" s="2" t="str">
        <f>IFERROR(__xludf.DUMMYFUNCTION("""COMPUTED_VALUE"""),"Provincia de Ourense")</f>
        <v>Provincia de Ourense</v>
      </c>
      <c r="D560" s="2" t="str">
        <f>IFERROR(__xludf.DUMMYFUNCTION("""COMPUTED_VALUE"""),"Galicia")</f>
        <v>Galicia</v>
      </c>
      <c r="E560" s="2">
        <f>IFERROR(__xludf.DUMMYFUNCTION("""COMPUTED_VALUE"""),397.0)</f>
        <v>397</v>
      </c>
      <c r="F560" s="2">
        <f>IFERROR(__xludf.DUMMYFUNCTION("""COMPUTED_VALUE"""),54.33)</f>
        <v>54.33</v>
      </c>
      <c r="G560" s="4">
        <f>IFERROR(__xludf.DUMMYFUNCTION("""COMPUTED_VALUE"""),14027.0)</f>
        <v>14027</v>
      </c>
      <c r="H560" s="2">
        <f>IFERROR(__xludf.DUMMYFUNCTION("""COMPUTED_VALUE"""),258.18)</f>
        <v>258.18</v>
      </c>
    </row>
    <row r="561">
      <c r="A561" s="2" t="str">
        <f>IFERROR(__xludf.DUMMYFUNCTION("""COMPUTED_VALUE"""),"Pilas")</f>
        <v>Pilas</v>
      </c>
      <c r="B561" s="2" t="str">
        <f>IFERROR(__xludf.DUMMYFUNCTION("""COMPUTED_VALUE"""),"Aljarafe")</f>
        <v>Aljarafe</v>
      </c>
      <c r="C561" s="2" t="str">
        <f>IFERROR(__xludf.DUMMYFUNCTION("""COMPUTED_VALUE"""),"Provincia de Sevilla")</f>
        <v>Provincia de Sevilla</v>
      </c>
      <c r="D561" s="2" t="str">
        <f>IFERROR(__xludf.DUMMYFUNCTION("""COMPUTED_VALUE"""),"Andalucía")</f>
        <v>Andalucía</v>
      </c>
      <c r="E561" s="2">
        <f>IFERROR(__xludf.DUMMYFUNCTION("""COMPUTED_VALUE"""),63.0)</f>
        <v>63</v>
      </c>
      <c r="F561" s="2">
        <f>IFERROR(__xludf.DUMMYFUNCTION("""COMPUTED_VALUE"""),45.94)</f>
        <v>45.94</v>
      </c>
      <c r="G561" s="4">
        <f>IFERROR(__xludf.DUMMYFUNCTION("""COMPUTED_VALUE"""),13974.0)</f>
        <v>13974</v>
      </c>
      <c r="H561" s="2">
        <f>IFERROR(__xludf.DUMMYFUNCTION("""COMPUTED_VALUE"""),304.18)</f>
        <v>304.18</v>
      </c>
    </row>
    <row r="562">
      <c r="A562" s="2" t="str">
        <f>IFERROR(__xludf.DUMMYFUNCTION("""COMPUTED_VALUE"""),"Beasain")</f>
        <v>Beasain</v>
      </c>
      <c r="B562" s="2" t="str">
        <f>IFERROR(__xludf.DUMMYFUNCTION("""COMPUTED_VALUE"""),"Goyerri")</f>
        <v>Goyerri</v>
      </c>
      <c r="C562" s="2" t="str">
        <f>IFERROR(__xludf.DUMMYFUNCTION("""COMPUTED_VALUE"""),"Provincia de Gipuzkoa")</f>
        <v>Provincia de Gipuzkoa</v>
      </c>
      <c r="D562" s="2" t="str">
        <f>IFERROR(__xludf.DUMMYFUNCTION("""COMPUTED_VALUE"""),"País Vasco")</f>
        <v>País Vasco</v>
      </c>
      <c r="E562" s="2">
        <f>IFERROR(__xludf.DUMMYFUNCTION("""COMPUTED_VALUE"""),159.0)</f>
        <v>159</v>
      </c>
      <c r="F562" s="2">
        <f>IFERROR(__xludf.DUMMYFUNCTION("""COMPUTED_VALUE"""),29.99)</f>
        <v>29.99</v>
      </c>
      <c r="G562" s="4">
        <f>IFERROR(__xludf.DUMMYFUNCTION("""COMPUTED_VALUE"""),13880.0)</f>
        <v>13880</v>
      </c>
      <c r="H562" s="2">
        <f>IFERROR(__xludf.DUMMYFUNCTION("""COMPUTED_VALUE"""),462.82)</f>
        <v>462.82</v>
      </c>
    </row>
    <row r="563">
      <c r="A563" s="2" t="str">
        <f>IFERROR(__xludf.DUMMYFUNCTION("""COMPUTED_VALUE"""),"Villalbilla")</f>
        <v>Villalbilla</v>
      </c>
      <c r="B563" s="2" t="str">
        <f>IFERROR(__xludf.DUMMYFUNCTION("""COMPUTED_VALUE"""),"Cuenca del Henares")</f>
        <v>Cuenca del Henares</v>
      </c>
      <c r="C563" s="2" t="str">
        <f>IFERROR(__xludf.DUMMYFUNCTION("""COMPUTED_VALUE"""),"Provincia de Madrid")</f>
        <v>Provincia de Madrid</v>
      </c>
      <c r="D563" s="2" t="str">
        <f>IFERROR(__xludf.DUMMYFUNCTION("""COMPUTED_VALUE"""),"Comunidad de Madrid")</f>
        <v>Comunidad de Madrid</v>
      </c>
      <c r="E563" s="2">
        <f>IFERROR(__xludf.DUMMYFUNCTION("""COMPUTED_VALUE"""),747.0)</f>
        <v>747</v>
      </c>
      <c r="F563" s="2">
        <f>IFERROR(__xludf.DUMMYFUNCTION("""COMPUTED_VALUE"""),34.63)</f>
        <v>34.63</v>
      </c>
      <c r="G563" s="4">
        <f>IFERROR(__xludf.DUMMYFUNCTION("""COMPUTED_VALUE"""),13878.0)</f>
        <v>13878</v>
      </c>
      <c r="H563" s="2">
        <f>IFERROR(__xludf.DUMMYFUNCTION("""COMPUTED_VALUE"""),400.75)</f>
        <v>400.75</v>
      </c>
    </row>
    <row r="564">
      <c r="A564" s="2" t="str">
        <f>IFERROR(__xludf.DUMMYFUNCTION("""COMPUTED_VALUE"""),"Sopela")</f>
        <v>Sopela</v>
      </c>
      <c r="B564" s="2" t="str">
        <f>IFERROR(__xludf.DUMMYFUNCTION("""COMPUTED_VALUE"""),"Uribe (España)")</f>
        <v>Uribe (España)</v>
      </c>
      <c r="C564" s="2" t="str">
        <f>IFERROR(__xludf.DUMMYFUNCTION("""COMPUTED_VALUE"""),"Provincia de Bizkaia")</f>
        <v>Provincia de Bizkaia</v>
      </c>
      <c r="D564" s="2" t="str">
        <f>IFERROR(__xludf.DUMMYFUNCTION("""COMPUTED_VALUE"""),"País Vasco")</f>
        <v>País Vasco</v>
      </c>
      <c r="E564" s="2">
        <f>IFERROR(__xludf.DUMMYFUNCTION("""COMPUTED_VALUE"""),62.0)</f>
        <v>62</v>
      </c>
      <c r="F564" s="2">
        <f>IFERROR(__xludf.DUMMYFUNCTION("""COMPUTED_VALUE"""),8.43)</f>
        <v>8.43</v>
      </c>
      <c r="G564" s="4">
        <f>IFERROR(__xludf.DUMMYFUNCTION("""COMPUTED_VALUE"""),13878.0)</f>
        <v>13878</v>
      </c>
      <c r="H564" s="5">
        <f>IFERROR(__xludf.DUMMYFUNCTION("""COMPUTED_VALUE"""),1646.26)</f>
        <v>1646.26</v>
      </c>
    </row>
    <row r="565">
      <c r="A565" s="2" t="str">
        <f>IFERROR(__xludf.DUMMYFUNCTION("""COMPUTED_VALUE"""),"Santa María de Guía de Gran Canaria")</f>
        <v>Santa María de Guía de Gran Canaria</v>
      </c>
      <c r="B565" s="2" t="str">
        <f>IFERROR(__xludf.DUMMYFUNCTION("""COMPUTED_VALUE"""),"Gran Canaria")</f>
        <v>Gran Canaria</v>
      </c>
      <c r="C565" s="2" t="str">
        <f>IFERROR(__xludf.DUMMYFUNCTION("""COMPUTED_VALUE"""),"Provincia de Las Palmas")</f>
        <v>Provincia de Las Palmas</v>
      </c>
      <c r="D565" s="2" t="str">
        <f>IFERROR(__xludf.DUMMYFUNCTION("""COMPUTED_VALUE"""),"Canarias")</f>
        <v>Canarias</v>
      </c>
      <c r="E565" s="2">
        <f>IFERROR(__xludf.DUMMYFUNCTION("""COMPUTED_VALUE"""),180.0)</f>
        <v>180</v>
      </c>
      <c r="F565" s="2">
        <f>IFERROR(__xludf.DUMMYFUNCTION("""COMPUTED_VALUE"""),42.62)</f>
        <v>42.62</v>
      </c>
      <c r="G565" s="4">
        <f>IFERROR(__xludf.DUMMYFUNCTION("""COMPUTED_VALUE"""),13850.0)</f>
        <v>13850</v>
      </c>
      <c r="H565" s="2">
        <f>IFERROR(__xludf.DUMMYFUNCTION("""COMPUTED_VALUE"""),324.96)</f>
        <v>324.96</v>
      </c>
    </row>
    <row r="566">
      <c r="A566" s="2" t="str">
        <f>IFERROR(__xludf.DUMMYFUNCTION("""COMPUTED_VALUE"""),"Estella/Lizarra")</f>
        <v>Estella/Lizarra</v>
      </c>
      <c r="B566" s="2" t="str">
        <f>IFERROR(__xludf.DUMMYFUNCTION("""COMPUTED_VALUE"""),"Estella Oriental")</f>
        <v>Estella Oriental</v>
      </c>
      <c r="C566" s="2" t="str">
        <f>IFERROR(__xludf.DUMMYFUNCTION("""COMPUTED_VALUE"""),"Provincia de Navarra")</f>
        <v>Provincia de Navarra</v>
      </c>
      <c r="D566" s="2" t="str">
        <f>IFERROR(__xludf.DUMMYFUNCTION("""COMPUTED_VALUE"""),"Comunidad Foral de Navarra")</f>
        <v>Comunidad Foral de Navarra</v>
      </c>
      <c r="E566" s="2">
        <f>IFERROR(__xludf.DUMMYFUNCTION("""COMPUTED_VALUE"""),421.0)</f>
        <v>421</v>
      </c>
      <c r="F566" s="2">
        <f>IFERROR(__xludf.DUMMYFUNCTION("""COMPUTED_VALUE"""),15.45)</f>
        <v>15.45</v>
      </c>
      <c r="G566" s="4">
        <f>IFERROR(__xludf.DUMMYFUNCTION("""COMPUTED_VALUE"""),13810.0)</f>
        <v>13810</v>
      </c>
      <c r="H566" s="2">
        <f>IFERROR(__xludf.DUMMYFUNCTION("""COMPUTED_VALUE"""),893.85)</f>
        <v>893.85</v>
      </c>
    </row>
    <row r="567">
      <c r="A567" s="2" t="str">
        <f>IFERROR(__xludf.DUMMYFUNCTION("""COMPUTED_VALUE"""),"Sanlúcar la Mayor")</f>
        <v>Sanlúcar la Mayor</v>
      </c>
      <c r="B567" s="2" t="str">
        <f>IFERROR(__xludf.DUMMYFUNCTION("""COMPUTED_VALUE"""),"Aljarafe")</f>
        <v>Aljarafe</v>
      </c>
      <c r="C567" s="2" t="str">
        <f>IFERROR(__xludf.DUMMYFUNCTION("""COMPUTED_VALUE"""),"Provincia de Sevilla")</f>
        <v>Provincia de Sevilla</v>
      </c>
      <c r="D567" s="2" t="str">
        <f>IFERROR(__xludf.DUMMYFUNCTION("""COMPUTED_VALUE"""),"Andalucía")</f>
        <v>Andalucía</v>
      </c>
      <c r="E567" s="2">
        <f>IFERROR(__xludf.DUMMYFUNCTION("""COMPUTED_VALUE"""),148.0)</f>
        <v>148</v>
      </c>
      <c r="F567" s="2">
        <f>IFERROR(__xludf.DUMMYFUNCTION("""COMPUTED_VALUE"""),136.16)</f>
        <v>136.16</v>
      </c>
      <c r="G567" s="4">
        <f>IFERROR(__xludf.DUMMYFUNCTION("""COMPUTED_VALUE"""),13808.0)</f>
        <v>13808</v>
      </c>
      <c r="H567" s="2">
        <f>IFERROR(__xludf.DUMMYFUNCTION("""COMPUTED_VALUE"""),101.41)</f>
        <v>101.41</v>
      </c>
    </row>
    <row r="568">
      <c r="A568" s="2" t="str">
        <f>IFERROR(__xludf.DUMMYFUNCTION("""COMPUTED_VALUE"""),"Cambados")</f>
        <v>Cambados</v>
      </c>
      <c r="B568" s="2" t="str">
        <f>IFERROR(__xludf.DUMMYFUNCTION("""COMPUTED_VALUE"""),"Salnés")</f>
        <v>Salnés</v>
      </c>
      <c r="C568" s="2" t="str">
        <f>IFERROR(__xludf.DUMMYFUNCTION("""COMPUTED_VALUE"""),"Provincia de Pontevedra")</f>
        <v>Provincia de Pontevedra</v>
      </c>
      <c r="D568" s="2" t="str">
        <f>IFERROR(__xludf.DUMMYFUNCTION("""COMPUTED_VALUE"""),"Galicia")</f>
        <v>Galicia</v>
      </c>
      <c r="E568" s="2">
        <f>IFERROR(__xludf.DUMMYFUNCTION("""COMPUTED_VALUE"""),0.0)</f>
        <v>0</v>
      </c>
      <c r="F568" s="2">
        <f>IFERROR(__xludf.DUMMYFUNCTION("""COMPUTED_VALUE"""),23.44)</f>
        <v>23.44</v>
      </c>
      <c r="G568" s="4">
        <f>IFERROR(__xludf.DUMMYFUNCTION("""COMPUTED_VALUE"""),13744.0)</f>
        <v>13744</v>
      </c>
      <c r="H568" s="2">
        <f>IFERROR(__xludf.DUMMYFUNCTION("""COMPUTED_VALUE"""),586.35)</f>
        <v>586.35</v>
      </c>
    </row>
    <row r="569">
      <c r="A569" s="2" t="str">
        <f>IFERROR(__xludf.DUMMYFUNCTION("""COMPUTED_VALUE"""),"Verín")</f>
        <v>Verín</v>
      </c>
      <c r="B569" s="2" t="str">
        <f>IFERROR(__xludf.DUMMYFUNCTION("""COMPUTED_VALUE"""),"Comarca de Verín")</f>
        <v>Comarca de Verín</v>
      </c>
      <c r="C569" s="2" t="str">
        <f>IFERROR(__xludf.DUMMYFUNCTION("""COMPUTED_VALUE"""),"Provincia de Ourense")</f>
        <v>Provincia de Ourense</v>
      </c>
      <c r="D569" s="2" t="str">
        <f>IFERROR(__xludf.DUMMYFUNCTION("""COMPUTED_VALUE"""),"Galicia")</f>
        <v>Galicia</v>
      </c>
      <c r="E569" s="2">
        <f>IFERROR(__xludf.DUMMYFUNCTION("""COMPUTED_VALUE"""),373.0)</f>
        <v>373</v>
      </c>
      <c r="F569" s="2">
        <f>IFERROR(__xludf.DUMMYFUNCTION("""COMPUTED_VALUE"""),94.07)</f>
        <v>94.07</v>
      </c>
      <c r="G569" s="4">
        <f>IFERROR(__xludf.DUMMYFUNCTION("""COMPUTED_VALUE"""),13723.0)</f>
        <v>13723</v>
      </c>
      <c r="H569" s="2">
        <f>IFERROR(__xludf.DUMMYFUNCTION("""COMPUTED_VALUE"""),145.88)</f>
        <v>145.88</v>
      </c>
    </row>
    <row r="570">
      <c r="A570" s="2" t="str">
        <f>IFERROR(__xludf.DUMMYFUNCTION("""COMPUTED_VALUE"""),"Sóller")</f>
        <v>Sóller</v>
      </c>
      <c r="B570" s="2" t="str">
        <f>IFERROR(__xludf.DUMMYFUNCTION("""COMPUTED_VALUE"""),"Sierra de Tramontana")</f>
        <v>Sierra de Tramontana</v>
      </c>
      <c r="C570" s="2" t="str">
        <f>IFERROR(__xludf.DUMMYFUNCTION("""COMPUTED_VALUE"""),"Provincia de Baleares")</f>
        <v>Provincia de Baleares</v>
      </c>
      <c r="D570" s="2" t="str">
        <f>IFERROR(__xludf.DUMMYFUNCTION("""COMPUTED_VALUE"""),"Islas Baleares")</f>
        <v>Islas Baleares</v>
      </c>
      <c r="E570" s="2">
        <f>IFERROR(__xludf.DUMMYFUNCTION("""COMPUTED_VALUE"""),59.0)</f>
        <v>59</v>
      </c>
      <c r="F570" s="2">
        <f>IFERROR(__xludf.DUMMYFUNCTION("""COMPUTED_VALUE"""),42.8)</f>
        <v>42.8</v>
      </c>
      <c r="G570" s="4">
        <f>IFERROR(__xludf.DUMMYFUNCTION("""COMPUTED_VALUE"""),13705.0)</f>
        <v>13705</v>
      </c>
      <c r="H570" s="2">
        <f>IFERROR(__xludf.DUMMYFUNCTION("""COMPUTED_VALUE"""),320.21)</f>
        <v>320.21</v>
      </c>
    </row>
    <row r="571">
      <c r="A571" s="2" t="str">
        <f>IFERROR(__xludf.DUMMYFUNCTION("""COMPUTED_VALUE"""),"Llanera")</f>
        <v>Llanera</v>
      </c>
      <c r="B571" s="2"/>
      <c r="C571" s="2" t="str">
        <f>IFERROR(__xludf.DUMMYFUNCTION("""COMPUTED_VALUE"""),"Provincia de Asturias")</f>
        <v>Provincia de Asturias</v>
      </c>
      <c r="D571" s="2" t="str">
        <f>IFERROR(__xludf.DUMMYFUNCTION("""COMPUTED_VALUE"""),"Principado de Asturias")</f>
        <v>Principado de Asturias</v>
      </c>
      <c r="E571" s="2"/>
      <c r="F571" s="2">
        <f>IFERROR(__xludf.DUMMYFUNCTION("""COMPUTED_VALUE"""),106.69)</f>
        <v>106.69</v>
      </c>
      <c r="G571" s="4">
        <f>IFERROR(__xludf.DUMMYFUNCTION("""COMPUTED_VALUE"""),13702.0)</f>
        <v>13702</v>
      </c>
      <c r="H571" s="2">
        <f>IFERROR(__xludf.DUMMYFUNCTION("""COMPUTED_VALUE"""),128.43)</f>
        <v>128.43</v>
      </c>
    </row>
    <row r="572">
      <c r="A572" s="2" t="str">
        <f>IFERROR(__xludf.DUMMYFUNCTION("""COMPUTED_VALUE"""),"Torredonjimeno")</f>
        <v>Torredonjimeno</v>
      </c>
      <c r="B572" s="2" t="str">
        <f>IFERROR(__xludf.DUMMYFUNCTION("""COMPUTED_VALUE"""),"Comarca Metropolitana de Jaén")</f>
        <v>Comarca Metropolitana de Jaén</v>
      </c>
      <c r="C572" s="2" t="str">
        <f>IFERROR(__xludf.DUMMYFUNCTION("""COMPUTED_VALUE"""),"Provincia de Jaén")</f>
        <v>Provincia de Jaén</v>
      </c>
      <c r="D572" s="2" t="str">
        <f>IFERROR(__xludf.DUMMYFUNCTION("""COMPUTED_VALUE"""),"Andalucía")</f>
        <v>Andalucía</v>
      </c>
      <c r="E572" s="2">
        <f>IFERROR(__xludf.DUMMYFUNCTION("""COMPUTED_VALUE"""),586.0)</f>
        <v>586</v>
      </c>
      <c r="F572" s="2">
        <f>IFERROR(__xludf.DUMMYFUNCTION("""COMPUTED_VALUE"""),157.78)</f>
        <v>157.78</v>
      </c>
      <c r="G572" s="4">
        <f>IFERROR(__xludf.DUMMYFUNCTION("""COMPUTED_VALUE"""),13696.0)</f>
        <v>13696</v>
      </c>
      <c r="H572" s="2">
        <f>IFERROR(__xludf.DUMMYFUNCTION("""COMPUTED_VALUE"""),86.8)</f>
        <v>86.8</v>
      </c>
    </row>
    <row r="573">
      <c r="A573" s="2" t="str">
        <f>IFERROR(__xludf.DUMMYFUNCTION("""COMPUTED_VALUE"""),"Canals")</f>
        <v>Canals</v>
      </c>
      <c r="B573" s="2" t="str">
        <f>IFERROR(__xludf.DUMMYFUNCTION("""COMPUTED_VALUE"""),"La Costera")</f>
        <v>La Costera</v>
      </c>
      <c r="C573" s="2" t="str">
        <f>IFERROR(__xludf.DUMMYFUNCTION("""COMPUTED_VALUE"""),"Provincia de València")</f>
        <v>Provincia de València</v>
      </c>
      <c r="D573" s="2" t="str">
        <f>IFERROR(__xludf.DUMMYFUNCTION("""COMPUTED_VALUE"""),"Comunidad Valenciana")</f>
        <v>Comunidad Valenciana</v>
      </c>
      <c r="E573" s="2">
        <f>IFERROR(__xludf.DUMMYFUNCTION("""COMPUTED_VALUE"""),160.0)</f>
        <v>160</v>
      </c>
      <c r="F573" s="2">
        <f>IFERROR(__xludf.DUMMYFUNCTION("""COMPUTED_VALUE"""),21.86)</f>
        <v>21.86</v>
      </c>
      <c r="G573" s="4">
        <f>IFERROR(__xludf.DUMMYFUNCTION("""COMPUTED_VALUE"""),13587.0)</f>
        <v>13587</v>
      </c>
      <c r="H573" s="2">
        <f>IFERROR(__xludf.DUMMYFUNCTION("""COMPUTED_VALUE"""),621.55)</f>
        <v>621.55</v>
      </c>
    </row>
    <row r="574">
      <c r="A574" s="2" t="str">
        <f>IFERROR(__xludf.DUMMYFUNCTION("""COMPUTED_VALUE"""),"Llanes")</f>
        <v>Llanes</v>
      </c>
      <c r="B574" s="2"/>
      <c r="C574" s="2" t="str">
        <f>IFERROR(__xludf.DUMMYFUNCTION("""COMPUTED_VALUE"""),"Provincia de Asturias")</f>
        <v>Provincia de Asturias</v>
      </c>
      <c r="D574" s="2" t="str">
        <f>IFERROR(__xludf.DUMMYFUNCTION("""COMPUTED_VALUE"""),"Principado de Asturias")</f>
        <v>Principado de Asturias</v>
      </c>
      <c r="E574" s="4">
        <f>IFERROR(__xludf.DUMMYFUNCTION("""COMPUTED_VALUE"""),1177.0)</f>
        <v>1177</v>
      </c>
      <c r="F574" s="2">
        <f>IFERROR(__xludf.DUMMYFUNCTION("""COMPUTED_VALUE"""),262.93)</f>
        <v>262.93</v>
      </c>
      <c r="G574" s="4">
        <f>IFERROR(__xludf.DUMMYFUNCTION("""COMPUTED_VALUE"""),13568.0)</f>
        <v>13568</v>
      </c>
      <c r="H574" s="2">
        <f>IFERROR(__xludf.DUMMYFUNCTION("""COMPUTED_VALUE"""),51.6)</f>
        <v>51.6</v>
      </c>
    </row>
    <row r="575">
      <c r="A575" s="2" t="str">
        <f>IFERROR(__xludf.DUMMYFUNCTION("""COMPUTED_VALUE"""),"Tomiño")</f>
        <v>Tomiño</v>
      </c>
      <c r="B575" s="2" t="str">
        <f>IFERROR(__xludf.DUMMYFUNCTION("""COMPUTED_VALUE"""),"Bajo Miño")</f>
        <v>Bajo Miño</v>
      </c>
      <c r="C575" s="2" t="str">
        <f>IFERROR(__xludf.DUMMYFUNCTION("""COMPUTED_VALUE"""),"Provincia de Pontevedra")</f>
        <v>Provincia de Pontevedra</v>
      </c>
      <c r="D575" s="2" t="str">
        <f>IFERROR(__xludf.DUMMYFUNCTION("""COMPUTED_VALUE"""),"Galicia")</f>
        <v>Galicia</v>
      </c>
      <c r="E575" s="2">
        <f>IFERROR(__xludf.DUMMYFUNCTION("""COMPUTED_VALUE"""),303.0)</f>
        <v>303</v>
      </c>
      <c r="F575" s="2">
        <f>IFERROR(__xludf.DUMMYFUNCTION("""COMPUTED_VALUE"""),106.61)</f>
        <v>106.61</v>
      </c>
      <c r="G575" s="4">
        <f>IFERROR(__xludf.DUMMYFUNCTION("""COMPUTED_VALUE"""),13499.0)</f>
        <v>13499</v>
      </c>
      <c r="H575" s="2">
        <f>IFERROR(__xludf.DUMMYFUNCTION("""COMPUTED_VALUE"""),126.62)</f>
        <v>126.62</v>
      </c>
    </row>
    <row r="576">
      <c r="A576" s="2" t="str">
        <f>IFERROR(__xludf.DUMMYFUNCTION("""COMPUTED_VALUE"""),"La Llagosta")</f>
        <v>La Llagosta</v>
      </c>
      <c r="B576" s="2" t="str">
        <f>IFERROR(__xludf.DUMMYFUNCTION("""COMPUTED_VALUE"""),"Vallès Oriental")</f>
        <v>Vallès Oriental</v>
      </c>
      <c r="C576" s="2" t="str">
        <f>IFERROR(__xludf.DUMMYFUNCTION("""COMPUTED_VALUE"""),"Provincia de Barcelona")</f>
        <v>Provincia de Barcelona</v>
      </c>
      <c r="D576" s="2" t="str">
        <f>IFERROR(__xludf.DUMMYFUNCTION("""COMPUTED_VALUE"""),"Cataluña")</f>
        <v>Cataluña</v>
      </c>
      <c r="E576" s="2">
        <f>IFERROR(__xludf.DUMMYFUNCTION("""COMPUTED_VALUE"""),45.0)</f>
        <v>45</v>
      </c>
      <c r="F576" s="2">
        <f>IFERROR(__xludf.DUMMYFUNCTION("""COMPUTED_VALUE"""),3.01)</f>
        <v>3.01</v>
      </c>
      <c r="G576" s="4">
        <f>IFERROR(__xludf.DUMMYFUNCTION("""COMPUTED_VALUE"""),13480.0)</f>
        <v>13480</v>
      </c>
      <c r="H576" s="5">
        <f>IFERROR(__xludf.DUMMYFUNCTION("""COMPUTED_VALUE"""),4478.41)</f>
        <v>4478.41</v>
      </c>
    </row>
    <row r="577">
      <c r="A577" s="2" t="str">
        <f>IFERROR(__xludf.DUMMYFUNCTION("""COMPUTED_VALUE"""),"Sa Pobla")</f>
        <v>Sa Pobla</v>
      </c>
      <c r="B577" s="2" t="str">
        <f>IFERROR(__xludf.DUMMYFUNCTION("""COMPUTED_VALUE"""),"Raiguer")</f>
        <v>Raiguer</v>
      </c>
      <c r="C577" s="2" t="str">
        <f>IFERROR(__xludf.DUMMYFUNCTION("""COMPUTED_VALUE"""),"Provincia de Baleares")</f>
        <v>Provincia de Baleares</v>
      </c>
      <c r="D577" s="2" t="str">
        <f>IFERROR(__xludf.DUMMYFUNCTION("""COMPUTED_VALUE"""),"Islas Baleares")</f>
        <v>Islas Baleares</v>
      </c>
      <c r="E577" s="2">
        <f>IFERROR(__xludf.DUMMYFUNCTION("""COMPUTED_VALUE"""),28.0)</f>
        <v>28</v>
      </c>
      <c r="F577" s="2">
        <f>IFERROR(__xludf.DUMMYFUNCTION("""COMPUTED_VALUE"""),48.59)</f>
        <v>48.59</v>
      </c>
      <c r="G577" s="4">
        <f>IFERROR(__xludf.DUMMYFUNCTION("""COMPUTED_VALUE"""),13475.0)</f>
        <v>13475</v>
      </c>
      <c r="H577" s="2">
        <f>IFERROR(__xludf.DUMMYFUNCTION("""COMPUTED_VALUE"""),277.32)</f>
        <v>277.32</v>
      </c>
    </row>
    <row r="578">
      <c r="A578" s="2" t="str">
        <f>IFERROR(__xludf.DUMMYFUNCTION("""COMPUTED_VALUE"""),"Torrijos")</f>
        <v>Torrijos</v>
      </c>
      <c r="B578" s="2" t="str">
        <f>IFERROR(__xludf.DUMMYFUNCTION("""COMPUTED_VALUE"""),"Comarca de Torrijos")</f>
        <v>Comarca de Torrijos</v>
      </c>
      <c r="C578" s="2" t="str">
        <f>IFERROR(__xludf.DUMMYFUNCTION("""COMPUTED_VALUE"""),"Provincia de Toledo")</f>
        <v>Provincia de Toledo</v>
      </c>
      <c r="D578" s="2" t="str">
        <f>IFERROR(__xludf.DUMMYFUNCTION("""COMPUTED_VALUE"""),"Castilla-La Mancha")</f>
        <v>Castilla-La Mancha</v>
      </c>
      <c r="E578" s="2">
        <f>IFERROR(__xludf.DUMMYFUNCTION("""COMPUTED_VALUE"""),529.0)</f>
        <v>529</v>
      </c>
      <c r="F578" s="2">
        <f>IFERROR(__xludf.DUMMYFUNCTION("""COMPUTED_VALUE"""),17.34)</f>
        <v>17.34</v>
      </c>
      <c r="G578" s="4">
        <f>IFERROR(__xludf.DUMMYFUNCTION("""COMPUTED_VALUE"""),13466.0)</f>
        <v>13466</v>
      </c>
      <c r="H578" s="2">
        <f>IFERROR(__xludf.DUMMYFUNCTION("""COMPUTED_VALUE"""),776.59)</f>
        <v>776.59</v>
      </c>
    </row>
    <row r="579">
      <c r="A579" s="2" t="str">
        <f>IFERROR(__xludf.DUMMYFUNCTION("""COMPUTED_VALUE"""),"Gines")</f>
        <v>Gines</v>
      </c>
      <c r="B579" s="2"/>
      <c r="C579" s="2" t="str">
        <f>IFERROR(__xludf.DUMMYFUNCTION("""COMPUTED_VALUE"""),"Provincia de Sevilla")</f>
        <v>Provincia de Sevilla</v>
      </c>
      <c r="D579" s="2" t="str">
        <f>IFERROR(__xludf.DUMMYFUNCTION("""COMPUTED_VALUE"""),"Andalucía")</f>
        <v>Andalucía</v>
      </c>
      <c r="E579" s="2">
        <f>IFERROR(__xludf.DUMMYFUNCTION("""COMPUTED_VALUE"""),123.0)</f>
        <v>123</v>
      </c>
      <c r="F579" s="2">
        <f>IFERROR(__xludf.DUMMYFUNCTION("""COMPUTED_VALUE"""),2.9)</f>
        <v>2.9</v>
      </c>
      <c r="G579" s="4">
        <f>IFERROR(__xludf.DUMMYFUNCTION("""COMPUTED_VALUE"""),13420.0)</f>
        <v>13420</v>
      </c>
      <c r="H579" s="5">
        <f>IFERROR(__xludf.DUMMYFUNCTION("""COMPUTED_VALUE"""),4627.59)</f>
        <v>4627.59</v>
      </c>
    </row>
    <row r="580">
      <c r="A580" s="2" t="str">
        <f>IFERROR(__xludf.DUMMYFUNCTION("""COMPUTED_VALUE"""),"Campo de Criptana")</f>
        <v>Campo de Criptana</v>
      </c>
      <c r="B580" s="2" t="str">
        <f>IFERROR(__xludf.DUMMYFUNCTION("""COMPUTED_VALUE"""),"La Mancha (Ciudad Real)")</f>
        <v>La Mancha (Ciudad Real)</v>
      </c>
      <c r="C580" s="2" t="str">
        <f>IFERROR(__xludf.DUMMYFUNCTION("""COMPUTED_VALUE"""),"Provincia de Ciudad Real")</f>
        <v>Provincia de Ciudad Real</v>
      </c>
      <c r="D580" s="2" t="str">
        <f>IFERROR(__xludf.DUMMYFUNCTION("""COMPUTED_VALUE"""),"Castilla-La Mancha")</f>
        <v>Castilla-La Mancha</v>
      </c>
      <c r="E580" s="2">
        <f>IFERROR(__xludf.DUMMYFUNCTION("""COMPUTED_VALUE"""),707.0)</f>
        <v>707</v>
      </c>
      <c r="F580" s="2">
        <f>IFERROR(__xludf.DUMMYFUNCTION("""COMPUTED_VALUE"""),303.39)</f>
        <v>303.39</v>
      </c>
      <c r="G580" s="4">
        <f>IFERROR(__xludf.DUMMYFUNCTION("""COMPUTED_VALUE"""),13414.0)</f>
        <v>13414</v>
      </c>
      <c r="H580" s="2">
        <f>IFERROR(__xludf.DUMMYFUNCTION("""COMPUTED_VALUE"""),44.21)</f>
        <v>44.21</v>
      </c>
    </row>
    <row r="581">
      <c r="A581" s="2" t="str">
        <f>IFERROR(__xludf.DUMMYFUNCTION("""COMPUTED_VALUE"""),"O Barco de Valdeorras")</f>
        <v>O Barco de Valdeorras</v>
      </c>
      <c r="B581" s="2" t="str">
        <f>IFERROR(__xludf.DUMMYFUNCTION("""COMPUTED_VALUE"""),"Valdeorras")</f>
        <v>Valdeorras</v>
      </c>
      <c r="C581" s="2" t="str">
        <f>IFERROR(__xludf.DUMMYFUNCTION("""COMPUTED_VALUE"""),"Provincia de Ourense")</f>
        <v>Provincia de Ourense</v>
      </c>
      <c r="D581" s="2" t="str">
        <f>IFERROR(__xludf.DUMMYFUNCTION("""COMPUTED_VALUE"""),"Galicia")</f>
        <v>Galicia</v>
      </c>
      <c r="E581" s="2">
        <f>IFERROR(__xludf.DUMMYFUNCTION("""COMPUTED_VALUE"""),325.0)</f>
        <v>325</v>
      </c>
      <c r="F581" s="2">
        <f>IFERROR(__xludf.DUMMYFUNCTION("""COMPUTED_VALUE"""),85.43)</f>
        <v>85.43</v>
      </c>
      <c r="G581" s="4">
        <f>IFERROR(__xludf.DUMMYFUNCTION("""COMPUTED_VALUE"""),13395.0)</f>
        <v>13395</v>
      </c>
      <c r="H581" s="2">
        <f>IFERROR(__xludf.DUMMYFUNCTION("""COMPUTED_VALUE"""),156.8)</f>
        <v>156.8</v>
      </c>
    </row>
    <row r="582">
      <c r="A582" s="2" t="str">
        <f>IFERROR(__xludf.DUMMYFUNCTION("""COMPUTED_VALUE"""),"Alginet")</f>
        <v>Alginet</v>
      </c>
      <c r="B582" s="2" t="str">
        <f>IFERROR(__xludf.DUMMYFUNCTION("""COMPUTED_VALUE"""),"Ribera Alta (Valencia)")</f>
        <v>Ribera Alta (Valencia)</v>
      </c>
      <c r="C582" s="2" t="str">
        <f>IFERROR(__xludf.DUMMYFUNCTION("""COMPUTED_VALUE"""),"Provincia de València")</f>
        <v>Provincia de València</v>
      </c>
      <c r="D582" s="2" t="str">
        <f>IFERROR(__xludf.DUMMYFUNCTION("""COMPUTED_VALUE"""),"Comunidad Valenciana")</f>
        <v>Comunidad Valenciana</v>
      </c>
      <c r="E582" s="2">
        <f>IFERROR(__xludf.DUMMYFUNCTION("""COMPUTED_VALUE"""),150.0)</f>
        <v>150</v>
      </c>
      <c r="F582" s="2">
        <f>IFERROR(__xludf.DUMMYFUNCTION("""COMPUTED_VALUE"""),24.07)</f>
        <v>24.07</v>
      </c>
      <c r="G582" s="4">
        <f>IFERROR(__xludf.DUMMYFUNCTION("""COMPUTED_VALUE"""),13380.0)</f>
        <v>13380</v>
      </c>
      <c r="H582" s="2">
        <f>IFERROR(__xludf.DUMMYFUNCTION("""COMPUTED_VALUE"""),555.88)</f>
        <v>555.88</v>
      </c>
    </row>
    <row r="583">
      <c r="A583" s="2" t="str">
        <f>IFERROR(__xludf.DUMMYFUNCTION("""COMPUTED_VALUE"""),"Badia del Vallès")</f>
        <v>Badia del Vallès</v>
      </c>
      <c r="B583" s="2" t="str">
        <f>IFERROR(__xludf.DUMMYFUNCTION("""COMPUTED_VALUE"""),"Vallès Occidental")</f>
        <v>Vallès Occidental</v>
      </c>
      <c r="C583" s="2" t="str">
        <f>IFERROR(__xludf.DUMMYFUNCTION("""COMPUTED_VALUE"""),"Provincia de Barcelona")</f>
        <v>Provincia de Barcelona</v>
      </c>
      <c r="D583" s="2" t="str">
        <f>IFERROR(__xludf.DUMMYFUNCTION("""COMPUTED_VALUE"""),"Cataluña")</f>
        <v>Cataluña</v>
      </c>
      <c r="E583" s="2">
        <f>IFERROR(__xludf.DUMMYFUNCTION("""COMPUTED_VALUE"""),120.0)</f>
        <v>120</v>
      </c>
      <c r="F583" s="2">
        <f>IFERROR(__xludf.DUMMYFUNCTION("""COMPUTED_VALUE"""),0.93)</f>
        <v>0.93</v>
      </c>
      <c r="G583" s="4">
        <f>IFERROR(__xludf.DUMMYFUNCTION("""COMPUTED_VALUE"""),13380.0)</f>
        <v>13380</v>
      </c>
      <c r="H583" s="5">
        <f>IFERROR(__xludf.DUMMYFUNCTION("""COMPUTED_VALUE"""),14387.1)</f>
        <v>14387.1</v>
      </c>
    </row>
    <row r="584">
      <c r="A584" s="2" t="str">
        <f>IFERROR(__xludf.DUMMYFUNCTION("""COMPUTED_VALUE"""),"San Agustín del Guadalix")</f>
        <v>San Agustín del Guadalix</v>
      </c>
      <c r="B584" s="2" t="str">
        <f>IFERROR(__xludf.DUMMYFUNCTION("""COMPUTED_VALUE"""),"Cuenca del Medio Jarama")</f>
        <v>Cuenca del Medio Jarama</v>
      </c>
      <c r="C584" s="2" t="str">
        <f>IFERROR(__xludf.DUMMYFUNCTION("""COMPUTED_VALUE"""),"Provincia de Madrid")</f>
        <v>Provincia de Madrid</v>
      </c>
      <c r="D584" s="2" t="str">
        <f>IFERROR(__xludf.DUMMYFUNCTION("""COMPUTED_VALUE"""),"Comunidad de Madrid")</f>
        <v>Comunidad de Madrid</v>
      </c>
      <c r="E584" s="2">
        <f>IFERROR(__xludf.DUMMYFUNCTION("""COMPUTED_VALUE"""),684.0)</f>
        <v>684</v>
      </c>
      <c r="F584" s="2">
        <f>IFERROR(__xludf.DUMMYFUNCTION("""COMPUTED_VALUE"""),38.28)</f>
        <v>38.28</v>
      </c>
      <c r="G584" s="4">
        <f>IFERROR(__xludf.DUMMYFUNCTION("""COMPUTED_VALUE"""),13379.0)</f>
        <v>13379</v>
      </c>
      <c r="H584" s="2">
        <f>IFERROR(__xludf.DUMMYFUNCTION("""COMPUTED_VALUE"""),349.5)</f>
        <v>349.5</v>
      </c>
    </row>
    <row r="585">
      <c r="A585" s="2" t="str">
        <f>IFERROR(__xludf.DUMMYFUNCTION("""COMPUTED_VALUE"""),"Sarria (Lugo)")</f>
        <v>Sarria (Lugo)</v>
      </c>
      <c r="B585" s="2"/>
      <c r="C585" s="2" t="str">
        <f>IFERROR(__xludf.DUMMYFUNCTION("""COMPUTED_VALUE"""),"Provincia de Lugo")</f>
        <v>Provincia de Lugo</v>
      </c>
      <c r="D585" s="2" t="str">
        <f>IFERROR(__xludf.DUMMYFUNCTION("""COMPUTED_VALUE"""),"Galicia")</f>
        <v>Galicia</v>
      </c>
      <c r="E585" s="2">
        <f>IFERROR(__xludf.DUMMYFUNCTION("""COMPUTED_VALUE"""),700.0)</f>
        <v>700</v>
      </c>
      <c r="F585" s="2">
        <f>IFERROR(__xludf.DUMMYFUNCTION("""COMPUTED_VALUE"""),184.62)</f>
        <v>184.62</v>
      </c>
      <c r="G585" s="4">
        <f>IFERROR(__xludf.DUMMYFUNCTION("""COMPUTED_VALUE"""),13330.0)</f>
        <v>13330</v>
      </c>
      <c r="H585" s="2">
        <f>IFERROR(__xludf.DUMMYFUNCTION("""COMPUTED_VALUE"""),72.2)</f>
        <v>72.2</v>
      </c>
    </row>
    <row r="586">
      <c r="A586" s="2" t="str">
        <f>IFERROR(__xludf.DUMMYFUNCTION("""COMPUTED_VALUE"""),"Aguilar de la Frontera")</f>
        <v>Aguilar de la Frontera</v>
      </c>
      <c r="B586" s="2" t="str">
        <f>IFERROR(__xludf.DUMMYFUNCTION("""COMPUTED_VALUE"""),"Campiña Sur Cordobesa")</f>
        <v>Campiña Sur Cordobesa</v>
      </c>
      <c r="C586" s="2" t="str">
        <f>IFERROR(__xludf.DUMMYFUNCTION("""COMPUTED_VALUE"""),"Provincia de Córdoba")</f>
        <v>Provincia de Córdoba</v>
      </c>
      <c r="D586" s="2" t="str">
        <f>IFERROR(__xludf.DUMMYFUNCTION("""COMPUTED_VALUE"""),"Andalucía")</f>
        <v>Andalucía</v>
      </c>
      <c r="E586" s="2">
        <f>IFERROR(__xludf.DUMMYFUNCTION("""COMPUTED_VALUE"""),280.0)</f>
        <v>280</v>
      </c>
      <c r="F586" s="2">
        <f>IFERROR(__xludf.DUMMYFUNCTION("""COMPUTED_VALUE"""),166.06)</f>
        <v>166.06</v>
      </c>
      <c r="G586" s="4">
        <f>IFERROR(__xludf.DUMMYFUNCTION("""COMPUTED_VALUE"""),13328.0)</f>
        <v>13328</v>
      </c>
      <c r="H586" s="2">
        <f>IFERROR(__xludf.DUMMYFUNCTION("""COMPUTED_VALUE"""),80.26)</f>
        <v>80.26</v>
      </c>
    </row>
    <row r="587">
      <c r="A587" s="2" t="str">
        <f>IFERROR(__xludf.DUMMYFUNCTION("""COMPUTED_VALUE"""),"Cuarte de Huerva")</f>
        <v>Cuarte de Huerva</v>
      </c>
      <c r="B587" s="2" t="str">
        <f>IFERROR(__xludf.DUMMYFUNCTION("""COMPUTED_VALUE"""),"Zaragoza (comarca)")</f>
        <v>Zaragoza (comarca)</v>
      </c>
      <c r="C587" s="2" t="str">
        <f>IFERROR(__xludf.DUMMYFUNCTION("""COMPUTED_VALUE"""),"Provincia de Zaragoza")</f>
        <v>Provincia de Zaragoza</v>
      </c>
      <c r="D587" s="2" t="str">
        <f>IFERROR(__xludf.DUMMYFUNCTION("""COMPUTED_VALUE"""),"Aragón")</f>
        <v>Aragón</v>
      </c>
      <c r="E587" s="2">
        <f>IFERROR(__xludf.DUMMYFUNCTION("""COMPUTED_VALUE"""),299.0)</f>
        <v>299</v>
      </c>
      <c r="F587" s="2">
        <f>IFERROR(__xludf.DUMMYFUNCTION("""COMPUTED_VALUE"""),8.95)</f>
        <v>8.95</v>
      </c>
      <c r="G587" s="4">
        <f>IFERROR(__xludf.DUMMYFUNCTION("""COMPUTED_VALUE"""),13303.0)</f>
        <v>13303</v>
      </c>
      <c r="H587" s="5">
        <f>IFERROR(__xludf.DUMMYFUNCTION("""COMPUTED_VALUE"""),1486.37)</f>
        <v>1486.37</v>
      </c>
    </row>
    <row r="588">
      <c r="A588" s="2" t="str">
        <f>IFERROR(__xludf.DUMMYFUNCTION("""COMPUTED_VALUE"""),"Santa Coloma de Farners")</f>
        <v>Santa Coloma de Farners</v>
      </c>
      <c r="B588" s="2" t="str">
        <f>IFERROR(__xludf.DUMMYFUNCTION("""COMPUTED_VALUE"""),"La Selva")</f>
        <v>La Selva</v>
      </c>
      <c r="C588" s="2" t="str">
        <f>IFERROR(__xludf.DUMMYFUNCTION("""COMPUTED_VALUE"""),"Provincia de Girona")</f>
        <v>Provincia de Girona</v>
      </c>
      <c r="D588" s="2" t="str">
        <f>IFERROR(__xludf.DUMMYFUNCTION("""COMPUTED_VALUE"""),"Cataluña")</f>
        <v>Cataluña</v>
      </c>
      <c r="E588" s="2">
        <f>IFERROR(__xludf.DUMMYFUNCTION("""COMPUTED_VALUE"""),142.0)</f>
        <v>142</v>
      </c>
      <c r="F588" s="2">
        <f>IFERROR(__xludf.DUMMYFUNCTION("""COMPUTED_VALUE"""),70.67)</f>
        <v>70.67</v>
      </c>
      <c r="G588" s="4">
        <f>IFERROR(__xludf.DUMMYFUNCTION("""COMPUTED_VALUE"""),13143.0)</f>
        <v>13143</v>
      </c>
      <c r="H588" s="2">
        <f>IFERROR(__xludf.DUMMYFUNCTION("""COMPUTED_VALUE"""),185.98)</f>
        <v>185.98</v>
      </c>
    </row>
    <row r="589">
      <c r="A589" s="2" t="str">
        <f>IFERROR(__xludf.DUMMYFUNCTION("""COMPUTED_VALUE"""),"Nules")</f>
        <v>Nules</v>
      </c>
      <c r="B589" s="2" t="str">
        <f>IFERROR(__xludf.DUMMYFUNCTION("""COMPUTED_VALUE"""),"Plana Baja")</f>
        <v>Plana Baja</v>
      </c>
      <c r="C589" s="2" t="str">
        <f>IFERROR(__xludf.DUMMYFUNCTION("""COMPUTED_VALUE"""),"Provincia de Castellón")</f>
        <v>Provincia de Castellón</v>
      </c>
      <c r="D589" s="2" t="str">
        <f>IFERROR(__xludf.DUMMYFUNCTION("""COMPUTED_VALUE"""),"Comunidad Valenciana")</f>
        <v>Comunidad Valenciana</v>
      </c>
      <c r="E589" s="2">
        <f>IFERROR(__xludf.DUMMYFUNCTION("""COMPUTED_VALUE"""),13.0)</f>
        <v>13</v>
      </c>
      <c r="F589" s="2">
        <f>IFERROR(__xludf.DUMMYFUNCTION("""COMPUTED_VALUE"""),50.53)</f>
        <v>50.53</v>
      </c>
      <c r="G589" s="4">
        <f>IFERROR(__xludf.DUMMYFUNCTION("""COMPUTED_VALUE"""),13103.0)</f>
        <v>13103</v>
      </c>
      <c r="H589" s="2">
        <f>IFERROR(__xludf.DUMMYFUNCTION("""COMPUTED_VALUE"""),259.31)</f>
        <v>259.31</v>
      </c>
    </row>
    <row r="590">
      <c r="A590" s="2" t="str">
        <f>IFERROR(__xludf.DUMMYFUNCTION("""COMPUTED_VALUE"""),"Santa Cruz de Bezana")</f>
        <v>Santa Cruz de Bezana</v>
      </c>
      <c r="B590" s="2" t="str">
        <f>IFERROR(__xludf.DUMMYFUNCTION("""COMPUTED_VALUE"""),"Comarca de Santander")</f>
        <v>Comarca de Santander</v>
      </c>
      <c r="C590" s="2" t="str">
        <f>IFERROR(__xludf.DUMMYFUNCTION("""COMPUTED_VALUE"""),"Provincia de Cantabria")</f>
        <v>Provincia de Cantabria</v>
      </c>
      <c r="D590" s="2" t="str">
        <f>IFERROR(__xludf.DUMMYFUNCTION("""COMPUTED_VALUE"""),"Cantabria")</f>
        <v>Cantabria</v>
      </c>
      <c r="E590" s="2">
        <f>IFERROR(__xludf.DUMMYFUNCTION("""COMPUTED_VALUE"""),45.0)</f>
        <v>45</v>
      </c>
      <c r="F590" s="2">
        <f>IFERROR(__xludf.DUMMYFUNCTION("""COMPUTED_VALUE"""),17.34)</f>
        <v>17.34</v>
      </c>
      <c r="G590" s="4">
        <f>IFERROR(__xludf.DUMMYFUNCTION("""COMPUTED_VALUE"""),13095.0)</f>
        <v>13095</v>
      </c>
      <c r="H590" s="2">
        <f>IFERROR(__xludf.DUMMYFUNCTION("""COMPUTED_VALUE"""),755.19)</f>
        <v>755.19</v>
      </c>
    </row>
    <row r="591">
      <c r="A591" s="2" t="str">
        <f>IFERROR(__xludf.DUMMYFUNCTION("""COMPUTED_VALUE"""),"Godella")</f>
        <v>Godella</v>
      </c>
      <c r="B591" s="2" t="str">
        <f>IFERROR(__xludf.DUMMYFUNCTION("""COMPUTED_VALUE"""),"Huerta Norte")</f>
        <v>Huerta Norte</v>
      </c>
      <c r="C591" s="2" t="str">
        <f>IFERROR(__xludf.DUMMYFUNCTION("""COMPUTED_VALUE"""),"Provincia de València")</f>
        <v>Provincia de València</v>
      </c>
      <c r="D591" s="2" t="str">
        <f>IFERROR(__xludf.DUMMYFUNCTION("""COMPUTED_VALUE"""),"Comunidad Valenciana")</f>
        <v>Comunidad Valenciana</v>
      </c>
      <c r="E591" s="2">
        <f>IFERROR(__xludf.DUMMYFUNCTION("""COMPUTED_VALUE"""),30.0)</f>
        <v>30</v>
      </c>
      <c r="F591" s="2">
        <f>IFERROR(__xludf.DUMMYFUNCTION("""COMPUTED_VALUE"""),8.4)</f>
        <v>8.4</v>
      </c>
      <c r="G591" s="4">
        <f>IFERROR(__xludf.DUMMYFUNCTION("""COMPUTED_VALUE"""),13088.0)</f>
        <v>13088</v>
      </c>
      <c r="H591" s="5">
        <f>IFERROR(__xludf.DUMMYFUNCTION("""COMPUTED_VALUE"""),1558.1)</f>
        <v>1558.1</v>
      </c>
    </row>
    <row r="592">
      <c r="A592" s="2" t="str">
        <f>IFERROR(__xludf.DUMMYFUNCTION("""COMPUTED_VALUE"""),"Moralzarzal")</f>
        <v>Moralzarzal</v>
      </c>
      <c r="B592" s="2"/>
      <c r="C592" s="2" t="str">
        <f>IFERROR(__xludf.DUMMYFUNCTION("""COMPUTED_VALUE"""),"Provincia de Madrid")</f>
        <v>Provincia de Madrid</v>
      </c>
      <c r="D592" s="2" t="str">
        <f>IFERROR(__xludf.DUMMYFUNCTION("""COMPUTED_VALUE"""),"Comunidad de Madrid")</f>
        <v>Comunidad de Madrid</v>
      </c>
      <c r="E592" s="2">
        <f>IFERROR(__xludf.DUMMYFUNCTION("""COMPUTED_VALUE"""),979.0)</f>
        <v>979</v>
      </c>
      <c r="F592" s="2">
        <f>IFERROR(__xludf.DUMMYFUNCTION("""COMPUTED_VALUE"""),42.56)</f>
        <v>42.56</v>
      </c>
      <c r="G592" s="4">
        <f>IFERROR(__xludf.DUMMYFUNCTION("""COMPUTED_VALUE"""),13026.0)</f>
        <v>13026</v>
      </c>
      <c r="H592" s="2">
        <f>IFERROR(__xludf.DUMMYFUNCTION("""COMPUTED_VALUE"""),306.06)</f>
        <v>306.06</v>
      </c>
    </row>
    <row r="593">
      <c r="A593" s="2" t="str">
        <f>IFERROR(__xludf.DUMMYFUNCTION("""COMPUTED_VALUE"""),"Jaca")</f>
        <v>Jaca</v>
      </c>
      <c r="B593" s="2" t="str">
        <f>IFERROR(__xludf.DUMMYFUNCTION("""COMPUTED_VALUE"""),"La Jacetania")</f>
        <v>La Jacetania</v>
      </c>
      <c r="C593" s="2" t="str">
        <f>IFERROR(__xludf.DUMMYFUNCTION("""COMPUTED_VALUE"""),"Provincia de Huesca")</f>
        <v>Provincia de Huesca</v>
      </c>
      <c r="D593" s="2" t="str">
        <f>IFERROR(__xludf.DUMMYFUNCTION("""COMPUTED_VALUE"""),"Aragón")</f>
        <v>Aragón</v>
      </c>
      <c r="E593" s="2">
        <f>IFERROR(__xludf.DUMMYFUNCTION("""COMPUTED_VALUE"""),820.0)</f>
        <v>820</v>
      </c>
      <c r="F593" s="2">
        <f>IFERROR(__xludf.DUMMYFUNCTION("""COMPUTED_VALUE"""),406.34)</f>
        <v>406.34</v>
      </c>
      <c r="G593" s="4">
        <f>IFERROR(__xludf.DUMMYFUNCTION("""COMPUTED_VALUE"""),12988.0)</f>
        <v>12988</v>
      </c>
      <c r="H593" s="2">
        <f>IFERROR(__xludf.DUMMYFUNCTION("""COMPUTED_VALUE"""),31.96)</f>
        <v>31.96</v>
      </c>
    </row>
    <row r="594">
      <c r="A594" s="2" t="str">
        <f>IFERROR(__xludf.DUMMYFUNCTION("""COMPUTED_VALUE"""),"Álora")</f>
        <v>Álora</v>
      </c>
      <c r="B594" s="2" t="str">
        <f>IFERROR(__xludf.DUMMYFUNCTION("""COMPUTED_VALUE"""),"Valle del Guadalhorce")</f>
        <v>Valle del Guadalhorce</v>
      </c>
      <c r="C594" s="2" t="str">
        <f>IFERROR(__xludf.DUMMYFUNCTION("""COMPUTED_VALUE"""),"Provincia de Málaga")</f>
        <v>Provincia de Málaga</v>
      </c>
      <c r="D594" s="2" t="str">
        <f>IFERROR(__xludf.DUMMYFUNCTION("""COMPUTED_VALUE"""),"Andalucía")</f>
        <v>Andalucía</v>
      </c>
      <c r="E594" s="2">
        <f>IFERROR(__xludf.DUMMYFUNCTION("""COMPUTED_VALUE"""),222.0)</f>
        <v>222</v>
      </c>
      <c r="F594" s="2">
        <f>IFERROR(__xludf.DUMMYFUNCTION("""COMPUTED_VALUE"""),169.62)</f>
        <v>169.62</v>
      </c>
      <c r="G594" s="4">
        <f>IFERROR(__xludf.DUMMYFUNCTION("""COMPUTED_VALUE"""),12985.0)</f>
        <v>12985</v>
      </c>
      <c r="H594" s="2">
        <f>IFERROR(__xludf.DUMMYFUNCTION("""COMPUTED_VALUE"""),76.55)</f>
        <v>76.55</v>
      </c>
    </row>
    <row r="595">
      <c r="A595" s="2" t="str">
        <f>IFERROR(__xludf.DUMMYFUNCTION("""COMPUTED_VALUE"""),"Laviana")</f>
        <v>Laviana</v>
      </c>
      <c r="B595" s="2"/>
      <c r="C595" s="2" t="str">
        <f>IFERROR(__xludf.DUMMYFUNCTION("""COMPUTED_VALUE"""),"Provincia de Asturias")</f>
        <v>Provincia de Asturias</v>
      </c>
      <c r="D595" s="2" t="str">
        <f>IFERROR(__xludf.DUMMYFUNCTION("""COMPUTED_VALUE"""),"Principado de Asturias")</f>
        <v>Principado de Asturias</v>
      </c>
      <c r="E595" s="2"/>
      <c r="F595" s="2">
        <f>IFERROR(__xludf.DUMMYFUNCTION("""COMPUTED_VALUE"""),130.59)</f>
        <v>130.59</v>
      </c>
      <c r="G595" s="4">
        <f>IFERROR(__xludf.DUMMYFUNCTION("""COMPUTED_VALUE"""),12977.0)</f>
        <v>12977</v>
      </c>
      <c r="H595" s="2">
        <f>IFERROR(__xludf.DUMMYFUNCTION("""COMPUTED_VALUE"""),99.37)</f>
        <v>99.37</v>
      </c>
    </row>
    <row r="596">
      <c r="A596" s="2" t="str">
        <f>IFERROR(__xludf.DUMMYFUNCTION("""COMPUTED_VALUE"""),"Abarán")</f>
        <v>Abarán</v>
      </c>
      <c r="B596" s="2" t="str">
        <f>IFERROR(__xludf.DUMMYFUNCTION("""COMPUTED_VALUE"""),"Vega Alta del Segura")</f>
        <v>Vega Alta del Segura</v>
      </c>
      <c r="C596" s="2" t="str">
        <f>IFERROR(__xludf.DUMMYFUNCTION("""COMPUTED_VALUE"""),"Provincia de Murcia")</f>
        <v>Provincia de Murcia</v>
      </c>
      <c r="D596" s="2" t="str">
        <f>IFERROR(__xludf.DUMMYFUNCTION("""COMPUTED_VALUE"""),"Región de Murcia")</f>
        <v>Región de Murcia</v>
      </c>
      <c r="E596" s="2">
        <f>IFERROR(__xludf.DUMMYFUNCTION("""COMPUTED_VALUE"""),175.0)</f>
        <v>175</v>
      </c>
      <c r="F596" s="2">
        <f>IFERROR(__xludf.DUMMYFUNCTION("""COMPUTED_VALUE"""),115.04)</f>
        <v>115.04</v>
      </c>
      <c r="G596" s="4">
        <f>IFERROR(__xludf.DUMMYFUNCTION("""COMPUTED_VALUE"""),12964.0)</f>
        <v>12964</v>
      </c>
      <c r="H596" s="2">
        <f>IFERROR(__xludf.DUMMYFUNCTION("""COMPUTED_VALUE"""),112.69)</f>
        <v>112.69</v>
      </c>
    </row>
    <row r="597">
      <c r="A597" s="2" t="str">
        <f>IFERROR(__xludf.DUMMYFUNCTION("""COMPUTED_VALUE"""),"Betanzos")</f>
        <v>Betanzos</v>
      </c>
      <c r="B597" s="2" t="str">
        <f>IFERROR(__xludf.DUMMYFUNCTION("""COMPUTED_VALUE"""),"Comarca de Betanzos")</f>
        <v>Comarca de Betanzos</v>
      </c>
      <c r="C597" s="2" t="str">
        <f>IFERROR(__xludf.DUMMYFUNCTION("""COMPUTED_VALUE"""),"Provincia de A Coruña")</f>
        <v>Provincia de A Coruña</v>
      </c>
      <c r="D597" s="2" t="str">
        <f>IFERROR(__xludf.DUMMYFUNCTION("""COMPUTED_VALUE"""),"Galicia")</f>
        <v>Galicia</v>
      </c>
      <c r="E597" s="2">
        <f>IFERROR(__xludf.DUMMYFUNCTION("""COMPUTED_VALUE"""),36.0)</f>
        <v>36</v>
      </c>
      <c r="F597" s="2">
        <f>IFERROR(__xludf.DUMMYFUNCTION("""COMPUTED_VALUE"""),24.21)</f>
        <v>24.21</v>
      </c>
      <c r="G597" s="4">
        <f>IFERROR(__xludf.DUMMYFUNCTION("""COMPUTED_VALUE"""),12959.0)</f>
        <v>12959</v>
      </c>
      <c r="H597" s="2">
        <f>IFERROR(__xludf.DUMMYFUNCTION("""COMPUTED_VALUE"""),535.27)</f>
        <v>535.27</v>
      </c>
    </row>
    <row r="598">
      <c r="A598" s="2" t="str">
        <f>IFERROR(__xludf.DUMMYFUNCTION("""COMPUTED_VALUE"""),"Cunit")</f>
        <v>Cunit</v>
      </c>
      <c r="B598" s="2" t="str">
        <f>IFERROR(__xludf.DUMMYFUNCTION("""COMPUTED_VALUE"""),"Baix Penedès")</f>
        <v>Baix Penedès</v>
      </c>
      <c r="C598" s="2" t="str">
        <f>IFERROR(__xludf.DUMMYFUNCTION("""COMPUTED_VALUE"""),"Provincia de Tarragona")</f>
        <v>Provincia de Tarragona</v>
      </c>
      <c r="D598" s="2" t="str">
        <f>IFERROR(__xludf.DUMMYFUNCTION("""COMPUTED_VALUE"""),"Cataluña")</f>
        <v>Cataluña</v>
      </c>
      <c r="E598" s="2">
        <f>IFERROR(__xludf.DUMMYFUNCTION("""COMPUTED_VALUE"""),10.0)</f>
        <v>10</v>
      </c>
      <c r="F598" s="2">
        <f>IFERROR(__xludf.DUMMYFUNCTION("""COMPUTED_VALUE"""),9.65)</f>
        <v>9.65</v>
      </c>
      <c r="G598" s="4">
        <f>IFERROR(__xludf.DUMMYFUNCTION("""COMPUTED_VALUE"""),12952.0)</f>
        <v>12952</v>
      </c>
      <c r="H598" s="5">
        <f>IFERROR(__xludf.DUMMYFUNCTION("""COMPUTED_VALUE"""),1342.18)</f>
        <v>1342.18</v>
      </c>
    </row>
    <row r="599">
      <c r="A599" s="2" t="str">
        <f>IFERROR(__xludf.DUMMYFUNCTION("""COMPUTED_VALUE"""),"Fene")</f>
        <v>Fene</v>
      </c>
      <c r="B599" s="2" t="str">
        <f>IFERROR(__xludf.DUMMYFUNCTION("""COMPUTED_VALUE"""),"Ferrol")</f>
        <v>Ferrol</v>
      </c>
      <c r="C599" s="2" t="str">
        <f>IFERROR(__xludf.DUMMYFUNCTION("""COMPUTED_VALUE"""),"Provincia de A Coruña")</f>
        <v>Provincia de A Coruña</v>
      </c>
      <c r="D599" s="2" t="str">
        <f>IFERROR(__xludf.DUMMYFUNCTION("""COMPUTED_VALUE"""),"Galicia")</f>
        <v>Galicia</v>
      </c>
      <c r="E599" s="2">
        <f>IFERROR(__xludf.DUMMYFUNCTION("""COMPUTED_VALUE"""),395.0)</f>
        <v>395</v>
      </c>
      <c r="F599" s="2">
        <f>IFERROR(__xludf.DUMMYFUNCTION("""COMPUTED_VALUE"""),26.31)</f>
        <v>26.31</v>
      </c>
      <c r="G599" s="4">
        <f>IFERROR(__xludf.DUMMYFUNCTION("""COMPUTED_VALUE"""),12944.0)</f>
        <v>12944</v>
      </c>
      <c r="H599" s="2">
        <f>IFERROR(__xludf.DUMMYFUNCTION("""COMPUTED_VALUE"""),491.98)</f>
        <v>491.98</v>
      </c>
    </row>
    <row r="600">
      <c r="A600" s="2" t="str">
        <f>IFERROR(__xludf.DUMMYFUNCTION("""COMPUTED_VALUE"""),"Sant Sadurní d'Anoia")</f>
        <v>Sant Sadurní d'Anoia</v>
      </c>
      <c r="B600" s="2" t="str">
        <f>IFERROR(__xludf.DUMMYFUNCTION("""COMPUTED_VALUE"""),"Alt Penedès")</f>
        <v>Alt Penedès</v>
      </c>
      <c r="C600" s="2" t="str">
        <f>IFERROR(__xludf.DUMMYFUNCTION("""COMPUTED_VALUE"""),"Provincia de Barcelona")</f>
        <v>Provincia de Barcelona</v>
      </c>
      <c r="D600" s="2" t="str">
        <f>IFERROR(__xludf.DUMMYFUNCTION("""COMPUTED_VALUE"""),"Cataluña")</f>
        <v>Cataluña</v>
      </c>
      <c r="E600" s="2">
        <f>IFERROR(__xludf.DUMMYFUNCTION("""COMPUTED_VALUE"""),162.0)</f>
        <v>162</v>
      </c>
      <c r="F600" s="2">
        <f>IFERROR(__xludf.DUMMYFUNCTION("""COMPUTED_VALUE"""),18.95)</f>
        <v>18.95</v>
      </c>
      <c r="G600" s="4">
        <f>IFERROR(__xludf.DUMMYFUNCTION("""COMPUTED_VALUE"""),12887.0)</f>
        <v>12887</v>
      </c>
      <c r="H600" s="2">
        <f>IFERROR(__xludf.DUMMYFUNCTION("""COMPUTED_VALUE"""),680.05)</f>
        <v>680.05</v>
      </c>
    </row>
    <row r="601">
      <c r="A601" s="2" t="str">
        <f>IFERROR(__xludf.DUMMYFUNCTION("""COMPUTED_VALUE"""),"Villafranca de los Barros")</f>
        <v>Villafranca de los Barros</v>
      </c>
      <c r="B601" s="2" t="str">
        <f>IFERROR(__xludf.DUMMYFUNCTION("""COMPUTED_VALUE"""),"Tierra de Barros")</f>
        <v>Tierra de Barros</v>
      </c>
      <c r="C601" s="2" t="str">
        <f>IFERROR(__xludf.DUMMYFUNCTION("""COMPUTED_VALUE"""),"Provincia de Badajoz")</f>
        <v>Provincia de Badajoz</v>
      </c>
      <c r="D601" s="2" t="str">
        <f>IFERROR(__xludf.DUMMYFUNCTION("""COMPUTED_VALUE"""),"Extremadura")</f>
        <v>Extremadura</v>
      </c>
      <c r="E601" s="2">
        <f>IFERROR(__xludf.DUMMYFUNCTION("""COMPUTED_VALUE"""),410.0)</f>
        <v>410</v>
      </c>
      <c r="F601" s="2">
        <f>IFERROR(__xludf.DUMMYFUNCTION("""COMPUTED_VALUE"""),104.42)</f>
        <v>104.42</v>
      </c>
      <c r="G601" s="4">
        <f>IFERROR(__xludf.DUMMYFUNCTION("""COMPUTED_VALUE"""),12835.0)</f>
        <v>12835</v>
      </c>
      <c r="H601" s="2">
        <f>IFERROR(__xludf.DUMMYFUNCTION("""COMPUTED_VALUE"""),122.92)</f>
        <v>122.92</v>
      </c>
    </row>
    <row r="602">
      <c r="A602" s="2" t="str">
        <f>IFERROR(__xludf.DUMMYFUNCTION("""COMPUTED_VALUE"""),"Valverde del Camino")</f>
        <v>Valverde del Camino</v>
      </c>
      <c r="B602" s="2" t="str">
        <f>IFERROR(__xludf.DUMMYFUNCTION("""COMPUTED_VALUE"""),"El Andévalo")</f>
        <v>El Andévalo</v>
      </c>
      <c r="C602" s="2" t="str">
        <f>IFERROR(__xludf.DUMMYFUNCTION("""COMPUTED_VALUE"""),"Provincia de Huelva")</f>
        <v>Provincia de Huelva</v>
      </c>
      <c r="D602" s="2" t="str">
        <f>IFERROR(__xludf.DUMMYFUNCTION("""COMPUTED_VALUE"""),"Andalucía")</f>
        <v>Andalucía</v>
      </c>
      <c r="E602" s="2">
        <f>IFERROR(__xludf.DUMMYFUNCTION("""COMPUTED_VALUE"""),260.0)</f>
        <v>260</v>
      </c>
      <c r="F602" s="2">
        <f>IFERROR(__xludf.DUMMYFUNCTION("""COMPUTED_VALUE"""),218.67)</f>
        <v>218.67</v>
      </c>
      <c r="G602" s="4">
        <f>IFERROR(__xludf.DUMMYFUNCTION("""COMPUTED_VALUE"""),12820.0)</f>
        <v>12820</v>
      </c>
      <c r="H602" s="2">
        <f>IFERROR(__xludf.DUMMYFUNCTION("""COMPUTED_VALUE"""),58.63)</f>
        <v>58.63</v>
      </c>
    </row>
    <row r="603">
      <c r="A603" s="2" t="str">
        <f>IFERROR(__xludf.DUMMYFUNCTION("""COMPUTED_VALUE"""),"Guillena")</f>
        <v>Guillena</v>
      </c>
      <c r="B603" s="2" t="str">
        <f>IFERROR(__xludf.DUMMYFUNCTION("""COMPUTED_VALUE"""),"Sierra Norte de Sevilla")</f>
        <v>Sierra Norte de Sevilla</v>
      </c>
      <c r="C603" s="2" t="str">
        <f>IFERROR(__xludf.DUMMYFUNCTION("""COMPUTED_VALUE"""),"Provincia de Sevilla")</f>
        <v>Provincia de Sevilla</v>
      </c>
      <c r="D603" s="2" t="str">
        <f>IFERROR(__xludf.DUMMYFUNCTION("""COMPUTED_VALUE"""),"Andalucía")</f>
        <v>Andalucía</v>
      </c>
      <c r="E603" s="2">
        <f>IFERROR(__xludf.DUMMYFUNCTION("""COMPUTED_VALUE"""),28.0)</f>
        <v>28</v>
      </c>
      <c r="F603" s="2">
        <f>IFERROR(__xludf.DUMMYFUNCTION("""COMPUTED_VALUE"""),226.9)</f>
        <v>226.9</v>
      </c>
      <c r="G603" s="4">
        <f>IFERROR(__xludf.DUMMYFUNCTION("""COMPUTED_VALUE"""),12788.0)</f>
        <v>12788</v>
      </c>
      <c r="H603" s="2">
        <f>IFERROR(__xludf.DUMMYFUNCTION("""COMPUTED_VALUE"""),56.36)</f>
        <v>56.36</v>
      </c>
    </row>
    <row r="604">
      <c r="A604" s="2" t="str">
        <f>IFERROR(__xludf.DUMMYFUNCTION("""COMPUTED_VALUE"""),"Béjar")</f>
        <v>Béjar</v>
      </c>
      <c r="B604" s="2" t="str">
        <f>IFERROR(__xludf.DUMMYFUNCTION("""COMPUTED_VALUE"""),"Sierra de Béjar")</f>
        <v>Sierra de Béjar</v>
      </c>
      <c r="C604" s="2" t="str">
        <f>IFERROR(__xludf.DUMMYFUNCTION("""COMPUTED_VALUE"""),"Provincia de Salamanca")</f>
        <v>Provincia de Salamanca</v>
      </c>
      <c r="D604" s="2" t="str">
        <f>IFERROR(__xludf.DUMMYFUNCTION("""COMPUTED_VALUE"""),"Castilla y León")</f>
        <v>Castilla y León</v>
      </c>
      <c r="E604" s="2">
        <f>IFERROR(__xludf.DUMMYFUNCTION("""COMPUTED_VALUE"""),959.0)</f>
        <v>959</v>
      </c>
      <c r="F604" s="2">
        <f>IFERROR(__xludf.DUMMYFUNCTION("""COMPUTED_VALUE"""),45.74)</f>
        <v>45.74</v>
      </c>
      <c r="G604" s="4">
        <f>IFERROR(__xludf.DUMMYFUNCTION("""COMPUTED_VALUE"""),12739.0)</f>
        <v>12739</v>
      </c>
      <c r="H604" s="2">
        <f>IFERROR(__xludf.DUMMYFUNCTION("""COMPUTED_VALUE"""),278.51)</f>
        <v>278.51</v>
      </c>
    </row>
    <row r="605">
      <c r="A605" s="2" t="str">
        <f>IFERROR(__xludf.DUMMYFUNCTION("""COMPUTED_VALUE"""),"Alovera")</f>
        <v>Alovera</v>
      </c>
      <c r="B605" s="2" t="str">
        <f>IFERROR(__xludf.DUMMYFUNCTION("""COMPUTED_VALUE"""),"Campiña de Guadalajara")</f>
        <v>Campiña de Guadalajara</v>
      </c>
      <c r="C605" s="2" t="str">
        <f>IFERROR(__xludf.DUMMYFUNCTION("""COMPUTED_VALUE"""),"Provincia de Guadalajara")</f>
        <v>Provincia de Guadalajara</v>
      </c>
      <c r="D605" s="2" t="str">
        <f>IFERROR(__xludf.DUMMYFUNCTION("""COMPUTED_VALUE"""),"Castilla-La Mancha")</f>
        <v>Castilla-La Mancha</v>
      </c>
      <c r="E605" s="2">
        <f>IFERROR(__xludf.DUMMYFUNCTION("""COMPUTED_VALUE"""),644.0)</f>
        <v>644</v>
      </c>
      <c r="F605" s="2">
        <f>IFERROR(__xludf.DUMMYFUNCTION("""COMPUTED_VALUE"""),13.65)</f>
        <v>13.65</v>
      </c>
      <c r="G605" s="4">
        <f>IFERROR(__xludf.DUMMYFUNCTION("""COMPUTED_VALUE"""),12735.0)</f>
        <v>12735</v>
      </c>
      <c r="H605" s="2">
        <f>IFERROR(__xludf.DUMMYFUNCTION("""COMPUTED_VALUE"""),932.97)</f>
        <v>932.97</v>
      </c>
    </row>
    <row r="606">
      <c r="A606" s="2" t="str">
        <f>IFERROR(__xludf.DUMMYFUNCTION("""COMPUTED_VALUE"""),"Ordes")</f>
        <v>Ordes</v>
      </c>
      <c r="B606" s="2" t="str">
        <f>IFERROR(__xludf.DUMMYFUNCTION("""COMPUTED_VALUE"""),"Comarca de Ordes")</f>
        <v>Comarca de Ordes</v>
      </c>
      <c r="C606" s="2" t="str">
        <f>IFERROR(__xludf.DUMMYFUNCTION("""COMPUTED_VALUE"""),"Provincia de A Coruña")</f>
        <v>Provincia de A Coruña</v>
      </c>
      <c r="D606" s="2" t="str">
        <f>IFERROR(__xludf.DUMMYFUNCTION("""COMPUTED_VALUE"""),"Galicia")</f>
        <v>Galicia</v>
      </c>
      <c r="E606" s="2">
        <f>IFERROR(__xludf.DUMMYFUNCTION("""COMPUTED_VALUE"""),292.0)</f>
        <v>292</v>
      </c>
      <c r="F606" s="2">
        <f>IFERROR(__xludf.DUMMYFUNCTION("""COMPUTED_VALUE"""),157.23)</f>
        <v>157.23</v>
      </c>
      <c r="G606" s="4">
        <f>IFERROR(__xludf.DUMMYFUNCTION("""COMPUTED_VALUE"""),12674.0)</f>
        <v>12674</v>
      </c>
      <c r="H606" s="2">
        <f>IFERROR(__xludf.DUMMYFUNCTION("""COMPUTED_VALUE"""),80.61)</f>
        <v>80.61</v>
      </c>
    </row>
    <row r="607">
      <c r="A607" s="2" t="str">
        <f>IFERROR(__xludf.DUMMYFUNCTION("""COMPUTED_VALUE"""),"Vejer de la Frontera")</f>
        <v>Vejer de la Frontera</v>
      </c>
      <c r="B607" s="2" t="str">
        <f>IFERROR(__xludf.DUMMYFUNCTION("""COMPUTED_VALUE"""),"La Janda")</f>
        <v>La Janda</v>
      </c>
      <c r="C607" s="2" t="str">
        <f>IFERROR(__xludf.DUMMYFUNCTION("""COMPUTED_VALUE"""),"Provincia de Cádiz")</f>
        <v>Provincia de Cádiz</v>
      </c>
      <c r="D607" s="2" t="str">
        <f>IFERROR(__xludf.DUMMYFUNCTION("""COMPUTED_VALUE"""),"Andalucía")</f>
        <v>Andalucía</v>
      </c>
      <c r="E607" s="2"/>
      <c r="F607" s="2">
        <f>IFERROR(__xludf.DUMMYFUNCTION("""COMPUTED_VALUE"""),263.94)</f>
        <v>263.94</v>
      </c>
      <c r="G607" s="4">
        <f>IFERROR(__xludf.DUMMYFUNCTION("""COMPUTED_VALUE"""),12624.0)</f>
        <v>12624</v>
      </c>
      <c r="H607" s="2">
        <f>IFERROR(__xludf.DUMMYFUNCTION("""COMPUTED_VALUE"""),47.83)</f>
        <v>47.83</v>
      </c>
    </row>
    <row r="608">
      <c r="A608" s="2" t="str">
        <f>IFERROR(__xludf.DUMMYFUNCTION("""COMPUTED_VALUE"""),"Gibraleón")</f>
        <v>Gibraleón</v>
      </c>
      <c r="B608" s="2" t="str">
        <f>IFERROR(__xludf.DUMMYFUNCTION("""COMPUTED_VALUE"""),"Comarca metropolitana de Huelva")</f>
        <v>Comarca metropolitana de Huelva</v>
      </c>
      <c r="C608" s="2" t="str">
        <f>IFERROR(__xludf.DUMMYFUNCTION("""COMPUTED_VALUE"""),"Provincia de Huelva")</f>
        <v>Provincia de Huelva</v>
      </c>
      <c r="D608" s="2" t="str">
        <f>IFERROR(__xludf.DUMMYFUNCTION("""COMPUTED_VALUE"""),"Andalucía")</f>
        <v>Andalucía</v>
      </c>
      <c r="E608" s="2">
        <f>IFERROR(__xludf.DUMMYFUNCTION("""COMPUTED_VALUE"""),26.0)</f>
        <v>26</v>
      </c>
      <c r="F608" s="2">
        <f>IFERROR(__xludf.DUMMYFUNCTION("""COMPUTED_VALUE"""),328.33)</f>
        <v>328.33</v>
      </c>
      <c r="G608" s="4">
        <f>IFERROR(__xludf.DUMMYFUNCTION("""COMPUTED_VALUE"""),12607.0)</f>
        <v>12607</v>
      </c>
      <c r="H608" s="2">
        <f>IFERROR(__xludf.DUMMYFUNCTION("""COMPUTED_VALUE"""),38.4)</f>
        <v>38.4</v>
      </c>
    </row>
    <row r="609">
      <c r="A609" s="2" t="str">
        <f>IFERROR(__xludf.DUMMYFUNCTION("""COMPUTED_VALUE"""),"Teror")</f>
        <v>Teror</v>
      </c>
      <c r="B609" s="2"/>
      <c r="C609" s="2" t="str">
        <f>IFERROR(__xludf.DUMMYFUNCTION("""COMPUTED_VALUE"""),"Provincia de Las Palmas")</f>
        <v>Provincia de Las Palmas</v>
      </c>
      <c r="D609" s="2" t="str">
        <f>IFERROR(__xludf.DUMMYFUNCTION("""COMPUTED_VALUE"""),"Canarias")</f>
        <v>Canarias</v>
      </c>
      <c r="E609" s="2">
        <f>IFERROR(__xludf.DUMMYFUNCTION("""COMPUTED_VALUE"""),543.0)</f>
        <v>543</v>
      </c>
      <c r="F609" s="2">
        <f>IFERROR(__xludf.DUMMYFUNCTION("""COMPUTED_VALUE"""),25.81)</f>
        <v>25.81</v>
      </c>
      <c r="G609" s="4">
        <f>IFERROR(__xludf.DUMMYFUNCTION("""COMPUTED_VALUE"""),12519.0)</f>
        <v>12519</v>
      </c>
      <c r="H609" s="2">
        <f>IFERROR(__xludf.DUMMYFUNCTION("""COMPUTED_VALUE"""),485.04)</f>
        <v>485.04</v>
      </c>
    </row>
    <row r="610">
      <c r="A610" s="2" t="str">
        <f>IFERROR(__xludf.DUMMYFUNCTION("""COMPUTED_VALUE"""),"Valdemorillo")</f>
        <v>Valdemorillo</v>
      </c>
      <c r="B610" s="2" t="str">
        <f>IFERROR(__xludf.DUMMYFUNCTION("""COMPUTED_VALUE"""),"Cuenca del Guadarrama")</f>
        <v>Cuenca del Guadarrama</v>
      </c>
      <c r="C610" s="2" t="str">
        <f>IFERROR(__xludf.DUMMYFUNCTION("""COMPUTED_VALUE"""),"Provincia de Madrid")</f>
        <v>Provincia de Madrid</v>
      </c>
      <c r="D610" s="2" t="str">
        <f>IFERROR(__xludf.DUMMYFUNCTION("""COMPUTED_VALUE"""),"Comunidad de Madrid")</f>
        <v>Comunidad de Madrid</v>
      </c>
      <c r="E610" s="2">
        <f>IFERROR(__xludf.DUMMYFUNCTION("""COMPUTED_VALUE"""),815.0)</f>
        <v>815</v>
      </c>
      <c r="F610" s="2">
        <f>IFERROR(__xludf.DUMMYFUNCTION("""COMPUTED_VALUE"""),93.68)</f>
        <v>93.68</v>
      </c>
      <c r="G610" s="4">
        <f>IFERROR(__xludf.DUMMYFUNCTION("""COMPUTED_VALUE"""),12518.0)</f>
        <v>12518</v>
      </c>
      <c r="H610" s="2">
        <f>IFERROR(__xludf.DUMMYFUNCTION("""COMPUTED_VALUE"""),133.63)</f>
        <v>133.63</v>
      </c>
    </row>
    <row r="611">
      <c r="A611" s="2" t="str">
        <f>IFERROR(__xludf.DUMMYFUNCTION("""COMPUTED_VALUE"""),"Estepa")</f>
        <v>Estepa</v>
      </c>
      <c r="B611" s="2" t="str">
        <f>IFERROR(__xludf.DUMMYFUNCTION("""COMPUTED_VALUE"""),"Sierra Sur de Sevilla")</f>
        <v>Sierra Sur de Sevilla</v>
      </c>
      <c r="C611" s="2" t="str">
        <f>IFERROR(__xludf.DUMMYFUNCTION("""COMPUTED_VALUE"""),"Provincia de Sevilla")</f>
        <v>Provincia de Sevilla</v>
      </c>
      <c r="D611" s="2" t="str">
        <f>IFERROR(__xludf.DUMMYFUNCTION("""COMPUTED_VALUE"""),"Andalucía")</f>
        <v>Andalucía</v>
      </c>
      <c r="E611" s="2">
        <f>IFERROR(__xludf.DUMMYFUNCTION("""COMPUTED_VALUE"""),604.0)</f>
        <v>604</v>
      </c>
      <c r="F611" s="2">
        <f>IFERROR(__xludf.DUMMYFUNCTION("""COMPUTED_VALUE"""),189.97)</f>
        <v>189.97</v>
      </c>
      <c r="G611" s="4">
        <f>IFERROR(__xludf.DUMMYFUNCTION("""COMPUTED_VALUE"""),12505.0)</f>
        <v>12505</v>
      </c>
      <c r="H611" s="2">
        <f>IFERROR(__xludf.DUMMYFUNCTION("""COMPUTED_VALUE"""),65.83)</f>
        <v>65.83</v>
      </c>
    </row>
    <row r="612">
      <c r="A612" s="2" t="str">
        <f>IFERROR(__xludf.DUMMYFUNCTION("""COMPUTED_VALUE"""),"Abrera")</f>
        <v>Abrera</v>
      </c>
      <c r="B612" s="2" t="str">
        <f>IFERROR(__xludf.DUMMYFUNCTION("""COMPUTED_VALUE"""),"Bajo Llobregat")</f>
        <v>Bajo Llobregat</v>
      </c>
      <c r="C612" s="2" t="str">
        <f>IFERROR(__xludf.DUMMYFUNCTION("""COMPUTED_VALUE"""),"Provincia de Barcelona")</f>
        <v>Provincia de Barcelona</v>
      </c>
      <c r="D612" s="2" t="str">
        <f>IFERROR(__xludf.DUMMYFUNCTION("""COMPUTED_VALUE"""),"Cataluña")</f>
        <v>Cataluña</v>
      </c>
      <c r="E612" s="2">
        <f>IFERROR(__xludf.DUMMYFUNCTION("""COMPUTED_VALUE"""),105.0)</f>
        <v>105</v>
      </c>
      <c r="F612" s="2">
        <f>IFERROR(__xludf.DUMMYFUNCTION("""COMPUTED_VALUE"""),19.98)</f>
        <v>19.98</v>
      </c>
      <c r="G612" s="4">
        <f>IFERROR(__xludf.DUMMYFUNCTION("""COMPUTED_VALUE"""),12489.0)</f>
        <v>12489</v>
      </c>
      <c r="H612" s="2">
        <f>IFERROR(__xludf.DUMMYFUNCTION("""COMPUTED_VALUE"""),625.08)</f>
        <v>625.08</v>
      </c>
    </row>
    <row r="613">
      <c r="A613" s="2" t="str">
        <f>IFERROR(__xludf.DUMMYFUNCTION("""COMPUTED_VALUE"""),"Santa Margalida")</f>
        <v>Santa Margalida</v>
      </c>
      <c r="B613" s="2" t="str">
        <f>IFERROR(__xludf.DUMMYFUNCTION("""COMPUTED_VALUE"""),"Pla de Mallorca")</f>
        <v>Pla de Mallorca</v>
      </c>
      <c r="C613" s="2" t="str">
        <f>IFERROR(__xludf.DUMMYFUNCTION("""COMPUTED_VALUE"""),"Provincia de Baleares")</f>
        <v>Provincia de Baleares</v>
      </c>
      <c r="D613" s="2" t="str">
        <f>IFERROR(__xludf.DUMMYFUNCTION("""COMPUTED_VALUE"""),"Islas Baleares")</f>
        <v>Islas Baleares</v>
      </c>
      <c r="E613" s="2">
        <f>IFERROR(__xludf.DUMMYFUNCTION("""COMPUTED_VALUE"""),100.0)</f>
        <v>100</v>
      </c>
      <c r="F613" s="2">
        <f>IFERROR(__xludf.DUMMYFUNCTION("""COMPUTED_VALUE"""),86.51)</f>
        <v>86.51</v>
      </c>
      <c r="G613" s="4">
        <f>IFERROR(__xludf.DUMMYFUNCTION("""COMPUTED_VALUE"""),12485.0)</f>
        <v>12485</v>
      </c>
      <c r="H613" s="2">
        <f>IFERROR(__xludf.DUMMYFUNCTION("""COMPUTED_VALUE"""),144.32)</f>
        <v>144.32</v>
      </c>
    </row>
    <row r="614">
      <c r="A614" s="2" t="str">
        <f>IFERROR(__xludf.DUMMYFUNCTION("""COMPUTED_VALUE"""),"Coria")</f>
        <v>Coria</v>
      </c>
      <c r="B614" s="2" t="str">
        <f>IFERROR(__xludf.DUMMYFUNCTION("""COMPUTED_VALUE"""),"Vegas del Alagón")</f>
        <v>Vegas del Alagón</v>
      </c>
      <c r="C614" s="2" t="str">
        <f>IFERROR(__xludf.DUMMYFUNCTION("""COMPUTED_VALUE"""),"Provincia de Cáceres")</f>
        <v>Provincia de Cáceres</v>
      </c>
      <c r="D614" s="2" t="str">
        <f>IFERROR(__xludf.DUMMYFUNCTION("""COMPUTED_VALUE"""),"Extremadura")</f>
        <v>Extremadura</v>
      </c>
      <c r="E614" s="2">
        <f>IFERROR(__xludf.DUMMYFUNCTION("""COMPUTED_VALUE"""),280.0)</f>
        <v>280</v>
      </c>
      <c r="F614" s="2">
        <f>IFERROR(__xludf.DUMMYFUNCTION("""COMPUTED_VALUE"""),103.46)</f>
        <v>103.46</v>
      </c>
      <c r="G614" s="4">
        <f>IFERROR(__xludf.DUMMYFUNCTION("""COMPUTED_VALUE"""),12478.0)</f>
        <v>12478</v>
      </c>
      <c r="H614" s="2">
        <f>IFERROR(__xludf.DUMMYFUNCTION("""COMPUTED_VALUE"""),120.61)</f>
        <v>120.61</v>
      </c>
    </row>
    <row r="615">
      <c r="A615" s="2" t="str">
        <f>IFERROR(__xludf.DUMMYFUNCTION("""COMPUTED_VALUE"""),"Brenes")</f>
        <v>Brenes</v>
      </c>
      <c r="B615" s="2" t="str">
        <f>IFERROR(__xludf.DUMMYFUNCTION("""COMPUTED_VALUE"""),"Vega del Guadalquivir")</f>
        <v>Vega del Guadalquivir</v>
      </c>
      <c r="C615" s="2" t="str">
        <f>IFERROR(__xludf.DUMMYFUNCTION("""COMPUTED_VALUE"""),"Provincia de Sevilla")</f>
        <v>Provincia de Sevilla</v>
      </c>
      <c r="D615" s="2" t="str">
        <f>IFERROR(__xludf.DUMMYFUNCTION("""COMPUTED_VALUE"""),"Andalucía")</f>
        <v>Andalucía</v>
      </c>
      <c r="E615" s="2">
        <f>IFERROR(__xludf.DUMMYFUNCTION("""COMPUTED_VALUE"""),18.0)</f>
        <v>18</v>
      </c>
      <c r="F615" s="2">
        <f>IFERROR(__xludf.DUMMYFUNCTION("""COMPUTED_VALUE"""),21.45)</f>
        <v>21.45</v>
      </c>
      <c r="G615" s="4">
        <f>IFERROR(__xludf.DUMMYFUNCTION("""COMPUTED_VALUE"""),12471.0)</f>
        <v>12471</v>
      </c>
      <c r="H615" s="2">
        <f>IFERROR(__xludf.DUMMYFUNCTION("""COMPUTED_VALUE"""),581.4)</f>
        <v>581.4</v>
      </c>
    </row>
    <row r="616">
      <c r="A616" s="2" t="str">
        <f>IFERROR(__xludf.DUMMYFUNCTION("""COMPUTED_VALUE"""),"Antigua")</f>
        <v>Antigua</v>
      </c>
      <c r="B616" s="2"/>
      <c r="C616" s="2" t="str">
        <f>IFERROR(__xludf.DUMMYFUNCTION("""COMPUTED_VALUE"""),"Provincia de Las Palmas")</f>
        <v>Provincia de Las Palmas</v>
      </c>
      <c r="D616" s="2" t="str">
        <f>IFERROR(__xludf.DUMMYFUNCTION("""COMPUTED_VALUE"""),"Canarias")</f>
        <v>Canarias</v>
      </c>
      <c r="E616" s="2">
        <f>IFERROR(__xludf.DUMMYFUNCTION("""COMPUTED_VALUE"""),254.0)</f>
        <v>254</v>
      </c>
      <c r="F616" s="2">
        <f>IFERROR(__xludf.DUMMYFUNCTION("""COMPUTED_VALUE"""),250.25)</f>
        <v>250.25</v>
      </c>
      <c r="G616" s="4">
        <f>IFERROR(__xludf.DUMMYFUNCTION("""COMPUTED_VALUE"""),12461.0)</f>
        <v>12461</v>
      </c>
      <c r="H616" s="2">
        <f>IFERROR(__xludf.DUMMYFUNCTION("""COMPUTED_VALUE"""),49.79)</f>
        <v>49.79</v>
      </c>
    </row>
    <row r="617">
      <c r="A617" s="2" t="str">
        <f>IFERROR(__xludf.DUMMYFUNCTION("""COMPUTED_VALUE"""),"Vilanova del Camí")</f>
        <v>Vilanova del Camí</v>
      </c>
      <c r="B617" s="2" t="str">
        <f>IFERROR(__xludf.DUMMYFUNCTION("""COMPUTED_VALUE"""),"Anoia")</f>
        <v>Anoia</v>
      </c>
      <c r="C617" s="2" t="str">
        <f>IFERROR(__xludf.DUMMYFUNCTION("""COMPUTED_VALUE"""),"Provincia de Barcelona")</f>
        <v>Provincia de Barcelona</v>
      </c>
      <c r="D617" s="2" t="str">
        <f>IFERROR(__xludf.DUMMYFUNCTION("""COMPUTED_VALUE"""),"Cataluña")</f>
        <v>Cataluña</v>
      </c>
      <c r="E617" s="2">
        <f>IFERROR(__xludf.DUMMYFUNCTION("""COMPUTED_VALUE"""),302.0)</f>
        <v>302</v>
      </c>
      <c r="F617" s="2">
        <f>IFERROR(__xludf.DUMMYFUNCTION("""COMPUTED_VALUE"""),10.48)</f>
        <v>10.48</v>
      </c>
      <c r="G617" s="4">
        <f>IFERROR(__xludf.DUMMYFUNCTION("""COMPUTED_VALUE"""),12458.0)</f>
        <v>12458</v>
      </c>
      <c r="H617" s="5">
        <f>IFERROR(__xludf.DUMMYFUNCTION("""COMPUTED_VALUE"""),1188.74)</f>
        <v>1188.74</v>
      </c>
    </row>
    <row r="618">
      <c r="A618" s="2" t="str">
        <f>IFERROR(__xludf.DUMMYFUNCTION("""COMPUTED_VALUE"""),"Argentona")</f>
        <v>Argentona</v>
      </c>
      <c r="B618" s="2" t="str">
        <f>IFERROR(__xludf.DUMMYFUNCTION("""COMPUTED_VALUE"""),"El Maresme")</f>
        <v>El Maresme</v>
      </c>
      <c r="C618" s="2" t="str">
        <f>IFERROR(__xludf.DUMMYFUNCTION("""COMPUTED_VALUE"""),"Provincia de Barcelona")</f>
        <v>Provincia de Barcelona</v>
      </c>
      <c r="D618" s="2" t="str">
        <f>IFERROR(__xludf.DUMMYFUNCTION("""COMPUTED_VALUE"""),"Cataluña")</f>
        <v>Cataluña</v>
      </c>
      <c r="E618" s="2">
        <f>IFERROR(__xludf.DUMMYFUNCTION("""COMPUTED_VALUE"""),88.0)</f>
        <v>88</v>
      </c>
      <c r="F618" s="2">
        <f>IFERROR(__xludf.DUMMYFUNCTION("""COMPUTED_VALUE"""),25.26)</f>
        <v>25.26</v>
      </c>
      <c r="G618" s="4">
        <f>IFERROR(__xludf.DUMMYFUNCTION("""COMPUTED_VALUE"""),12452.0)</f>
        <v>12452</v>
      </c>
      <c r="H618" s="2">
        <f>IFERROR(__xludf.DUMMYFUNCTION("""COMPUTED_VALUE"""),492.95)</f>
        <v>492.95</v>
      </c>
    </row>
    <row r="619">
      <c r="A619" s="2" t="str">
        <f>IFERROR(__xludf.DUMMYFUNCTION("""COMPUTED_VALUE"""),"Berja")</f>
        <v>Berja</v>
      </c>
      <c r="B619" s="2" t="str">
        <f>IFERROR(__xludf.DUMMYFUNCTION("""COMPUTED_VALUE"""),"Poniente Almeriense")</f>
        <v>Poniente Almeriense</v>
      </c>
      <c r="C619" s="2" t="str">
        <f>IFERROR(__xludf.DUMMYFUNCTION("""COMPUTED_VALUE"""),"Provincia de Almería")</f>
        <v>Provincia de Almería</v>
      </c>
      <c r="D619" s="2" t="str">
        <f>IFERROR(__xludf.DUMMYFUNCTION("""COMPUTED_VALUE"""),"Andalucía")</f>
        <v>Andalucía</v>
      </c>
      <c r="E619" s="2">
        <f>IFERROR(__xludf.DUMMYFUNCTION("""COMPUTED_VALUE"""),335.0)</f>
        <v>335</v>
      </c>
      <c r="F619" s="2">
        <f>IFERROR(__xludf.DUMMYFUNCTION("""COMPUTED_VALUE"""),185.81)</f>
        <v>185.81</v>
      </c>
      <c r="G619" s="4">
        <f>IFERROR(__xludf.DUMMYFUNCTION("""COMPUTED_VALUE"""),12415.0)</f>
        <v>12415</v>
      </c>
      <c r="H619" s="2">
        <f>IFERROR(__xludf.DUMMYFUNCTION("""COMPUTED_VALUE"""),66.82)</f>
        <v>66.82</v>
      </c>
    </row>
    <row r="620">
      <c r="A620" s="2" t="str">
        <f>IFERROR(__xludf.DUMMYFUNCTION("""COMPUTED_VALUE"""),"Castellbisbal")</f>
        <v>Castellbisbal</v>
      </c>
      <c r="B620" s="2" t="str">
        <f>IFERROR(__xludf.DUMMYFUNCTION("""COMPUTED_VALUE"""),"Vallès Occidental")</f>
        <v>Vallès Occidental</v>
      </c>
      <c r="C620" s="2" t="str">
        <f>IFERROR(__xludf.DUMMYFUNCTION("""COMPUTED_VALUE"""),"Provincia de Barcelona")</f>
        <v>Provincia de Barcelona</v>
      </c>
      <c r="D620" s="2" t="str">
        <f>IFERROR(__xludf.DUMMYFUNCTION("""COMPUTED_VALUE"""),"Cataluña")</f>
        <v>Cataluña</v>
      </c>
      <c r="E620" s="2">
        <f>IFERROR(__xludf.DUMMYFUNCTION("""COMPUTED_VALUE"""),132.0)</f>
        <v>132</v>
      </c>
      <c r="F620" s="2">
        <f>IFERROR(__xludf.DUMMYFUNCTION("""COMPUTED_VALUE"""),30.98)</f>
        <v>30.98</v>
      </c>
      <c r="G620" s="4">
        <f>IFERROR(__xludf.DUMMYFUNCTION("""COMPUTED_VALUE"""),12390.0)</f>
        <v>12390</v>
      </c>
      <c r="H620" s="2">
        <f>IFERROR(__xludf.DUMMYFUNCTION("""COMPUTED_VALUE"""),399.94)</f>
        <v>399.94</v>
      </c>
    </row>
    <row r="621">
      <c r="A621" s="2" t="str">
        <f>IFERROR(__xludf.DUMMYFUNCTION("""COMPUTED_VALUE"""),"Salobreña")</f>
        <v>Salobreña</v>
      </c>
      <c r="B621" s="2" t="str">
        <f>IFERROR(__xludf.DUMMYFUNCTION("""COMPUTED_VALUE"""),"Costa Granadina")</f>
        <v>Costa Granadina</v>
      </c>
      <c r="C621" s="2" t="str">
        <f>IFERROR(__xludf.DUMMYFUNCTION("""COMPUTED_VALUE"""),"Provincia de Granada")</f>
        <v>Provincia de Granada</v>
      </c>
      <c r="D621" s="2" t="str">
        <f>IFERROR(__xludf.DUMMYFUNCTION("""COMPUTED_VALUE"""),"Andalucía")</f>
        <v>Andalucía</v>
      </c>
      <c r="E621" s="2">
        <f>IFERROR(__xludf.DUMMYFUNCTION("""COMPUTED_VALUE"""),95.0)</f>
        <v>95</v>
      </c>
      <c r="F621" s="2">
        <f>IFERROR(__xludf.DUMMYFUNCTION("""COMPUTED_VALUE"""),34.91)</f>
        <v>34.91</v>
      </c>
      <c r="G621" s="4">
        <f>IFERROR(__xludf.DUMMYFUNCTION("""COMPUTED_VALUE"""),12381.0)</f>
        <v>12381</v>
      </c>
      <c r="H621" s="2">
        <f>IFERROR(__xludf.DUMMYFUNCTION("""COMPUTED_VALUE"""),354.65)</f>
        <v>354.65</v>
      </c>
    </row>
    <row r="622">
      <c r="A622" s="2" t="str">
        <f>IFERROR(__xludf.DUMMYFUNCTION("""COMPUTED_VALUE"""),"Cangas del Narcea")</f>
        <v>Cangas del Narcea</v>
      </c>
      <c r="B622" s="2" t="str">
        <f>IFERROR(__xludf.DUMMYFUNCTION("""COMPUTED_VALUE"""),"Comarca del Narcea")</f>
        <v>Comarca del Narcea</v>
      </c>
      <c r="C622" s="2" t="str">
        <f>IFERROR(__xludf.DUMMYFUNCTION("""COMPUTED_VALUE"""),"Provincia de Asturias")</f>
        <v>Provincia de Asturias</v>
      </c>
      <c r="D622" s="2" t="str">
        <f>IFERROR(__xludf.DUMMYFUNCTION("""COMPUTED_VALUE"""),"Principado de Asturias")</f>
        <v>Principado de Asturias</v>
      </c>
      <c r="E622" s="2">
        <f>IFERROR(__xludf.DUMMYFUNCTION("""COMPUTED_VALUE"""),376.0)</f>
        <v>376</v>
      </c>
      <c r="F622" s="2">
        <f>IFERROR(__xludf.DUMMYFUNCTION("""COMPUTED_VALUE"""),823.58)</f>
        <v>823.58</v>
      </c>
      <c r="G622" s="4">
        <f>IFERROR(__xludf.DUMMYFUNCTION("""COMPUTED_VALUE"""),12347.0)</f>
        <v>12347</v>
      </c>
      <c r="H622" s="2">
        <f>IFERROR(__xludf.DUMMYFUNCTION("""COMPUTED_VALUE"""),14.99)</f>
        <v>14.99</v>
      </c>
    </row>
    <row r="623">
      <c r="A623" s="2" t="str">
        <f>IFERROR(__xludf.DUMMYFUNCTION("""COMPUTED_VALUE"""),"Ciudad Rodrigo")</f>
        <v>Ciudad Rodrigo</v>
      </c>
      <c r="B623" s="2" t="str">
        <f>IFERROR(__xludf.DUMMYFUNCTION("""COMPUTED_VALUE"""),"Comarca de Ciudad Rodrigo")</f>
        <v>Comarca de Ciudad Rodrigo</v>
      </c>
      <c r="C623" s="2" t="str">
        <f>IFERROR(__xludf.DUMMYFUNCTION("""COMPUTED_VALUE"""),"Provincia de Salamanca")</f>
        <v>Provincia de Salamanca</v>
      </c>
      <c r="D623" s="2" t="str">
        <f>IFERROR(__xludf.DUMMYFUNCTION("""COMPUTED_VALUE"""),"Castilla y León")</f>
        <v>Castilla y León</v>
      </c>
      <c r="E623" s="2">
        <f>IFERROR(__xludf.DUMMYFUNCTION("""COMPUTED_VALUE"""),658.0)</f>
        <v>658</v>
      </c>
      <c r="F623" s="2">
        <f>IFERROR(__xludf.DUMMYFUNCTION("""COMPUTED_VALUE"""),240.13)</f>
        <v>240.13</v>
      </c>
      <c r="G623" s="4">
        <f>IFERROR(__xludf.DUMMYFUNCTION("""COMPUTED_VALUE"""),12344.0)</f>
        <v>12344</v>
      </c>
      <c r="H623" s="2">
        <f>IFERROR(__xludf.DUMMYFUNCTION("""COMPUTED_VALUE"""),51.41)</f>
        <v>51.41</v>
      </c>
    </row>
    <row r="624">
      <c r="A624" s="2" t="str">
        <f>IFERROR(__xludf.DUMMYFUNCTION("""COMPUTED_VALUE"""),"Albatera")</f>
        <v>Albatera</v>
      </c>
      <c r="B624" s="2" t="str">
        <f>IFERROR(__xludf.DUMMYFUNCTION("""COMPUTED_VALUE"""),"Vega Baja del Segura")</f>
        <v>Vega Baja del Segura</v>
      </c>
      <c r="C624" s="2" t="str">
        <f>IFERROR(__xludf.DUMMYFUNCTION("""COMPUTED_VALUE"""),"Provincia de Alicante")</f>
        <v>Provincia de Alicante</v>
      </c>
      <c r="D624" s="2" t="str">
        <f>IFERROR(__xludf.DUMMYFUNCTION("""COMPUTED_VALUE"""),"Comunidad Valenciana")</f>
        <v>Comunidad Valenciana</v>
      </c>
      <c r="E624" s="2">
        <f>IFERROR(__xludf.DUMMYFUNCTION("""COMPUTED_VALUE"""),20.0)</f>
        <v>20</v>
      </c>
      <c r="F624" s="2">
        <f>IFERROR(__xludf.DUMMYFUNCTION("""COMPUTED_VALUE"""),61.54)</f>
        <v>61.54</v>
      </c>
      <c r="G624" s="4">
        <f>IFERROR(__xludf.DUMMYFUNCTION("""COMPUTED_VALUE"""),12279.0)</f>
        <v>12279</v>
      </c>
      <c r="H624" s="2">
        <f>IFERROR(__xludf.DUMMYFUNCTION("""COMPUTED_VALUE"""),199.53)</f>
        <v>199.53</v>
      </c>
    </row>
    <row r="625">
      <c r="A625" s="2" t="str">
        <f>IFERROR(__xludf.DUMMYFUNCTION("""COMPUTED_VALUE"""),"Santanyí")</f>
        <v>Santanyí</v>
      </c>
      <c r="B625" s="2" t="str">
        <f>IFERROR(__xludf.DUMMYFUNCTION("""COMPUTED_VALUE"""),"Migjorn")</f>
        <v>Migjorn</v>
      </c>
      <c r="C625" s="2" t="str">
        <f>IFERROR(__xludf.DUMMYFUNCTION("""COMPUTED_VALUE"""),"Provincia de Baleares")</f>
        <v>Provincia de Baleares</v>
      </c>
      <c r="D625" s="2" t="str">
        <f>IFERROR(__xludf.DUMMYFUNCTION("""COMPUTED_VALUE"""),"Islas Baleares")</f>
        <v>Islas Baleares</v>
      </c>
      <c r="E625" s="2">
        <f>IFERROR(__xludf.DUMMYFUNCTION("""COMPUTED_VALUE"""),62.0)</f>
        <v>62</v>
      </c>
      <c r="F625" s="2">
        <f>IFERROR(__xludf.DUMMYFUNCTION("""COMPUTED_VALUE"""),124.86)</f>
        <v>124.86</v>
      </c>
      <c r="G625" s="4">
        <f>IFERROR(__xludf.DUMMYFUNCTION("""COMPUTED_VALUE"""),12237.0)</f>
        <v>12237</v>
      </c>
      <c r="H625" s="2">
        <f>IFERROR(__xludf.DUMMYFUNCTION("""COMPUTED_VALUE"""),98.01)</f>
        <v>98.01</v>
      </c>
    </row>
    <row r="626">
      <c r="A626" s="2" t="str">
        <f>IFERROR(__xludf.DUMMYFUNCTION("""COMPUTED_VALUE"""),"Velilla de San Antonio")</f>
        <v>Velilla de San Antonio</v>
      </c>
      <c r="B626" s="2" t="str">
        <f>IFERROR(__xludf.DUMMYFUNCTION("""COMPUTED_VALUE"""),"Comarca de Alcalá")</f>
        <v>Comarca de Alcalá</v>
      </c>
      <c r="C626" s="2" t="str">
        <f>IFERROR(__xludf.DUMMYFUNCTION("""COMPUTED_VALUE"""),"Provincia de Madrid")</f>
        <v>Provincia de Madrid</v>
      </c>
      <c r="D626" s="2" t="str">
        <f>IFERROR(__xludf.DUMMYFUNCTION("""COMPUTED_VALUE"""),"Comunidad de Madrid")</f>
        <v>Comunidad de Madrid</v>
      </c>
      <c r="E626" s="2">
        <f>IFERROR(__xludf.DUMMYFUNCTION("""COMPUTED_VALUE"""),553.0)</f>
        <v>553</v>
      </c>
      <c r="F626" s="2">
        <f>IFERROR(__xludf.DUMMYFUNCTION("""COMPUTED_VALUE"""),14.35)</f>
        <v>14.35</v>
      </c>
      <c r="G626" s="4">
        <f>IFERROR(__xludf.DUMMYFUNCTION("""COMPUTED_VALUE"""),12236.0)</f>
        <v>12236</v>
      </c>
      <c r="H626" s="2">
        <f>IFERROR(__xludf.DUMMYFUNCTION("""COMPUTED_VALUE"""),852.68)</f>
        <v>852.68</v>
      </c>
    </row>
    <row r="627">
      <c r="A627" s="2" t="str">
        <f>IFERROR(__xludf.DUMMYFUNCTION("""COMPUTED_VALUE"""),"Monóvar")</f>
        <v>Monóvar</v>
      </c>
      <c r="B627" s="2" t="str">
        <f>IFERROR(__xludf.DUMMYFUNCTION("""COMPUTED_VALUE"""),"Medio Vinalopó")</f>
        <v>Medio Vinalopó</v>
      </c>
      <c r="C627" s="2" t="str">
        <f>IFERROR(__xludf.DUMMYFUNCTION("""COMPUTED_VALUE"""),"Provincia de Alicante")</f>
        <v>Provincia de Alicante</v>
      </c>
      <c r="D627" s="2" t="str">
        <f>IFERROR(__xludf.DUMMYFUNCTION("""COMPUTED_VALUE"""),"Comunidad Valenciana")</f>
        <v>Comunidad Valenciana</v>
      </c>
      <c r="E627" s="2">
        <f>IFERROR(__xludf.DUMMYFUNCTION("""COMPUTED_VALUE"""),341.0)</f>
        <v>341</v>
      </c>
      <c r="F627" s="2">
        <f>IFERROR(__xludf.DUMMYFUNCTION("""COMPUTED_VALUE"""),152.36)</f>
        <v>152.36</v>
      </c>
      <c r="G627" s="4">
        <f>IFERROR(__xludf.DUMMYFUNCTION("""COMPUTED_VALUE"""),12167.0)</f>
        <v>12167</v>
      </c>
      <c r="H627" s="2">
        <f>IFERROR(__xludf.DUMMYFUNCTION("""COMPUTED_VALUE"""),79.86)</f>
        <v>79.86</v>
      </c>
    </row>
    <row r="628">
      <c r="A628" s="2" t="str">
        <f>IFERROR(__xludf.DUMMYFUNCTION("""COMPUTED_VALUE"""),"Arrigorriaga")</f>
        <v>Arrigorriaga</v>
      </c>
      <c r="B628" s="2" t="str">
        <f>IFERROR(__xludf.DUMMYFUNCTION("""COMPUTED_VALUE"""),"Gran Bilbao")</f>
        <v>Gran Bilbao</v>
      </c>
      <c r="C628" s="2" t="str">
        <f>IFERROR(__xludf.DUMMYFUNCTION("""COMPUTED_VALUE"""),"Provincia de Bizkaia")</f>
        <v>Provincia de Bizkaia</v>
      </c>
      <c r="D628" s="2" t="str">
        <f>IFERROR(__xludf.DUMMYFUNCTION("""COMPUTED_VALUE"""),"País Vasco")</f>
        <v>País Vasco</v>
      </c>
      <c r="E628" s="2">
        <f>IFERROR(__xludf.DUMMYFUNCTION("""COMPUTED_VALUE"""),58.0)</f>
        <v>58</v>
      </c>
      <c r="F628" s="2">
        <f>IFERROR(__xludf.DUMMYFUNCTION("""COMPUTED_VALUE"""),16.23)</f>
        <v>16.23</v>
      </c>
      <c r="G628" s="4">
        <f>IFERROR(__xludf.DUMMYFUNCTION("""COMPUTED_VALUE"""),12160.0)</f>
        <v>12160</v>
      </c>
      <c r="H628" s="2">
        <f>IFERROR(__xludf.DUMMYFUNCTION("""COMPUTED_VALUE"""),749.23)</f>
        <v>749.23</v>
      </c>
    </row>
    <row r="629">
      <c r="A629" s="2" t="str">
        <f>IFERROR(__xludf.DUMMYFUNCTION("""COMPUTED_VALUE"""),"Villamartín")</f>
        <v>Villamartín</v>
      </c>
      <c r="B629" s="2" t="str">
        <f>IFERROR(__xludf.DUMMYFUNCTION("""COMPUTED_VALUE"""),"Sierra de Cádiz")</f>
        <v>Sierra de Cádiz</v>
      </c>
      <c r="C629" s="2" t="str">
        <f>IFERROR(__xludf.DUMMYFUNCTION("""COMPUTED_VALUE"""),"Provincia de Cádiz")</f>
        <v>Provincia de Cádiz</v>
      </c>
      <c r="D629" s="2" t="str">
        <f>IFERROR(__xludf.DUMMYFUNCTION("""COMPUTED_VALUE"""),"Andalucía")</f>
        <v>Andalucía</v>
      </c>
      <c r="E629" s="2">
        <f>IFERROR(__xludf.DUMMYFUNCTION("""COMPUTED_VALUE"""),167.0)</f>
        <v>167</v>
      </c>
      <c r="F629" s="2">
        <f>IFERROR(__xludf.DUMMYFUNCTION("""COMPUTED_VALUE"""),211.85)</f>
        <v>211.85</v>
      </c>
      <c r="G629" s="4">
        <f>IFERROR(__xludf.DUMMYFUNCTION("""COMPUTED_VALUE"""),12150.0)</f>
        <v>12150</v>
      </c>
      <c r="H629" s="2">
        <f>IFERROR(__xludf.DUMMYFUNCTION("""COMPUTED_VALUE"""),57.35)</f>
        <v>57.35</v>
      </c>
    </row>
    <row r="630">
      <c r="A630" s="2" t="str">
        <f>IFERROR(__xludf.DUMMYFUNCTION("""COMPUTED_VALUE"""),"Socuéllamos")</f>
        <v>Socuéllamos</v>
      </c>
      <c r="B630" s="2" t="str">
        <f>IFERROR(__xludf.DUMMYFUNCTION("""COMPUTED_VALUE"""),"Mancha Alta")</f>
        <v>Mancha Alta</v>
      </c>
      <c r="C630" s="2" t="str">
        <f>IFERROR(__xludf.DUMMYFUNCTION("""COMPUTED_VALUE"""),"Provincia de Ciudad Real")</f>
        <v>Provincia de Ciudad Real</v>
      </c>
      <c r="D630" s="2" t="str">
        <f>IFERROR(__xludf.DUMMYFUNCTION("""COMPUTED_VALUE"""),"Castilla-La Mancha")</f>
        <v>Castilla-La Mancha</v>
      </c>
      <c r="E630" s="2">
        <f>IFERROR(__xludf.DUMMYFUNCTION("""COMPUTED_VALUE"""),600.0)</f>
        <v>600</v>
      </c>
      <c r="F630" s="2">
        <f>IFERROR(__xludf.DUMMYFUNCTION("""COMPUTED_VALUE"""),373.16)</f>
        <v>373.16</v>
      </c>
      <c r="G630" s="4">
        <f>IFERROR(__xludf.DUMMYFUNCTION("""COMPUTED_VALUE"""),12139.0)</f>
        <v>12139</v>
      </c>
      <c r="H630" s="2">
        <f>IFERROR(__xludf.DUMMYFUNCTION("""COMPUTED_VALUE"""),32.53)</f>
        <v>32.53</v>
      </c>
    </row>
    <row r="631">
      <c r="A631" s="2" t="str">
        <f>IFERROR(__xludf.DUMMYFUNCTION("""COMPUTED_VALUE"""),"Mont-roig del Camp")</f>
        <v>Mont-roig del Camp</v>
      </c>
      <c r="B631" s="2" t="str">
        <f>IFERROR(__xludf.DUMMYFUNCTION("""COMPUTED_VALUE"""),"Bajo Campo")</f>
        <v>Bajo Campo</v>
      </c>
      <c r="C631" s="2" t="str">
        <f>IFERROR(__xludf.DUMMYFUNCTION("""COMPUTED_VALUE"""),"Provincia de Tarragona")</f>
        <v>Provincia de Tarragona</v>
      </c>
      <c r="D631" s="2" t="str">
        <f>IFERROR(__xludf.DUMMYFUNCTION("""COMPUTED_VALUE"""),"Cataluña")</f>
        <v>Cataluña</v>
      </c>
      <c r="E631" s="2">
        <f>IFERROR(__xludf.DUMMYFUNCTION("""COMPUTED_VALUE"""),120.0)</f>
        <v>120</v>
      </c>
      <c r="F631" s="2">
        <f>IFERROR(__xludf.DUMMYFUNCTION("""COMPUTED_VALUE"""),63.58)</f>
        <v>63.58</v>
      </c>
      <c r="G631" s="4">
        <f>IFERROR(__xludf.DUMMYFUNCTION("""COMPUTED_VALUE"""),12136.0)</f>
        <v>12136</v>
      </c>
      <c r="H631" s="2">
        <f>IFERROR(__xludf.DUMMYFUNCTION("""COMPUTED_VALUE"""),190.88)</f>
        <v>190.88</v>
      </c>
    </row>
    <row r="632">
      <c r="A632" s="2" t="str">
        <f>IFERROR(__xludf.DUMMYFUNCTION("""COMPUTED_VALUE"""),"Baiona")</f>
        <v>Baiona</v>
      </c>
      <c r="B632" s="2" t="str">
        <f>IFERROR(__xludf.DUMMYFUNCTION("""COMPUTED_VALUE"""),"Comarca de Vigo")</f>
        <v>Comarca de Vigo</v>
      </c>
      <c r="C632" s="2" t="str">
        <f>IFERROR(__xludf.DUMMYFUNCTION("""COMPUTED_VALUE"""),"Provincia de Pontevedra")</f>
        <v>Provincia de Pontevedra</v>
      </c>
      <c r="D632" s="2" t="str">
        <f>IFERROR(__xludf.DUMMYFUNCTION("""COMPUTED_VALUE"""),"Galicia")</f>
        <v>Galicia</v>
      </c>
      <c r="E632" s="2">
        <f>IFERROR(__xludf.DUMMYFUNCTION("""COMPUTED_VALUE"""),622.0)</f>
        <v>622</v>
      </c>
      <c r="F632" s="2">
        <f>IFERROR(__xludf.DUMMYFUNCTION("""COMPUTED_VALUE"""),34.47)</f>
        <v>34.47</v>
      </c>
      <c r="G632" s="4">
        <f>IFERROR(__xludf.DUMMYFUNCTION("""COMPUTED_VALUE"""),12122.0)</f>
        <v>12122</v>
      </c>
      <c r="H632" s="2">
        <f>IFERROR(__xludf.DUMMYFUNCTION("""COMPUTED_VALUE"""),351.67)</f>
        <v>351.67</v>
      </c>
    </row>
    <row r="633">
      <c r="A633" s="2" t="str">
        <f>IFERROR(__xludf.DUMMYFUNCTION("""COMPUTED_VALUE"""),"Formentera")</f>
        <v>Formentera</v>
      </c>
      <c r="B633" s="2"/>
      <c r="C633" s="2" t="str">
        <f>IFERROR(__xludf.DUMMYFUNCTION("""COMPUTED_VALUE"""),"Provincia de Baleares")</f>
        <v>Provincia de Baleares</v>
      </c>
      <c r="D633" s="2" t="str">
        <f>IFERROR(__xludf.DUMMYFUNCTION("""COMPUTED_VALUE"""),"Islas Baleares")</f>
        <v>Islas Baleares</v>
      </c>
      <c r="E633" s="2">
        <f>IFERROR(__xludf.DUMMYFUNCTION("""COMPUTED_VALUE"""),119.0)</f>
        <v>119</v>
      </c>
      <c r="F633" s="2">
        <f>IFERROR(__xludf.DUMMYFUNCTION("""COMPUTED_VALUE"""),83.24)</f>
        <v>83.24</v>
      </c>
      <c r="G633" s="4">
        <f>IFERROR(__xludf.DUMMYFUNCTION("""COMPUTED_VALUE"""),12111.0)</f>
        <v>12111</v>
      </c>
      <c r="H633" s="2">
        <f>IFERROR(__xludf.DUMMYFUNCTION("""COMPUTED_VALUE"""),145.49)</f>
        <v>145.49</v>
      </c>
    </row>
    <row r="634">
      <c r="A634" s="2" t="str">
        <f>IFERROR(__xludf.DUMMYFUNCTION("""COMPUTED_VALUE"""),"La Seu d'Urgell")</f>
        <v>La Seu d'Urgell</v>
      </c>
      <c r="B634" s="2" t="str">
        <f>IFERROR(__xludf.DUMMYFUNCTION("""COMPUTED_VALUE"""),"Alto Urgel")</f>
        <v>Alto Urgel</v>
      </c>
      <c r="C634" s="2" t="str">
        <f>IFERROR(__xludf.DUMMYFUNCTION("""COMPUTED_VALUE"""),"Provincia de Lleida")</f>
        <v>Provincia de Lleida</v>
      </c>
      <c r="D634" s="2" t="str">
        <f>IFERROR(__xludf.DUMMYFUNCTION("""COMPUTED_VALUE"""),"Cataluña")</f>
        <v>Cataluña</v>
      </c>
      <c r="E634" s="2">
        <f>IFERROR(__xludf.DUMMYFUNCTION("""COMPUTED_VALUE"""),691.0)</f>
        <v>691</v>
      </c>
      <c r="F634" s="2">
        <f>IFERROR(__xludf.DUMMYFUNCTION("""COMPUTED_VALUE"""),15.19)</f>
        <v>15.19</v>
      </c>
      <c r="G634" s="4">
        <f>IFERROR(__xludf.DUMMYFUNCTION("""COMPUTED_VALUE"""),12089.0)</f>
        <v>12089</v>
      </c>
      <c r="H634" s="2">
        <f>IFERROR(__xludf.DUMMYFUNCTION("""COMPUTED_VALUE"""),795.85)</f>
        <v>795.85</v>
      </c>
    </row>
    <row r="635">
      <c r="A635" s="2" t="str">
        <f>IFERROR(__xludf.DUMMYFUNCTION("""COMPUTED_VALUE"""),"El Casar")</f>
        <v>El Casar</v>
      </c>
      <c r="B635" s="2" t="str">
        <f>IFERROR(__xludf.DUMMYFUNCTION("""COMPUTED_VALUE"""),"Campiña de Guadalajara")</f>
        <v>Campiña de Guadalajara</v>
      </c>
      <c r="C635" s="2" t="str">
        <f>IFERROR(__xludf.DUMMYFUNCTION("""COMPUTED_VALUE"""),"Provincia de Guadalajara")</f>
        <v>Provincia de Guadalajara</v>
      </c>
      <c r="D635" s="2" t="str">
        <f>IFERROR(__xludf.DUMMYFUNCTION("""COMPUTED_VALUE"""),"Castilla-La Mancha")</f>
        <v>Castilla-La Mancha</v>
      </c>
      <c r="E635" s="2">
        <f>IFERROR(__xludf.DUMMYFUNCTION("""COMPUTED_VALUE"""),831.0)</f>
        <v>831</v>
      </c>
      <c r="F635" s="2">
        <f>IFERROR(__xludf.DUMMYFUNCTION("""COMPUTED_VALUE"""),51.84)</f>
        <v>51.84</v>
      </c>
      <c r="G635" s="4">
        <f>IFERROR(__xludf.DUMMYFUNCTION("""COMPUTED_VALUE"""),12062.0)</f>
        <v>12062</v>
      </c>
      <c r="H635" s="2">
        <f>IFERROR(__xludf.DUMMYFUNCTION("""COMPUTED_VALUE"""),232.68)</f>
        <v>232.68</v>
      </c>
    </row>
    <row r="636">
      <c r="A636" s="2" t="str">
        <f>IFERROR(__xludf.DUMMYFUNCTION("""COMPUTED_VALUE"""),"Montgat")</f>
        <v>Montgat</v>
      </c>
      <c r="B636" s="2" t="str">
        <f>IFERROR(__xludf.DUMMYFUNCTION("""COMPUTED_VALUE"""),"Maresme")</f>
        <v>Maresme</v>
      </c>
      <c r="C636" s="2" t="str">
        <f>IFERROR(__xludf.DUMMYFUNCTION("""COMPUTED_VALUE"""),"Provincia de Barcelona")</f>
        <v>Provincia de Barcelona</v>
      </c>
      <c r="D636" s="2" t="str">
        <f>IFERROR(__xludf.DUMMYFUNCTION("""COMPUTED_VALUE"""),"Cataluña")</f>
        <v>Cataluña</v>
      </c>
      <c r="E636" s="2">
        <f>IFERROR(__xludf.DUMMYFUNCTION("""COMPUTED_VALUE"""),20.0)</f>
        <v>20</v>
      </c>
      <c r="F636" s="2">
        <f>IFERROR(__xludf.DUMMYFUNCTION("""COMPUTED_VALUE"""),2.86)</f>
        <v>2.86</v>
      </c>
      <c r="G636" s="4">
        <f>IFERROR(__xludf.DUMMYFUNCTION("""COMPUTED_VALUE"""),12041.0)</f>
        <v>12041</v>
      </c>
      <c r="H636" s="5">
        <f>IFERROR(__xludf.DUMMYFUNCTION("""COMPUTED_VALUE"""),4210.14)</f>
        <v>4210.14</v>
      </c>
    </row>
    <row r="637">
      <c r="A637" s="2" t="str">
        <f>IFERROR(__xludf.DUMMYFUNCTION("""COMPUTED_VALUE"""),"Huétor Vega")</f>
        <v>Huétor Vega</v>
      </c>
      <c r="B637" s="2" t="str">
        <f>IFERROR(__xludf.DUMMYFUNCTION("""COMPUTED_VALUE"""),"Vega de Granada")</f>
        <v>Vega de Granada</v>
      </c>
      <c r="C637" s="2" t="str">
        <f>IFERROR(__xludf.DUMMYFUNCTION("""COMPUTED_VALUE"""),"Provincia de Granada")</f>
        <v>Provincia de Granada</v>
      </c>
      <c r="D637" s="2" t="str">
        <f>IFERROR(__xludf.DUMMYFUNCTION("""COMPUTED_VALUE"""),"Andalucía")</f>
        <v>Andalucía</v>
      </c>
      <c r="E637" s="2">
        <f>IFERROR(__xludf.DUMMYFUNCTION("""COMPUTED_VALUE"""),724.0)</f>
        <v>724</v>
      </c>
      <c r="F637" s="2">
        <f>IFERROR(__xludf.DUMMYFUNCTION("""COMPUTED_VALUE"""),4.24)</f>
        <v>4.24</v>
      </c>
      <c r="G637" s="4">
        <f>IFERROR(__xludf.DUMMYFUNCTION("""COMPUTED_VALUE"""),12039.0)</f>
        <v>12039</v>
      </c>
      <c r="H637" s="5">
        <f>IFERROR(__xludf.DUMMYFUNCTION("""COMPUTED_VALUE"""),2839.39)</f>
        <v>2839.39</v>
      </c>
    </row>
    <row r="638">
      <c r="A638" s="2" t="str">
        <f>IFERROR(__xludf.DUMMYFUNCTION("""COMPUTED_VALUE"""),"Alcalá del Río")</f>
        <v>Alcalá del Río</v>
      </c>
      <c r="B638" s="2"/>
      <c r="C638" s="2" t="str">
        <f>IFERROR(__xludf.DUMMYFUNCTION("""COMPUTED_VALUE"""),"Provincia de Sevilla")</f>
        <v>Provincia de Sevilla</v>
      </c>
      <c r="D638" s="2" t="str">
        <f>IFERROR(__xludf.DUMMYFUNCTION("""COMPUTED_VALUE"""),"Andalucía")</f>
        <v>Andalucía</v>
      </c>
      <c r="E638" s="2">
        <f>IFERROR(__xludf.DUMMYFUNCTION("""COMPUTED_VALUE"""),30.0)</f>
        <v>30</v>
      </c>
      <c r="F638" s="2">
        <f>IFERROR(__xludf.DUMMYFUNCTION("""COMPUTED_VALUE"""),82.57)</f>
        <v>82.57</v>
      </c>
      <c r="G638" s="4">
        <f>IFERROR(__xludf.DUMMYFUNCTION("""COMPUTED_VALUE"""),12029.0)</f>
        <v>12029</v>
      </c>
      <c r="H638" s="2">
        <f>IFERROR(__xludf.DUMMYFUNCTION("""COMPUTED_VALUE"""),145.68)</f>
        <v>145.68</v>
      </c>
    </row>
    <row r="639">
      <c r="A639" s="2" t="str">
        <f>IFERROR(__xludf.DUMMYFUNCTION("""COMPUTED_VALUE"""),"Bueu")</f>
        <v>Bueu</v>
      </c>
      <c r="B639" s="2" t="str">
        <f>IFERROR(__xludf.DUMMYFUNCTION("""COMPUTED_VALUE"""),"Comarca de El Morrazo")</f>
        <v>Comarca de El Morrazo</v>
      </c>
      <c r="C639" s="2" t="str">
        <f>IFERROR(__xludf.DUMMYFUNCTION("""COMPUTED_VALUE"""),"Provincia de Pontevedra")</f>
        <v>Provincia de Pontevedra</v>
      </c>
      <c r="D639" s="2" t="str">
        <f>IFERROR(__xludf.DUMMYFUNCTION("""COMPUTED_VALUE"""),"Galicia")</f>
        <v>Galicia</v>
      </c>
      <c r="E639" s="2">
        <f>IFERROR(__xludf.DUMMYFUNCTION("""COMPUTED_VALUE"""),239.0)</f>
        <v>239</v>
      </c>
      <c r="F639" s="2">
        <f>IFERROR(__xludf.DUMMYFUNCTION("""COMPUTED_VALUE"""),30.84)</f>
        <v>30.84</v>
      </c>
      <c r="G639" s="4">
        <f>IFERROR(__xludf.DUMMYFUNCTION("""COMPUTED_VALUE"""),12009.0)</f>
        <v>12009</v>
      </c>
      <c r="H639" s="2">
        <f>IFERROR(__xludf.DUMMYFUNCTION("""COMPUTED_VALUE"""),389.4)</f>
        <v>389.4</v>
      </c>
    </row>
    <row r="640">
      <c r="A640" s="2" t="str">
        <f>IFERROR(__xludf.DUMMYFUNCTION("""COMPUTED_VALUE"""),"La Alcudia")</f>
        <v>La Alcudia</v>
      </c>
      <c r="B640" s="2" t="str">
        <f>IFERROR(__xludf.DUMMYFUNCTION("""COMPUTED_VALUE"""),"Ribera Alta (Valencia)")</f>
        <v>Ribera Alta (Valencia)</v>
      </c>
      <c r="C640" s="2" t="str">
        <f>IFERROR(__xludf.DUMMYFUNCTION("""COMPUTED_VALUE"""),"Provincia de València")</f>
        <v>Provincia de València</v>
      </c>
      <c r="D640" s="2" t="str">
        <f>IFERROR(__xludf.DUMMYFUNCTION("""COMPUTED_VALUE"""),"Comunidad Valenciana")</f>
        <v>Comunidad Valenciana</v>
      </c>
      <c r="E640" s="2">
        <f>IFERROR(__xludf.DUMMYFUNCTION("""COMPUTED_VALUE"""),40.0)</f>
        <v>40</v>
      </c>
      <c r="F640" s="2">
        <f>IFERROR(__xludf.DUMMYFUNCTION("""COMPUTED_VALUE"""),23.67)</f>
        <v>23.67</v>
      </c>
      <c r="G640" s="4">
        <f>IFERROR(__xludf.DUMMYFUNCTION("""COMPUTED_VALUE"""),12009.0)</f>
        <v>12009</v>
      </c>
      <c r="H640" s="2">
        <f>IFERROR(__xludf.DUMMYFUNCTION("""COMPUTED_VALUE"""),507.35)</f>
        <v>507.35</v>
      </c>
    </row>
    <row r="641">
      <c r="A641" s="2" t="str">
        <f>IFERROR(__xludf.DUMMYFUNCTION("""COMPUTED_VALUE"""),"Valle de Trápaga")</f>
        <v>Valle de Trápaga</v>
      </c>
      <c r="B641" s="2" t="str">
        <f>IFERROR(__xludf.DUMMYFUNCTION("""COMPUTED_VALUE"""),"Gran Bilbao")</f>
        <v>Gran Bilbao</v>
      </c>
      <c r="C641" s="2" t="str">
        <f>IFERROR(__xludf.DUMMYFUNCTION("""COMPUTED_VALUE"""),"Provincia de Bizkaia")</f>
        <v>Provincia de Bizkaia</v>
      </c>
      <c r="D641" s="2" t="str">
        <f>IFERROR(__xludf.DUMMYFUNCTION("""COMPUTED_VALUE"""),"País Vasco")</f>
        <v>País Vasco</v>
      </c>
      <c r="E641" s="2">
        <f>IFERROR(__xludf.DUMMYFUNCTION("""COMPUTED_VALUE"""),35.0)</f>
        <v>35</v>
      </c>
      <c r="F641" s="2">
        <f>IFERROR(__xludf.DUMMYFUNCTION("""COMPUTED_VALUE"""),12.85)</f>
        <v>12.85</v>
      </c>
      <c r="G641" s="4">
        <f>IFERROR(__xludf.DUMMYFUNCTION("""COMPUTED_VALUE"""),11985.0)</f>
        <v>11985</v>
      </c>
      <c r="H641" s="2">
        <f>IFERROR(__xludf.DUMMYFUNCTION("""COMPUTED_VALUE"""),932.68)</f>
        <v>932.68</v>
      </c>
    </row>
    <row r="642">
      <c r="A642" s="2" t="str">
        <f>IFERROR(__xludf.DUMMYFUNCTION("""COMPUTED_VALUE"""),"Olivenza")</f>
        <v>Olivenza</v>
      </c>
      <c r="B642" s="2" t="str">
        <f>IFERROR(__xludf.DUMMYFUNCTION("""COMPUTED_VALUE"""),"Llanos de Olivenza")</f>
        <v>Llanos de Olivenza</v>
      </c>
      <c r="C642" s="2" t="str">
        <f>IFERROR(__xludf.DUMMYFUNCTION("""COMPUTED_VALUE"""),"Provincia de Badajoz")</f>
        <v>Provincia de Badajoz</v>
      </c>
      <c r="D642" s="2" t="str">
        <f>IFERROR(__xludf.DUMMYFUNCTION("""COMPUTED_VALUE"""),"Extremadura")</f>
        <v>Extremadura</v>
      </c>
      <c r="E642" s="2">
        <f>IFERROR(__xludf.DUMMYFUNCTION("""COMPUTED_VALUE"""),327.0)</f>
        <v>327</v>
      </c>
      <c r="F642" s="2">
        <f>IFERROR(__xludf.DUMMYFUNCTION("""COMPUTED_VALUE"""),430.14)</f>
        <v>430.14</v>
      </c>
      <c r="G642" s="4">
        <f>IFERROR(__xludf.DUMMYFUNCTION("""COMPUTED_VALUE"""),11963.0)</f>
        <v>11963</v>
      </c>
      <c r="H642" s="2">
        <f>IFERROR(__xludf.DUMMYFUNCTION("""COMPUTED_VALUE"""),27.81)</f>
        <v>27.81</v>
      </c>
    </row>
    <row r="643">
      <c r="A643" s="2" t="str">
        <f>IFERROR(__xludf.DUMMYFUNCTION("""COMPUTED_VALUE"""),"Benifaió")</f>
        <v>Benifaió</v>
      </c>
      <c r="B643" s="2" t="str">
        <f>IFERROR(__xludf.DUMMYFUNCTION("""COMPUTED_VALUE"""),"Ribera Alta (Valencia)")</f>
        <v>Ribera Alta (Valencia)</v>
      </c>
      <c r="C643" s="2" t="str">
        <f>IFERROR(__xludf.DUMMYFUNCTION("""COMPUTED_VALUE"""),"Provincia de València")</f>
        <v>Provincia de València</v>
      </c>
      <c r="D643" s="2" t="str">
        <f>IFERROR(__xludf.DUMMYFUNCTION("""COMPUTED_VALUE"""),"Comunidad Valenciana")</f>
        <v>Comunidad Valenciana</v>
      </c>
      <c r="E643" s="2">
        <f>IFERROR(__xludf.DUMMYFUNCTION("""COMPUTED_VALUE"""),35.0)</f>
        <v>35</v>
      </c>
      <c r="F643" s="2">
        <f>IFERROR(__xludf.DUMMYFUNCTION("""COMPUTED_VALUE"""),20.15)</f>
        <v>20.15</v>
      </c>
      <c r="G643" s="4">
        <f>IFERROR(__xludf.DUMMYFUNCTION("""COMPUTED_VALUE"""),11962.0)</f>
        <v>11962</v>
      </c>
      <c r="H643" s="2">
        <f>IFERROR(__xludf.DUMMYFUNCTION("""COMPUTED_VALUE"""),593.65)</f>
        <v>593.65</v>
      </c>
    </row>
    <row r="644">
      <c r="A644" s="2" t="str">
        <f>IFERROR(__xludf.DUMMYFUNCTION("""COMPUTED_VALUE"""),"Bolaños de Calatrava")</f>
        <v>Bolaños de Calatrava</v>
      </c>
      <c r="B644" s="2" t="str">
        <f>IFERROR(__xludf.DUMMYFUNCTION("""COMPUTED_VALUE"""),"Campo de Calatrava")</f>
        <v>Campo de Calatrava</v>
      </c>
      <c r="C644" s="2" t="str">
        <f>IFERROR(__xludf.DUMMYFUNCTION("""COMPUTED_VALUE"""),"Provincia de Ciudad Real")</f>
        <v>Provincia de Ciudad Real</v>
      </c>
      <c r="D644" s="2" t="str">
        <f>IFERROR(__xludf.DUMMYFUNCTION("""COMPUTED_VALUE"""),"Castilla-La Mancha")</f>
        <v>Castilla-La Mancha</v>
      </c>
      <c r="E644" s="2">
        <f>IFERROR(__xludf.DUMMYFUNCTION("""COMPUTED_VALUE"""),646.0)</f>
        <v>646</v>
      </c>
      <c r="F644" s="2">
        <f>IFERROR(__xludf.DUMMYFUNCTION("""COMPUTED_VALUE"""),87.89)</f>
        <v>87.89</v>
      </c>
      <c r="G644" s="4">
        <f>IFERROR(__xludf.DUMMYFUNCTION("""COMPUTED_VALUE"""),11934.0)</f>
        <v>11934</v>
      </c>
      <c r="H644" s="2">
        <f>IFERROR(__xludf.DUMMYFUNCTION("""COMPUTED_VALUE"""),135.78)</f>
        <v>135.78</v>
      </c>
    </row>
    <row r="645">
      <c r="A645" s="2" t="str">
        <f>IFERROR(__xludf.DUMMYFUNCTION("""COMPUTED_VALUE"""),"La Puebla del Río")</f>
        <v>La Puebla del Río</v>
      </c>
      <c r="B645" s="2" t="str">
        <f>IFERROR(__xludf.DUMMYFUNCTION("""COMPUTED_VALUE"""),"Comarca Metropolitana de Sevilla")</f>
        <v>Comarca Metropolitana de Sevilla</v>
      </c>
      <c r="C645" s="2" t="str">
        <f>IFERROR(__xludf.DUMMYFUNCTION("""COMPUTED_VALUE"""),"Provincia de Sevilla")</f>
        <v>Provincia de Sevilla</v>
      </c>
      <c r="D645" s="2" t="str">
        <f>IFERROR(__xludf.DUMMYFUNCTION("""COMPUTED_VALUE"""),"Andalucía")</f>
        <v>Andalucía</v>
      </c>
      <c r="E645" s="2">
        <f>IFERROR(__xludf.DUMMYFUNCTION("""COMPUTED_VALUE"""),20.0)</f>
        <v>20</v>
      </c>
      <c r="F645" s="2">
        <f>IFERROR(__xludf.DUMMYFUNCTION("""COMPUTED_VALUE"""),374.8)</f>
        <v>374.8</v>
      </c>
      <c r="G645" s="4">
        <f>IFERROR(__xludf.DUMMYFUNCTION("""COMPUTED_VALUE"""),11868.0)</f>
        <v>11868</v>
      </c>
      <c r="H645" s="2">
        <f>IFERROR(__xludf.DUMMYFUNCTION("""COMPUTED_VALUE"""),31.66)</f>
        <v>31.66</v>
      </c>
    </row>
    <row r="646">
      <c r="A646" s="2" t="str">
        <f>IFERROR(__xludf.DUMMYFUNCTION("""COMPUTED_VALUE"""),"Capdepera")</f>
        <v>Capdepera</v>
      </c>
      <c r="B646" s="2" t="str">
        <f>IFERROR(__xludf.DUMMYFUNCTION("""COMPUTED_VALUE"""),"Llevant")</f>
        <v>Llevant</v>
      </c>
      <c r="C646" s="2" t="str">
        <f>IFERROR(__xludf.DUMMYFUNCTION("""COMPUTED_VALUE"""),"Provincia de Baleares")</f>
        <v>Provincia de Baleares</v>
      </c>
      <c r="D646" s="2" t="str">
        <f>IFERROR(__xludf.DUMMYFUNCTION("""COMPUTED_VALUE"""),"Islas Baleares")</f>
        <v>Islas Baleares</v>
      </c>
      <c r="E646" s="2">
        <f>IFERROR(__xludf.DUMMYFUNCTION("""COMPUTED_VALUE"""),111.0)</f>
        <v>111</v>
      </c>
      <c r="F646" s="2">
        <f>IFERROR(__xludf.DUMMYFUNCTION("""COMPUTED_VALUE"""),54.92)</f>
        <v>54.92</v>
      </c>
      <c r="G646" s="4">
        <f>IFERROR(__xludf.DUMMYFUNCTION("""COMPUTED_VALUE"""),11868.0)</f>
        <v>11868</v>
      </c>
      <c r="H646" s="2">
        <f>IFERROR(__xludf.DUMMYFUNCTION("""COMPUTED_VALUE"""),216.1)</f>
        <v>216.1</v>
      </c>
    </row>
    <row r="647">
      <c r="A647" s="2" t="str">
        <f>IFERROR(__xludf.DUMMYFUNCTION("""COMPUTED_VALUE"""),"Albox")</f>
        <v>Albox</v>
      </c>
      <c r="B647" s="2" t="str">
        <f>IFERROR(__xludf.DUMMYFUNCTION("""COMPUTED_VALUE"""),"Valle del Almanzora")</f>
        <v>Valle del Almanzora</v>
      </c>
      <c r="C647" s="2" t="str">
        <f>IFERROR(__xludf.DUMMYFUNCTION("""COMPUTED_VALUE"""),"Provincia de Almería")</f>
        <v>Provincia de Almería</v>
      </c>
      <c r="D647" s="2" t="str">
        <f>IFERROR(__xludf.DUMMYFUNCTION("""COMPUTED_VALUE"""),"Andalucía")</f>
        <v>Andalucía</v>
      </c>
      <c r="E647" s="2">
        <f>IFERROR(__xludf.DUMMYFUNCTION("""COMPUTED_VALUE"""),420.0)</f>
        <v>420</v>
      </c>
      <c r="F647" s="2">
        <f>IFERROR(__xludf.DUMMYFUNCTION("""COMPUTED_VALUE"""),168.28)</f>
        <v>168.28</v>
      </c>
      <c r="G647" s="4">
        <f>IFERROR(__xludf.DUMMYFUNCTION("""COMPUTED_VALUE"""),11805.0)</f>
        <v>11805</v>
      </c>
      <c r="H647" s="2">
        <f>IFERROR(__xludf.DUMMYFUNCTION("""COMPUTED_VALUE"""),70.15)</f>
        <v>70.15</v>
      </c>
    </row>
    <row r="648">
      <c r="A648" s="2" t="str">
        <f>IFERROR(__xludf.DUMMYFUNCTION("""COMPUTED_VALUE"""),"Ceutí")</f>
        <v>Ceutí</v>
      </c>
      <c r="B648" s="2" t="str">
        <f>IFERROR(__xludf.DUMMYFUNCTION("""COMPUTED_VALUE"""),"Vega Media del Segura")</f>
        <v>Vega Media del Segura</v>
      </c>
      <c r="C648" s="2" t="str">
        <f>IFERROR(__xludf.DUMMYFUNCTION("""COMPUTED_VALUE"""),"Provincia de Murcia")</f>
        <v>Provincia de Murcia</v>
      </c>
      <c r="D648" s="2" t="str">
        <f>IFERROR(__xludf.DUMMYFUNCTION("""COMPUTED_VALUE"""),"Región de Murcia")</f>
        <v>Región de Murcia</v>
      </c>
      <c r="E648" s="2">
        <f>IFERROR(__xludf.DUMMYFUNCTION("""COMPUTED_VALUE"""),62.0)</f>
        <v>62</v>
      </c>
      <c r="F648" s="2">
        <f>IFERROR(__xludf.DUMMYFUNCTION("""COMPUTED_VALUE"""),10.3)</f>
        <v>10.3</v>
      </c>
      <c r="G648" s="4">
        <f>IFERROR(__xludf.DUMMYFUNCTION("""COMPUTED_VALUE"""),11787.0)</f>
        <v>11787</v>
      </c>
      <c r="H648" s="5">
        <f>IFERROR(__xludf.DUMMYFUNCTION("""COMPUTED_VALUE"""),1144.37)</f>
        <v>1144.37</v>
      </c>
    </row>
    <row r="649">
      <c r="A649" s="2" t="str">
        <f>IFERROR(__xludf.DUMMYFUNCTION("""COMPUTED_VALUE"""),"Medina-Sidonia")</f>
        <v>Medina-Sidonia</v>
      </c>
      <c r="B649" s="2" t="str">
        <f>IFERROR(__xludf.DUMMYFUNCTION("""COMPUTED_VALUE"""),"La Janda")</f>
        <v>La Janda</v>
      </c>
      <c r="C649" s="2" t="str">
        <f>IFERROR(__xludf.DUMMYFUNCTION("""COMPUTED_VALUE"""),"Provincia de Cádiz")</f>
        <v>Provincia de Cádiz</v>
      </c>
      <c r="D649" s="2" t="str">
        <f>IFERROR(__xludf.DUMMYFUNCTION("""COMPUTED_VALUE"""),"Andalucía")</f>
        <v>Andalucía</v>
      </c>
      <c r="E649" s="2">
        <f>IFERROR(__xludf.DUMMYFUNCTION("""COMPUTED_VALUE"""),337.0)</f>
        <v>337</v>
      </c>
      <c r="F649" s="2">
        <f>IFERROR(__xludf.DUMMYFUNCTION("""COMPUTED_VALUE"""),487.23)</f>
        <v>487.23</v>
      </c>
      <c r="G649" s="4">
        <f>IFERROR(__xludf.DUMMYFUNCTION("""COMPUTED_VALUE"""),11708.0)</f>
        <v>11708</v>
      </c>
      <c r="H649" s="2">
        <f>IFERROR(__xludf.DUMMYFUNCTION("""COMPUTED_VALUE"""),24.03)</f>
        <v>24.03</v>
      </c>
    </row>
    <row r="650">
      <c r="A650" s="2" t="str">
        <f>IFERROR(__xludf.DUMMYFUNCTION("""COMPUTED_VALUE"""),"Jódar")</f>
        <v>Jódar</v>
      </c>
      <c r="B650" s="2" t="str">
        <f>IFERROR(__xludf.DUMMYFUNCTION("""COMPUTED_VALUE"""),"Comarca de Sierra Mágina")</f>
        <v>Comarca de Sierra Mágina</v>
      </c>
      <c r="C650" s="2" t="str">
        <f>IFERROR(__xludf.DUMMYFUNCTION("""COMPUTED_VALUE"""),"Provincia de Jaén")</f>
        <v>Provincia de Jaén</v>
      </c>
      <c r="D650" s="2" t="str">
        <f>IFERROR(__xludf.DUMMYFUNCTION("""COMPUTED_VALUE"""),"Andalucía")</f>
        <v>Andalucía</v>
      </c>
      <c r="E650" s="2">
        <f>IFERROR(__xludf.DUMMYFUNCTION("""COMPUTED_VALUE"""),647.0)</f>
        <v>647</v>
      </c>
      <c r="F650" s="2">
        <f>IFERROR(__xludf.DUMMYFUNCTION("""COMPUTED_VALUE"""),148.78)</f>
        <v>148.78</v>
      </c>
      <c r="G650" s="4">
        <f>IFERROR(__xludf.DUMMYFUNCTION("""COMPUTED_VALUE"""),11667.0)</f>
        <v>11667</v>
      </c>
      <c r="H650" s="2">
        <f>IFERROR(__xludf.DUMMYFUNCTION("""COMPUTED_VALUE"""),78.42)</f>
        <v>78.42</v>
      </c>
    </row>
    <row r="651">
      <c r="A651" s="2" t="str">
        <f>IFERROR(__xludf.DUMMYFUNCTION("""COMPUTED_VALUE"""),"Torroella de Montgrí")</f>
        <v>Torroella de Montgrí</v>
      </c>
      <c r="B651" s="2" t="str">
        <f>IFERROR(__xludf.DUMMYFUNCTION("""COMPUTED_VALUE"""),"Baix Empordà")</f>
        <v>Baix Empordà</v>
      </c>
      <c r="C651" s="2" t="str">
        <f>IFERROR(__xludf.DUMMYFUNCTION("""COMPUTED_VALUE"""),"Provincia de Girona")</f>
        <v>Provincia de Girona</v>
      </c>
      <c r="D651" s="2" t="str">
        <f>IFERROR(__xludf.DUMMYFUNCTION("""COMPUTED_VALUE"""),"Cataluña")</f>
        <v>Cataluña</v>
      </c>
      <c r="E651" s="2">
        <f>IFERROR(__xludf.DUMMYFUNCTION("""COMPUTED_VALUE"""),31.0)</f>
        <v>31</v>
      </c>
      <c r="F651" s="2">
        <f>IFERROR(__xludf.DUMMYFUNCTION("""COMPUTED_VALUE"""),66.11)</f>
        <v>66.11</v>
      </c>
      <c r="G651" s="4">
        <f>IFERROR(__xludf.DUMMYFUNCTION("""COMPUTED_VALUE"""),11645.0)</f>
        <v>11645</v>
      </c>
      <c r="H651" s="2">
        <f>IFERROR(__xludf.DUMMYFUNCTION("""COMPUTED_VALUE"""),176.15)</f>
        <v>176.15</v>
      </c>
    </row>
    <row r="652">
      <c r="A652" s="2" t="str">
        <f>IFERROR(__xludf.DUMMYFUNCTION("""COMPUTED_VALUE"""),"Azkoitia")</f>
        <v>Azkoitia</v>
      </c>
      <c r="B652" s="2" t="str">
        <f>IFERROR(__xludf.DUMMYFUNCTION("""COMPUTED_VALUE"""),"Urola-Costa")</f>
        <v>Urola-Costa</v>
      </c>
      <c r="C652" s="2" t="str">
        <f>IFERROR(__xludf.DUMMYFUNCTION("""COMPUTED_VALUE"""),"Provincia de Gipuzkoa")</f>
        <v>Provincia de Gipuzkoa</v>
      </c>
      <c r="D652" s="2" t="str">
        <f>IFERROR(__xludf.DUMMYFUNCTION("""COMPUTED_VALUE"""),"País Vasco")</f>
        <v>País Vasco</v>
      </c>
      <c r="E652" s="2">
        <f>IFERROR(__xludf.DUMMYFUNCTION("""COMPUTED_VALUE"""),113.0)</f>
        <v>113</v>
      </c>
      <c r="F652" s="2">
        <f>IFERROR(__xludf.DUMMYFUNCTION("""COMPUTED_VALUE"""),54.71)</f>
        <v>54.71</v>
      </c>
      <c r="G652" s="4">
        <f>IFERROR(__xludf.DUMMYFUNCTION("""COMPUTED_VALUE"""),11633.0)</f>
        <v>11633</v>
      </c>
      <c r="H652" s="2">
        <f>IFERROR(__xludf.DUMMYFUNCTION("""COMPUTED_VALUE"""),212.63)</f>
        <v>212.63</v>
      </c>
    </row>
    <row r="653">
      <c r="A653" s="2" t="str">
        <f>IFERROR(__xludf.DUMMYFUNCTION("""COMPUTED_VALUE"""),"Elgoibar")</f>
        <v>Elgoibar</v>
      </c>
      <c r="B653" s="2" t="str">
        <f>IFERROR(__xludf.DUMMYFUNCTION("""COMPUTED_VALUE"""),"Bajo Deva")</f>
        <v>Bajo Deva</v>
      </c>
      <c r="C653" s="2" t="str">
        <f>IFERROR(__xludf.DUMMYFUNCTION("""COMPUTED_VALUE"""),"Provincia de Gipuzkoa")</f>
        <v>Provincia de Gipuzkoa</v>
      </c>
      <c r="D653" s="2" t="str">
        <f>IFERROR(__xludf.DUMMYFUNCTION("""COMPUTED_VALUE"""),"País Vasco")</f>
        <v>País Vasco</v>
      </c>
      <c r="E653" s="2"/>
      <c r="F653" s="2">
        <f>IFERROR(__xludf.DUMMYFUNCTION("""COMPUTED_VALUE"""),39.11)</f>
        <v>39.11</v>
      </c>
      <c r="G653" s="4">
        <f>IFERROR(__xludf.DUMMYFUNCTION("""COMPUTED_VALUE"""),11613.0)</f>
        <v>11613</v>
      </c>
      <c r="H653" s="2">
        <f>IFERROR(__xludf.DUMMYFUNCTION("""COMPUTED_VALUE"""),296.93)</f>
        <v>296.93</v>
      </c>
    </row>
    <row r="654">
      <c r="A654" s="2" t="str">
        <f>IFERROR(__xludf.DUMMYFUNCTION("""COMPUTED_VALUE"""),"Ocaña")</f>
        <v>Ocaña</v>
      </c>
      <c r="B654" s="2" t="str">
        <f>IFERROR(__xludf.DUMMYFUNCTION("""COMPUTED_VALUE"""),"Mesa de Ocaña")</f>
        <v>Mesa de Ocaña</v>
      </c>
      <c r="C654" s="2" t="str">
        <f>IFERROR(__xludf.DUMMYFUNCTION("""COMPUTED_VALUE"""),"Provincia de Toledo")</f>
        <v>Provincia de Toledo</v>
      </c>
      <c r="D654" s="2" t="str">
        <f>IFERROR(__xludf.DUMMYFUNCTION("""COMPUTED_VALUE"""),"Castilla-La Mancha")</f>
        <v>Castilla-La Mancha</v>
      </c>
      <c r="E654" s="2">
        <f>IFERROR(__xludf.DUMMYFUNCTION("""COMPUTED_VALUE"""),730.0)</f>
        <v>730</v>
      </c>
      <c r="F654" s="2">
        <f>IFERROR(__xludf.DUMMYFUNCTION("""COMPUTED_VALUE"""),147.9)</f>
        <v>147.9</v>
      </c>
      <c r="G654" s="4">
        <f>IFERROR(__xludf.DUMMYFUNCTION("""COMPUTED_VALUE"""),11597.0)</f>
        <v>11597</v>
      </c>
      <c r="H654" s="2">
        <f>IFERROR(__xludf.DUMMYFUNCTION("""COMPUTED_VALUE"""),78.41)</f>
        <v>78.41</v>
      </c>
    </row>
    <row r="655">
      <c r="A655" s="2" t="str">
        <f>IFERROR(__xludf.DUMMYFUNCTION("""COMPUTED_VALUE"""),"Son Servera")</f>
        <v>Son Servera</v>
      </c>
      <c r="B655" s="2" t="str">
        <f>IFERROR(__xludf.DUMMYFUNCTION("""COMPUTED_VALUE"""),"Llevant")</f>
        <v>Llevant</v>
      </c>
      <c r="C655" s="2" t="str">
        <f>IFERROR(__xludf.DUMMYFUNCTION("""COMPUTED_VALUE"""),"Provincia de Baleares")</f>
        <v>Provincia de Baleares</v>
      </c>
      <c r="D655" s="2" t="str">
        <f>IFERROR(__xludf.DUMMYFUNCTION("""COMPUTED_VALUE"""),"Islas Baleares")</f>
        <v>Islas Baleares</v>
      </c>
      <c r="E655" s="2">
        <f>IFERROR(__xludf.DUMMYFUNCTION("""COMPUTED_VALUE"""),103.0)</f>
        <v>103</v>
      </c>
      <c r="F655" s="2">
        <f>IFERROR(__xludf.DUMMYFUNCTION("""COMPUTED_VALUE"""),42.56)</f>
        <v>42.56</v>
      </c>
      <c r="G655" s="4">
        <f>IFERROR(__xludf.DUMMYFUNCTION("""COMPUTED_VALUE"""),11568.0)</f>
        <v>11568</v>
      </c>
      <c r="H655" s="2">
        <f>IFERROR(__xludf.DUMMYFUNCTION("""COMPUTED_VALUE"""),271.8)</f>
        <v>271.8</v>
      </c>
    </row>
    <row r="656">
      <c r="A656" s="2" t="str">
        <f>IFERROR(__xludf.DUMMYFUNCTION("""COMPUTED_VALUE"""),"Etxebarri")</f>
        <v>Etxebarri</v>
      </c>
      <c r="B656" s="2" t="str">
        <f>IFERROR(__xludf.DUMMYFUNCTION("""COMPUTED_VALUE"""),"Gran Bilbao")</f>
        <v>Gran Bilbao</v>
      </c>
      <c r="C656" s="2" t="str">
        <f>IFERROR(__xludf.DUMMYFUNCTION("""COMPUTED_VALUE"""),"Provincia de Bizkaia")</f>
        <v>Provincia de Bizkaia</v>
      </c>
      <c r="D656" s="2" t="str">
        <f>IFERROR(__xludf.DUMMYFUNCTION("""COMPUTED_VALUE"""),"País Vasco")</f>
        <v>País Vasco</v>
      </c>
      <c r="E656" s="2">
        <f>IFERROR(__xludf.DUMMYFUNCTION("""COMPUTED_VALUE"""),35.0)</f>
        <v>35</v>
      </c>
      <c r="F656" s="2">
        <f>IFERROR(__xludf.DUMMYFUNCTION("""COMPUTED_VALUE"""),3.27)</f>
        <v>3.27</v>
      </c>
      <c r="G656" s="4">
        <f>IFERROR(__xludf.DUMMYFUNCTION("""COMPUTED_VALUE"""),11563.0)</f>
        <v>11563</v>
      </c>
      <c r="H656" s="5">
        <f>IFERROR(__xludf.DUMMYFUNCTION("""COMPUTED_VALUE"""),3536.09)</f>
        <v>3536.09</v>
      </c>
    </row>
    <row r="657">
      <c r="A657" s="2" t="str">
        <f>IFERROR(__xludf.DUMMYFUNCTION("""COMPUTED_VALUE"""),"Utiel")</f>
        <v>Utiel</v>
      </c>
      <c r="B657" s="2" t="str">
        <f>IFERROR(__xludf.DUMMYFUNCTION("""COMPUTED_VALUE"""),"Requena-Utiel")</f>
        <v>Requena-Utiel</v>
      </c>
      <c r="C657" s="2" t="str">
        <f>IFERROR(__xludf.DUMMYFUNCTION("""COMPUTED_VALUE"""),"Provincia de València")</f>
        <v>Provincia de València</v>
      </c>
      <c r="D657" s="2" t="str">
        <f>IFERROR(__xludf.DUMMYFUNCTION("""COMPUTED_VALUE"""),"Comunidad Valenciana")</f>
        <v>Comunidad Valenciana</v>
      </c>
      <c r="E657" s="2">
        <f>IFERROR(__xludf.DUMMYFUNCTION("""COMPUTED_VALUE"""),720.0)</f>
        <v>720</v>
      </c>
      <c r="F657" s="2">
        <f>IFERROR(__xludf.DUMMYFUNCTION("""COMPUTED_VALUE"""),236.91)</f>
        <v>236.91</v>
      </c>
      <c r="G657" s="4">
        <f>IFERROR(__xludf.DUMMYFUNCTION("""COMPUTED_VALUE"""),11531.0)</f>
        <v>11531</v>
      </c>
      <c r="H657" s="2">
        <f>IFERROR(__xludf.DUMMYFUNCTION("""COMPUTED_VALUE"""),48.67)</f>
        <v>48.67</v>
      </c>
    </row>
    <row r="658">
      <c r="A658" s="2" t="str">
        <f>IFERROR(__xludf.DUMMYFUNCTION("""COMPUTED_VALUE"""),"Bullas")</f>
        <v>Bullas</v>
      </c>
      <c r="B658" s="2" t="str">
        <f>IFERROR(__xludf.DUMMYFUNCTION("""COMPUTED_VALUE"""),"Comarca del Noroeste")</f>
        <v>Comarca del Noroeste</v>
      </c>
      <c r="C658" s="2" t="str">
        <f>IFERROR(__xludf.DUMMYFUNCTION("""COMPUTED_VALUE"""),"Provincia de Murcia")</f>
        <v>Provincia de Murcia</v>
      </c>
      <c r="D658" s="2" t="str">
        <f>IFERROR(__xludf.DUMMYFUNCTION("""COMPUTED_VALUE"""),"Región de Murcia")</f>
        <v>Región de Murcia</v>
      </c>
      <c r="E658" s="2">
        <f>IFERROR(__xludf.DUMMYFUNCTION("""COMPUTED_VALUE"""),650.0)</f>
        <v>650</v>
      </c>
      <c r="F658" s="2">
        <f>IFERROR(__xludf.DUMMYFUNCTION("""COMPUTED_VALUE"""),82.5)</f>
        <v>82.5</v>
      </c>
      <c r="G658" s="4">
        <f>IFERROR(__xludf.DUMMYFUNCTION("""COMPUTED_VALUE"""),11530.0)</f>
        <v>11530</v>
      </c>
      <c r="H658" s="2">
        <f>IFERROR(__xludf.DUMMYFUNCTION("""COMPUTED_VALUE"""),139.76)</f>
        <v>139.76</v>
      </c>
    </row>
    <row r="659">
      <c r="A659" s="2" t="str">
        <f>IFERROR(__xludf.DUMMYFUNCTION("""COMPUTED_VALUE"""),"Picanya")</f>
        <v>Picanya</v>
      </c>
      <c r="B659" s="2" t="str">
        <f>IFERROR(__xludf.DUMMYFUNCTION("""COMPUTED_VALUE"""),"L'Horta Oest")</f>
        <v>L'Horta Oest</v>
      </c>
      <c r="C659" s="2" t="str">
        <f>IFERROR(__xludf.DUMMYFUNCTION("""COMPUTED_VALUE"""),"Provincia de València")</f>
        <v>Provincia de València</v>
      </c>
      <c r="D659" s="2" t="str">
        <f>IFERROR(__xludf.DUMMYFUNCTION("""COMPUTED_VALUE"""),"Comunidad Valenciana")</f>
        <v>Comunidad Valenciana</v>
      </c>
      <c r="E659" s="2">
        <f>IFERROR(__xludf.DUMMYFUNCTION("""COMPUTED_VALUE"""),15.0)</f>
        <v>15</v>
      </c>
      <c r="F659" s="2">
        <f>IFERROR(__xludf.DUMMYFUNCTION("""COMPUTED_VALUE"""),7.2)</f>
        <v>7.2</v>
      </c>
      <c r="G659" s="4">
        <f>IFERROR(__xludf.DUMMYFUNCTION("""COMPUTED_VALUE"""),11513.0)</f>
        <v>11513</v>
      </c>
      <c r="H659" s="5">
        <f>IFERROR(__xludf.DUMMYFUNCTION("""COMPUTED_VALUE"""),1599.03)</f>
        <v>1599.03</v>
      </c>
    </row>
    <row r="660">
      <c r="A660" s="2" t="str">
        <f>IFERROR(__xludf.DUMMYFUNCTION("""COMPUTED_VALUE"""),"Cocentaina")</f>
        <v>Cocentaina</v>
      </c>
      <c r="B660" s="2" t="str">
        <f>IFERROR(__xludf.DUMMYFUNCTION("""COMPUTED_VALUE"""),"Condado de Cocentaina")</f>
        <v>Condado de Cocentaina</v>
      </c>
      <c r="C660" s="2" t="str">
        <f>IFERROR(__xludf.DUMMYFUNCTION("""COMPUTED_VALUE"""),"Provincia de Alicante")</f>
        <v>Provincia de Alicante</v>
      </c>
      <c r="D660" s="2" t="str">
        <f>IFERROR(__xludf.DUMMYFUNCTION("""COMPUTED_VALUE"""),"Comunidad Valenciana")</f>
        <v>Comunidad Valenciana</v>
      </c>
      <c r="E660" s="2">
        <f>IFERROR(__xludf.DUMMYFUNCTION("""COMPUTED_VALUE"""),430.0)</f>
        <v>430</v>
      </c>
      <c r="F660" s="2">
        <f>IFERROR(__xludf.DUMMYFUNCTION("""COMPUTED_VALUE"""),52.94)</f>
        <v>52.94</v>
      </c>
      <c r="G660" s="4">
        <f>IFERROR(__xludf.DUMMYFUNCTION("""COMPUTED_VALUE"""),11511.0)</f>
        <v>11511</v>
      </c>
      <c r="H660" s="2">
        <f>IFERROR(__xludf.DUMMYFUNCTION("""COMPUTED_VALUE"""),217.43)</f>
        <v>217.43</v>
      </c>
    </row>
    <row r="661">
      <c r="A661" s="2" t="str">
        <f>IFERROR(__xludf.DUMMYFUNCTION("""COMPUTED_VALUE"""),"Pallejà")</f>
        <v>Pallejà</v>
      </c>
      <c r="B661" s="2" t="str">
        <f>IFERROR(__xludf.DUMMYFUNCTION("""COMPUTED_VALUE"""),"Bajo Llobregat")</f>
        <v>Bajo Llobregat</v>
      </c>
      <c r="C661" s="2" t="str">
        <f>IFERROR(__xludf.DUMMYFUNCTION("""COMPUTED_VALUE"""),"Provincia de Barcelona")</f>
        <v>Provincia de Barcelona</v>
      </c>
      <c r="D661" s="2" t="str">
        <f>IFERROR(__xludf.DUMMYFUNCTION("""COMPUTED_VALUE"""),"Cataluña")</f>
        <v>Cataluña</v>
      </c>
      <c r="E661" s="2">
        <f>IFERROR(__xludf.DUMMYFUNCTION("""COMPUTED_VALUE"""),41.0)</f>
        <v>41</v>
      </c>
      <c r="F661" s="2">
        <f>IFERROR(__xludf.DUMMYFUNCTION("""COMPUTED_VALUE"""),8.47)</f>
        <v>8.47</v>
      </c>
      <c r="G661" s="4">
        <f>IFERROR(__xludf.DUMMYFUNCTION("""COMPUTED_VALUE"""),11508.0)</f>
        <v>11508</v>
      </c>
      <c r="H661" s="5">
        <f>IFERROR(__xludf.DUMMYFUNCTION("""COMPUTED_VALUE"""),1358.68)</f>
        <v>1358.68</v>
      </c>
    </row>
    <row r="662">
      <c r="A662" s="2" t="str">
        <f>IFERROR(__xludf.DUMMYFUNCTION("""COMPUTED_VALUE"""),"Valdés")</f>
        <v>Valdés</v>
      </c>
      <c r="B662" s="2"/>
      <c r="C662" s="2" t="str">
        <f>IFERROR(__xludf.DUMMYFUNCTION("""COMPUTED_VALUE"""),"Provincia de Asturias")</f>
        <v>Provincia de Asturias</v>
      </c>
      <c r="D662" s="2" t="str">
        <f>IFERROR(__xludf.DUMMYFUNCTION("""COMPUTED_VALUE"""),"Principado de Asturias")</f>
        <v>Principado de Asturias</v>
      </c>
      <c r="E662" s="2"/>
      <c r="F662" s="2">
        <f>IFERROR(__xludf.DUMMYFUNCTION("""COMPUTED_VALUE"""),353.52)</f>
        <v>353.52</v>
      </c>
      <c r="G662" s="4">
        <f>IFERROR(__xludf.DUMMYFUNCTION("""COMPUTED_VALUE"""),11504.0)</f>
        <v>11504</v>
      </c>
      <c r="H662" s="2">
        <f>IFERROR(__xludf.DUMMYFUNCTION("""COMPUTED_VALUE"""),32.54)</f>
        <v>32.54</v>
      </c>
    </row>
    <row r="663">
      <c r="A663" s="2" t="str">
        <f>IFERROR(__xludf.DUMMYFUNCTION("""COMPUTED_VALUE"""),"Deltebre")</f>
        <v>Deltebre</v>
      </c>
      <c r="B663" s="2" t="str">
        <f>IFERROR(__xludf.DUMMYFUNCTION("""COMPUTED_VALUE"""),"Baix Ebre")</f>
        <v>Baix Ebre</v>
      </c>
      <c r="C663" s="2" t="str">
        <f>IFERROR(__xludf.DUMMYFUNCTION("""COMPUTED_VALUE"""),"Provincia de Tarragona")</f>
        <v>Provincia de Tarragona</v>
      </c>
      <c r="D663" s="2" t="str">
        <f>IFERROR(__xludf.DUMMYFUNCTION("""COMPUTED_VALUE"""),"Cataluña")</f>
        <v>Cataluña</v>
      </c>
      <c r="E663" s="2">
        <f>IFERROR(__xludf.DUMMYFUNCTION("""COMPUTED_VALUE"""),6.0)</f>
        <v>6</v>
      </c>
      <c r="F663" s="2">
        <f>IFERROR(__xludf.DUMMYFUNCTION("""COMPUTED_VALUE"""),103.48)</f>
        <v>103.48</v>
      </c>
      <c r="G663" s="4">
        <f>IFERROR(__xludf.DUMMYFUNCTION("""COMPUTED_VALUE"""),11482.0)</f>
        <v>11482</v>
      </c>
      <c r="H663" s="2">
        <f>IFERROR(__xludf.DUMMYFUNCTION("""COMPUTED_VALUE"""),110.96)</f>
        <v>110.96</v>
      </c>
    </row>
    <row r="664">
      <c r="A664" s="2" t="str">
        <f>IFERROR(__xludf.DUMMYFUNCTION("""COMPUTED_VALUE"""),"Haro")</f>
        <v>Haro</v>
      </c>
      <c r="B664" s="2" t="str">
        <f>IFERROR(__xludf.DUMMYFUNCTION("""COMPUTED_VALUE"""),"Comarca de Haro")</f>
        <v>Comarca de Haro</v>
      </c>
      <c r="C664" s="2" t="str">
        <f>IFERROR(__xludf.DUMMYFUNCTION("""COMPUTED_VALUE"""),"Provincia de La Rioja")</f>
        <v>Provincia de La Rioja</v>
      </c>
      <c r="D664" s="2" t="str">
        <f>IFERROR(__xludf.DUMMYFUNCTION("""COMPUTED_VALUE"""),"La Rioja")</f>
        <v>La Rioja</v>
      </c>
      <c r="E664" s="2">
        <f>IFERROR(__xludf.DUMMYFUNCTION("""COMPUTED_VALUE"""),479.0)</f>
        <v>479</v>
      </c>
      <c r="F664" s="2">
        <f>IFERROR(__xludf.DUMMYFUNCTION("""COMPUTED_VALUE"""),40.53)</f>
        <v>40.53</v>
      </c>
      <c r="G664" s="4">
        <f>IFERROR(__xludf.DUMMYFUNCTION("""COMPUTED_VALUE"""),11408.0)</f>
        <v>11408</v>
      </c>
      <c r="H664" s="2">
        <f>IFERROR(__xludf.DUMMYFUNCTION("""COMPUTED_VALUE"""),281.47)</f>
        <v>281.47</v>
      </c>
    </row>
    <row r="665">
      <c r="A665" s="2" t="str">
        <f>IFERROR(__xludf.DUMMYFUNCTION("""COMPUTED_VALUE"""),"Peligros")</f>
        <v>Peligros</v>
      </c>
      <c r="B665" s="2" t="str">
        <f>IFERROR(__xludf.DUMMYFUNCTION("""COMPUTED_VALUE"""),"Vega de Granada")</f>
        <v>Vega de Granada</v>
      </c>
      <c r="C665" s="2" t="str">
        <f>IFERROR(__xludf.DUMMYFUNCTION("""COMPUTED_VALUE"""),"Provincia de Granada")</f>
        <v>Provincia de Granada</v>
      </c>
      <c r="D665" s="2" t="str">
        <f>IFERROR(__xludf.DUMMYFUNCTION("""COMPUTED_VALUE"""),"Andalucía")</f>
        <v>Andalucía</v>
      </c>
      <c r="E665" s="2">
        <f>IFERROR(__xludf.DUMMYFUNCTION("""COMPUTED_VALUE"""),680.0)</f>
        <v>680</v>
      </c>
      <c r="F665" s="2">
        <f>IFERROR(__xludf.DUMMYFUNCTION("""COMPUTED_VALUE"""),10.14)</f>
        <v>10.14</v>
      </c>
      <c r="G665" s="4">
        <f>IFERROR(__xludf.DUMMYFUNCTION("""COMPUTED_VALUE"""),11394.0)</f>
        <v>11394</v>
      </c>
      <c r="H665" s="5">
        <f>IFERROR(__xludf.DUMMYFUNCTION("""COMPUTED_VALUE"""),1123.67)</f>
        <v>1123.67</v>
      </c>
    </row>
    <row r="666">
      <c r="A666" s="2" t="str">
        <f>IFERROR(__xludf.DUMMYFUNCTION("""COMPUTED_VALUE"""),"Oñati")</f>
        <v>Oñati</v>
      </c>
      <c r="B666" s="2" t="str">
        <f>IFERROR(__xludf.DUMMYFUNCTION("""COMPUTED_VALUE"""),"Alto Deva")</f>
        <v>Alto Deva</v>
      </c>
      <c r="C666" s="2" t="str">
        <f>IFERROR(__xludf.DUMMYFUNCTION("""COMPUTED_VALUE"""),"Provincia de Gipuzkoa")</f>
        <v>Provincia de Gipuzkoa</v>
      </c>
      <c r="D666" s="2" t="str">
        <f>IFERROR(__xludf.DUMMYFUNCTION("""COMPUTED_VALUE"""),"País Vasco")</f>
        <v>País Vasco</v>
      </c>
      <c r="E666" s="2">
        <f>IFERROR(__xludf.DUMMYFUNCTION("""COMPUTED_VALUE"""),230.0)</f>
        <v>230</v>
      </c>
      <c r="F666" s="2">
        <f>IFERROR(__xludf.DUMMYFUNCTION("""COMPUTED_VALUE"""),107.32)</f>
        <v>107.32</v>
      </c>
      <c r="G666" s="4">
        <f>IFERROR(__xludf.DUMMYFUNCTION("""COMPUTED_VALUE"""),11380.0)</f>
        <v>11380</v>
      </c>
      <c r="H666" s="2">
        <f>IFERROR(__xludf.DUMMYFUNCTION("""COMPUTED_VALUE"""),106.04)</f>
        <v>106.04</v>
      </c>
    </row>
    <row r="667">
      <c r="A667" s="2" t="str">
        <f>IFERROR(__xludf.DUMMYFUNCTION("""COMPUTED_VALUE"""),"Fuensalida")</f>
        <v>Fuensalida</v>
      </c>
      <c r="B667" s="2" t="str">
        <f>IFERROR(__xludf.DUMMYFUNCTION("""COMPUTED_VALUE"""),"Comarca de Torrijos")</f>
        <v>Comarca de Torrijos</v>
      </c>
      <c r="C667" s="2" t="str">
        <f>IFERROR(__xludf.DUMMYFUNCTION("""COMPUTED_VALUE"""),"Provincia de Toledo")</f>
        <v>Provincia de Toledo</v>
      </c>
      <c r="D667" s="2" t="str">
        <f>IFERROR(__xludf.DUMMYFUNCTION("""COMPUTED_VALUE"""),"Castilla-La Mancha")</f>
        <v>Castilla-La Mancha</v>
      </c>
      <c r="E667" s="2">
        <f>IFERROR(__xludf.DUMMYFUNCTION("""COMPUTED_VALUE"""),593.0)</f>
        <v>593</v>
      </c>
      <c r="F667" s="2">
        <f>IFERROR(__xludf.DUMMYFUNCTION("""COMPUTED_VALUE"""),68.37)</f>
        <v>68.37</v>
      </c>
      <c r="G667" s="4">
        <f>IFERROR(__xludf.DUMMYFUNCTION("""COMPUTED_VALUE"""),11370.0)</f>
        <v>11370</v>
      </c>
      <c r="H667" s="2">
        <f>IFERROR(__xludf.DUMMYFUNCTION("""COMPUTED_VALUE"""),166.3)</f>
        <v>166.3</v>
      </c>
    </row>
    <row r="668">
      <c r="A668" s="2" t="str">
        <f>IFERROR(__xludf.DUMMYFUNCTION("""COMPUTED_VALUE"""),"A Laracha")</f>
        <v>A Laracha</v>
      </c>
      <c r="B668" s="2" t="str">
        <f>IFERROR(__xludf.DUMMYFUNCTION("""COMPUTED_VALUE"""),"Bergantiños")</f>
        <v>Bergantiños</v>
      </c>
      <c r="C668" s="2" t="str">
        <f>IFERROR(__xludf.DUMMYFUNCTION("""COMPUTED_VALUE"""),"Provincia de A Coruña")</f>
        <v>Provincia de A Coruña</v>
      </c>
      <c r="D668" s="2" t="str">
        <f>IFERROR(__xludf.DUMMYFUNCTION("""COMPUTED_VALUE"""),"Galicia")</f>
        <v>Galicia</v>
      </c>
      <c r="E668" s="2">
        <f>IFERROR(__xludf.DUMMYFUNCTION("""COMPUTED_VALUE"""),165.0)</f>
        <v>165</v>
      </c>
      <c r="F668" s="2">
        <f>IFERROR(__xludf.DUMMYFUNCTION("""COMPUTED_VALUE"""),125.95)</f>
        <v>125.95</v>
      </c>
      <c r="G668" s="4">
        <f>IFERROR(__xludf.DUMMYFUNCTION("""COMPUTED_VALUE"""),11347.0)</f>
        <v>11347</v>
      </c>
      <c r="H668" s="2">
        <f>IFERROR(__xludf.DUMMYFUNCTION("""COMPUTED_VALUE"""),90.09)</f>
        <v>90.09</v>
      </c>
    </row>
    <row r="669">
      <c r="A669" s="2" t="str">
        <f>IFERROR(__xludf.DUMMYFUNCTION("""COMPUTED_VALUE"""),"Beniel")</f>
        <v>Beniel</v>
      </c>
      <c r="B669" s="2" t="str">
        <f>IFERROR(__xludf.DUMMYFUNCTION("""COMPUTED_VALUE"""),"Huerta de Murcia")</f>
        <v>Huerta de Murcia</v>
      </c>
      <c r="C669" s="2" t="str">
        <f>IFERROR(__xludf.DUMMYFUNCTION("""COMPUTED_VALUE"""),"Provincia de Murcia")</f>
        <v>Provincia de Murcia</v>
      </c>
      <c r="D669" s="2" t="str">
        <f>IFERROR(__xludf.DUMMYFUNCTION("""COMPUTED_VALUE"""),"Región de Murcia")</f>
        <v>Región de Murcia</v>
      </c>
      <c r="E669" s="2">
        <f>IFERROR(__xludf.DUMMYFUNCTION("""COMPUTED_VALUE"""),29.0)</f>
        <v>29</v>
      </c>
      <c r="F669" s="2">
        <f>IFERROR(__xludf.DUMMYFUNCTION("""COMPUTED_VALUE"""),10.11)</f>
        <v>10.11</v>
      </c>
      <c r="G669" s="4">
        <f>IFERROR(__xludf.DUMMYFUNCTION("""COMPUTED_VALUE"""),11318.0)</f>
        <v>11318</v>
      </c>
      <c r="H669" s="5">
        <f>IFERROR(__xludf.DUMMYFUNCTION("""COMPUTED_VALUE"""),1119.49)</f>
        <v>1119.49</v>
      </c>
    </row>
    <row r="670">
      <c r="A670" s="2" t="str">
        <f>IFERROR(__xludf.DUMMYFUNCTION("""COMPUTED_VALUE"""),"Tegueste")</f>
        <v>Tegueste</v>
      </c>
      <c r="B670" s="2" t="str">
        <f>IFERROR(__xludf.DUMMYFUNCTION("""COMPUTED_VALUE"""),"Comarca del Área Metropolitana (Tenerife)")</f>
        <v>Comarca del Área Metropolitana (Tenerife)</v>
      </c>
      <c r="C670" s="2" t="str">
        <f>IFERROR(__xludf.DUMMYFUNCTION("""COMPUTED_VALUE"""),"Provincia de Santa Cruz de Tenerife")</f>
        <v>Provincia de Santa Cruz de Tenerife</v>
      </c>
      <c r="D670" s="2" t="str">
        <f>IFERROR(__xludf.DUMMYFUNCTION("""COMPUTED_VALUE"""),"Canarias")</f>
        <v>Canarias</v>
      </c>
      <c r="E670" s="2">
        <f>IFERROR(__xludf.DUMMYFUNCTION("""COMPUTED_VALUE"""),390.0)</f>
        <v>390</v>
      </c>
      <c r="F670" s="2">
        <f>IFERROR(__xludf.DUMMYFUNCTION("""COMPUTED_VALUE"""),26.44)</f>
        <v>26.44</v>
      </c>
      <c r="G670" s="4">
        <f>IFERROR(__xludf.DUMMYFUNCTION("""COMPUTED_VALUE"""),11294.0)</f>
        <v>11294</v>
      </c>
      <c r="H670" s="2">
        <f>IFERROR(__xludf.DUMMYFUNCTION("""COMPUTED_VALUE"""),427.16)</f>
        <v>427.16</v>
      </c>
    </row>
    <row r="671">
      <c r="A671" s="2" t="str">
        <f>IFERROR(__xludf.DUMMYFUNCTION("""COMPUTED_VALUE"""),"Palos de la Frontera")</f>
        <v>Palos de la Frontera</v>
      </c>
      <c r="B671" s="2" t="str">
        <f>IFERROR(__xludf.DUMMYFUNCTION("""COMPUTED_VALUE"""),"Comarca metropolitana de Huelva")</f>
        <v>Comarca metropolitana de Huelva</v>
      </c>
      <c r="C671" s="2" t="str">
        <f>IFERROR(__xludf.DUMMYFUNCTION("""COMPUTED_VALUE"""),"Provincia de Huelva")</f>
        <v>Provincia de Huelva</v>
      </c>
      <c r="D671" s="2" t="str">
        <f>IFERROR(__xludf.DUMMYFUNCTION("""COMPUTED_VALUE"""),"Andalucía")</f>
        <v>Andalucía</v>
      </c>
      <c r="E671" s="2">
        <f>IFERROR(__xludf.DUMMYFUNCTION("""COMPUTED_VALUE"""),23.0)</f>
        <v>23</v>
      </c>
      <c r="F671" s="2">
        <f>IFERROR(__xludf.DUMMYFUNCTION("""COMPUTED_VALUE"""),49.25)</f>
        <v>49.25</v>
      </c>
      <c r="G671" s="4">
        <f>IFERROR(__xludf.DUMMYFUNCTION("""COMPUTED_VALUE"""),11289.0)</f>
        <v>11289</v>
      </c>
      <c r="H671" s="2">
        <f>IFERROR(__xludf.DUMMYFUNCTION("""COMPUTED_VALUE"""),229.22)</f>
        <v>229.22</v>
      </c>
    </row>
    <row r="672">
      <c r="A672" s="2" t="str">
        <f>IFERROR(__xludf.DUMMYFUNCTION("""COMPUTED_VALUE"""),"Andratx")</f>
        <v>Andratx</v>
      </c>
      <c r="B672" s="2" t="str">
        <f>IFERROR(__xludf.DUMMYFUNCTION("""COMPUTED_VALUE"""),"Sierra de Tramontana")</f>
        <v>Sierra de Tramontana</v>
      </c>
      <c r="C672" s="2" t="str">
        <f>IFERROR(__xludf.DUMMYFUNCTION("""COMPUTED_VALUE"""),"Provincia de Baleares")</f>
        <v>Provincia de Baleares</v>
      </c>
      <c r="D672" s="2" t="str">
        <f>IFERROR(__xludf.DUMMYFUNCTION("""COMPUTED_VALUE"""),"Islas Baleares")</f>
        <v>Islas Baleares</v>
      </c>
      <c r="E672" s="2">
        <f>IFERROR(__xludf.DUMMYFUNCTION("""COMPUTED_VALUE"""),101.0)</f>
        <v>101</v>
      </c>
      <c r="F672" s="2">
        <f>IFERROR(__xludf.DUMMYFUNCTION("""COMPUTED_VALUE"""),81.46)</f>
        <v>81.46</v>
      </c>
      <c r="G672" s="4">
        <f>IFERROR(__xludf.DUMMYFUNCTION("""COMPUTED_VALUE"""),11271.0)</f>
        <v>11271</v>
      </c>
      <c r="H672" s="2">
        <f>IFERROR(__xludf.DUMMYFUNCTION("""COMPUTED_VALUE"""),138.36)</f>
        <v>138.36</v>
      </c>
    </row>
    <row r="673">
      <c r="A673" s="2" t="str">
        <f>IFERROR(__xludf.DUMMYFUNCTION("""COMPUTED_VALUE"""),"Mancha Real")</f>
        <v>Mancha Real</v>
      </c>
      <c r="B673" s="2" t="str">
        <f>IFERROR(__xludf.DUMMYFUNCTION("""COMPUTED_VALUE"""),"Comarca Metropolitana de Jaén")</f>
        <v>Comarca Metropolitana de Jaén</v>
      </c>
      <c r="C673" s="2" t="str">
        <f>IFERROR(__xludf.DUMMYFUNCTION("""COMPUTED_VALUE"""),"Provincia de Jaén")</f>
        <v>Provincia de Jaén</v>
      </c>
      <c r="D673" s="2" t="str">
        <f>IFERROR(__xludf.DUMMYFUNCTION("""COMPUTED_VALUE"""),"Andalucía")</f>
        <v>Andalucía</v>
      </c>
      <c r="E673" s="2">
        <f>IFERROR(__xludf.DUMMYFUNCTION("""COMPUTED_VALUE"""),770.0)</f>
        <v>770</v>
      </c>
      <c r="F673" s="2">
        <f>IFERROR(__xludf.DUMMYFUNCTION("""COMPUTED_VALUE"""),97.7)</f>
        <v>97.7</v>
      </c>
      <c r="G673" s="4">
        <f>IFERROR(__xludf.DUMMYFUNCTION("""COMPUTED_VALUE"""),11264.0)</f>
        <v>11264</v>
      </c>
      <c r="H673" s="2">
        <f>IFERROR(__xludf.DUMMYFUNCTION("""COMPUTED_VALUE"""),115.29)</f>
        <v>115.29</v>
      </c>
    </row>
    <row r="674">
      <c r="A674" s="2" t="str">
        <f>IFERROR(__xludf.DUMMYFUNCTION("""COMPUTED_VALUE"""),"Yuncos")</f>
        <v>Yuncos</v>
      </c>
      <c r="B674" s="2" t="str">
        <f>IFERROR(__xludf.DUMMYFUNCTION("""COMPUTED_VALUE"""),"La Sagra")</f>
        <v>La Sagra</v>
      </c>
      <c r="C674" s="2" t="str">
        <f>IFERROR(__xludf.DUMMYFUNCTION("""COMPUTED_VALUE"""),"Provincia de Toledo")</f>
        <v>Provincia de Toledo</v>
      </c>
      <c r="D674" s="2" t="str">
        <f>IFERROR(__xludf.DUMMYFUNCTION("""COMPUTED_VALUE"""),"Castilla-La Mancha")</f>
        <v>Castilla-La Mancha</v>
      </c>
      <c r="E674" s="2">
        <f>IFERROR(__xludf.DUMMYFUNCTION("""COMPUTED_VALUE"""),551.0)</f>
        <v>551</v>
      </c>
      <c r="F674" s="2">
        <f>IFERROR(__xludf.DUMMYFUNCTION("""COMPUTED_VALUE"""),15.1)</f>
        <v>15.1</v>
      </c>
      <c r="G674" s="4">
        <f>IFERROR(__xludf.DUMMYFUNCTION("""COMPUTED_VALUE"""),11222.0)</f>
        <v>11222</v>
      </c>
      <c r="H674" s="2">
        <f>IFERROR(__xludf.DUMMYFUNCTION("""COMPUTED_VALUE"""),743.18)</f>
        <v>743.18</v>
      </c>
    </row>
    <row r="675">
      <c r="A675" s="2" t="str">
        <f>IFERROR(__xludf.DUMMYFUNCTION("""COMPUTED_VALUE"""),"Vegas del Genil")</f>
        <v>Vegas del Genil</v>
      </c>
      <c r="B675" s="2" t="str">
        <f>IFERROR(__xludf.DUMMYFUNCTION("""COMPUTED_VALUE"""),"Vega de Granada")</f>
        <v>Vega de Granada</v>
      </c>
      <c r="C675" s="2" t="str">
        <f>IFERROR(__xludf.DUMMYFUNCTION("""COMPUTED_VALUE"""),"Provincia de Granada")</f>
        <v>Provincia de Granada</v>
      </c>
      <c r="D675" s="2" t="str">
        <f>IFERROR(__xludf.DUMMYFUNCTION("""COMPUTED_VALUE"""),"Andalucía")</f>
        <v>Andalucía</v>
      </c>
      <c r="E675" s="2">
        <f>IFERROR(__xludf.DUMMYFUNCTION("""COMPUTED_VALUE"""),617.0)</f>
        <v>617</v>
      </c>
      <c r="F675" s="2">
        <f>IFERROR(__xludf.DUMMYFUNCTION("""COMPUTED_VALUE"""),14.14)</f>
        <v>14.14</v>
      </c>
      <c r="G675" s="4">
        <f>IFERROR(__xludf.DUMMYFUNCTION("""COMPUTED_VALUE"""),11166.0)</f>
        <v>11166</v>
      </c>
      <c r="H675" s="2">
        <f>IFERROR(__xludf.DUMMYFUNCTION("""COMPUTED_VALUE"""),789.67)</f>
        <v>789.67</v>
      </c>
    </row>
    <row r="676">
      <c r="A676" s="2" t="str">
        <f>IFERROR(__xludf.DUMMYFUNCTION("""COMPUTED_VALUE"""),"Teulada")</f>
        <v>Teulada</v>
      </c>
      <c r="B676" s="2" t="str">
        <f>IFERROR(__xludf.DUMMYFUNCTION("""COMPUTED_VALUE"""),"Marina Alta")</f>
        <v>Marina Alta</v>
      </c>
      <c r="C676" s="2" t="str">
        <f>IFERROR(__xludf.DUMMYFUNCTION("""COMPUTED_VALUE"""),"Provincia de Alicante")</f>
        <v>Provincia de Alicante</v>
      </c>
      <c r="D676" s="2" t="str">
        <f>IFERROR(__xludf.DUMMYFUNCTION("""COMPUTED_VALUE"""),"Comunidad Valenciana")</f>
        <v>Comunidad Valenciana</v>
      </c>
      <c r="E676" s="2">
        <f>IFERROR(__xludf.DUMMYFUNCTION("""COMPUTED_VALUE"""),185.0)</f>
        <v>185</v>
      </c>
      <c r="F676" s="2">
        <f>IFERROR(__xludf.DUMMYFUNCTION("""COMPUTED_VALUE"""),32.25)</f>
        <v>32.25</v>
      </c>
      <c r="G676" s="4">
        <f>IFERROR(__xludf.DUMMYFUNCTION("""COMPUTED_VALUE"""),11112.0)</f>
        <v>11112</v>
      </c>
      <c r="H676" s="2">
        <f>IFERROR(__xludf.DUMMYFUNCTION("""COMPUTED_VALUE"""),344.56)</f>
        <v>344.56</v>
      </c>
    </row>
    <row r="677">
      <c r="A677" s="2" t="str">
        <f>IFERROR(__xludf.DUMMYFUNCTION("""COMPUTED_VALUE"""),"Santiago del Teide")</f>
        <v>Santiago del Teide</v>
      </c>
      <c r="B677" s="2" t="str">
        <f>IFERROR(__xludf.DUMMYFUNCTION("""COMPUTED_VALUE"""),"Comarca del Suroeste (Tenerife)")</f>
        <v>Comarca del Suroeste (Tenerife)</v>
      </c>
      <c r="C677" s="2" t="str">
        <f>IFERROR(__xludf.DUMMYFUNCTION("""COMPUTED_VALUE"""),"Provincia de Santa Cruz de Tenerife")</f>
        <v>Provincia de Santa Cruz de Tenerife</v>
      </c>
      <c r="D677" s="2" t="str">
        <f>IFERROR(__xludf.DUMMYFUNCTION("""COMPUTED_VALUE"""),"Canarias")</f>
        <v>Canarias</v>
      </c>
      <c r="E677" s="2">
        <f>IFERROR(__xludf.DUMMYFUNCTION("""COMPUTED_VALUE"""),925.0)</f>
        <v>925</v>
      </c>
      <c r="F677" s="2">
        <f>IFERROR(__xludf.DUMMYFUNCTION("""COMPUTED_VALUE"""),52.11)</f>
        <v>52.11</v>
      </c>
      <c r="G677" s="4">
        <f>IFERROR(__xludf.DUMMYFUNCTION("""COMPUTED_VALUE"""),11111.0)</f>
        <v>11111</v>
      </c>
      <c r="H677" s="2">
        <f>IFERROR(__xludf.DUMMYFUNCTION("""COMPUTED_VALUE"""),213.22)</f>
        <v>213.22</v>
      </c>
    </row>
    <row r="678">
      <c r="A678" s="2" t="str">
        <f>IFERROR(__xludf.DUMMYFUNCTION("""COMPUTED_VALUE"""),"Calonge")</f>
        <v>Calonge</v>
      </c>
      <c r="B678" s="2" t="str">
        <f>IFERROR(__xludf.DUMMYFUNCTION("""COMPUTED_VALUE"""),"Baix Empordà")</f>
        <v>Baix Empordà</v>
      </c>
      <c r="C678" s="2" t="str">
        <f>IFERROR(__xludf.DUMMYFUNCTION("""COMPUTED_VALUE"""),"Provincia de Girona")</f>
        <v>Provincia de Girona</v>
      </c>
      <c r="D678" s="2" t="str">
        <f>IFERROR(__xludf.DUMMYFUNCTION("""COMPUTED_VALUE"""),"Cataluña")</f>
        <v>Cataluña</v>
      </c>
      <c r="E678" s="2">
        <f>IFERROR(__xludf.DUMMYFUNCTION("""COMPUTED_VALUE"""),22.0)</f>
        <v>22</v>
      </c>
      <c r="F678" s="2">
        <f>IFERROR(__xludf.DUMMYFUNCTION("""COMPUTED_VALUE"""),33.59)</f>
        <v>33.59</v>
      </c>
      <c r="G678" s="4">
        <f>IFERROR(__xludf.DUMMYFUNCTION("""COMPUTED_VALUE"""),11092.0)</f>
        <v>11092</v>
      </c>
      <c r="H678" s="2">
        <f>IFERROR(__xludf.DUMMYFUNCTION("""COMPUTED_VALUE"""),330.22)</f>
        <v>330.22</v>
      </c>
    </row>
    <row r="679">
      <c r="A679" s="2" t="str">
        <f>IFERROR(__xludf.DUMMYFUNCTION("""COMPUTED_VALUE"""),"Sonseca")</f>
        <v>Sonseca</v>
      </c>
      <c r="B679" s="2" t="str">
        <f>IFERROR(__xludf.DUMMYFUNCTION("""COMPUTED_VALUE"""),"La Sisla (comarca)")</f>
        <v>La Sisla (comarca)</v>
      </c>
      <c r="C679" s="2" t="str">
        <f>IFERROR(__xludf.DUMMYFUNCTION("""COMPUTED_VALUE"""),"Provincia de Toledo")</f>
        <v>Provincia de Toledo</v>
      </c>
      <c r="D679" s="2" t="str">
        <f>IFERROR(__xludf.DUMMYFUNCTION("""COMPUTED_VALUE"""),"Castilla-La Mancha")</f>
        <v>Castilla-La Mancha</v>
      </c>
      <c r="E679" s="2">
        <f>IFERROR(__xludf.DUMMYFUNCTION("""COMPUTED_VALUE"""),754.0)</f>
        <v>754</v>
      </c>
      <c r="F679" s="2">
        <f>IFERROR(__xludf.DUMMYFUNCTION("""COMPUTED_VALUE"""),59.56)</f>
        <v>59.56</v>
      </c>
      <c r="G679" s="4">
        <f>IFERROR(__xludf.DUMMYFUNCTION("""COMPUTED_VALUE"""),11067.0)</f>
        <v>11067</v>
      </c>
      <c r="H679" s="2">
        <f>IFERROR(__xludf.DUMMYFUNCTION("""COMPUTED_VALUE"""),185.81)</f>
        <v>185.81</v>
      </c>
    </row>
    <row r="680">
      <c r="A680" s="2" t="str">
        <f>IFERROR(__xludf.DUMMYFUNCTION("""COMPUTED_VALUE"""),"Barbadás")</f>
        <v>Barbadás</v>
      </c>
      <c r="B680" s="2"/>
      <c r="C680" s="2" t="str">
        <f>IFERROR(__xludf.DUMMYFUNCTION("""COMPUTED_VALUE"""),"Provincia de Ourense")</f>
        <v>Provincia de Ourense</v>
      </c>
      <c r="D680" s="2" t="str">
        <f>IFERROR(__xludf.DUMMYFUNCTION("""COMPUTED_VALUE"""),"Galicia")</f>
        <v>Galicia</v>
      </c>
      <c r="E680" s="2">
        <f>IFERROR(__xludf.DUMMYFUNCTION("""COMPUTED_VALUE"""),206.0)</f>
        <v>206</v>
      </c>
      <c r="F680" s="2">
        <f>IFERROR(__xludf.DUMMYFUNCTION("""COMPUTED_VALUE"""),30.12)</f>
        <v>30.12</v>
      </c>
      <c r="G680" s="4">
        <f>IFERROR(__xludf.DUMMYFUNCTION("""COMPUTED_VALUE"""),11037.0)</f>
        <v>11037</v>
      </c>
      <c r="H680" s="2">
        <f>IFERROR(__xludf.DUMMYFUNCTION("""COMPUTED_VALUE"""),366.43)</f>
        <v>366.43</v>
      </c>
    </row>
    <row r="681">
      <c r="A681" s="2" t="str">
        <f>IFERROR(__xludf.DUMMYFUNCTION("""COMPUTED_VALUE"""),"Rianxo")</f>
        <v>Rianxo</v>
      </c>
      <c r="B681" s="2" t="str">
        <f>IFERROR(__xludf.DUMMYFUNCTION("""COMPUTED_VALUE"""),"Comarca del Barbanza")</f>
        <v>Comarca del Barbanza</v>
      </c>
      <c r="C681" s="2" t="str">
        <f>IFERROR(__xludf.DUMMYFUNCTION("""COMPUTED_VALUE"""),"Provincia de A Coruña")</f>
        <v>Provincia de A Coruña</v>
      </c>
      <c r="D681" s="2" t="str">
        <f>IFERROR(__xludf.DUMMYFUNCTION("""COMPUTED_VALUE"""),"Galicia")</f>
        <v>Galicia</v>
      </c>
      <c r="E681" s="2">
        <f>IFERROR(__xludf.DUMMYFUNCTION("""COMPUTED_VALUE"""),4.0)</f>
        <v>4</v>
      </c>
      <c r="F681" s="2">
        <f>IFERROR(__xludf.DUMMYFUNCTION("""COMPUTED_VALUE"""),58.79)</f>
        <v>58.79</v>
      </c>
      <c r="G681" s="4">
        <f>IFERROR(__xludf.DUMMYFUNCTION("""COMPUTED_VALUE"""),11033.0)</f>
        <v>11033</v>
      </c>
      <c r="H681" s="2">
        <f>IFERROR(__xludf.DUMMYFUNCTION("""COMPUTED_VALUE"""),187.67)</f>
        <v>187.67</v>
      </c>
    </row>
    <row r="682">
      <c r="A682" s="2" t="str">
        <f>IFERROR(__xludf.DUMMYFUNCTION("""COMPUTED_VALUE"""),"Quintanar de la Orden")</f>
        <v>Quintanar de la Orden</v>
      </c>
      <c r="B682" s="2" t="str">
        <f>IFERROR(__xludf.DUMMYFUNCTION("""COMPUTED_VALUE"""),"Mancha de Toledo")</f>
        <v>Mancha de Toledo</v>
      </c>
      <c r="C682" s="2" t="str">
        <f>IFERROR(__xludf.DUMMYFUNCTION("""COMPUTED_VALUE"""),"Provincia de Toledo")</f>
        <v>Provincia de Toledo</v>
      </c>
      <c r="D682" s="2" t="str">
        <f>IFERROR(__xludf.DUMMYFUNCTION("""COMPUTED_VALUE"""),"Castilla-La Mancha")</f>
        <v>Castilla-La Mancha</v>
      </c>
      <c r="E682" s="2">
        <f>IFERROR(__xludf.DUMMYFUNCTION("""COMPUTED_VALUE"""),691.0)</f>
        <v>691</v>
      </c>
      <c r="F682" s="2">
        <f>IFERROR(__xludf.DUMMYFUNCTION("""COMPUTED_VALUE"""),87.87)</f>
        <v>87.87</v>
      </c>
      <c r="G682" s="4">
        <f>IFERROR(__xludf.DUMMYFUNCTION("""COMPUTED_VALUE"""),11030.0)</f>
        <v>11030</v>
      </c>
      <c r="H682" s="2">
        <f>IFERROR(__xludf.DUMMYFUNCTION("""COMPUTED_VALUE"""),125.53)</f>
        <v>125.53</v>
      </c>
    </row>
    <row r="683">
      <c r="A683" s="2" t="str">
        <f>IFERROR(__xludf.DUMMYFUNCTION("""COMPUTED_VALUE"""),"Laredo")</f>
        <v>Laredo</v>
      </c>
      <c r="B683" s="2" t="str">
        <f>IFERROR(__xludf.DUMMYFUNCTION("""COMPUTED_VALUE"""),"Comarca de la Costa Oriental")</f>
        <v>Comarca de la Costa Oriental</v>
      </c>
      <c r="C683" s="2" t="str">
        <f>IFERROR(__xludf.DUMMYFUNCTION("""COMPUTED_VALUE"""),"Provincia de Cantabria")</f>
        <v>Provincia de Cantabria</v>
      </c>
      <c r="D683" s="2" t="str">
        <f>IFERROR(__xludf.DUMMYFUNCTION("""COMPUTED_VALUE"""),"Cantabria")</f>
        <v>Cantabria</v>
      </c>
      <c r="E683" s="2">
        <f>IFERROR(__xludf.DUMMYFUNCTION("""COMPUTED_VALUE"""),5.0)</f>
        <v>5</v>
      </c>
      <c r="F683" s="2">
        <f>IFERROR(__xludf.DUMMYFUNCTION("""COMPUTED_VALUE"""),15.3)</f>
        <v>15.3</v>
      </c>
      <c r="G683" s="4">
        <f>IFERROR(__xludf.DUMMYFUNCTION("""COMPUTED_VALUE"""),11025.0)</f>
        <v>11025</v>
      </c>
      <c r="H683" s="2">
        <f>IFERROR(__xludf.DUMMYFUNCTION("""COMPUTED_VALUE"""),720.59)</f>
        <v>720.59</v>
      </c>
    </row>
    <row r="684">
      <c r="A684" s="2" t="str">
        <f>IFERROR(__xludf.DUMMYFUNCTION("""COMPUTED_VALUE"""),"Santoña")</f>
        <v>Santoña</v>
      </c>
      <c r="B684" s="2" t="str">
        <f>IFERROR(__xludf.DUMMYFUNCTION("""COMPUTED_VALUE"""),"Trasmiera")</f>
        <v>Trasmiera</v>
      </c>
      <c r="C684" s="2" t="str">
        <f>IFERROR(__xludf.DUMMYFUNCTION("""COMPUTED_VALUE"""),"Provincia de Cantabria")</f>
        <v>Provincia de Cantabria</v>
      </c>
      <c r="D684" s="2" t="str">
        <f>IFERROR(__xludf.DUMMYFUNCTION("""COMPUTED_VALUE"""),"Cantabria")</f>
        <v>Cantabria</v>
      </c>
      <c r="E684" s="2">
        <f>IFERROR(__xludf.DUMMYFUNCTION("""COMPUTED_VALUE"""),7.0)</f>
        <v>7</v>
      </c>
      <c r="F684" s="2">
        <f>IFERROR(__xludf.DUMMYFUNCTION("""COMPUTED_VALUE"""),11.34)</f>
        <v>11.34</v>
      </c>
      <c r="G684" s="4">
        <f>IFERROR(__xludf.DUMMYFUNCTION("""COMPUTED_VALUE"""),11024.0)</f>
        <v>11024</v>
      </c>
      <c r="H684" s="2">
        <f>IFERROR(__xludf.DUMMYFUNCTION("""COMPUTED_VALUE"""),972.13)</f>
        <v>972.13</v>
      </c>
    </row>
    <row r="685">
      <c r="A685" s="2" t="str">
        <f>IFERROR(__xludf.DUMMYFUNCTION("""COMPUTED_VALUE"""),"Benissa")</f>
        <v>Benissa</v>
      </c>
      <c r="B685" s="2" t="str">
        <f>IFERROR(__xludf.DUMMYFUNCTION("""COMPUTED_VALUE"""),"Marina Alta")</f>
        <v>Marina Alta</v>
      </c>
      <c r="C685" s="2" t="str">
        <f>IFERROR(__xludf.DUMMYFUNCTION("""COMPUTED_VALUE"""),"Provincia de Alicante")</f>
        <v>Provincia de Alicante</v>
      </c>
      <c r="D685" s="2" t="str">
        <f>IFERROR(__xludf.DUMMYFUNCTION("""COMPUTED_VALUE"""),"Comunidad Valenciana")</f>
        <v>Comunidad Valenciana</v>
      </c>
      <c r="E685" s="2">
        <f>IFERROR(__xludf.DUMMYFUNCTION("""COMPUTED_VALUE"""),254.0)</f>
        <v>254</v>
      </c>
      <c r="F685" s="2">
        <f>IFERROR(__xludf.DUMMYFUNCTION("""COMPUTED_VALUE"""),69.71)</f>
        <v>69.71</v>
      </c>
      <c r="G685" s="4">
        <f>IFERROR(__xludf.DUMMYFUNCTION("""COMPUTED_VALUE"""),11005.0)</f>
        <v>11005</v>
      </c>
      <c r="H685" s="2">
        <f>IFERROR(__xludf.DUMMYFUNCTION("""COMPUTED_VALUE"""),157.87)</f>
        <v>157.87</v>
      </c>
    </row>
    <row r="686">
      <c r="A686" s="2" t="str">
        <f>IFERROR(__xludf.DUMMYFUNCTION("""COMPUTED_VALUE"""),"Benaguasil")</f>
        <v>Benaguasil</v>
      </c>
      <c r="B686" s="2" t="str">
        <f>IFERROR(__xludf.DUMMYFUNCTION("""COMPUTED_VALUE"""),"Campo de Turia")</f>
        <v>Campo de Turia</v>
      </c>
      <c r="C686" s="2" t="str">
        <f>IFERROR(__xludf.DUMMYFUNCTION("""COMPUTED_VALUE"""),"Provincia de València")</f>
        <v>Provincia de València</v>
      </c>
      <c r="D686" s="2" t="str">
        <f>IFERROR(__xludf.DUMMYFUNCTION("""COMPUTED_VALUE"""),"Comunidad Valenciana")</f>
        <v>Comunidad Valenciana</v>
      </c>
      <c r="E686" s="2">
        <f>IFERROR(__xludf.DUMMYFUNCTION("""COMPUTED_VALUE"""),110.0)</f>
        <v>110</v>
      </c>
      <c r="F686" s="2">
        <f>IFERROR(__xludf.DUMMYFUNCTION("""COMPUTED_VALUE"""),25.4)</f>
        <v>25.4</v>
      </c>
      <c r="G686" s="4">
        <f>IFERROR(__xludf.DUMMYFUNCTION("""COMPUTED_VALUE"""),10988.0)</f>
        <v>10988</v>
      </c>
      <c r="H686" s="2">
        <f>IFERROR(__xludf.DUMMYFUNCTION("""COMPUTED_VALUE"""),432.6)</f>
        <v>432.6</v>
      </c>
    </row>
    <row r="687">
      <c r="A687" s="2" t="str">
        <f>IFERROR(__xludf.DUMMYFUNCTION("""COMPUTED_VALUE"""),"La Puebla de Cazalla")</f>
        <v>La Puebla de Cazalla</v>
      </c>
      <c r="B687" s="2" t="str">
        <f>IFERROR(__xludf.DUMMYFUNCTION("""COMPUTED_VALUE"""),"Campiña de Morón y Marchena")</f>
        <v>Campiña de Morón y Marchena</v>
      </c>
      <c r="C687" s="2" t="str">
        <f>IFERROR(__xludf.DUMMYFUNCTION("""COMPUTED_VALUE"""),"Provincia de Sevilla")</f>
        <v>Provincia de Sevilla</v>
      </c>
      <c r="D687" s="2" t="str">
        <f>IFERROR(__xludf.DUMMYFUNCTION("""COMPUTED_VALUE"""),"Andalucía")</f>
        <v>Andalucía</v>
      </c>
      <c r="E687" s="2">
        <f>IFERROR(__xludf.DUMMYFUNCTION("""COMPUTED_VALUE"""),177.0)</f>
        <v>177</v>
      </c>
      <c r="F687" s="2">
        <f>IFERROR(__xludf.DUMMYFUNCTION("""COMPUTED_VALUE"""),189.81)</f>
        <v>189.81</v>
      </c>
      <c r="G687" s="4">
        <f>IFERROR(__xludf.DUMMYFUNCTION("""COMPUTED_VALUE"""),10979.0)</f>
        <v>10979</v>
      </c>
      <c r="H687" s="2">
        <f>IFERROR(__xludf.DUMMYFUNCTION("""COMPUTED_VALUE"""),57.84)</f>
        <v>57.84</v>
      </c>
    </row>
    <row r="688">
      <c r="A688" s="2" t="str">
        <f>IFERROR(__xludf.DUMMYFUNCTION("""COMPUTED_VALUE"""),"La Bisbal d'Empordà")</f>
        <v>La Bisbal d'Empordà</v>
      </c>
      <c r="B688" s="2" t="str">
        <f>IFERROR(__xludf.DUMMYFUNCTION("""COMPUTED_VALUE"""),"Baix Empordà")</f>
        <v>Baix Empordà</v>
      </c>
      <c r="C688" s="2" t="str">
        <f>IFERROR(__xludf.DUMMYFUNCTION("""COMPUTED_VALUE"""),"Provincia de Girona")</f>
        <v>Provincia de Girona</v>
      </c>
      <c r="D688" s="2" t="str">
        <f>IFERROR(__xludf.DUMMYFUNCTION("""COMPUTED_VALUE"""),"Cataluña")</f>
        <v>Cataluña</v>
      </c>
      <c r="E688" s="2">
        <f>IFERROR(__xludf.DUMMYFUNCTION("""COMPUTED_VALUE"""),39.0)</f>
        <v>39</v>
      </c>
      <c r="F688" s="2">
        <f>IFERROR(__xludf.DUMMYFUNCTION("""COMPUTED_VALUE"""),20.62)</f>
        <v>20.62</v>
      </c>
      <c r="G688" s="4">
        <f>IFERROR(__xludf.DUMMYFUNCTION("""COMPUTED_VALUE"""),10974.0)</f>
        <v>10974</v>
      </c>
      <c r="H688" s="2">
        <f>IFERROR(__xludf.DUMMYFUNCTION("""COMPUTED_VALUE"""),532.2)</f>
        <v>532.2</v>
      </c>
    </row>
    <row r="689">
      <c r="A689" s="2" t="str">
        <f>IFERROR(__xludf.DUMMYFUNCTION("""COMPUTED_VALUE"""),"Sant Andreu de Llavaneres")</f>
        <v>Sant Andreu de Llavaneres</v>
      </c>
      <c r="B689" s="2" t="str">
        <f>IFERROR(__xludf.DUMMYFUNCTION("""COMPUTED_VALUE"""),"Maresme")</f>
        <v>Maresme</v>
      </c>
      <c r="C689" s="2" t="str">
        <f>IFERROR(__xludf.DUMMYFUNCTION("""COMPUTED_VALUE"""),"Provincia de Barcelona")</f>
        <v>Provincia de Barcelona</v>
      </c>
      <c r="D689" s="2" t="str">
        <f>IFERROR(__xludf.DUMMYFUNCTION("""COMPUTED_VALUE"""),"Cataluña")</f>
        <v>Cataluña</v>
      </c>
      <c r="E689" s="2">
        <f>IFERROR(__xludf.DUMMYFUNCTION("""COMPUTED_VALUE"""),114.0)</f>
        <v>114</v>
      </c>
      <c r="F689" s="2">
        <f>IFERROR(__xludf.DUMMYFUNCTION("""COMPUTED_VALUE"""),11.86)</f>
        <v>11.86</v>
      </c>
      <c r="G689" s="4">
        <f>IFERROR(__xludf.DUMMYFUNCTION("""COMPUTED_VALUE"""),10968.0)</f>
        <v>10968</v>
      </c>
      <c r="H689" s="2">
        <f>IFERROR(__xludf.DUMMYFUNCTION("""COMPUTED_VALUE"""),924.79)</f>
        <v>924.79</v>
      </c>
    </row>
    <row r="690">
      <c r="A690" s="2" t="str">
        <f>IFERROR(__xludf.DUMMYFUNCTION("""COMPUTED_VALUE"""),"Sant Joan de Vilatorrada")</f>
        <v>Sant Joan de Vilatorrada</v>
      </c>
      <c r="B690" s="2" t="str">
        <f>IFERROR(__xludf.DUMMYFUNCTION("""COMPUTED_VALUE"""),"Bages")</f>
        <v>Bages</v>
      </c>
      <c r="C690" s="2" t="str">
        <f>IFERROR(__xludf.DUMMYFUNCTION("""COMPUTED_VALUE"""),"Provincia de Barcelona")</f>
        <v>Provincia de Barcelona</v>
      </c>
      <c r="D690" s="2" t="str">
        <f>IFERROR(__xludf.DUMMYFUNCTION("""COMPUTED_VALUE"""),"Cataluña")</f>
        <v>Cataluña</v>
      </c>
      <c r="E690" s="2">
        <f>IFERROR(__xludf.DUMMYFUNCTION("""COMPUTED_VALUE"""),277.0)</f>
        <v>277</v>
      </c>
      <c r="F690" s="2">
        <f>IFERROR(__xludf.DUMMYFUNCTION("""COMPUTED_VALUE"""),16.43)</f>
        <v>16.43</v>
      </c>
      <c r="G690" s="4">
        <f>IFERROR(__xludf.DUMMYFUNCTION("""COMPUTED_VALUE"""),10936.0)</f>
        <v>10936</v>
      </c>
      <c r="H690" s="2">
        <f>IFERROR(__xludf.DUMMYFUNCTION("""COMPUTED_VALUE"""),665.61)</f>
        <v>665.61</v>
      </c>
    </row>
    <row r="691">
      <c r="A691" s="2" t="str">
        <f>IFERROR(__xludf.DUMMYFUNCTION("""COMPUTED_VALUE"""),"Castelló d'Empúries")</f>
        <v>Castelló d'Empúries</v>
      </c>
      <c r="B691" s="2" t="str">
        <f>IFERROR(__xludf.DUMMYFUNCTION("""COMPUTED_VALUE"""),"Alto Ampurdán")</f>
        <v>Alto Ampurdán</v>
      </c>
      <c r="C691" s="2" t="str">
        <f>IFERROR(__xludf.DUMMYFUNCTION("""COMPUTED_VALUE"""),"Provincia de Girona")</f>
        <v>Provincia de Girona</v>
      </c>
      <c r="D691" s="2" t="str">
        <f>IFERROR(__xludf.DUMMYFUNCTION("""COMPUTED_VALUE"""),"Cataluña")</f>
        <v>Cataluña</v>
      </c>
      <c r="E691" s="2">
        <f>IFERROR(__xludf.DUMMYFUNCTION("""COMPUTED_VALUE"""),17.0)</f>
        <v>17</v>
      </c>
      <c r="F691" s="2">
        <f>IFERROR(__xludf.DUMMYFUNCTION("""COMPUTED_VALUE"""),42.25)</f>
        <v>42.25</v>
      </c>
      <c r="G691" s="4">
        <f>IFERROR(__xludf.DUMMYFUNCTION("""COMPUTED_VALUE"""),10906.0)</f>
        <v>10906</v>
      </c>
      <c r="H691" s="2">
        <f>IFERROR(__xludf.DUMMYFUNCTION("""COMPUTED_VALUE"""),258.13)</f>
        <v>258.13</v>
      </c>
    </row>
    <row r="692">
      <c r="A692" s="2" t="str">
        <f>IFERROR(__xludf.DUMMYFUNCTION("""COMPUTED_VALUE"""),"Lena")</f>
        <v>Lena</v>
      </c>
      <c r="B692" s="2" t="str">
        <f>IFERROR(__xludf.DUMMYFUNCTION("""COMPUTED_VALUE"""),"Comarca del Caudal")</f>
        <v>Comarca del Caudal</v>
      </c>
      <c r="C692" s="2" t="str">
        <f>IFERROR(__xludf.DUMMYFUNCTION("""COMPUTED_VALUE"""),"Provincia de Asturias")</f>
        <v>Provincia de Asturias</v>
      </c>
      <c r="D692" s="2" t="str">
        <f>IFERROR(__xludf.DUMMYFUNCTION("""COMPUTED_VALUE"""),"Principado de Asturias")</f>
        <v>Principado de Asturias</v>
      </c>
      <c r="E692" s="2">
        <f>IFERROR(__xludf.DUMMYFUNCTION("""COMPUTED_VALUE"""),306.0)</f>
        <v>306</v>
      </c>
      <c r="F692" s="2">
        <f>IFERROR(__xludf.DUMMYFUNCTION("""COMPUTED_VALUE"""),316.0)</f>
        <v>316</v>
      </c>
      <c r="G692" s="4">
        <f>IFERROR(__xludf.DUMMYFUNCTION("""COMPUTED_VALUE"""),10890.0)</f>
        <v>10890</v>
      </c>
      <c r="H692" s="2">
        <f>IFERROR(__xludf.DUMMYFUNCTION("""COMPUTED_VALUE"""),34.46)</f>
        <v>34.46</v>
      </c>
    </row>
    <row r="693">
      <c r="A693" s="2" t="str">
        <f>IFERROR(__xludf.DUMMYFUNCTION("""COMPUTED_VALUE"""),"Astorga")</f>
        <v>Astorga</v>
      </c>
      <c r="B693" s="2" t="str">
        <f>IFERROR(__xludf.DUMMYFUNCTION("""COMPUTED_VALUE"""),"Tierra de Astorga")</f>
        <v>Tierra de Astorga</v>
      </c>
      <c r="C693" s="2" t="str">
        <f>IFERROR(__xludf.DUMMYFUNCTION("""COMPUTED_VALUE"""),"Provincia de León")</f>
        <v>Provincia de León</v>
      </c>
      <c r="D693" s="2" t="str">
        <f>IFERROR(__xludf.DUMMYFUNCTION("""COMPUTED_VALUE"""),"Castilla y León")</f>
        <v>Castilla y León</v>
      </c>
      <c r="E693" s="2">
        <f>IFERROR(__xludf.DUMMYFUNCTION("""COMPUTED_VALUE"""),870.0)</f>
        <v>870</v>
      </c>
      <c r="F693" s="2">
        <f>IFERROR(__xludf.DUMMYFUNCTION("""COMPUTED_VALUE"""),46.78)</f>
        <v>46.78</v>
      </c>
      <c r="G693" s="4">
        <f>IFERROR(__xludf.DUMMYFUNCTION("""COMPUTED_VALUE"""),10867.0)</f>
        <v>10867</v>
      </c>
      <c r="H693" s="2">
        <f>IFERROR(__xludf.DUMMYFUNCTION("""COMPUTED_VALUE"""),232.3)</f>
        <v>232.3</v>
      </c>
    </row>
    <row r="694">
      <c r="A694" s="2" t="str">
        <f>IFERROR(__xludf.DUMMYFUNCTION("""COMPUTED_VALUE"""),"Campos")</f>
        <v>Campos</v>
      </c>
      <c r="B694" s="2" t="str">
        <f>IFERROR(__xludf.DUMMYFUNCTION("""COMPUTED_VALUE"""),"Migjorn")</f>
        <v>Migjorn</v>
      </c>
      <c r="C694" s="2" t="str">
        <f>IFERROR(__xludf.DUMMYFUNCTION("""COMPUTED_VALUE"""),"Provincia de Baleares")</f>
        <v>Provincia de Baleares</v>
      </c>
      <c r="D694" s="2" t="str">
        <f>IFERROR(__xludf.DUMMYFUNCTION("""COMPUTED_VALUE"""),"Islas Baleares")</f>
        <v>Islas Baleares</v>
      </c>
      <c r="E694" s="2">
        <f>IFERROR(__xludf.DUMMYFUNCTION("""COMPUTED_VALUE"""),32.0)</f>
        <v>32</v>
      </c>
      <c r="F694" s="2">
        <f>IFERROR(__xludf.DUMMYFUNCTION("""COMPUTED_VALUE"""),149.69)</f>
        <v>149.69</v>
      </c>
      <c r="G694" s="4">
        <f>IFERROR(__xludf.DUMMYFUNCTION("""COMPUTED_VALUE"""),10862.0)</f>
        <v>10862</v>
      </c>
      <c r="H694" s="2">
        <f>IFERROR(__xludf.DUMMYFUNCTION("""COMPUTED_VALUE"""),72.56)</f>
        <v>72.56</v>
      </c>
    </row>
    <row r="695">
      <c r="A695" s="2" t="str">
        <f>IFERROR(__xludf.DUMMYFUNCTION("""COMPUTED_VALUE"""),"Castell-Platja d'Aro")</f>
        <v>Castell-Platja d'Aro</v>
      </c>
      <c r="B695" s="2" t="str">
        <f>IFERROR(__xludf.DUMMYFUNCTION("""COMPUTED_VALUE"""),"Baix Empordà")</f>
        <v>Baix Empordà</v>
      </c>
      <c r="C695" s="2" t="str">
        <f>IFERROR(__xludf.DUMMYFUNCTION("""COMPUTED_VALUE"""),"Provincia de Girona")</f>
        <v>Provincia de Girona</v>
      </c>
      <c r="D695" s="2" t="str">
        <f>IFERROR(__xludf.DUMMYFUNCTION("""COMPUTED_VALUE"""),"Cataluña")</f>
        <v>Cataluña</v>
      </c>
      <c r="E695" s="2">
        <f>IFERROR(__xludf.DUMMYFUNCTION("""COMPUTED_VALUE"""),5.0)</f>
        <v>5</v>
      </c>
      <c r="F695" s="2">
        <f>IFERROR(__xludf.DUMMYFUNCTION("""COMPUTED_VALUE"""),21.68)</f>
        <v>21.68</v>
      </c>
      <c r="G695" s="4">
        <f>IFERROR(__xludf.DUMMYFUNCTION("""COMPUTED_VALUE"""),10860.0)</f>
        <v>10860</v>
      </c>
      <c r="H695" s="2">
        <f>IFERROR(__xludf.DUMMYFUNCTION("""COMPUTED_VALUE"""),500.92)</f>
        <v>500.92</v>
      </c>
    </row>
    <row r="696">
      <c r="A696" s="2" t="str">
        <f>IFERROR(__xludf.DUMMYFUNCTION("""COMPUTED_VALUE"""),"Aranguren")</f>
        <v>Aranguren</v>
      </c>
      <c r="B696" s="2" t="str">
        <f>IFERROR(__xludf.DUMMYFUNCTION("""COMPUTED_VALUE"""),"Cuenca de Pamplona")</f>
        <v>Cuenca de Pamplona</v>
      </c>
      <c r="C696" s="2" t="str">
        <f>IFERROR(__xludf.DUMMYFUNCTION("""COMPUTED_VALUE"""),"Provincia de Navarra")</f>
        <v>Provincia de Navarra</v>
      </c>
      <c r="D696" s="2" t="str">
        <f>IFERROR(__xludf.DUMMYFUNCTION("""COMPUTED_VALUE"""),"Comunidad Foral de Navarra")</f>
        <v>Comunidad Foral de Navarra</v>
      </c>
      <c r="E696" s="2">
        <f>IFERROR(__xludf.DUMMYFUNCTION("""COMPUTED_VALUE"""),442.0)</f>
        <v>442</v>
      </c>
      <c r="F696" s="2">
        <f>IFERROR(__xludf.DUMMYFUNCTION("""COMPUTED_VALUE"""),40.61)</f>
        <v>40.61</v>
      </c>
      <c r="G696" s="4">
        <f>IFERROR(__xludf.DUMMYFUNCTION("""COMPUTED_VALUE"""),10859.0)</f>
        <v>10859</v>
      </c>
      <c r="H696" s="2">
        <f>IFERROR(__xludf.DUMMYFUNCTION("""COMPUTED_VALUE"""),267.4)</f>
        <v>267.4</v>
      </c>
    </row>
    <row r="697">
      <c r="A697" s="2" t="str">
        <f>IFERROR(__xludf.DUMMYFUNCTION("""COMPUTED_VALUE"""),"Los Corrales de Buelna")</f>
        <v>Los Corrales de Buelna</v>
      </c>
      <c r="B697" s="2" t="str">
        <f>IFERROR(__xludf.DUMMYFUNCTION("""COMPUTED_VALUE"""),"Comarca del Besaya")</f>
        <v>Comarca del Besaya</v>
      </c>
      <c r="C697" s="2" t="str">
        <f>IFERROR(__xludf.DUMMYFUNCTION("""COMPUTED_VALUE"""),"Provincia de Cantabria")</f>
        <v>Provincia de Cantabria</v>
      </c>
      <c r="D697" s="2" t="str">
        <f>IFERROR(__xludf.DUMMYFUNCTION("""COMPUTED_VALUE"""),"Cantabria")</f>
        <v>Cantabria</v>
      </c>
      <c r="E697" s="2">
        <f>IFERROR(__xludf.DUMMYFUNCTION("""COMPUTED_VALUE"""),98.0)</f>
        <v>98</v>
      </c>
      <c r="F697" s="2">
        <f>IFERROR(__xludf.DUMMYFUNCTION("""COMPUTED_VALUE"""),45.28)</f>
        <v>45.28</v>
      </c>
      <c r="G697" s="4">
        <f>IFERROR(__xludf.DUMMYFUNCTION("""COMPUTED_VALUE"""),10841.0)</f>
        <v>10841</v>
      </c>
      <c r="H697" s="2">
        <f>IFERROR(__xludf.DUMMYFUNCTION("""COMPUTED_VALUE"""),239.42)</f>
        <v>239.42</v>
      </c>
    </row>
    <row r="698">
      <c r="A698" s="2" t="str">
        <f>IFERROR(__xludf.DUMMYFUNCTION("""COMPUTED_VALUE"""),"Ansoáin")</f>
        <v>Ansoáin</v>
      </c>
      <c r="B698" s="2" t="str">
        <f>IFERROR(__xludf.DUMMYFUNCTION("""COMPUTED_VALUE"""),"Cuenca de Pamplona")</f>
        <v>Cuenca de Pamplona</v>
      </c>
      <c r="C698" s="2" t="str">
        <f>IFERROR(__xludf.DUMMYFUNCTION("""COMPUTED_VALUE"""),"Provincia de Navarra")</f>
        <v>Provincia de Navarra</v>
      </c>
      <c r="D698" s="2" t="str">
        <f>IFERROR(__xludf.DUMMYFUNCTION("""COMPUTED_VALUE"""),"Comunidad Foral de Navarra")</f>
        <v>Comunidad Foral de Navarra</v>
      </c>
      <c r="E698" s="2">
        <f>IFERROR(__xludf.DUMMYFUNCTION("""COMPUTED_VALUE"""),426.0)</f>
        <v>426</v>
      </c>
      <c r="F698" s="2">
        <f>IFERROR(__xludf.DUMMYFUNCTION("""COMPUTED_VALUE"""),1.93)</f>
        <v>1.93</v>
      </c>
      <c r="G698" s="4">
        <f>IFERROR(__xludf.DUMMYFUNCTION("""COMPUTED_VALUE"""),10833.0)</f>
        <v>10833</v>
      </c>
      <c r="H698" s="5">
        <f>IFERROR(__xludf.DUMMYFUNCTION("""COMPUTED_VALUE"""),5612.95)</f>
        <v>5612.95</v>
      </c>
    </row>
    <row r="699">
      <c r="A699" s="2" t="str">
        <f>IFERROR(__xludf.DUMMYFUNCTION("""COMPUTED_VALUE"""),"Meliana")</f>
        <v>Meliana</v>
      </c>
      <c r="B699" s="2" t="str">
        <f>IFERROR(__xludf.DUMMYFUNCTION("""COMPUTED_VALUE"""),"Huerta Norte")</f>
        <v>Huerta Norte</v>
      </c>
      <c r="C699" s="2" t="str">
        <f>IFERROR(__xludf.DUMMYFUNCTION("""COMPUTED_VALUE"""),"Provincia de València")</f>
        <v>Provincia de València</v>
      </c>
      <c r="D699" s="2" t="str">
        <f>IFERROR(__xludf.DUMMYFUNCTION("""COMPUTED_VALUE"""),"Comunidad Valenciana")</f>
        <v>Comunidad Valenciana</v>
      </c>
      <c r="E699" s="2">
        <f>IFERROR(__xludf.DUMMYFUNCTION("""COMPUTED_VALUE"""),12.0)</f>
        <v>12</v>
      </c>
      <c r="F699" s="2">
        <f>IFERROR(__xludf.DUMMYFUNCTION("""COMPUTED_VALUE"""),4.73)</f>
        <v>4.73</v>
      </c>
      <c r="G699" s="4">
        <f>IFERROR(__xludf.DUMMYFUNCTION("""COMPUTED_VALUE"""),10822.0)</f>
        <v>10822</v>
      </c>
      <c r="H699" s="5">
        <f>IFERROR(__xludf.DUMMYFUNCTION("""COMPUTED_VALUE"""),2287.95)</f>
        <v>2287.95</v>
      </c>
    </row>
    <row r="700">
      <c r="A700" s="2" t="str">
        <f>IFERROR(__xludf.DUMMYFUNCTION("""COMPUTED_VALUE"""),"Bollullos de la Mitación")</f>
        <v>Bollullos de la Mitación</v>
      </c>
      <c r="B700" s="2"/>
      <c r="C700" s="2" t="str">
        <f>IFERROR(__xludf.DUMMYFUNCTION("""COMPUTED_VALUE"""),"Provincia de Sevilla")</f>
        <v>Provincia de Sevilla</v>
      </c>
      <c r="D700" s="2" t="str">
        <f>IFERROR(__xludf.DUMMYFUNCTION("""COMPUTED_VALUE"""),"Andalucía")</f>
        <v>Andalucía</v>
      </c>
      <c r="E700" s="2">
        <f>IFERROR(__xludf.DUMMYFUNCTION("""COMPUTED_VALUE"""),86.0)</f>
        <v>86</v>
      </c>
      <c r="F700" s="2">
        <f>IFERROR(__xludf.DUMMYFUNCTION("""COMPUTED_VALUE"""),62.52)</f>
        <v>62.52</v>
      </c>
      <c r="G700" s="4">
        <f>IFERROR(__xludf.DUMMYFUNCTION("""COMPUTED_VALUE"""),10787.0)</f>
        <v>10787</v>
      </c>
      <c r="H700" s="2">
        <f>IFERROR(__xludf.DUMMYFUNCTION("""COMPUTED_VALUE"""),172.54)</f>
        <v>172.54</v>
      </c>
    </row>
    <row r="701">
      <c r="A701" s="2" t="str">
        <f>IFERROR(__xludf.DUMMYFUNCTION("""COMPUTED_VALUE"""),"La Palma del Condado")</f>
        <v>La Palma del Condado</v>
      </c>
      <c r="B701" s="2" t="str">
        <f>IFERROR(__xludf.DUMMYFUNCTION("""COMPUTED_VALUE"""),"El Condado (Huelva)")</f>
        <v>El Condado (Huelva)</v>
      </c>
      <c r="C701" s="2" t="str">
        <f>IFERROR(__xludf.DUMMYFUNCTION("""COMPUTED_VALUE"""),"Provincia de Huelva")</f>
        <v>Provincia de Huelva</v>
      </c>
      <c r="D701" s="2" t="str">
        <f>IFERROR(__xludf.DUMMYFUNCTION("""COMPUTED_VALUE"""),"Andalucía")</f>
        <v>Andalucía</v>
      </c>
      <c r="E701" s="2">
        <f>IFERROR(__xludf.DUMMYFUNCTION("""COMPUTED_VALUE"""),93.0)</f>
        <v>93</v>
      </c>
      <c r="F701" s="2">
        <f>IFERROR(__xludf.DUMMYFUNCTION("""COMPUTED_VALUE"""),60.42)</f>
        <v>60.42</v>
      </c>
      <c r="G701" s="4">
        <f>IFERROR(__xludf.DUMMYFUNCTION("""COMPUTED_VALUE"""),10761.0)</f>
        <v>10761</v>
      </c>
      <c r="H701" s="2">
        <f>IFERROR(__xludf.DUMMYFUNCTION("""COMPUTED_VALUE"""),178.1)</f>
        <v>178.1</v>
      </c>
    </row>
    <row r="702">
      <c r="A702" s="2" t="str">
        <f>IFERROR(__xludf.DUMMYFUNCTION("""COMPUTED_VALUE"""),"Brunete")</f>
        <v>Brunete</v>
      </c>
      <c r="B702" s="2" t="str">
        <f>IFERROR(__xludf.DUMMYFUNCTION("""COMPUTED_VALUE"""),"La Encina")</f>
        <v>La Encina</v>
      </c>
      <c r="C702" s="2" t="str">
        <f>IFERROR(__xludf.DUMMYFUNCTION("""COMPUTED_VALUE"""),"Provincia de Madrid")</f>
        <v>Provincia de Madrid</v>
      </c>
      <c r="D702" s="2" t="str">
        <f>IFERROR(__xludf.DUMMYFUNCTION("""COMPUTED_VALUE"""),"Comunidad de Madrid")</f>
        <v>Comunidad de Madrid</v>
      </c>
      <c r="E702" s="2">
        <f>IFERROR(__xludf.DUMMYFUNCTION("""COMPUTED_VALUE"""),656.0)</f>
        <v>656</v>
      </c>
      <c r="F702" s="2">
        <f>IFERROR(__xludf.DUMMYFUNCTION("""COMPUTED_VALUE"""),48.94)</f>
        <v>48.94</v>
      </c>
      <c r="G702" s="4">
        <f>IFERROR(__xludf.DUMMYFUNCTION("""COMPUTED_VALUE"""),10736.0)</f>
        <v>10736</v>
      </c>
      <c r="H702" s="2">
        <f>IFERROR(__xludf.DUMMYFUNCTION("""COMPUTED_VALUE"""),219.37)</f>
        <v>219.37</v>
      </c>
    </row>
    <row r="703">
      <c r="A703" s="2" t="str">
        <f>IFERROR(__xludf.DUMMYFUNCTION("""COMPUTED_VALUE"""),"Villacarrillo")</f>
        <v>Villacarrillo</v>
      </c>
      <c r="B703" s="2" t="str">
        <f>IFERROR(__xludf.DUMMYFUNCTION("""COMPUTED_VALUE"""),"Las Villas (Jaén)")</f>
        <v>Las Villas (Jaén)</v>
      </c>
      <c r="C703" s="2" t="str">
        <f>IFERROR(__xludf.DUMMYFUNCTION("""COMPUTED_VALUE"""),"Provincia de Jaén")</f>
        <v>Provincia de Jaén</v>
      </c>
      <c r="D703" s="2" t="str">
        <f>IFERROR(__xludf.DUMMYFUNCTION("""COMPUTED_VALUE"""),"Andalucía")</f>
        <v>Andalucía</v>
      </c>
      <c r="E703" s="2">
        <f>IFERROR(__xludf.DUMMYFUNCTION("""COMPUTED_VALUE"""),812.0)</f>
        <v>812</v>
      </c>
      <c r="F703" s="2">
        <f>IFERROR(__xludf.DUMMYFUNCTION("""COMPUTED_VALUE"""),239.55)</f>
        <v>239.55</v>
      </c>
      <c r="G703" s="4">
        <f>IFERROR(__xludf.DUMMYFUNCTION("""COMPUTED_VALUE"""),10726.0)</f>
        <v>10726</v>
      </c>
      <c r="H703" s="2">
        <f>IFERROR(__xludf.DUMMYFUNCTION("""COMPUTED_VALUE"""),44.78)</f>
        <v>44.78</v>
      </c>
    </row>
    <row r="704">
      <c r="A704" s="2" t="str">
        <f>IFERROR(__xludf.DUMMYFUNCTION("""COMPUTED_VALUE"""),"Peñarroya-Pueblonuevo")</f>
        <v>Peñarroya-Pueblonuevo</v>
      </c>
      <c r="B704" s="2" t="str">
        <f>IFERROR(__xludf.DUMMYFUNCTION("""COMPUTED_VALUE"""),"Valle del Guadiato")</f>
        <v>Valle del Guadiato</v>
      </c>
      <c r="C704" s="2" t="str">
        <f>IFERROR(__xludf.DUMMYFUNCTION("""COMPUTED_VALUE"""),"Provincia de Córdoba")</f>
        <v>Provincia de Córdoba</v>
      </c>
      <c r="D704" s="2" t="str">
        <f>IFERROR(__xludf.DUMMYFUNCTION("""COMPUTED_VALUE"""),"Andalucía")</f>
        <v>Andalucía</v>
      </c>
      <c r="E704" s="2">
        <f>IFERROR(__xludf.DUMMYFUNCTION("""COMPUTED_VALUE"""),537.0)</f>
        <v>537</v>
      </c>
      <c r="F704" s="2">
        <f>IFERROR(__xludf.DUMMYFUNCTION("""COMPUTED_VALUE"""),64.88)</f>
        <v>64.88</v>
      </c>
      <c r="G704" s="4">
        <f>IFERROR(__xludf.DUMMYFUNCTION("""COMPUTED_VALUE"""),10695.0)</f>
        <v>10695</v>
      </c>
      <c r="H704" s="2">
        <f>IFERROR(__xludf.DUMMYFUNCTION("""COMPUTED_VALUE"""),164.84)</f>
        <v>164.84</v>
      </c>
    </row>
    <row r="705">
      <c r="A705" s="2" t="str">
        <f>IFERROR(__xludf.DUMMYFUNCTION("""COMPUTED_VALUE"""),"Ripoll")</f>
        <v>Ripoll</v>
      </c>
      <c r="B705" s="2" t="str">
        <f>IFERROR(__xludf.DUMMYFUNCTION("""COMPUTED_VALUE"""),"Ripollés")</f>
        <v>Ripollés</v>
      </c>
      <c r="C705" s="2" t="str">
        <f>IFERROR(__xludf.DUMMYFUNCTION("""COMPUTED_VALUE"""),"Provincia de Girona")</f>
        <v>Provincia de Girona</v>
      </c>
      <c r="D705" s="2" t="str">
        <f>IFERROR(__xludf.DUMMYFUNCTION("""COMPUTED_VALUE"""),"Cataluña")</f>
        <v>Cataluña</v>
      </c>
      <c r="E705" s="2">
        <f>IFERROR(__xludf.DUMMYFUNCTION("""COMPUTED_VALUE"""),691.0)</f>
        <v>691</v>
      </c>
      <c r="F705" s="2">
        <f>IFERROR(__xludf.DUMMYFUNCTION("""COMPUTED_VALUE"""),73.68)</f>
        <v>73.68</v>
      </c>
      <c r="G705" s="4">
        <f>IFERROR(__xludf.DUMMYFUNCTION("""COMPUTED_VALUE"""),10686.0)</f>
        <v>10686</v>
      </c>
      <c r="H705" s="2">
        <f>IFERROR(__xludf.DUMMYFUNCTION("""COMPUTED_VALUE"""),145.03)</f>
        <v>145.03</v>
      </c>
    </row>
    <row r="706">
      <c r="A706" s="2" t="str">
        <f>IFERROR(__xludf.DUMMYFUNCTION("""COMPUTED_VALUE"""),"Cantillana")</f>
        <v>Cantillana</v>
      </c>
      <c r="B706" s="2" t="str">
        <f>IFERROR(__xludf.DUMMYFUNCTION("""COMPUTED_VALUE"""),"Vega del Guadalquivir")</f>
        <v>Vega del Guadalquivir</v>
      </c>
      <c r="C706" s="2" t="str">
        <f>IFERROR(__xludf.DUMMYFUNCTION("""COMPUTED_VALUE"""),"Provincia de Sevilla")</f>
        <v>Provincia de Sevilla</v>
      </c>
      <c r="D706" s="2" t="str">
        <f>IFERROR(__xludf.DUMMYFUNCTION("""COMPUTED_VALUE"""),"Andalucía")</f>
        <v>Andalucía</v>
      </c>
      <c r="E706" s="2">
        <f>IFERROR(__xludf.DUMMYFUNCTION("""COMPUTED_VALUE"""),34.0)</f>
        <v>34</v>
      </c>
      <c r="F706" s="2">
        <f>IFERROR(__xludf.DUMMYFUNCTION("""COMPUTED_VALUE"""),107.03)</f>
        <v>107.03</v>
      </c>
      <c r="G706" s="4">
        <f>IFERROR(__xludf.DUMMYFUNCTION("""COMPUTED_VALUE"""),10684.0)</f>
        <v>10684</v>
      </c>
      <c r="H706" s="2">
        <f>IFERROR(__xludf.DUMMYFUNCTION("""COMPUTED_VALUE"""),99.82)</f>
        <v>99.82</v>
      </c>
    </row>
    <row r="707">
      <c r="A707" s="2" t="str">
        <f>IFERROR(__xludf.DUMMYFUNCTION("""COMPUTED_VALUE"""),"La Roca del Vallès")</f>
        <v>La Roca del Vallès</v>
      </c>
      <c r="B707" s="2" t="str">
        <f>IFERROR(__xludf.DUMMYFUNCTION("""COMPUTED_VALUE"""),"Vallès Oriental")</f>
        <v>Vallès Oriental</v>
      </c>
      <c r="C707" s="2" t="str">
        <f>IFERROR(__xludf.DUMMYFUNCTION("""COMPUTED_VALUE"""),"Provincia de Barcelona")</f>
        <v>Provincia de Barcelona</v>
      </c>
      <c r="D707" s="2" t="str">
        <f>IFERROR(__xludf.DUMMYFUNCTION("""COMPUTED_VALUE"""),"Cataluña")</f>
        <v>Cataluña</v>
      </c>
      <c r="E707" s="2">
        <f>IFERROR(__xludf.DUMMYFUNCTION("""COMPUTED_VALUE"""),123.0)</f>
        <v>123</v>
      </c>
      <c r="F707" s="2">
        <f>IFERROR(__xludf.DUMMYFUNCTION("""COMPUTED_VALUE"""),36.79)</f>
        <v>36.79</v>
      </c>
      <c r="G707" s="4">
        <f>IFERROR(__xludf.DUMMYFUNCTION("""COMPUTED_VALUE"""),10650.0)</f>
        <v>10650</v>
      </c>
      <c r="H707" s="2">
        <f>IFERROR(__xludf.DUMMYFUNCTION("""COMPUTED_VALUE"""),289.48)</f>
        <v>289.48</v>
      </c>
    </row>
    <row r="708">
      <c r="A708" s="2" t="str">
        <f>IFERROR(__xludf.DUMMYFUNCTION("""COMPUTED_VALUE"""),"O Grove")</f>
        <v>O Grove</v>
      </c>
      <c r="B708" s="2" t="str">
        <f>IFERROR(__xludf.DUMMYFUNCTION("""COMPUTED_VALUE"""),"Salnés")</f>
        <v>Salnés</v>
      </c>
      <c r="C708" s="2" t="str">
        <f>IFERROR(__xludf.DUMMYFUNCTION("""COMPUTED_VALUE"""),"Provincia de Pontevedra")</f>
        <v>Provincia de Pontevedra</v>
      </c>
      <c r="D708" s="2" t="str">
        <f>IFERROR(__xludf.DUMMYFUNCTION("""COMPUTED_VALUE"""),"Galicia")</f>
        <v>Galicia</v>
      </c>
      <c r="E708" s="2">
        <f>IFERROR(__xludf.DUMMYFUNCTION("""COMPUTED_VALUE"""),4.0)</f>
        <v>4</v>
      </c>
      <c r="F708" s="2">
        <f>IFERROR(__xludf.DUMMYFUNCTION("""COMPUTED_VALUE"""),21.89)</f>
        <v>21.89</v>
      </c>
      <c r="G708" s="4">
        <f>IFERROR(__xludf.DUMMYFUNCTION("""COMPUTED_VALUE"""),10650.0)</f>
        <v>10650</v>
      </c>
      <c r="H708" s="2">
        <f>IFERROR(__xludf.DUMMYFUNCTION("""COMPUTED_VALUE"""),486.52)</f>
        <v>486.52</v>
      </c>
    </row>
    <row r="709">
      <c r="A709" s="2" t="str">
        <f>IFERROR(__xludf.DUMMYFUNCTION("""COMPUTED_VALUE"""),"Aller")</f>
        <v>Aller</v>
      </c>
      <c r="B709" s="2" t="str">
        <f>IFERROR(__xludf.DUMMYFUNCTION("""COMPUTED_VALUE"""),"Comarca del Caudal")</f>
        <v>Comarca del Caudal</v>
      </c>
      <c r="C709" s="2" t="str">
        <f>IFERROR(__xludf.DUMMYFUNCTION("""COMPUTED_VALUE"""),"Provincia de Asturias")</f>
        <v>Provincia de Asturias</v>
      </c>
      <c r="D709" s="2" t="str">
        <f>IFERROR(__xludf.DUMMYFUNCTION("""COMPUTED_VALUE"""),"Principado de Asturias")</f>
        <v>Principado de Asturias</v>
      </c>
      <c r="E709" s="4">
        <f>IFERROR(__xludf.DUMMYFUNCTION("""COMPUTED_VALUE"""),2123.0)</f>
        <v>2123</v>
      </c>
      <c r="F709" s="2">
        <f>IFERROR(__xludf.DUMMYFUNCTION("""COMPUTED_VALUE"""),375.89)</f>
        <v>375.89</v>
      </c>
      <c r="G709" s="4">
        <f>IFERROR(__xludf.DUMMYFUNCTION("""COMPUTED_VALUE"""),10613.0)</f>
        <v>10613</v>
      </c>
      <c r="H709" s="2">
        <f>IFERROR(__xludf.DUMMYFUNCTION("""COMPUTED_VALUE"""),28.23)</f>
        <v>28.23</v>
      </c>
    </row>
    <row r="710">
      <c r="A710" s="2" t="str">
        <f>IFERROR(__xludf.DUMMYFUNCTION("""COMPUTED_VALUE"""),"Tafalla")</f>
        <v>Tafalla</v>
      </c>
      <c r="B710" s="2" t="str">
        <f>IFERROR(__xludf.DUMMYFUNCTION("""COMPUTED_VALUE"""),"Tafalla (comarca)")</f>
        <v>Tafalla (comarca)</v>
      </c>
      <c r="C710" s="2" t="str">
        <f>IFERROR(__xludf.DUMMYFUNCTION("""COMPUTED_VALUE"""),"Provincia de Navarra")</f>
        <v>Provincia de Navarra</v>
      </c>
      <c r="D710" s="2" t="str">
        <f>IFERROR(__xludf.DUMMYFUNCTION("""COMPUTED_VALUE"""),"Comunidad Foral de Navarra")</f>
        <v>Comunidad Foral de Navarra</v>
      </c>
      <c r="E710" s="2">
        <f>IFERROR(__xludf.DUMMYFUNCTION("""COMPUTED_VALUE"""),421.0)</f>
        <v>421</v>
      </c>
      <c r="F710" s="2">
        <f>IFERROR(__xludf.DUMMYFUNCTION("""COMPUTED_VALUE"""),98.08)</f>
        <v>98.08</v>
      </c>
      <c r="G710" s="4">
        <f>IFERROR(__xludf.DUMMYFUNCTION("""COMPUTED_VALUE"""),10595.0)</f>
        <v>10595</v>
      </c>
      <c r="H710" s="2">
        <f>IFERROR(__xludf.DUMMYFUNCTION("""COMPUTED_VALUE"""),108.02)</f>
        <v>108.02</v>
      </c>
    </row>
    <row r="711">
      <c r="A711" s="2" t="str">
        <f>IFERROR(__xludf.DUMMYFUNCTION("""COMPUTED_VALUE"""),"Tarazona")</f>
        <v>Tarazona</v>
      </c>
      <c r="B711" s="2" t="str">
        <f>IFERROR(__xludf.DUMMYFUNCTION("""COMPUTED_VALUE"""),"Tarassona i el Moncayo")</f>
        <v>Tarassona i el Moncayo</v>
      </c>
      <c r="C711" s="2" t="str">
        <f>IFERROR(__xludf.DUMMYFUNCTION("""COMPUTED_VALUE"""),"Provincia de Zaragoza")</f>
        <v>Provincia de Zaragoza</v>
      </c>
      <c r="D711" s="2" t="str">
        <f>IFERROR(__xludf.DUMMYFUNCTION("""COMPUTED_VALUE"""),"Aragón")</f>
        <v>Aragón</v>
      </c>
      <c r="E711" s="2">
        <f>IFERROR(__xludf.DUMMYFUNCTION("""COMPUTED_VALUE"""),480.0)</f>
        <v>480</v>
      </c>
      <c r="F711" s="2">
        <f>IFERROR(__xludf.DUMMYFUNCTION("""COMPUTED_VALUE"""),244.01)</f>
        <v>244.01</v>
      </c>
      <c r="G711" s="4">
        <f>IFERROR(__xludf.DUMMYFUNCTION("""COMPUTED_VALUE"""),10533.0)</f>
        <v>10533</v>
      </c>
      <c r="H711" s="2">
        <f>IFERROR(__xludf.DUMMYFUNCTION("""COMPUTED_VALUE"""),43.17)</f>
        <v>43.17</v>
      </c>
    </row>
    <row r="712">
      <c r="A712" s="2" t="str">
        <f>IFERROR(__xludf.DUMMYFUNCTION("""COMPUTED_VALUE"""),"Alberic")</f>
        <v>Alberic</v>
      </c>
      <c r="B712" s="2" t="str">
        <f>IFERROR(__xludf.DUMMYFUNCTION("""COMPUTED_VALUE"""),"Ribera Alta (Valencia)")</f>
        <v>Ribera Alta (Valencia)</v>
      </c>
      <c r="C712" s="2" t="str">
        <f>IFERROR(__xludf.DUMMYFUNCTION("""COMPUTED_VALUE"""),"Provincia de València")</f>
        <v>Provincia de València</v>
      </c>
      <c r="D712" s="2" t="str">
        <f>IFERROR(__xludf.DUMMYFUNCTION("""COMPUTED_VALUE"""),"Comunidad Valenciana")</f>
        <v>Comunidad Valenciana</v>
      </c>
      <c r="E712" s="2">
        <f>IFERROR(__xludf.DUMMYFUNCTION("""COMPUTED_VALUE"""),28.0)</f>
        <v>28</v>
      </c>
      <c r="F712" s="2">
        <f>IFERROR(__xludf.DUMMYFUNCTION("""COMPUTED_VALUE"""),26.79)</f>
        <v>26.79</v>
      </c>
      <c r="G712" s="4">
        <f>IFERROR(__xludf.DUMMYFUNCTION("""COMPUTED_VALUE"""),10526.0)</f>
        <v>10526</v>
      </c>
      <c r="H712" s="2">
        <f>IFERROR(__xludf.DUMMYFUNCTION("""COMPUTED_VALUE"""),392.91)</f>
        <v>392.91</v>
      </c>
    </row>
    <row r="713">
      <c r="A713" s="2" t="str">
        <f>IFERROR(__xludf.DUMMYFUNCTION("""COMPUTED_VALUE"""),"Alcaudete")</f>
        <v>Alcaudete</v>
      </c>
      <c r="B713" s="2" t="str">
        <f>IFERROR(__xludf.DUMMYFUNCTION("""COMPUTED_VALUE"""),"Sierra Sur (Jaén)")</f>
        <v>Sierra Sur (Jaén)</v>
      </c>
      <c r="C713" s="2" t="str">
        <f>IFERROR(__xludf.DUMMYFUNCTION("""COMPUTED_VALUE"""),"Provincia de Jaén")</f>
        <v>Provincia de Jaén</v>
      </c>
      <c r="D713" s="2" t="str">
        <f>IFERROR(__xludf.DUMMYFUNCTION("""COMPUTED_VALUE"""),"Andalucía")</f>
        <v>Andalucía</v>
      </c>
      <c r="E713" s="2">
        <f>IFERROR(__xludf.DUMMYFUNCTION("""COMPUTED_VALUE"""),676.0)</f>
        <v>676</v>
      </c>
      <c r="F713" s="2">
        <f>IFERROR(__xludf.DUMMYFUNCTION("""COMPUTED_VALUE"""),236.84)</f>
        <v>236.84</v>
      </c>
      <c r="G713" s="4">
        <f>IFERROR(__xludf.DUMMYFUNCTION("""COMPUTED_VALUE"""),10498.0)</f>
        <v>10498</v>
      </c>
      <c r="H713" s="2">
        <f>IFERROR(__xludf.DUMMYFUNCTION("""COMPUTED_VALUE"""),44.33)</f>
        <v>44.33</v>
      </c>
    </row>
    <row r="714">
      <c r="A714" s="2" t="str">
        <f>IFERROR(__xludf.DUMMYFUNCTION("""COMPUTED_VALUE"""),"Madridejos")</f>
        <v>Madridejos</v>
      </c>
      <c r="B714" s="2" t="str">
        <f>IFERROR(__xludf.DUMMYFUNCTION("""COMPUTED_VALUE"""),"Mancha de Toledo")</f>
        <v>Mancha de Toledo</v>
      </c>
      <c r="C714" s="2" t="str">
        <f>IFERROR(__xludf.DUMMYFUNCTION("""COMPUTED_VALUE"""),"Provincia de Toledo")</f>
        <v>Provincia de Toledo</v>
      </c>
      <c r="D714" s="2" t="str">
        <f>IFERROR(__xludf.DUMMYFUNCTION("""COMPUTED_VALUE"""),"Castilla-La Mancha")</f>
        <v>Castilla-La Mancha</v>
      </c>
      <c r="E714" s="2">
        <f>IFERROR(__xludf.DUMMYFUNCTION("""COMPUTED_VALUE"""),697.0)</f>
        <v>697</v>
      </c>
      <c r="F714" s="2">
        <f>IFERROR(__xludf.DUMMYFUNCTION("""COMPUTED_VALUE"""),262.01)</f>
        <v>262.01</v>
      </c>
      <c r="G714" s="4">
        <f>IFERROR(__xludf.DUMMYFUNCTION("""COMPUTED_VALUE"""),10453.0)</f>
        <v>10453</v>
      </c>
      <c r="H714" s="2">
        <f>IFERROR(__xludf.DUMMYFUNCTION("""COMPUTED_VALUE"""),39.9)</f>
        <v>39.9</v>
      </c>
    </row>
    <row r="715">
      <c r="A715" s="2" t="str">
        <f>IFERROR(__xludf.DUMMYFUNCTION("""COMPUTED_VALUE"""),"Premià de Dalt")</f>
        <v>Premià de Dalt</v>
      </c>
      <c r="B715" s="2" t="str">
        <f>IFERROR(__xludf.DUMMYFUNCTION("""COMPUTED_VALUE"""),"Maresme")</f>
        <v>Maresme</v>
      </c>
      <c r="C715" s="2" t="str">
        <f>IFERROR(__xludf.DUMMYFUNCTION("""COMPUTED_VALUE"""),"Provincia de Barcelona")</f>
        <v>Provincia de Barcelona</v>
      </c>
      <c r="D715" s="2" t="str">
        <f>IFERROR(__xludf.DUMMYFUNCTION("""COMPUTED_VALUE"""),"Cataluña")</f>
        <v>Cataluña</v>
      </c>
      <c r="E715" s="2">
        <f>IFERROR(__xludf.DUMMYFUNCTION("""COMPUTED_VALUE"""),142.0)</f>
        <v>142</v>
      </c>
      <c r="F715" s="2">
        <f>IFERROR(__xludf.DUMMYFUNCTION("""COMPUTED_VALUE"""),6.54)</f>
        <v>6.54</v>
      </c>
      <c r="G715" s="4">
        <f>IFERROR(__xludf.DUMMYFUNCTION("""COMPUTED_VALUE"""),10448.0)</f>
        <v>10448</v>
      </c>
      <c r="H715" s="5">
        <f>IFERROR(__xludf.DUMMYFUNCTION("""COMPUTED_VALUE"""),1597.55)</f>
        <v>1597.55</v>
      </c>
    </row>
    <row r="716">
      <c r="A716" s="2" t="str">
        <f>IFERROR(__xludf.DUMMYFUNCTION("""COMPUTED_VALUE"""),"Cabanillas del Campo")</f>
        <v>Cabanillas del Campo</v>
      </c>
      <c r="B716" s="2" t="str">
        <f>IFERROR(__xludf.DUMMYFUNCTION("""COMPUTED_VALUE"""),"Campiña de Guadalajara")</f>
        <v>Campiña de Guadalajara</v>
      </c>
      <c r="C716" s="2" t="str">
        <f>IFERROR(__xludf.DUMMYFUNCTION("""COMPUTED_VALUE"""),"Provincia de Guadalajara")</f>
        <v>Provincia de Guadalajara</v>
      </c>
      <c r="D716" s="2" t="str">
        <f>IFERROR(__xludf.DUMMYFUNCTION("""COMPUTED_VALUE"""),"Castilla-La Mancha")</f>
        <v>Castilla-La Mancha</v>
      </c>
      <c r="E716" s="2">
        <f>IFERROR(__xludf.DUMMYFUNCTION("""COMPUTED_VALUE"""),694.0)</f>
        <v>694</v>
      </c>
      <c r="F716" s="2">
        <f>IFERROR(__xludf.DUMMYFUNCTION("""COMPUTED_VALUE"""),34.82)</f>
        <v>34.82</v>
      </c>
      <c r="G716" s="4">
        <f>IFERROR(__xludf.DUMMYFUNCTION("""COMPUTED_VALUE"""),10442.0)</f>
        <v>10442</v>
      </c>
      <c r="H716" s="2">
        <f>IFERROR(__xludf.DUMMYFUNCTION("""COMPUTED_VALUE"""),299.89)</f>
        <v>299.89</v>
      </c>
    </row>
    <row r="717">
      <c r="A717" s="2" t="str">
        <f>IFERROR(__xludf.DUMMYFUNCTION("""COMPUTED_VALUE"""),"Berriozar")</f>
        <v>Berriozar</v>
      </c>
      <c r="B717" s="2" t="str">
        <f>IFERROR(__xludf.DUMMYFUNCTION("""COMPUTED_VALUE"""),"Cuenca de Pamplona")</f>
        <v>Cuenca de Pamplona</v>
      </c>
      <c r="C717" s="2" t="str">
        <f>IFERROR(__xludf.DUMMYFUNCTION("""COMPUTED_VALUE"""),"Provincia de Navarra")</f>
        <v>Provincia de Navarra</v>
      </c>
      <c r="D717" s="2" t="str">
        <f>IFERROR(__xludf.DUMMYFUNCTION("""COMPUTED_VALUE"""),"Comunidad Foral de Navarra")</f>
        <v>Comunidad Foral de Navarra</v>
      </c>
      <c r="E717" s="2">
        <f>IFERROR(__xludf.DUMMYFUNCTION("""COMPUTED_VALUE"""),428.0)</f>
        <v>428</v>
      </c>
      <c r="F717" s="2">
        <f>IFERROR(__xludf.DUMMYFUNCTION("""COMPUTED_VALUE"""),2.71)</f>
        <v>2.71</v>
      </c>
      <c r="G717" s="4">
        <f>IFERROR(__xludf.DUMMYFUNCTION("""COMPUTED_VALUE"""),10426.0)</f>
        <v>10426</v>
      </c>
      <c r="H717" s="5">
        <f>IFERROR(__xludf.DUMMYFUNCTION("""COMPUTED_VALUE"""),3847.23)</f>
        <v>3847.23</v>
      </c>
    </row>
    <row r="718">
      <c r="A718" s="2" t="str">
        <f>IFERROR(__xludf.DUMMYFUNCTION("""COMPUTED_VALUE"""),"L'Alcora")</f>
        <v>L'Alcora</v>
      </c>
      <c r="B718" s="2" t="str">
        <f>IFERROR(__xludf.DUMMYFUNCTION("""COMPUTED_VALUE"""),"Alcalatén")</f>
        <v>Alcalatén</v>
      </c>
      <c r="C718" s="2" t="str">
        <f>IFERROR(__xludf.DUMMYFUNCTION("""COMPUTED_VALUE"""),"Provincia de Castellón")</f>
        <v>Provincia de Castellón</v>
      </c>
      <c r="D718" s="2" t="str">
        <f>IFERROR(__xludf.DUMMYFUNCTION("""COMPUTED_VALUE"""),"Comunidad Valenciana")</f>
        <v>Comunidad Valenciana</v>
      </c>
      <c r="E718" s="2">
        <f>IFERROR(__xludf.DUMMYFUNCTION("""COMPUTED_VALUE"""),279.0)</f>
        <v>279</v>
      </c>
      <c r="F718" s="2">
        <f>IFERROR(__xludf.DUMMYFUNCTION("""COMPUTED_VALUE"""),95.18)</f>
        <v>95.18</v>
      </c>
      <c r="G718" s="4">
        <f>IFERROR(__xludf.DUMMYFUNCTION("""COMPUTED_VALUE"""),10405.0)</f>
        <v>10405</v>
      </c>
      <c r="H718" s="2">
        <f>IFERROR(__xludf.DUMMYFUNCTION("""COMPUTED_VALUE"""),109.32)</f>
        <v>109.32</v>
      </c>
    </row>
    <row r="719">
      <c r="A719" s="2" t="str">
        <f>IFERROR(__xludf.DUMMYFUNCTION("""COMPUTED_VALUE"""),"Ordizia")</f>
        <v>Ordizia</v>
      </c>
      <c r="B719" s="2" t="str">
        <f>IFERROR(__xludf.DUMMYFUNCTION("""COMPUTED_VALUE"""),"Goyerri")</f>
        <v>Goyerri</v>
      </c>
      <c r="C719" s="2" t="str">
        <f>IFERROR(__xludf.DUMMYFUNCTION("""COMPUTED_VALUE"""),"Provincia de Gipuzkoa")</f>
        <v>Provincia de Gipuzkoa</v>
      </c>
      <c r="D719" s="2" t="str">
        <f>IFERROR(__xludf.DUMMYFUNCTION("""COMPUTED_VALUE"""),"País Vasco")</f>
        <v>País Vasco</v>
      </c>
      <c r="E719" s="2">
        <f>IFERROR(__xludf.DUMMYFUNCTION("""COMPUTED_VALUE"""),153.0)</f>
        <v>153</v>
      </c>
      <c r="F719" s="2">
        <f>IFERROR(__xludf.DUMMYFUNCTION("""COMPUTED_VALUE"""),5.66)</f>
        <v>5.66</v>
      </c>
      <c r="G719" s="4">
        <f>IFERROR(__xludf.DUMMYFUNCTION("""COMPUTED_VALUE"""),10394.0)</f>
        <v>10394</v>
      </c>
      <c r="H719" s="5">
        <f>IFERROR(__xludf.DUMMYFUNCTION("""COMPUTED_VALUE"""),1836.4)</f>
        <v>1836.4</v>
      </c>
    </row>
    <row r="720">
      <c r="A720" s="2" t="str">
        <f>IFERROR(__xludf.DUMMYFUNCTION("""COMPUTED_VALUE"""),"Cassà de la Selva")</f>
        <v>Cassà de la Selva</v>
      </c>
      <c r="B720" s="2" t="str">
        <f>IFERROR(__xludf.DUMMYFUNCTION("""COMPUTED_VALUE"""),"Gironès")</f>
        <v>Gironès</v>
      </c>
      <c r="C720" s="2" t="str">
        <f>IFERROR(__xludf.DUMMYFUNCTION("""COMPUTED_VALUE"""),"Provincia de Girona")</f>
        <v>Provincia de Girona</v>
      </c>
      <c r="D720" s="2" t="str">
        <f>IFERROR(__xludf.DUMMYFUNCTION("""COMPUTED_VALUE"""),"Cataluña")</f>
        <v>Cataluña</v>
      </c>
      <c r="E720" s="2">
        <f>IFERROR(__xludf.DUMMYFUNCTION("""COMPUTED_VALUE"""),137.0)</f>
        <v>137</v>
      </c>
      <c r="F720" s="2">
        <f>IFERROR(__xludf.DUMMYFUNCTION("""COMPUTED_VALUE"""),45.43)</f>
        <v>45.43</v>
      </c>
      <c r="G720" s="4">
        <f>IFERROR(__xludf.DUMMYFUNCTION("""COMPUTED_VALUE"""),10380.0)</f>
        <v>10380</v>
      </c>
      <c r="H720" s="2">
        <f>IFERROR(__xludf.DUMMYFUNCTION("""COMPUTED_VALUE"""),228.48)</f>
        <v>228.48</v>
      </c>
    </row>
    <row r="721">
      <c r="A721" s="2" t="str">
        <f>IFERROR(__xludf.DUMMYFUNCTION("""COMPUTED_VALUE"""),"Huétor Tájar")</f>
        <v>Huétor Tájar</v>
      </c>
      <c r="B721" s="2" t="str">
        <f>IFERROR(__xludf.DUMMYFUNCTION("""COMPUTED_VALUE"""),"Comarca de Loja")</f>
        <v>Comarca de Loja</v>
      </c>
      <c r="C721" s="2" t="str">
        <f>IFERROR(__xludf.DUMMYFUNCTION("""COMPUTED_VALUE"""),"Provincia de Granada")</f>
        <v>Provincia de Granada</v>
      </c>
      <c r="D721" s="2" t="str">
        <f>IFERROR(__xludf.DUMMYFUNCTION("""COMPUTED_VALUE"""),"Andalucía")</f>
        <v>Andalucía</v>
      </c>
      <c r="E721" s="2">
        <f>IFERROR(__xludf.DUMMYFUNCTION("""COMPUTED_VALUE"""),484.0)</f>
        <v>484</v>
      </c>
      <c r="F721" s="2">
        <f>IFERROR(__xludf.DUMMYFUNCTION("""COMPUTED_VALUE"""),39.94)</f>
        <v>39.94</v>
      </c>
      <c r="G721" s="4">
        <f>IFERROR(__xludf.DUMMYFUNCTION("""COMPUTED_VALUE"""),10352.0)</f>
        <v>10352</v>
      </c>
      <c r="H721" s="2">
        <f>IFERROR(__xludf.DUMMYFUNCTION("""COMPUTED_VALUE"""),259.19)</f>
        <v>259.19</v>
      </c>
    </row>
    <row r="722">
      <c r="A722" s="2" t="str">
        <f>IFERROR(__xludf.DUMMYFUNCTION("""COMPUTED_VALUE"""),"Amurrio")</f>
        <v>Amurrio</v>
      </c>
      <c r="B722" s="2" t="str">
        <f>IFERROR(__xludf.DUMMYFUNCTION("""COMPUTED_VALUE"""),"Aiaraldea")</f>
        <v>Aiaraldea</v>
      </c>
      <c r="C722" s="2" t="str">
        <f>IFERROR(__xludf.DUMMYFUNCTION("""COMPUTED_VALUE"""),"Provincia de Araba")</f>
        <v>Provincia de Araba</v>
      </c>
      <c r="D722" s="2" t="str">
        <f>IFERROR(__xludf.DUMMYFUNCTION("""COMPUTED_VALUE"""),"País Vasco")</f>
        <v>País Vasco</v>
      </c>
      <c r="E722" s="2">
        <f>IFERROR(__xludf.DUMMYFUNCTION("""COMPUTED_VALUE"""),219.0)</f>
        <v>219</v>
      </c>
      <c r="F722" s="2">
        <f>IFERROR(__xludf.DUMMYFUNCTION("""COMPUTED_VALUE"""),96.35)</f>
        <v>96.35</v>
      </c>
      <c r="G722" s="4">
        <f>IFERROR(__xludf.DUMMYFUNCTION("""COMPUTED_VALUE"""),10350.0)</f>
        <v>10350</v>
      </c>
      <c r="H722" s="2">
        <f>IFERROR(__xludf.DUMMYFUNCTION("""COMPUTED_VALUE"""),107.42)</f>
        <v>107.42</v>
      </c>
    </row>
    <row r="723">
      <c r="A723" s="2" t="str">
        <f>IFERROR(__xludf.DUMMYFUNCTION("""COMPUTED_VALUE"""),"La Escala")</f>
        <v>La Escala</v>
      </c>
      <c r="B723" s="2" t="str">
        <f>IFERROR(__xludf.DUMMYFUNCTION("""COMPUTED_VALUE"""),"Alto Ampurdán")</f>
        <v>Alto Ampurdán</v>
      </c>
      <c r="C723" s="2" t="str">
        <f>IFERROR(__xludf.DUMMYFUNCTION("""COMPUTED_VALUE"""),"Provincia de Girona")</f>
        <v>Provincia de Girona</v>
      </c>
      <c r="D723" s="2" t="str">
        <f>IFERROR(__xludf.DUMMYFUNCTION("""COMPUTED_VALUE"""),"Cataluña")</f>
        <v>Cataluña</v>
      </c>
      <c r="E723" s="2">
        <f>IFERROR(__xludf.DUMMYFUNCTION("""COMPUTED_VALUE"""),14.0)</f>
        <v>14</v>
      </c>
      <c r="F723" s="2">
        <f>IFERROR(__xludf.DUMMYFUNCTION("""COMPUTED_VALUE"""),16.25)</f>
        <v>16.25</v>
      </c>
      <c r="G723" s="4">
        <f>IFERROR(__xludf.DUMMYFUNCTION("""COMPUTED_VALUE"""),10339.0)</f>
        <v>10339</v>
      </c>
      <c r="H723" s="2">
        <f>IFERROR(__xludf.DUMMYFUNCTION("""COMPUTED_VALUE"""),636.25)</f>
        <v>636.25</v>
      </c>
    </row>
    <row r="724">
      <c r="A724" s="2" t="str">
        <f>IFERROR(__xludf.DUMMYFUNCTION("""COMPUTED_VALUE"""),"La Bañeza")</f>
        <v>La Bañeza</v>
      </c>
      <c r="B724" s="2" t="str">
        <f>IFERROR(__xludf.DUMMYFUNCTION("""COMPUTED_VALUE"""),"Tierra de La Bañeza")</f>
        <v>Tierra de La Bañeza</v>
      </c>
      <c r="C724" s="2" t="str">
        <f>IFERROR(__xludf.DUMMYFUNCTION("""COMPUTED_VALUE"""),"Provincia de León")</f>
        <v>Provincia de León</v>
      </c>
      <c r="D724" s="2" t="str">
        <f>IFERROR(__xludf.DUMMYFUNCTION("""COMPUTED_VALUE"""),"Castilla y León")</f>
        <v>Castilla y León</v>
      </c>
      <c r="E724" s="2">
        <f>IFERROR(__xludf.DUMMYFUNCTION("""COMPUTED_VALUE"""),772.0)</f>
        <v>772</v>
      </c>
      <c r="F724" s="2">
        <f>IFERROR(__xludf.DUMMYFUNCTION("""COMPUTED_VALUE"""),19.71)</f>
        <v>19.71</v>
      </c>
      <c r="G724" s="4">
        <f>IFERROR(__xludf.DUMMYFUNCTION("""COMPUTED_VALUE"""),10338.0)</f>
        <v>10338</v>
      </c>
      <c r="H724" s="2">
        <f>IFERROR(__xludf.DUMMYFUNCTION("""COMPUTED_VALUE"""),524.51)</f>
        <v>524.51</v>
      </c>
    </row>
    <row r="725">
      <c r="A725" s="2" t="str">
        <f>IFERROR(__xludf.DUMMYFUNCTION("""COMPUTED_VALUE"""),"Carreño")</f>
        <v>Carreño</v>
      </c>
      <c r="B725" s="2"/>
      <c r="C725" s="2" t="str">
        <f>IFERROR(__xludf.DUMMYFUNCTION("""COMPUTED_VALUE"""),"Provincia de Asturias")</f>
        <v>Provincia de Asturias</v>
      </c>
      <c r="D725" s="2" t="str">
        <f>IFERROR(__xludf.DUMMYFUNCTION("""COMPUTED_VALUE"""),"Principado de Asturias")</f>
        <v>Principado de Asturias</v>
      </c>
      <c r="E725" s="2">
        <f>IFERROR(__xludf.DUMMYFUNCTION("""COMPUTED_VALUE"""),0.0)</f>
        <v>0</v>
      </c>
      <c r="F725" s="2">
        <f>IFERROR(__xludf.DUMMYFUNCTION("""COMPUTED_VALUE"""),66.75)</f>
        <v>66.75</v>
      </c>
      <c r="G725" s="4">
        <f>IFERROR(__xludf.DUMMYFUNCTION("""COMPUTED_VALUE"""),10337.0)</f>
        <v>10337</v>
      </c>
      <c r="H725" s="2">
        <f>IFERROR(__xludf.DUMMYFUNCTION("""COMPUTED_VALUE"""),154.86)</f>
        <v>154.86</v>
      </c>
    </row>
    <row r="726">
      <c r="A726" s="2" t="str">
        <f>IFERROR(__xludf.DUMMYFUNCTION("""COMPUTED_VALUE"""),"Sedaví")</f>
        <v>Sedaví</v>
      </c>
      <c r="B726" s="2" t="str">
        <f>IFERROR(__xludf.DUMMYFUNCTION("""COMPUTED_VALUE"""),"Huerta Sur")</f>
        <v>Huerta Sur</v>
      </c>
      <c r="C726" s="2" t="str">
        <f>IFERROR(__xludf.DUMMYFUNCTION("""COMPUTED_VALUE"""),"Provincia de València")</f>
        <v>Provincia de València</v>
      </c>
      <c r="D726" s="2" t="str">
        <f>IFERROR(__xludf.DUMMYFUNCTION("""COMPUTED_VALUE"""),"Comunidad Valenciana")</f>
        <v>Comunidad Valenciana</v>
      </c>
      <c r="E726" s="2">
        <f>IFERROR(__xludf.DUMMYFUNCTION("""COMPUTED_VALUE"""),1.0)</f>
        <v>1</v>
      </c>
      <c r="F726" s="2">
        <f>IFERROR(__xludf.DUMMYFUNCTION("""COMPUTED_VALUE"""),1.83)</f>
        <v>1.83</v>
      </c>
      <c r="G726" s="4">
        <f>IFERROR(__xludf.DUMMYFUNCTION("""COMPUTED_VALUE"""),10333.0)</f>
        <v>10333</v>
      </c>
      <c r="H726" s="5">
        <f>IFERROR(__xludf.DUMMYFUNCTION("""COMPUTED_VALUE"""),5646.45)</f>
        <v>5646.45</v>
      </c>
    </row>
    <row r="727">
      <c r="A727" s="2" t="str">
        <f>IFERROR(__xludf.DUMMYFUNCTION("""COMPUTED_VALUE"""),"Gozón")</f>
        <v>Gozón</v>
      </c>
      <c r="B727" s="2"/>
      <c r="C727" s="2" t="str">
        <f>IFERROR(__xludf.DUMMYFUNCTION("""COMPUTED_VALUE"""),"Provincia de Asturias")</f>
        <v>Provincia de Asturias</v>
      </c>
      <c r="D727" s="2" t="str">
        <f>IFERROR(__xludf.DUMMYFUNCTION("""COMPUTED_VALUE"""),"Principado de Asturias")</f>
        <v>Principado de Asturias</v>
      </c>
      <c r="E727" s="2">
        <f>IFERROR(__xludf.DUMMYFUNCTION("""COMPUTED_VALUE"""),187.0)</f>
        <v>187</v>
      </c>
      <c r="F727" s="2">
        <f>IFERROR(__xludf.DUMMYFUNCTION("""COMPUTED_VALUE"""),81.73)</f>
        <v>81.73</v>
      </c>
      <c r="G727" s="4">
        <f>IFERROR(__xludf.DUMMYFUNCTION("""COMPUTED_VALUE"""),10333.0)</f>
        <v>10333</v>
      </c>
      <c r="H727" s="2">
        <f>IFERROR(__xludf.DUMMYFUNCTION("""COMPUTED_VALUE"""),126.43)</f>
        <v>126.43</v>
      </c>
    </row>
    <row r="728">
      <c r="A728" s="2" t="str">
        <f>IFERROR(__xludf.DUMMYFUNCTION("""COMPUTED_VALUE"""),"Bargas")</f>
        <v>Bargas</v>
      </c>
      <c r="B728" s="2" t="str">
        <f>IFERROR(__xludf.DUMMYFUNCTION("""COMPUTED_VALUE"""),"La Sagra")</f>
        <v>La Sagra</v>
      </c>
      <c r="C728" s="2" t="str">
        <f>IFERROR(__xludf.DUMMYFUNCTION("""COMPUTED_VALUE"""),"Provincia de Toledo")</f>
        <v>Provincia de Toledo</v>
      </c>
      <c r="D728" s="2" t="str">
        <f>IFERROR(__xludf.DUMMYFUNCTION("""COMPUTED_VALUE"""),"Castilla-La Mancha")</f>
        <v>Castilla-La Mancha</v>
      </c>
      <c r="E728" s="2">
        <f>IFERROR(__xludf.DUMMYFUNCTION("""COMPUTED_VALUE"""),500.0)</f>
        <v>500</v>
      </c>
      <c r="F728" s="2">
        <f>IFERROR(__xludf.DUMMYFUNCTION("""COMPUTED_VALUE"""),89.71)</f>
        <v>89.71</v>
      </c>
      <c r="G728" s="4">
        <f>IFERROR(__xludf.DUMMYFUNCTION("""COMPUTED_VALUE"""),10332.0)</f>
        <v>10332</v>
      </c>
      <c r="H728" s="2">
        <f>IFERROR(__xludf.DUMMYFUNCTION("""COMPUTED_VALUE"""),115.17)</f>
        <v>115.17</v>
      </c>
    </row>
    <row r="729">
      <c r="A729" s="2" t="str">
        <f>IFERROR(__xludf.DUMMYFUNCTION("""COMPUTED_VALUE"""),"Griñón")</f>
        <v>Griñón</v>
      </c>
      <c r="B729" s="2" t="str">
        <f>IFERROR(__xludf.DUMMYFUNCTION("""COMPUTED_VALUE"""),"La Sagra")</f>
        <v>La Sagra</v>
      </c>
      <c r="C729" s="2" t="str">
        <f>IFERROR(__xludf.DUMMYFUNCTION("""COMPUTED_VALUE"""),"Provincia de Madrid")</f>
        <v>Provincia de Madrid</v>
      </c>
      <c r="D729" s="2" t="str">
        <f>IFERROR(__xludf.DUMMYFUNCTION("""COMPUTED_VALUE"""),"Comunidad de Madrid")</f>
        <v>Comunidad de Madrid</v>
      </c>
      <c r="E729" s="2">
        <f>IFERROR(__xludf.DUMMYFUNCTION("""COMPUTED_VALUE"""),670.0)</f>
        <v>670</v>
      </c>
      <c r="F729" s="2">
        <f>IFERROR(__xludf.DUMMYFUNCTION("""COMPUTED_VALUE"""),17.42)</f>
        <v>17.42</v>
      </c>
      <c r="G729" s="4">
        <f>IFERROR(__xludf.DUMMYFUNCTION("""COMPUTED_VALUE"""),10319.0)</f>
        <v>10319</v>
      </c>
      <c r="H729" s="2">
        <f>IFERROR(__xludf.DUMMYFUNCTION("""COMPUTED_VALUE"""),592.37)</f>
        <v>592.37</v>
      </c>
    </row>
    <row r="730">
      <c r="A730" s="2" t="str">
        <f>IFERROR(__xludf.DUMMYFUNCTION("""COMPUTED_VALUE"""),"Vilanova de Arousa")</f>
        <v>Vilanova de Arousa</v>
      </c>
      <c r="B730" s="2"/>
      <c r="C730" s="2" t="str">
        <f>IFERROR(__xludf.DUMMYFUNCTION("""COMPUTED_VALUE"""),"Provincia de Pontevedra")</f>
        <v>Provincia de Pontevedra</v>
      </c>
      <c r="D730" s="2" t="str">
        <f>IFERROR(__xludf.DUMMYFUNCTION("""COMPUTED_VALUE"""),"Galicia")</f>
        <v>Galicia</v>
      </c>
      <c r="E730" s="2">
        <f>IFERROR(__xludf.DUMMYFUNCTION("""COMPUTED_VALUE"""),50.0)</f>
        <v>50</v>
      </c>
      <c r="F730" s="2">
        <f>IFERROR(__xludf.DUMMYFUNCTION("""COMPUTED_VALUE"""),33.65)</f>
        <v>33.65</v>
      </c>
      <c r="G730" s="4">
        <f>IFERROR(__xludf.DUMMYFUNCTION("""COMPUTED_VALUE"""),10302.0)</f>
        <v>10302</v>
      </c>
      <c r="H730" s="2">
        <f>IFERROR(__xludf.DUMMYFUNCTION("""COMPUTED_VALUE"""),306.15)</f>
        <v>306.15</v>
      </c>
    </row>
    <row r="731">
      <c r="A731" s="2" t="str">
        <f>IFERROR(__xludf.DUMMYFUNCTION("""COMPUTED_VALUE"""),"Oyarzun")</f>
        <v>Oyarzun</v>
      </c>
      <c r="B731" s="2" t="str">
        <f>IFERROR(__xludf.DUMMYFUNCTION("""COMPUTED_VALUE"""),"Comarca de San Sebastián")</f>
        <v>Comarca de San Sebastián</v>
      </c>
      <c r="C731" s="2" t="str">
        <f>IFERROR(__xludf.DUMMYFUNCTION("""COMPUTED_VALUE"""),"Provincia de Gipuzkoa")</f>
        <v>Provincia de Gipuzkoa</v>
      </c>
      <c r="D731" s="2" t="str">
        <f>IFERROR(__xludf.DUMMYFUNCTION("""COMPUTED_VALUE"""),"País Vasco")</f>
        <v>País Vasco</v>
      </c>
      <c r="E731" s="2"/>
      <c r="F731" s="2">
        <f>IFERROR(__xludf.DUMMYFUNCTION("""COMPUTED_VALUE"""),59.71)</f>
        <v>59.71</v>
      </c>
      <c r="G731" s="4">
        <f>IFERROR(__xludf.DUMMYFUNCTION("""COMPUTED_VALUE"""),10293.0)</f>
        <v>10293</v>
      </c>
      <c r="H731" s="2">
        <f>IFERROR(__xludf.DUMMYFUNCTION("""COMPUTED_VALUE"""),172.38)</f>
        <v>172.38</v>
      </c>
    </row>
    <row r="732">
      <c r="A732" s="2" t="str">
        <f>IFERROR(__xludf.DUMMYFUNCTION("""COMPUTED_VALUE"""),"Daganzo de Arriba")</f>
        <v>Daganzo de Arriba</v>
      </c>
      <c r="B732" s="2" t="str">
        <f>IFERROR(__xludf.DUMMYFUNCTION("""COMPUTED_VALUE"""),"Comarca de Alcalá")</f>
        <v>Comarca de Alcalá</v>
      </c>
      <c r="C732" s="2" t="str">
        <f>IFERROR(__xludf.DUMMYFUNCTION("""COMPUTED_VALUE"""),"Provincia de Madrid")</f>
        <v>Provincia de Madrid</v>
      </c>
      <c r="D732" s="2" t="str">
        <f>IFERROR(__xludf.DUMMYFUNCTION("""COMPUTED_VALUE"""),"Comunidad de Madrid")</f>
        <v>Comunidad de Madrid</v>
      </c>
      <c r="E732" s="2">
        <f>IFERROR(__xludf.DUMMYFUNCTION("""COMPUTED_VALUE"""),673.0)</f>
        <v>673</v>
      </c>
      <c r="F732" s="2">
        <f>IFERROR(__xludf.DUMMYFUNCTION("""COMPUTED_VALUE"""),43.77)</f>
        <v>43.77</v>
      </c>
      <c r="G732" s="4">
        <f>IFERROR(__xludf.DUMMYFUNCTION("""COMPUTED_VALUE"""),10205.0)</f>
        <v>10205</v>
      </c>
      <c r="H732" s="2">
        <f>IFERROR(__xludf.DUMMYFUNCTION("""COMPUTED_VALUE"""),233.15)</f>
        <v>233.15</v>
      </c>
    </row>
    <row r="733">
      <c r="A733" s="2" t="str">
        <f>IFERROR(__xludf.DUMMYFUNCTION("""COMPUTED_VALUE"""),"Villava")</f>
        <v>Villava</v>
      </c>
      <c r="B733" s="2" t="str">
        <f>IFERROR(__xludf.DUMMYFUNCTION("""COMPUTED_VALUE"""),"Cuenca de Pamplona")</f>
        <v>Cuenca de Pamplona</v>
      </c>
      <c r="C733" s="2" t="str">
        <f>IFERROR(__xludf.DUMMYFUNCTION("""COMPUTED_VALUE"""),"Provincia de Navarra")</f>
        <v>Provincia de Navarra</v>
      </c>
      <c r="D733" s="2" t="str">
        <f>IFERROR(__xludf.DUMMYFUNCTION("""COMPUTED_VALUE"""),"Comunidad Foral de Navarra")</f>
        <v>Comunidad Foral de Navarra</v>
      </c>
      <c r="E733" s="2">
        <f>IFERROR(__xludf.DUMMYFUNCTION("""COMPUTED_VALUE"""),430.0)</f>
        <v>430</v>
      </c>
      <c r="F733" s="2">
        <f>IFERROR(__xludf.DUMMYFUNCTION("""COMPUTED_VALUE"""),1.06)</f>
        <v>1.06</v>
      </c>
      <c r="G733" s="4">
        <f>IFERROR(__xludf.DUMMYFUNCTION("""COMPUTED_VALUE"""),10204.0)</f>
        <v>10204</v>
      </c>
      <c r="H733" s="5">
        <f>IFERROR(__xludf.DUMMYFUNCTION("""COMPUTED_VALUE"""),9626.42)</f>
        <v>9626.42</v>
      </c>
    </row>
    <row r="734">
      <c r="A734" s="2" t="str">
        <f>IFERROR(__xludf.DUMMYFUNCTION("""COMPUTED_VALUE"""),"Gelves")</f>
        <v>Gelves</v>
      </c>
      <c r="B734" s="2"/>
      <c r="C734" s="2" t="str">
        <f>IFERROR(__xludf.DUMMYFUNCTION("""COMPUTED_VALUE"""),"Provincia de Sevilla")</f>
        <v>Provincia de Sevilla</v>
      </c>
      <c r="D734" s="2" t="str">
        <f>IFERROR(__xludf.DUMMYFUNCTION("""COMPUTED_VALUE"""),"Andalucía")</f>
        <v>Andalucía</v>
      </c>
      <c r="E734" s="2">
        <f>IFERROR(__xludf.DUMMYFUNCTION("""COMPUTED_VALUE"""),26.0)</f>
        <v>26</v>
      </c>
      <c r="F734" s="2">
        <f>IFERROR(__xludf.DUMMYFUNCTION("""COMPUTED_VALUE"""),8.06)</f>
        <v>8.06</v>
      </c>
      <c r="G734" s="4">
        <f>IFERROR(__xludf.DUMMYFUNCTION("""COMPUTED_VALUE"""),10184.0)</f>
        <v>10184</v>
      </c>
      <c r="H734" s="5">
        <f>IFERROR(__xludf.DUMMYFUNCTION("""COMPUTED_VALUE"""),1263.52)</f>
        <v>1263.52</v>
      </c>
    </row>
    <row r="735">
      <c r="A735" s="2" t="str">
        <f>IFERROR(__xludf.DUMMYFUNCTION("""COMPUTED_VALUE"""),"Calasparra")</f>
        <v>Calasparra</v>
      </c>
      <c r="B735" s="2" t="str">
        <f>IFERROR(__xludf.DUMMYFUNCTION("""COMPUTED_VALUE"""),"Comarca del Noroeste")</f>
        <v>Comarca del Noroeste</v>
      </c>
      <c r="C735" s="2" t="str">
        <f>IFERROR(__xludf.DUMMYFUNCTION("""COMPUTED_VALUE"""),"Provincia de Murcia")</f>
        <v>Provincia de Murcia</v>
      </c>
      <c r="D735" s="2" t="str">
        <f>IFERROR(__xludf.DUMMYFUNCTION("""COMPUTED_VALUE"""),"Región de Murcia")</f>
        <v>Región de Murcia</v>
      </c>
      <c r="E735" s="2">
        <f>IFERROR(__xludf.DUMMYFUNCTION("""COMPUTED_VALUE"""),350.0)</f>
        <v>350</v>
      </c>
      <c r="F735" s="2">
        <f>IFERROR(__xludf.DUMMYFUNCTION("""COMPUTED_VALUE"""),185.59)</f>
        <v>185.59</v>
      </c>
      <c r="G735" s="4">
        <f>IFERROR(__xludf.DUMMYFUNCTION("""COMPUTED_VALUE"""),10178.0)</f>
        <v>10178</v>
      </c>
      <c r="H735" s="2">
        <f>IFERROR(__xludf.DUMMYFUNCTION("""COMPUTED_VALUE"""),54.84)</f>
        <v>54.84</v>
      </c>
    </row>
    <row r="736">
      <c r="A736" s="2" t="str">
        <f>IFERROR(__xludf.DUMMYFUNCTION("""COMPUTED_VALUE"""),"As Pontes de García Rodríguez")</f>
        <v>As Pontes de García Rodríguez</v>
      </c>
      <c r="B736" s="2" t="str">
        <f>IFERROR(__xludf.DUMMYFUNCTION("""COMPUTED_VALUE"""),"Comarca del Eume")</f>
        <v>Comarca del Eume</v>
      </c>
      <c r="C736" s="2" t="str">
        <f>IFERROR(__xludf.DUMMYFUNCTION("""COMPUTED_VALUE"""),"Provincia de A Coruña")</f>
        <v>Provincia de A Coruña</v>
      </c>
      <c r="D736" s="2" t="str">
        <f>IFERROR(__xludf.DUMMYFUNCTION("""COMPUTED_VALUE"""),"Galicia")</f>
        <v>Galicia</v>
      </c>
      <c r="E736" s="2">
        <f>IFERROR(__xludf.DUMMYFUNCTION("""COMPUTED_VALUE"""),340.0)</f>
        <v>340</v>
      </c>
      <c r="F736" s="2">
        <f>IFERROR(__xludf.DUMMYFUNCTION("""COMPUTED_VALUE"""),249.37)</f>
        <v>249.37</v>
      </c>
      <c r="G736" s="4">
        <f>IFERROR(__xludf.DUMMYFUNCTION("""COMPUTED_VALUE"""),10138.0)</f>
        <v>10138</v>
      </c>
      <c r="H736" s="2">
        <f>IFERROR(__xludf.DUMMYFUNCTION("""COMPUTED_VALUE"""),40.65)</f>
        <v>40.65</v>
      </c>
    </row>
    <row r="737">
      <c r="A737" s="2" t="str">
        <f>IFERROR(__xludf.DUMMYFUNCTION("""COMPUTED_VALUE"""),"Pego")</f>
        <v>Pego</v>
      </c>
      <c r="B737" s="2" t="str">
        <f>IFERROR(__xludf.DUMMYFUNCTION("""COMPUTED_VALUE"""),"Marina Alta")</f>
        <v>Marina Alta</v>
      </c>
      <c r="C737" s="2" t="str">
        <f>IFERROR(__xludf.DUMMYFUNCTION("""COMPUTED_VALUE"""),"Provincia de Alicante")</f>
        <v>Provincia de Alicante</v>
      </c>
      <c r="D737" s="2" t="str">
        <f>IFERROR(__xludf.DUMMYFUNCTION("""COMPUTED_VALUE"""),"Comunidad Valenciana")</f>
        <v>Comunidad Valenciana</v>
      </c>
      <c r="E737" s="2">
        <f>IFERROR(__xludf.DUMMYFUNCTION("""COMPUTED_VALUE"""),82.0)</f>
        <v>82</v>
      </c>
      <c r="F737" s="2">
        <f>IFERROR(__xludf.DUMMYFUNCTION("""COMPUTED_VALUE"""),52.85)</f>
        <v>52.85</v>
      </c>
      <c r="G737" s="4">
        <f>IFERROR(__xludf.DUMMYFUNCTION("""COMPUTED_VALUE"""),10128.0)</f>
        <v>10128</v>
      </c>
      <c r="H737" s="2">
        <f>IFERROR(__xludf.DUMMYFUNCTION("""COMPUTED_VALUE"""),191.64)</f>
        <v>191.64</v>
      </c>
    </row>
    <row r="738">
      <c r="A738" s="2" t="str">
        <f>IFERROR(__xludf.DUMMYFUNCTION("""COMPUTED_VALUE"""),"Castalla")</f>
        <v>Castalla</v>
      </c>
      <c r="B738" s="2" t="str">
        <f>IFERROR(__xludf.DUMMYFUNCTION("""COMPUTED_VALUE"""),"Hoya de Alcoy")</f>
        <v>Hoya de Alcoy</v>
      </c>
      <c r="C738" s="2" t="str">
        <f>IFERROR(__xludf.DUMMYFUNCTION("""COMPUTED_VALUE"""),"Provincia de Alicante")</f>
        <v>Provincia de Alicante</v>
      </c>
      <c r="D738" s="2" t="str">
        <f>IFERROR(__xludf.DUMMYFUNCTION("""COMPUTED_VALUE"""),"Comunidad Valenciana")</f>
        <v>Comunidad Valenciana</v>
      </c>
      <c r="E738" s="2">
        <f>IFERROR(__xludf.DUMMYFUNCTION("""COMPUTED_VALUE"""),675.0)</f>
        <v>675</v>
      </c>
      <c r="F738" s="2">
        <f>IFERROR(__xludf.DUMMYFUNCTION("""COMPUTED_VALUE"""),114.6)</f>
        <v>114.6</v>
      </c>
      <c r="G738" s="4">
        <f>IFERROR(__xludf.DUMMYFUNCTION("""COMPUTED_VALUE"""),10124.0)</f>
        <v>10124</v>
      </c>
      <c r="H738" s="2">
        <f>IFERROR(__xludf.DUMMYFUNCTION("""COMPUTED_VALUE"""),88.34)</f>
        <v>88.34</v>
      </c>
    </row>
    <row r="739">
      <c r="A739" s="2" t="str">
        <f>IFERROR(__xludf.DUMMYFUNCTION("""COMPUTED_VALUE"""),"Fortuna (Murcia)")</f>
        <v>Fortuna (Murcia)</v>
      </c>
      <c r="B739" s="2" t="str">
        <f>IFERROR(__xludf.DUMMYFUNCTION("""COMPUTED_VALUE"""),"Comarca Oriental")</f>
        <v>Comarca Oriental</v>
      </c>
      <c r="C739" s="2" t="str">
        <f>IFERROR(__xludf.DUMMYFUNCTION("""COMPUTED_VALUE"""),"Provincia de Murcia")</f>
        <v>Provincia de Murcia</v>
      </c>
      <c r="D739" s="2" t="str">
        <f>IFERROR(__xludf.DUMMYFUNCTION("""COMPUTED_VALUE"""),"Región de Murcia")</f>
        <v>Región de Murcia</v>
      </c>
      <c r="E739" s="2">
        <f>IFERROR(__xludf.DUMMYFUNCTION("""COMPUTED_VALUE"""),192.0)</f>
        <v>192</v>
      </c>
      <c r="F739" s="2">
        <f>IFERROR(__xludf.DUMMYFUNCTION("""COMPUTED_VALUE"""),149.39)</f>
        <v>149.39</v>
      </c>
      <c r="G739" s="4">
        <f>IFERROR(__xludf.DUMMYFUNCTION("""COMPUTED_VALUE"""),10112.0)</f>
        <v>10112</v>
      </c>
      <c r="H739" s="2">
        <f>IFERROR(__xludf.DUMMYFUNCTION("""COMPUTED_VALUE"""),67.69)</f>
        <v>67.69</v>
      </c>
    </row>
    <row r="740">
      <c r="A740" s="2" t="str">
        <f>IFERROR(__xludf.DUMMYFUNCTION("""COMPUTED_VALUE"""),"Zumaia")</f>
        <v>Zumaia</v>
      </c>
      <c r="B740" s="2" t="str">
        <f>IFERROR(__xludf.DUMMYFUNCTION("""COMPUTED_VALUE"""),"Urola Costa")</f>
        <v>Urola Costa</v>
      </c>
      <c r="C740" s="2" t="str">
        <f>IFERROR(__xludf.DUMMYFUNCTION("""COMPUTED_VALUE"""),"Provincia de Gipuzkoa")</f>
        <v>Provincia de Gipuzkoa</v>
      </c>
      <c r="D740" s="2" t="str">
        <f>IFERROR(__xludf.DUMMYFUNCTION("""COMPUTED_VALUE"""),"País Vasco")</f>
        <v>País Vasco</v>
      </c>
      <c r="E740" s="2">
        <f>IFERROR(__xludf.DUMMYFUNCTION("""COMPUTED_VALUE"""),20.0)</f>
        <v>20</v>
      </c>
      <c r="F740" s="2">
        <f>IFERROR(__xludf.DUMMYFUNCTION("""COMPUTED_VALUE"""),11.28)</f>
        <v>11.28</v>
      </c>
      <c r="G740" s="4">
        <f>IFERROR(__xludf.DUMMYFUNCTION("""COMPUTED_VALUE"""),10098.0)</f>
        <v>10098</v>
      </c>
      <c r="H740" s="2">
        <f>IFERROR(__xludf.DUMMYFUNCTION("""COMPUTED_VALUE"""),895.21)</f>
        <v>895.21</v>
      </c>
    </row>
    <row r="741">
      <c r="A741" s="2" t="str">
        <f>IFERROR(__xludf.DUMMYFUNCTION("""COMPUTED_VALUE"""),"Pulpí")</f>
        <v>Pulpí</v>
      </c>
      <c r="B741" s="2" t="str">
        <f>IFERROR(__xludf.DUMMYFUNCTION("""COMPUTED_VALUE"""),"Levante Almeriense")</f>
        <v>Levante Almeriense</v>
      </c>
      <c r="C741" s="2" t="str">
        <f>IFERROR(__xludf.DUMMYFUNCTION("""COMPUTED_VALUE"""),"Provincia de Almería")</f>
        <v>Provincia de Almería</v>
      </c>
      <c r="D741" s="2" t="str">
        <f>IFERROR(__xludf.DUMMYFUNCTION("""COMPUTED_VALUE"""),"Andalucía")</f>
        <v>Andalucía</v>
      </c>
      <c r="E741" s="2">
        <f>IFERROR(__xludf.DUMMYFUNCTION("""COMPUTED_VALUE"""),197.0)</f>
        <v>197</v>
      </c>
      <c r="F741" s="2">
        <f>IFERROR(__xludf.DUMMYFUNCTION("""COMPUTED_VALUE"""),94.6)</f>
        <v>94.6</v>
      </c>
      <c r="G741" s="4">
        <f>IFERROR(__xludf.DUMMYFUNCTION("""COMPUTED_VALUE"""),10055.0)</f>
        <v>10055</v>
      </c>
      <c r="H741" s="2">
        <f>IFERROR(__xludf.DUMMYFUNCTION("""COMPUTED_VALUE"""),106.29)</f>
        <v>106.29</v>
      </c>
    </row>
    <row r="742">
      <c r="A742" s="2" t="str">
        <f>IFERROR(__xludf.DUMMYFUNCTION("""COMPUTED_VALUE"""),"Illora")</f>
        <v>Illora</v>
      </c>
      <c r="B742" s="2" t="str">
        <f>IFERROR(__xludf.DUMMYFUNCTION("""COMPUTED_VALUE"""),"Comarca de Loja")</f>
        <v>Comarca de Loja</v>
      </c>
      <c r="C742" s="2" t="str">
        <f>IFERROR(__xludf.DUMMYFUNCTION("""COMPUTED_VALUE"""),"Provincia de Granada")</f>
        <v>Provincia de Granada</v>
      </c>
      <c r="D742" s="2" t="str">
        <f>IFERROR(__xludf.DUMMYFUNCTION("""COMPUTED_VALUE"""),"Andalucía")</f>
        <v>Andalucía</v>
      </c>
      <c r="E742" s="2">
        <f>IFERROR(__xludf.DUMMYFUNCTION("""COMPUTED_VALUE"""),759.0)</f>
        <v>759</v>
      </c>
      <c r="F742" s="2">
        <f>IFERROR(__xludf.DUMMYFUNCTION("""COMPUTED_VALUE"""),197.43)</f>
        <v>197.43</v>
      </c>
      <c r="G742" s="4">
        <f>IFERROR(__xludf.DUMMYFUNCTION("""COMPUTED_VALUE"""),10054.0)</f>
        <v>10054</v>
      </c>
      <c r="H742" s="2">
        <f>IFERROR(__xludf.DUMMYFUNCTION("""COMPUTED_VALUE"""),50.92)</f>
        <v>50.92</v>
      </c>
    </row>
    <row r="743">
      <c r="A743" s="2" t="str">
        <f>IFERROR(__xludf.DUMMYFUNCTION("""COMPUTED_VALUE"""),"Alcàsser")</f>
        <v>Alcàsser</v>
      </c>
      <c r="B743" s="2" t="str">
        <f>IFERROR(__xludf.DUMMYFUNCTION("""COMPUTED_VALUE"""),"Huerta Sur")</f>
        <v>Huerta Sur</v>
      </c>
      <c r="C743" s="2" t="str">
        <f>IFERROR(__xludf.DUMMYFUNCTION("""COMPUTED_VALUE"""),"Provincia de València")</f>
        <v>Provincia de València</v>
      </c>
      <c r="D743" s="2" t="str">
        <f>IFERROR(__xludf.DUMMYFUNCTION("""COMPUTED_VALUE"""),"Comunidad Valenciana")</f>
        <v>Comunidad Valenciana</v>
      </c>
      <c r="E743" s="2">
        <f>IFERROR(__xludf.DUMMYFUNCTION("""COMPUTED_VALUE"""),15.0)</f>
        <v>15</v>
      </c>
      <c r="F743" s="2">
        <f>IFERROR(__xludf.DUMMYFUNCTION("""COMPUTED_VALUE"""),9.0)</f>
        <v>9</v>
      </c>
      <c r="G743" s="4">
        <f>IFERROR(__xludf.DUMMYFUNCTION("""COMPUTED_VALUE"""),10039.0)</f>
        <v>10039</v>
      </c>
      <c r="H743" s="5">
        <f>IFERROR(__xludf.DUMMYFUNCTION("""COMPUTED_VALUE"""),1115.44)</f>
        <v>1115.44</v>
      </c>
    </row>
    <row r="744">
      <c r="A744" s="2" t="str">
        <f>IFERROR(__xludf.DUMMYFUNCTION("""COMPUTED_VALUE"""),"Consuegra")</f>
        <v>Consuegra</v>
      </c>
      <c r="B744" s="2" t="str">
        <f>IFERROR(__xludf.DUMMYFUNCTION("""COMPUTED_VALUE"""),"Mancha de Toledo")</f>
        <v>Mancha de Toledo</v>
      </c>
      <c r="C744" s="2" t="str">
        <f>IFERROR(__xludf.DUMMYFUNCTION("""COMPUTED_VALUE"""),"Provincia de Toledo")</f>
        <v>Provincia de Toledo</v>
      </c>
      <c r="D744" s="2" t="str">
        <f>IFERROR(__xludf.DUMMYFUNCTION("""COMPUTED_VALUE"""),"Castilla-La Mancha")</f>
        <v>Castilla-La Mancha</v>
      </c>
      <c r="E744" s="2">
        <f>IFERROR(__xludf.DUMMYFUNCTION("""COMPUTED_VALUE"""),704.0)</f>
        <v>704</v>
      </c>
      <c r="F744" s="2">
        <f>IFERROR(__xludf.DUMMYFUNCTION("""COMPUTED_VALUE"""),358.49)</f>
        <v>358.49</v>
      </c>
      <c r="G744" s="4">
        <f>IFERROR(__xludf.DUMMYFUNCTION("""COMPUTED_VALUE"""),9998.0)</f>
        <v>9998</v>
      </c>
      <c r="H744" s="2">
        <f>IFERROR(__xludf.DUMMYFUNCTION("""COMPUTED_VALUE"""),27.89)</f>
        <v>27.89</v>
      </c>
    </row>
    <row r="745">
      <c r="A745" s="2" t="str">
        <f>IFERROR(__xludf.DUMMYFUNCTION("""COMPUTED_VALUE"""),"Foz")</f>
        <v>Foz</v>
      </c>
      <c r="B745" s="2" t="str">
        <f>IFERROR(__xludf.DUMMYFUNCTION("""COMPUTED_VALUE"""),"A Mariña")</f>
        <v>A Mariña</v>
      </c>
      <c r="C745" s="2" t="str">
        <f>IFERROR(__xludf.DUMMYFUNCTION("""COMPUTED_VALUE"""),"Provincia de Lugo")</f>
        <v>Provincia de Lugo</v>
      </c>
      <c r="D745" s="2" t="str">
        <f>IFERROR(__xludf.DUMMYFUNCTION("""COMPUTED_VALUE"""),"Galicia")</f>
        <v>Galicia</v>
      </c>
      <c r="E745" s="2">
        <f>IFERROR(__xludf.DUMMYFUNCTION("""COMPUTED_VALUE"""),5.0)</f>
        <v>5</v>
      </c>
      <c r="F745" s="2">
        <f>IFERROR(__xludf.DUMMYFUNCTION("""COMPUTED_VALUE"""),100.29)</f>
        <v>100.29</v>
      </c>
      <c r="G745" s="4">
        <f>IFERROR(__xludf.DUMMYFUNCTION("""COMPUTED_VALUE"""),9980.0)</f>
        <v>9980</v>
      </c>
      <c r="H745" s="2">
        <f>IFERROR(__xludf.DUMMYFUNCTION("""COMPUTED_VALUE"""),99.51)</f>
        <v>99.51</v>
      </c>
    </row>
    <row r="746">
      <c r="A746" s="2" t="str">
        <f>IFERROR(__xludf.DUMMYFUNCTION("""COMPUTED_VALUE"""),"Santa Margarida de Montbui")</f>
        <v>Santa Margarida de Montbui</v>
      </c>
      <c r="B746" s="2" t="str">
        <f>IFERROR(__xludf.DUMMYFUNCTION("""COMPUTED_VALUE"""),"Anoia")</f>
        <v>Anoia</v>
      </c>
      <c r="C746" s="2" t="str">
        <f>IFERROR(__xludf.DUMMYFUNCTION("""COMPUTED_VALUE"""),"Provincia de Barcelona")</f>
        <v>Provincia de Barcelona</v>
      </c>
      <c r="D746" s="2" t="str">
        <f>IFERROR(__xludf.DUMMYFUNCTION("""COMPUTED_VALUE"""),"Cataluña")</f>
        <v>Cataluña</v>
      </c>
      <c r="E746" s="2">
        <f>IFERROR(__xludf.DUMMYFUNCTION("""COMPUTED_VALUE"""),316.0)</f>
        <v>316</v>
      </c>
      <c r="F746" s="2">
        <f>IFERROR(__xludf.DUMMYFUNCTION("""COMPUTED_VALUE"""),27.7)</f>
        <v>27.7</v>
      </c>
      <c r="G746" s="4">
        <f>IFERROR(__xludf.DUMMYFUNCTION("""COMPUTED_VALUE"""),9980.0)</f>
        <v>9980</v>
      </c>
      <c r="H746" s="2">
        <f>IFERROR(__xludf.DUMMYFUNCTION("""COMPUTED_VALUE"""),360.29)</f>
        <v>360.29</v>
      </c>
    </row>
    <row r="747">
      <c r="A747" s="2" t="str">
        <f>IFERROR(__xludf.DUMMYFUNCTION("""COMPUTED_VALUE"""),"A Guarda")</f>
        <v>A Guarda</v>
      </c>
      <c r="B747" s="2" t="str">
        <f>IFERROR(__xludf.DUMMYFUNCTION("""COMPUTED_VALUE"""),"Baixo Miño")</f>
        <v>Baixo Miño</v>
      </c>
      <c r="C747" s="2" t="str">
        <f>IFERROR(__xludf.DUMMYFUNCTION("""COMPUTED_VALUE"""),"Provincia de Pontevedra")</f>
        <v>Provincia de Pontevedra</v>
      </c>
      <c r="D747" s="2" t="str">
        <f>IFERROR(__xludf.DUMMYFUNCTION("""COMPUTED_VALUE"""),"Galicia")</f>
        <v>Galicia</v>
      </c>
      <c r="E747" s="2">
        <f>IFERROR(__xludf.DUMMYFUNCTION("""COMPUTED_VALUE"""),0.0)</f>
        <v>0</v>
      </c>
      <c r="F747" s="2">
        <f>IFERROR(__xludf.DUMMYFUNCTION("""COMPUTED_VALUE"""),20.5)</f>
        <v>20.5</v>
      </c>
      <c r="G747" s="4">
        <f>IFERROR(__xludf.DUMMYFUNCTION("""COMPUTED_VALUE"""),9977.0)</f>
        <v>9977</v>
      </c>
      <c r="H747" s="2">
        <f>IFERROR(__xludf.DUMMYFUNCTION("""COMPUTED_VALUE"""),486.68)</f>
        <v>486.68</v>
      </c>
    </row>
    <row r="748">
      <c r="A748" s="2" t="str">
        <f>IFERROR(__xludf.DUMMYFUNCTION("""COMPUTED_VALUE"""),"Caudete")</f>
        <v>Caudete</v>
      </c>
      <c r="B748" s="2" t="str">
        <f>IFERROR(__xludf.DUMMYFUNCTION("""COMPUTED_VALUE"""),"Altiplanicie de Almansa")</f>
        <v>Altiplanicie de Almansa</v>
      </c>
      <c r="C748" s="2" t="str">
        <f>IFERROR(__xludf.DUMMYFUNCTION("""COMPUTED_VALUE"""),"Provincia de Albacete")</f>
        <v>Provincia de Albacete</v>
      </c>
      <c r="D748" s="2" t="str">
        <f>IFERROR(__xludf.DUMMYFUNCTION("""COMPUTED_VALUE"""),"Castilla-La Mancha")</f>
        <v>Castilla-La Mancha</v>
      </c>
      <c r="E748" s="2">
        <f>IFERROR(__xludf.DUMMYFUNCTION("""COMPUTED_VALUE"""),557.0)</f>
        <v>557</v>
      </c>
      <c r="F748" s="2">
        <f>IFERROR(__xludf.DUMMYFUNCTION("""COMPUTED_VALUE"""),141.63)</f>
        <v>141.63</v>
      </c>
      <c r="G748" s="4">
        <f>IFERROR(__xludf.DUMMYFUNCTION("""COMPUTED_VALUE"""),9963.0)</f>
        <v>9963</v>
      </c>
      <c r="H748" s="2">
        <f>IFERROR(__xludf.DUMMYFUNCTION("""COMPUTED_VALUE"""),70.35)</f>
        <v>70.35</v>
      </c>
    </row>
    <row r="749">
      <c r="A749" s="2" t="str">
        <f>IFERROR(__xludf.DUMMYFUNCTION("""COMPUTED_VALUE"""),"Mengíbar")</f>
        <v>Mengíbar</v>
      </c>
      <c r="B749" s="2" t="str">
        <f>IFERROR(__xludf.DUMMYFUNCTION("""COMPUTED_VALUE"""),"Comarca Metropolitana de Jaén")</f>
        <v>Comarca Metropolitana de Jaén</v>
      </c>
      <c r="C749" s="2" t="str">
        <f>IFERROR(__xludf.DUMMYFUNCTION("""COMPUTED_VALUE"""),"Provincia de Jaén")</f>
        <v>Provincia de Jaén</v>
      </c>
      <c r="D749" s="2" t="str">
        <f>IFERROR(__xludf.DUMMYFUNCTION("""COMPUTED_VALUE"""),"Andalucía")</f>
        <v>Andalucía</v>
      </c>
      <c r="E749" s="2">
        <f>IFERROR(__xludf.DUMMYFUNCTION("""COMPUTED_VALUE"""),323.0)</f>
        <v>323</v>
      </c>
      <c r="F749" s="2">
        <f>IFERROR(__xludf.DUMMYFUNCTION("""COMPUTED_VALUE"""),62.34)</f>
        <v>62.34</v>
      </c>
      <c r="G749" s="4">
        <f>IFERROR(__xludf.DUMMYFUNCTION("""COMPUTED_VALUE"""),9941.0)</f>
        <v>9941</v>
      </c>
      <c r="H749" s="2">
        <f>IFERROR(__xludf.DUMMYFUNCTION("""COMPUTED_VALUE"""),159.46)</f>
        <v>159.46</v>
      </c>
    </row>
    <row r="750">
      <c r="A750" s="2" t="str">
        <f>IFERROR(__xludf.DUMMYFUNCTION("""COMPUTED_VALUE"""),"Llinars del Vallès")</f>
        <v>Llinars del Vallès</v>
      </c>
      <c r="B750" s="2" t="str">
        <f>IFERROR(__xludf.DUMMYFUNCTION("""COMPUTED_VALUE"""),"Vallès Oriental")</f>
        <v>Vallès Oriental</v>
      </c>
      <c r="C750" s="2" t="str">
        <f>IFERROR(__xludf.DUMMYFUNCTION("""COMPUTED_VALUE"""),"Provincia de Barcelona")</f>
        <v>Provincia de Barcelona</v>
      </c>
      <c r="D750" s="2" t="str">
        <f>IFERROR(__xludf.DUMMYFUNCTION("""COMPUTED_VALUE"""),"Cataluña")</f>
        <v>Cataluña</v>
      </c>
      <c r="E750" s="2">
        <f>IFERROR(__xludf.DUMMYFUNCTION("""COMPUTED_VALUE"""),198.0)</f>
        <v>198</v>
      </c>
      <c r="F750" s="2">
        <f>IFERROR(__xludf.DUMMYFUNCTION("""COMPUTED_VALUE"""),27.72)</f>
        <v>27.72</v>
      </c>
      <c r="G750" s="4">
        <f>IFERROR(__xludf.DUMMYFUNCTION("""COMPUTED_VALUE"""),9938.0)</f>
        <v>9938</v>
      </c>
      <c r="H750" s="2">
        <f>IFERROR(__xludf.DUMMYFUNCTION("""COMPUTED_VALUE"""),358.51)</f>
        <v>358.51</v>
      </c>
    </row>
    <row r="751">
      <c r="A751" s="2" t="str">
        <f>IFERROR(__xludf.DUMMYFUNCTION("""COMPUTED_VALUE"""),"Pinos Puente")</f>
        <v>Pinos Puente</v>
      </c>
      <c r="B751" s="2" t="str">
        <f>IFERROR(__xludf.DUMMYFUNCTION("""COMPUTED_VALUE"""),"Vega de Granada")</f>
        <v>Vega de Granada</v>
      </c>
      <c r="C751" s="2" t="str">
        <f>IFERROR(__xludf.DUMMYFUNCTION("""COMPUTED_VALUE"""),"Provincia de Granada")</f>
        <v>Provincia de Granada</v>
      </c>
      <c r="D751" s="2" t="str">
        <f>IFERROR(__xludf.DUMMYFUNCTION("""COMPUTED_VALUE"""),"Andalucía")</f>
        <v>Andalucía</v>
      </c>
      <c r="E751" s="2">
        <f>IFERROR(__xludf.DUMMYFUNCTION("""COMPUTED_VALUE"""),576.0)</f>
        <v>576</v>
      </c>
      <c r="F751" s="2">
        <f>IFERROR(__xludf.DUMMYFUNCTION("""COMPUTED_VALUE"""),92.94)</f>
        <v>92.94</v>
      </c>
      <c r="G751" s="4">
        <f>IFERROR(__xludf.DUMMYFUNCTION("""COMPUTED_VALUE"""),9930.0)</f>
        <v>9930</v>
      </c>
      <c r="H751" s="2">
        <f>IFERROR(__xludf.DUMMYFUNCTION("""COMPUTED_VALUE"""),106.84)</f>
        <v>106.84</v>
      </c>
    </row>
    <row r="752">
      <c r="A752" s="2" t="str">
        <f>IFERROR(__xludf.DUMMYFUNCTION("""COMPUTED_VALUE"""),"Ribadeo")</f>
        <v>Ribadeo</v>
      </c>
      <c r="B752" s="2" t="str">
        <f>IFERROR(__xludf.DUMMYFUNCTION("""COMPUTED_VALUE"""),"Mariña Oriental")</f>
        <v>Mariña Oriental</v>
      </c>
      <c r="C752" s="2" t="str">
        <f>IFERROR(__xludf.DUMMYFUNCTION("""COMPUTED_VALUE"""),"Provincia de Lugo")</f>
        <v>Provincia de Lugo</v>
      </c>
      <c r="D752" s="2" t="str">
        <f>IFERROR(__xludf.DUMMYFUNCTION("""COMPUTED_VALUE"""),"Galicia")</f>
        <v>Galicia</v>
      </c>
      <c r="E752" s="2">
        <f>IFERROR(__xludf.DUMMYFUNCTION("""COMPUTED_VALUE"""),571.0)</f>
        <v>571</v>
      </c>
      <c r="F752" s="2">
        <f>IFERROR(__xludf.DUMMYFUNCTION("""COMPUTED_VALUE"""),109.14)</f>
        <v>109.14</v>
      </c>
      <c r="G752" s="4">
        <f>IFERROR(__xludf.DUMMYFUNCTION("""COMPUTED_VALUE"""),9854.0)</f>
        <v>9854</v>
      </c>
      <c r="H752" s="2">
        <f>IFERROR(__xludf.DUMMYFUNCTION("""COMPUTED_VALUE"""),90.29)</f>
        <v>90.29</v>
      </c>
    </row>
    <row r="753">
      <c r="A753" s="2" t="str">
        <f>IFERROR(__xludf.DUMMYFUNCTION("""COMPUTED_VALUE"""),"Sax")</f>
        <v>Sax</v>
      </c>
      <c r="B753" s="2" t="str">
        <f>IFERROR(__xludf.DUMMYFUNCTION("""COMPUTED_VALUE"""),"Alto Vinalopó")</f>
        <v>Alto Vinalopó</v>
      </c>
      <c r="C753" s="2" t="str">
        <f>IFERROR(__xludf.DUMMYFUNCTION("""COMPUTED_VALUE"""),"Provincia de Alicante")</f>
        <v>Provincia de Alicante</v>
      </c>
      <c r="D753" s="2" t="str">
        <f>IFERROR(__xludf.DUMMYFUNCTION("""COMPUTED_VALUE"""),"Comunidad Valenciana")</f>
        <v>Comunidad Valenciana</v>
      </c>
      <c r="E753" s="2">
        <f>IFERROR(__xludf.DUMMYFUNCTION("""COMPUTED_VALUE"""),472.0)</f>
        <v>472</v>
      </c>
      <c r="F753" s="2">
        <f>IFERROR(__xludf.DUMMYFUNCTION("""COMPUTED_VALUE"""),63.48)</f>
        <v>63.48</v>
      </c>
      <c r="G753" s="4">
        <f>IFERROR(__xludf.DUMMYFUNCTION("""COMPUTED_VALUE"""),9845.0)</f>
        <v>9845</v>
      </c>
      <c r="H753" s="2">
        <f>IFERROR(__xludf.DUMMYFUNCTION("""COMPUTED_VALUE"""),155.09)</f>
        <v>155.09</v>
      </c>
    </row>
    <row r="754">
      <c r="A754" s="2" t="str">
        <f>IFERROR(__xludf.DUMMYFUNCTION("""COMPUTED_VALUE"""),"Rute")</f>
        <v>Rute</v>
      </c>
      <c r="B754" s="2" t="str">
        <f>IFERROR(__xludf.DUMMYFUNCTION("""COMPUTED_VALUE"""),"Subbética (Córdoba)")</f>
        <v>Subbética (Córdoba)</v>
      </c>
      <c r="C754" s="2" t="str">
        <f>IFERROR(__xludf.DUMMYFUNCTION("""COMPUTED_VALUE"""),"Provincia de Córdoba")</f>
        <v>Provincia de Córdoba</v>
      </c>
      <c r="D754" s="2" t="str">
        <f>IFERROR(__xludf.DUMMYFUNCTION("""COMPUTED_VALUE"""),"Andalucía")</f>
        <v>Andalucía</v>
      </c>
      <c r="E754" s="2">
        <f>IFERROR(__xludf.DUMMYFUNCTION("""COMPUTED_VALUE"""),635.0)</f>
        <v>635</v>
      </c>
      <c r="F754" s="2">
        <f>IFERROR(__xludf.DUMMYFUNCTION("""COMPUTED_VALUE"""),131.93)</f>
        <v>131.93</v>
      </c>
      <c r="G754" s="4">
        <f>IFERROR(__xludf.DUMMYFUNCTION("""COMPUTED_VALUE"""),9845.0)</f>
        <v>9845</v>
      </c>
      <c r="H754" s="2">
        <f>IFERROR(__xludf.DUMMYFUNCTION("""COMPUTED_VALUE"""),74.62)</f>
        <v>74.62</v>
      </c>
    </row>
    <row r="755">
      <c r="A755" s="2" t="str">
        <f>IFERROR(__xludf.DUMMYFUNCTION("""COMPUTED_VALUE"""),"Salvaterra de Miño")</f>
        <v>Salvaterra de Miño</v>
      </c>
      <c r="B755" s="2" t="str">
        <f>IFERROR(__xludf.DUMMYFUNCTION("""COMPUTED_VALUE"""),"Comarca del Condado")</f>
        <v>Comarca del Condado</v>
      </c>
      <c r="C755" s="2" t="str">
        <f>IFERROR(__xludf.DUMMYFUNCTION("""COMPUTED_VALUE"""),"Provincia de Pontevedra")</f>
        <v>Provincia de Pontevedra</v>
      </c>
      <c r="D755" s="2" t="str">
        <f>IFERROR(__xludf.DUMMYFUNCTION("""COMPUTED_VALUE"""),"Galicia")</f>
        <v>Galicia</v>
      </c>
      <c r="E755" s="2">
        <f>IFERROR(__xludf.DUMMYFUNCTION("""COMPUTED_VALUE"""),150.0)</f>
        <v>150</v>
      </c>
      <c r="F755" s="2">
        <f>IFERROR(__xludf.DUMMYFUNCTION("""COMPUTED_VALUE"""),62.54)</f>
        <v>62.54</v>
      </c>
      <c r="G755" s="4">
        <f>IFERROR(__xludf.DUMMYFUNCTION("""COMPUTED_VALUE"""),9819.0)</f>
        <v>9819</v>
      </c>
      <c r="H755" s="2">
        <f>IFERROR(__xludf.DUMMYFUNCTION("""COMPUTED_VALUE"""),157.0)</f>
        <v>157</v>
      </c>
    </row>
    <row r="756">
      <c r="A756" s="2" t="str">
        <f>IFERROR(__xludf.DUMMYFUNCTION("""COMPUTED_VALUE"""),"Villarrubia de los Ojos")</f>
        <v>Villarrubia de los Ojos</v>
      </c>
      <c r="B756" s="2" t="str">
        <f>IFERROR(__xludf.DUMMYFUNCTION("""COMPUTED_VALUE"""),"La Mancha (Ciudad Real)")</f>
        <v>La Mancha (Ciudad Real)</v>
      </c>
      <c r="C756" s="2" t="str">
        <f>IFERROR(__xludf.DUMMYFUNCTION("""COMPUTED_VALUE"""),"Provincia de Ciudad Real")</f>
        <v>Provincia de Ciudad Real</v>
      </c>
      <c r="D756" s="2" t="str">
        <f>IFERROR(__xludf.DUMMYFUNCTION("""COMPUTED_VALUE"""),"Castilla-La Mancha")</f>
        <v>Castilla-La Mancha</v>
      </c>
      <c r="E756" s="2">
        <f>IFERROR(__xludf.DUMMYFUNCTION("""COMPUTED_VALUE"""),624.0)</f>
        <v>624</v>
      </c>
      <c r="F756" s="2">
        <f>IFERROR(__xludf.DUMMYFUNCTION("""COMPUTED_VALUE"""),281.86)</f>
        <v>281.86</v>
      </c>
      <c r="G756" s="4">
        <f>IFERROR(__xludf.DUMMYFUNCTION("""COMPUTED_VALUE"""),9814.0)</f>
        <v>9814</v>
      </c>
      <c r="H756" s="2">
        <f>IFERROR(__xludf.DUMMYFUNCTION("""COMPUTED_VALUE"""),34.82)</f>
        <v>34.82</v>
      </c>
    </row>
    <row r="757">
      <c r="A757" s="2" t="str">
        <f>IFERROR(__xludf.DUMMYFUNCTION("""COMPUTED_VALUE"""),"Alella")</f>
        <v>Alella</v>
      </c>
      <c r="B757" s="2" t="str">
        <f>IFERROR(__xludf.DUMMYFUNCTION("""COMPUTED_VALUE"""),"Maresme")</f>
        <v>Maresme</v>
      </c>
      <c r="C757" s="2" t="str">
        <f>IFERROR(__xludf.DUMMYFUNCTION("""COMPUTED_VALUE"""),"Provincia de Barcelona")</f>
        <v>Provincia de Barcelona</v>
      </c>
      <c r="D757" s="2" t="str">
        <f>IFERROR(__xludf.DUMMYFUNCTION("""COMPUTED_VALUE"""),"Cataluña")</f>
        <v>Cataluña</v>
      </c>
      <c r="E757" s="2">
        <f>IFERROR(__xludf.DUMMYFUNCTION("""COMPUTED_VALUE"""),90.0)</f>
        <v>90</v>
      </c>
      <c r="F757" s="2">
        <f>IFERROR(__xludf.DUMMYFUNCTION("""COMPUTED_VALUE"""),9.7)</f>
        <v>9.7</v>
      </c>
      <c r="G757" s="4">
        <f>IFERROR(__xludf.DUMMYFUNCTION("""COMPUTED_VALUE"""),9801.0)</f>
        <v>9801</v>
      </c>
      <c r="H757" s="5">
        <f>IFERROR(__xludf.DUMMYFUNCTION("""COMPUTED_VALUE"""),1010.41)</f>
        <v>1010.41</v>
      </c>
    </row>
    <row r="758">
      <c r="A758" s="2" t="str">
        <f>IFERROR(__xludf.DUMMYFUNCTION("""COMPUTED_VALUE"""),"Caldas de Reis")</f>
        <v>Caldas de Reis</v>
      </c>
      <c r="B758" s="2"/>
      <c r="C758" s="2" t="str">
        <f>IFERROR(__xludf.DUMMYFUNCTION("""COMPUTED_VALUE"""),"Provincia de Pontevedra")</f>
        <v>Provincia de Pontevedra</v>
      </c>
      <c r="D758" s="2" t="str">
        <f>IFERROR(__xludf.DUMMYFUNCTION("""COMPUTED_VALUE"""),"Galicia")</f>
        <v>Galicia</v>
      </c>
      <c r="E758" s="2">
        <f>IFERROR(__xludf.DUMMYFUNCTION("""COMPUTED_VALUE"""),24.0)</f>
        <v>24</v>
      </c>
      <c r="F758" s="2">
        <f>IFERROR(__xludf.DUMMYFUNCTION("""COMPUTED_VALUE"""),68.25)</f>
        <v>68.25</v>
      </c>
      <c r="G758" s="4">
        <f>IFERROR(__xludf.DUMMYFUNCTION("""COMPUTED_VALUE"""),9785.0)</f>
        <v>9785</v>
      </c>
      <c r="H758" s="2">
        <f>IFERROR(__xludf.DUMMYFUNCTION("""COMPUTED_VALUE"""),143.37)</f>
        <v>143.37</v>
      </c>
    </row>
    <row r="759">
      <c r="A759" s="2" t="str">
        <f>IFERROR(__xludf.DUMMYFUNCTION("""COMPUTED_VALUE"""),"Grado")</f>
        <v>Grado</v>
      </c>
      <c r="B759" s="2"/>
      <c r="C759" s="2" t="str">
        <f>IFERROR(__xludf.DUMMYFUNCTION("""COMPUTED_VALUE"""),"Provincia de Asturias")</f>
        <v>Provincia de Asturias</v>
      </c>
      <c r="D759" s="2" t="str">
        <f>IFERROR(__xludf.DUMMYFUNCTION("""COMPUTED_VALUE"""),"Principado de Asturias")</f>
        <v>Principado de Asturias</v>
      </c>
      <c r="E759" s="2"/>
      <c r="F759" s="2">
        <f>IFERROR(__xludf.DUMMYFUNCTION("""COMPUTED_VALUE"""),216.71)</f>
        <v>216.71</v>
      </c>
      <c r="G759" s="4">
        <f>IFERROR(__xludf.DUMMYFUNCTION("""COMPUTED_VALUE"""),9784.0)</f>
        <v>9784</v>
      </c>
      <c r="H759" s="2">
        <f>IFERROR(__xludf.DUMMYFUNCTION("""COMPUTED_VALUE"""),45.15)</f>
        <v>45.15</v>
      </c>
    </row>
    <row r="760">
      <c r="A760" s="2" t="str">
        <f>IFERROR(__xludf.DUMMYFUNCTION("""COMPUTED_VALUE"""),"Fuente Palmera")</f>
        <v>Fuente Palmera</v>
      </c>
      <c r="B760" s="2" t="str">
        <f>IFERROR(__xludf.DUMMYFUNCTION("""COMPUTED_VALUE"""),"Valle Medio del Guadalquivir")</f>
        <v>Valle Medio del Guadalquivir</v>
      </c>
      <c r="C760" s="2" t="str">
        <f>IFERROR(__xludf.DUMMYFUNCTION("""COMPUTED_VALUE"""),"Provincia de Córdoba")</f>
        <v>Provincia de Córdoba</v>
      </c>
      <c r="D760" s="2" t="str">
        <f>IFERROR(__xludf.DUMMYFUNCTION("""COMPUTED_VALUE"""),"Andalucía")</f>
        <v>Andalucía</v>
      </c>
      <c r="E760" s="2">
        <f>IFERROR(__xludf.DUMMYFUNCTION("""COMPUTED_VALUE"""),158.0)</f>
        <v>158</v>
      </c>
      <c r="F760" s="2">
        <f>IFERROR(__xludf.DUMMYFUNCTION("""COMPUTED_VALUE"""),65.38)</f>
        <v>65.38</v>
      </c>
      <c r="G760" s="4">
        <f>IFERROR(__xludf.DUMMYFUNCTION("""COMPUTED_VALUE"""),9783.0)</f>
        <v>9783</v>
      </c>
      <c r="H760" s="2">
        <f>IFERROR(__xludf.DUMMYFUNCTION("""COMPUTED_VALUE"""),149.63)</f>
        <v>149.63</v>
      </c>
    </row>
    <row r="761">
      <c r="A761" s="2" t="str">
        <f>IFERROR(__xludf.DUMMYFUNCTION("""COMPUTED_VALUE"""),"Caspe")</f>
        <v>Caspe</v>
      </c>
      <c r="B761" s="2" t="str">
        <f>IFERROR(__xludf.DUMMYFUNCTION("""COMPUTED_VALUE"""),"Bajo Aragón-Caspe")</f>
        <v>Bajo Aragón-Caspe</v>
      </c>
      <c r="C761" s="2" t="str">
        <f>IFERROR(__xludf.DUMMYFUNCTION("""COMPUTED_VALUE"""),"Provincia de Zaragoza")</f>
        <v>Provincia de Zaragoza</v>
      </c>
      <c r="D761" s="2" t="str">
        <f>IFERROR(__xludf.DUMMYFUNCTION("""COMPUTED_VALUE"""),"Aragón")</f>
        <v>Aragón</v>
      </c>
      <c r="E761" s="2">
        <f>IFERROR(__xludf.DUMMYFUNCTION("""COMPUTED_VALUE"""),150.0)</f>
        <v>150</v>
      </c>
      <c r="F761" s="2">
        <f>IFERROR(__xludf.DUMMYFUNCTION("""COMPUTED_VALUE"""),503.15)</f>
        <v>503.15</v>
      </c>
      <c r="G761" s="4">
        <f>IFERROR(__xludf.DUMMYFUNCTION("""COMPUTED_VALUE"""),9748.0)</f>
        <v>9748</v>
      </c>
      <c r="H761" s="2">
        <f>IFERROR(__xludf.DUMMYFUNCTION("""COMPUTED_VALUE"""),19.37)</f>
        <v>19.37</v>
      </c>
    </row>
    <row r="762">
      <c r="A762" s="2" t="str">
        <f>IFERROR(__xludf.DUMMYFUNCTION("""COMPUTED_VALUE"""),"Zumarraga")</f>
        <v>Zumarraga</v>
      </c>
      <c r="B762" s="2" t="str">
        <f>IFERROR(__xludf.DUMMYFUNCTION("""COMPUTED_VALUE"""),"Alto Urola")</f>
        <v>Alto Urola</v>
      </c>
      <c r="C762" s="2" t="str">
        <f>IFERROR(__xludf.DUMMYFUNCTION("""COMPUTED_VALUE"""),"Provincia de Gipuzkoa")</f>
        <v>Provincia de Gipuzkoa</v>
      </c>
      <c r="D762" s="2" t="str">
        <f>IFERROR(__xludf.DUMMYFUNCTION("""COMPUTED_VALUE"""),"País Vasco")</f>
        <v>País Vasco</v>
      </c>
      <c r="E762" s="2">
        <f>IFERROR(__xludf.DUMMYFUNCTION("""COMPUTED_VALUE"""),356.9)</f>
        <v>356.9</v>
      </c>
      <c r="F762" s="2">
        <f>IFERROR(__xludf.DUMMYFUNCTION("""COMPUTED_VALUE"""),18.42)</f>
        <v>18.42</v>
      </c>
      <c r="G762" s="4">
        <f>IFERROR(__xludf.DUMMYFUNCTION("""COMPUTED_VALUE"""),9728.0)</f>
        <v>9728</v>
      </c>
      <c r="H762" s="2">
        <f>IFERROR(__xludf.DUMMYFUNCTION("""COMPUTED_VALUE"""),528.12)</f>
        <v>528.12</v>
      </c>
    </row>
    <row r="763">
      <c r="A763" s="2" t="str">
        <f>IFERROR(__xludf.DUMMYFUNCTION("""COMPUTED_VALUE"""),"Mora")</f>
        <v>Mora</v>
      </c>
      <c r="B763" s="2" t="str">
        <f>IFERROR(__xludf.DUMMYFUNCTION("""COMPUTED_VALUE"""),"Mancha de Toledo")</f>
        <v>Mancha de Toledo</v>
      </c>
      <c r="C763" s="2" t="str">
        <f>IFERROR(__xludf.DUMMYFUNCTION("""COMPUTED_VALUE"""),"Provincia de Toledo")</f>
        <v>Provincia de Toledo</v>
      </c>
      <c r="D763" s="2" t="str">
        <f>IFERROR(__xludf.DUMMYFUNCTION("""COMPUTED_VALUE"""),"Castilla-La Mancha")</f>
        <v>Castilla-La Mancha</v>
      </c>
      <c r="E763" s="2">
        <f>IFERROR(__xludf.DUMMYFUNCTION("""COMPUTED_VALUE"""),717.0)</f>
        <v>717</v>
      </c>
      <c r="F763" s="2">
        <f>IFERROR(__xludf.DUMMYFUNCTION("""COMPUTED_VALUE"""),168.57)</f>
        <v>168.57</v>
      </c>
      <c r="G763" s="4">
        <f>IFERROR(__xludf.DUMMYFUNCTION("""COMPUTED_VALUE"""),9718.0)</f>
        <v>9718</v>
      </c>
      <c r="H763" s="2">
        <f>IFERROR(__xludf.DUMMYFUNCTION("""COMPUTED_VALUE"""),57.65)</f>
        <v>57.65</v>
      </c>
    </row>
    <row r="764">
      <c r="A764" s="2" t="str">
        <f>IFERROR(__xludf.DUMMYFUNCTION("""COMPUTED_VALUE"""),"Vilamarxant")</f>
        <v>Vilamarxant</v>
      </c>
      <c r="B764" s="2" t="str">
        <f>IFERROR(__xludf.DUMMYFUNCTION("""COMPUTED_VALUE"""),"Campo de Turia")</f>
        <v>Campo de Turia</v>
      </c>
      <c r="C764" s="2" t="str">
        <f>IFERROR(__xludf.DUMMYFUNCTION("""COMPUTED_VALUE"""),"Provincia de València")</f>
        <v>Provincia de València</v>
      </c>
      <c r="D764" s="2" t="str">
        <f>IFERROR(__xludf.DUMMYFUNCTION("""COMPUTED_VALUE"""),"Comunidad Valenciana")</f>
        <v>Comunidad Valenciana</v>
      </c>
      <c r="E764" s="2">
        <f>IFERROR(__xludf.DUMMYFUNCTION("""COMPUTED_VALUE"""),160.0)</f>
        <v>160</v>
      </c>
      <c r="F764" s="2">
        <f>IFERROR(__xludf.DUMMYFUNCTION("""COMPUTED_VALUE"""),71.08)</f>
        <v>71.08</v>
      </c>
      <c r="G764" s="4">
        <f>IFERROR(__xludf.DUMMYFUNCTION("""COMPUTED_VALUE"""),9717.0)</f>
        <v>9717</v>
      </c>
      <c r="H764" s="2">
        <f>IFERROR(__xludf.DUMMYFUNCTION("""COMPUTED_VALUE"""),136.71)</f>
        <v>136.71</v>
      </c>
    </row>
    <row r="765">
      <c r="A765" s="2" t="str">
        <f>IFERROR(__xludf.DUMMYFUNCTION("""COMPUTED_VALUE"""),"Xinzo de Limia")</f>
        <v>Xinzo de Limia</v>
      </c>
      <c r="B765" s="2" t="str">
        <f>IFERROR(__xludf.DUMMYFUNCTION("""COMPUTED_VALUE"""),"Comarca de La Limia")</f>
        <v>Comarca de La Limia</v>
      </c>
      <c r="C765" s="2" t="str">
        <f>IFERROR(__xludf.DUMMYFUNCTION("""COMPUTED_VALUE"""),"Provincia de Ourense")</f>
        <v>Provincia de Ourense</v>
      </c>
      <c r="D765" s="2" t="str">
        <f>IFERROR(__xludf.DUMMYFUNCTION("""COMPUTED_VALUE"""),"Galicia")</f>
        <v>Galicia</v>
      </c>
      <c r="E765" s="2">
        <f>IFERROR(__xludf.DUMMYFUNCTION("""COMPUTED_VALUE"""),621.0)</f>
        <v>621</v>
      </c>
      <c r="F765" s="2">
        <f>IFERROR(__xludf.DUMMYFUNCTION("""COMPUTED_VALUE"""),132.67)</f>
        <v>132.67</v>
      </c>
      <c r="G765" s="4">
        <f>IFERROR(__xludf.DUMMYFUNCTION("""COMPUTED_VALUE"""),9715.0)</f>
        <v>9715</v>
      </c>
      <c r="H765" s="2">
        <f>IFERROR(__xludf.DUMMYFUNCTION("""COMPUTED_VALUE"""),73.23)</f>
        <v>73.23</v>
      </c>
    </row>
    <row r="766">
      <c r="A766" s="2" t="str">
        <f>IFERROR(__xludf.DUMMYFUNCTION("""COMPUTED_VALUE"""),"Massanassa")</f>
        <v>Massanassa</v>
      </c>
      <c r="B766" s="2" t="str">
        <f>IFERROR(__xludf.DUMMYFUNCTION("""COMPUTED_VALUE"""),"Huerta Sur")</f>
        <v>Huerta Sur</v>
      </c>
      <c r="C766" s="2" t="str">
        <f>IFERROR(__xludf.DUMMYFUNCTION("""COMPUTED_VALUE"""),"Provincia de València")</f>
        <v>Provincia de València</v>
      </c>
      <c r="D766" s="2" t="str">
        <f>IFERROR(__xludf.DUMMYFUNCTION("""COMPUTED_VALUE"""),"Comunidad Valenciana")</f>
        <v>Comunidad Valenciana</v>
      </c>
      <c r="E766" s="2">
        <f>IFERROR(__xludf.DUMMYFUNCTION("""COMPUTED_VALUE"""),14.0)</f>
        <v>14</v>
      </c>
      <c r="F766" s="2">
        <f>IFERROR(__xludf.DUMMYFUNCTION("""COMPUTED_VALUE"""),5.59)</f>
        <v>5.59</v>
      </c>
      <c r="G766" s="4">
        <f>IFERROR(__xludf.DUMMYFUNCTION("""COMPUTED_VALUE"""),9667.0)</f>
        <v>9667</v>
      </c>
      <c r="H766" s="5">
        <f>IFERROR(__xludf.DUMMYFUNCTION("""COMPUTED_VALUE"""),1729.34)</f>
        <v>1729.34</v>
      </c>
    </row>
    <row r="767">
      <c r="A767" s="2" t="str">
        <f>IFERROR(__xludf.DUMMYFUNCTION("""COMPUTED_VALUE"""),"Fernán-Núñez")</f>
        <v>Fernán-Núñez</v>
      </c>
      <c r="B767" s="2" t="str">
        <f>IFERROR(__xludf.DUMMYFUNCTION("""COMPUTED_VALUE"""),"Campiña Sur Cordobesa")</f>
        <v>Campiña Sur Cordobesa</v>
      </c>
      <c r="C767" s="2" t="str">
        <f>IFERROR(__xludf.DUMMYFUNCTION("""COMPUTED_VALUE"""),"Provincia de Córdoba")</f>
        <v>Provincia de Córdoba</v>
      </c>
      <c r="D767" s="2" t="str">
        <f>IFERROR(__xludf.DUMMYFUNCTION("""COMPUTED_VALUE"""),"Andalucía")</f>
        <v>Andalucía</v>
      </c>
      <c r="E767" s="2">
        <f>IFERROR(__xludf.DUMMYFUNCTION("""COMPUTED_VALUE"""),322.0)</f>
        <v>322</v>
      </c>
      <c r="F767" s="2">
        <f>IFERROR(__xludf.DUMMYFUNCTION("""COMPUTED_VALUE"""),30.18)</f>
        <v>30.18</v>
      </c>
      <c r="G767" s="4">
        <f>IFERROR(__xludf.DUMMYFUNCTION("""COMPUTED_VALUE"""),9663.0)</f>
        <v>9663</v>
      </c>
      <c r="H767" s="2">
        <f>IFERROR(__xludf.DUMMYFUNCTION("""COMPUTED_VALUE"""),320.18)</f>
        <v>320.18</v>
      </c>
    </row>
    <row r="768">
      <c r="A768" s="2" t="str">
        <f>IFERROR(__xludf.DUMMYFUNCTION("""COMPUTED_VALUE"""),"Alguazas")</f>
        <v>Alguazas</v>
      </c>
      <c r="B768" s="2" t="str">
        <f>IFERROR(__xludf.DUMMYFUNCTION("""COMPUTED_VALUE"""),"Vega Media del Segura")</f>
        <v>Vega Media del Segura</v>
      </c>
      <c r="C768" s="2" t="str">
        <f>IFERROR(__xludf.DUMMYFUNCTION("""COMPUTED_VALUE"""),"Provincia de Murcia")</f>
        <v>Provincia de Murcia</v>
      </c>
      <c r="D768" s="2" t="str">
        <f>IFERROR(__xludf.DUMMYFUNCTION("""COMPUTED_VALUE"""),"Región de Murcia")</f>
        <v>Región de Murcia</v>
      </c>
      <c r="E768" s="2">
        <f>IFERROR(__xludf.DUMMYFUNCTION("""COMPUTED_VALUE"""),86.0)</f>
        <v>86</v>
      </c>
      <c r="F768" s="2">
        <f>IFERROR(__xludf.DUMMYFUNCTION("""COMPUTED_VALUE"""),23.84)</f>
        <v>23.84</v>
      </c>
      <c r="G768" s="4">
        <f>IFERROR(__xludf.DUMMYFUNCTION("""COMPUTED_VALUE"""),9638.0)</f>
        <v>9638</v>
      </c>
      <c r="H768" s="2">
        <f>IFERROR(__xludf.DUMMYFUNCTION("""COMPUTED_VALUE"""),404.28)</f>
        <v>404.28</v>
      </c>
    </row>
    <row r="769">
      <c r="A769" s="2" t="str">
        <f>IFERROR(__xludf.DUMMYFUNCTION("""COMPUTED_VALUE"""),"Miajadas")</f>
        <v>Miajadas</v>
      </c>
      <c r="B769" s="2"/>
      <c r="C769" s="2" t="str">
        <f>IFERROR(__xludf.DUMMYFUNCTION("""COMPUTED_VALUE"""),"Provincia de Cáceres")</f>
        <v>Provincia de Cáceres</v>
      </c>
      <c r="D769" s="2" t="str">
        <f>IFERROR(__xludf.DUMMYFUNCTION("""COMPUTED_VALUE"""),"Extremadura")</f>
        <v>Extremadura</v>
      </c>
      <c r="E769" s="2">
        <f>IFERROR(__xludf.DUMMYFUNCTION("""COMPUTED_VALUE"""),297.0)</f>
        <v>297</v>
      </c>
      <c r="F769" s="2">
        <f>IFERROR(__xludf.DUMMYFUNCTION("""COMPUTED_VALUE"""),120.75)</f>
        <v>120.75</v>
      </c>
      <c r="G769" s="4">
        <f>IFERROR(__xludf.DUMMYFUNCTION("""COMPUTED_VALUE"""),9607.0)</f>
        <v>9607</v>
      </c>
      <c r="H769" s="2">
        <f>IFERROR(__xludf.DUMMYFUNCTION("""COMPUTED_VALUE"""),79.56)</f>
        <v>79.56</v>
      </c>
    </row>
    <row r="770">
      <c r="A770" s="2" t="str">
        <f>IFERROR(__xludf.DUMMYFUNCTION("""COMPUTED_VALUE"""),"Burela")</f>
        <v>Burela</v>
      </c>
      <c r="B770" s="2" t="str">
        <f>IFERROR(__xludf.DUMMYFUNCTION("""COMPUTED_VALUE"""),"La Mariña Central")</f>
        <v>La Mariña Central</v>
      </c>
      <c r="C770" s="2" t="str">
        <f>IFERROR(__xludf.DUMMYFUNCTION("""COMPUTED_VALUE"""),"Provincia de Lugo")</f>
        <v>Provincia de Lugo</v>
      </c>
      <c r="D770" s="2" t="str">
        <f>IFERROR(__xludf.DUMMYFUNCTION("""COMPUTED_VALUE"""),"Galicia")</f>
        <v>Galicia</v>
      </c>
      <c r="E770" s="2">
        <f>IFERROR(__xludf.DUMMYFUNCTION("""COMPUTED_VALUE"""),25.0)</f>
        <v>25</v>
      </c>
      <c r="F770" s="2">
        <f>IFERROR(__xludf.DUMMYFUNCTION("""COMPUTED_VALUE"""),7.78)</f>
        <v>7.78</v>
      </c>
      <c r="G770" s="4">
        <f>IFERROR(__xludf.DUMMYFUNCTION("""COMPUTED_VALUE"""),9588.0)</f>
        <v>9588</v>
      </c>
      <c r="H770" s="5">
        <f>IFERROR(__xludf.DUMMYFUNCTION("""COMPUTED_VALUE"""),1232.39)</f>
        <v>1232.39</v>
      </c>
    </row>
    <row r="771">
      <c r="A771" s="2" t="str">
        <f>IFERROR(__xludf.DUMMYFUNCTION("""COMPUTED_VALUE"""),"Cuéllar")</f>
        <v>Cuéllar</v>
      </c>
      <c r="B771" s="2" t="str">
        <f>IFERROR(__xludf.DUMMYFUNCTION("""COMPUTED_VALUE"""),"Tierra de Pinares")</f>
        <v>Tierra de Pinares</v>
      </c>
      <c r="C771" s="2" t="str">
        <f>IFERROR(__xludf.DUMMYFUNCTION("""COMPUTED_VALUE"""),"Provincia de Salamanca")</f>
        <v>Provincia de Salamanca</v>
      </c>
      <c r="D771" s="2" t="str">
        <f>IFERROR(__xludf.DUMMYFUNCTION("""COMPUTED_VALUE"""),"Castilla y León")</f>
        <v>Castilla y León</v>
      </c>
      <c r="E771" s="2">
        <f>IFERROR(__xludf.DUMMYFUNCTION("""COMPUTED_VALUE"""),857.93)</f>
        <v>857.93</v>
      </c>
      <c r="F771" s="2">
        <f>IFERROR(__xludf.DUMMYFUNCTION("""COMPUTED_VALUE"""),273.33)</f>
        <v>273.33</v>
      </c>
      <c r="G771" s="4">
        <f>IFERROR(__xludf.DUMMYFUNCTION("""COMPUTED_VALUE"""),9583.0)</f>
        <v>9583</v>
      </c>
      <c r="H771" s="2">
        <f>IFERROR(__xludf.DUMMYFUNCTION("""COMPUTED_VALUE"""),35.06)</f>
        <v>35.06</v>
      </c>
    </row>
    <row r="772">
      <c r="A772" s="2" t="str">
        <f>IFERROR(__xludf.DUMMYFUNCTION("""COMPUTED_VALUE"""),"Binéfar")</f>
        <v>Binéfar</v>
      </c>
      <c r="B772" s="2" t="str">
        <f>IFERROR(__xludf.DUMMYFUNCTION("""COMPUTED_VALUE"""),"La Litera")</f>
        <v>La Litera</v>
      </c>
      <c r="C772" s="2" t="str">
        <f>IFERROR(__xludf.DUMMYFUNCTION("""COMPUTED_VALUE"""),"Provincia de Huesca")</f>
        <v>Provincia de Huesca</v>
      </c>
      <c r="D772" s="2" t="str">
        <f>IFERROR(__xludf.DUMMYFUNCTION("""COMPUTED_VALUE"""),"Aragón")</f>
        <v>Aragón</v>
      </c>
      <c r="E772" s="2">
        <f>IFERROR(__xludf.DUMMYFUNCTION("""COMPUTED_VALUE"""),286.0)</f>
        <v>286</v>
      </c>
      <c r="F772" s="2">
        <f>IFERROR(__xludf.DUMMYFUNCTION("""COMPUTED_VALUE"""),25.1)</f>
        <v>25.1</v>
      </c>
      <c r="G772" s="4">
        <f>IFERROR(__xludf.DUMMYFUNCTION("""COMPUTED_VALUE"""),9561.0)</f>
        <v>9561</v>
      </c>
      <c r="H772" s="2">
        <f>IFERROR(__xludf.DUMMYFUNCTION("""COMPUTED_VALUE"""),380.92)</f>
        <v>380.92</v>
      </c>
    </row>
    <row r="773">
      <c r="A773" s="2" t="str">
        <f>IFERROR(__xludf.DUMMYFUNCTION("""COMPUTED_VALUE"""),"Villacañas")</f>
        <v>Villacañas</v>
      </c>
      <c r="B773" s="2" t="str">
        <f>IFERROR(__xludf.DUMMYFUNCTION("""COMPUTED_VALUE"""),"Mancha de Toledo")</f>
        <v>Mancha de Toledo</v>
      </c>
      <c r="C773" s="2" t="str">
        <f>IFERROR(__xludf.DUMMYFUNCTION("""COMPUTED_VALUE"""),"Provincia de Toledo")</f>
        <v>Provincia de Toledo</v>
      </c>
      <c r="D773" s="2" t="str">
        <f>IFERROR(__xludf.DUMMYFUNCTION("""COMPUTED_VALUE"""),"Castilla-La Mancha")</f>
        <v>Castilla-La Mancha</v>
      </c>
      <c r="E773" s="2">
        <f>IFERROR(__xludf.DUMMYFUNCTION("""COMPUTED_VALUE"""),664.0)</f>
        <v>664</v>
      </c>
      <c r="F773" s="2">
        <f>IFERROR(__xludf.DUMMYFUNCTION("""COMPUTED_VALUE"""),268.51)</f>
        <v>268.51</v>
      </c>
      <c r="G773" s="4">
        <f>IFERROR(__xludf.DUMMYFUNCTION("""COMPUTED_VALUE"""),9548.0)</f>
        <v>9548</v>
      </c>
      <c r="H773" s="2">
        <f>IFERROR(__xludf.DUMMYFUNCTION("""COMPUTED_VALUE"""),35.56)</f>
        <v>35.56</v>
      </c>
    </row>
    <row r="774">
      <c r="A774" s="2" t="str">
        <f>IFERROR(__xludf.DUMMYFUNCTION("""COMPUTED_VALUE"""),"Sant Vicenç de Castellet")</f>
        <v>Sant Vicenç de Castellet</v>
      </c>
      <c r="B774" s="2" t="str">
        <f>IFERROR(__xludf.DUMMYFUNCTION("""COMPUTED_VALUE"""),"Bages")</f>
        <v>Bages</v>
      </c>
      <c r="C774" s="2" t="str">
        <f>IFERROR(__xludf.DUMMYFUNCTION("""COMPUTED_VALUE"""),"Provincia de Barcelona")</f>
        <v>Provincia de Barcelona</v>
      </c>
      <c r="D774" s="2" t="str">
        <f>IFERROR(__xludf.DUMMYFUNCTION("""COMPUTED_VALUE"""),"Cataluña")</f>
        <v>Cataluña</v>
      </c>
      <c r="E774" s="2">
        <f>IFERROR(__xludf.DUMMYFUNCTION("""COMPUTED_VALUE"""),176.0)</f>
        <v>176</v>
      </c>
      <c r="F774" s="2">
        <f>IFERROR(__xludf.DUMMYFUNCTION("""COMPUTED_VALUE"""),17.38)</f>
        <v>17.38</v>
      </c>
      <c r="G774" s="4">
        <f>IFERROR(__xludf.DUMMYFUNCTION("""COMPUTED_VALUE"""),9523.0)</f>
        <v>9523</v>
      </c>
      <c r="H774" s="2">
        <f>IFERROR(__xludf.DUMMYFUNCTION("""COMPUTED_VALUE"""),547.93)</f>
        <v>547.93</v>
      </c>
    </row>
    <row r="775">
      <c r="A775" s="2" t="str">
        <f>IFERROR(__xludf.DUMMYFUNCTION("""COMPUTED_VALUE"""),"Alcarràs")</f>
        <v>Alcarràs</v>
      </c>
      <c r="B775" s="2" t="str">
        <f>IFERROR(__xludf.DUMMYFUNCTION("""COMPUTED_VALUE"""),"Segriá")</f>
        <v>Segriá</v>
      </c>
      <c r="C775" s="2" t="str">
        <f>IFERROR(__xludf.DUMMYFUNCTION("""COMPUTED_VALUE"""),"Provincia de Lleida")</f>
        <v>Provincia de Lleida</v>
      </c>
      <c r="D775" s="2" t="str">
        <f>IFERROR(__xludf.DUMMYFUNCTION("""COMPUTED_VALUE"""),"Cataluña")</f>
        <v>Cataluña</v>
      </c>
      <c r="E775" s="2">
        <f>IFERROR(__xludf.DUMMYFUNCTION("""COMPUTED_VALUE"""),137.0)</f>
        <v>137</v>
      </c>
      <c r="F775" s="2">
        <f>IFERROR(__xludf.DUMMYFUNCTION("""COMPUTED_VALUE"""),114.65)</f>
        <v>114.65</v>
      </c>
      <c r="G775" s="4">
        <f>IFERROR(__xludf.DUMMYFUNCTION("""COMPUTED_VALUE"""),9514.0)</f>
        <v>9514</v>
      </c>
      <c r="H775" s="2">
        <f>IFERROR(__xludf.DUMMYFUNCTION("""COMPUTED_VALUE"""),82.98)</f>
        <v>82.98</v>
      </c>
    </row>
    <row r="776">
      <c r="A776" s="2" t="str">
        <f>IFERROR(__xludf.DUMMYFUNCTION("""COMPUTED_VALUE"""),"Tocina")</f>
        <v>Tocina</v>
      </c>
      <c r="B776" s="2" t="str">
        <f>IFERROR(__xludf.DUMMYFUNCTION("""COMPUTED_VALUE"""),"Vega del Guadalquivir")</f>
        <v>Vega del Guadalquivir</v>
      </c>
      <c r="C776" s="2" t="str">
        <f>IFERROR(__xludf.DUMMYFUNCTION("""COMPUTED_VALUE"""),"Provincia de Sevilla")</f>
        <v>Provincia de Sevilla</v>
      </c>
      <c r="D776" s="2" t="str">
        <f>IFERROR(__xludf.DUMMYFUNCTION("""COMPUTED_VALUE"""),"Andalucía")</f>
        <v>Andalucía</v>
      </c>
      <c r="E776" s="2">
        <f>IFERROR(__xludf.DUMMYFUNCTION("""COMPUTED_VALUE"""),27.0)</f>
        <v>27</v>
      </c>
      <c r="F776" s="2">
        <f>IFERROR(__xludf.DUMMYFUNCTION("""COMPUTED_VALUE"""),15.62)</f>
        <v>15.62</v>
      </c>
      <c r="G776" s="4">
        <f>IFERROR(__xludf.DUMMYFUNCTION("""COMPUTED_VALUE"""),9501.0)</f>
        <v>9501</v>
      </c>
      <c r="H776" s="2">
        <f>IFERROR(__xludf.DUMMYFUNCTION("""COMPUTED_VALUE"""),608.26)</f>
        <v>608.26</v>
      </c>
    </row>
    <row r="777">
      <c r="A777" s="2" t="str">
        <f>IFERROR(__xludf.DUMMYFUNCTION("""COMPUTED_VALUE"""),"Alfaro")</f>
        <v>Alfaro</v>
      </c>
      <c r="B777" s="2" t="str">
        <f>IFERROR(__xludf.DUMMYFUNCTION("""COMPUTED_VALUE"""),"Comarca de Alfaro")</f>
        <v>Comarca de Alfaro</v>
      </c>
      <c r="C777" s="2" t="str">
        <f>IFERROR(__xludf.DUMMYFUNCTION("""COMPUTED_VALUE"""),"Provincia de La Rioja")</f>
        <v>Provincia de La Rioja</v>
      </c>
      <c r="D777" s="2" t="str">
        <f>IFERROR(__xludf.DUMMYFUNCTION("""COMPUTED_VALUE"""),"La Rioja")</f>
        <v>La Rioja</v>
      </c>
      <c r="E777" s="2">
        <f>IFERROR(__xludf.DUMMYFUNCTION("""COMPUTED_VALUE"""),310.0)</f>
        <v>310</v>
      </c>
      <c r="F777" s="2">
        <f>IFERROR(__xludf.DUMMYFUNCTION("""COMPUTED_VALUE"""),194.12)</f>
        <v>194.12</v>
      </c>
      <c r="G777" s="4">
        <f>IFERROR(__xludf.DUMMYFUNCTION("""COMPUTED_VALUE"""),9476.0)</f>
        <v>9476</v>
      </c>
      <c r="H777" s="2">
        <f>IFERROR(__xludf.DUMMYFUNCTION("""COMPUTED_VALUE"""),48.82)</f>
        <v>48.82</v>
      </c>
    </row>
    <row r="778">
      <c r="A778" s="2" t="str">
        <f>IFERROR(__xludf.DUMMYFUNCTION("""COMPUTED_VALUE"""),"El Álamo (Madrid)")</f>
        <v>El Álamo (Madrid)</v>
      </c>
      <c r="B778" s="2" t="str">
        <f>IFERROR(__xludf.DUMMYFUNCTION("""COMPUTED_VALUE"""),"Navalcarnero")</f>
        <v>Navalcarnero</v>
      </c>
      <c r="C778" s="2" t="str">
        <f>IFERROR(__xludf.DUMMYFUNCTION("""COMPUTED_VALUE"""),"Provincia de Madrid")</f>
        <v>Provincia de Madrid</v>
      </c>
      <c r="D778" s="2" t="str">
        <f>IFERROR(__xludf.DUMMYFUNCTION("""COMPUTED_VALUE"""),"Comunidad de Madrid")</f>
        <v>Comunidad de Madrid</v>
      </c>
      <c r="E778" s="2">
        <f>IFERROR(__xludf.DUMMYFUNCTION("""COMPUTED_VALUE"""),608.0)</f>
        <v>608</v>
      </c>
      <c r="F778" s="2">
        <f>IFERROR(__xludf.DUMMYFUNCTION("""COMPUTED_VALUE"""),22.25)</f>
        <v>22.25</v>
      </c>
      <c r="G778" s="4">
        <f>IFERROR(__xludf.DUMMYFUNCTION("""COMPUTED_VALUE"""),9470.0)</f>
        <v>9470</v>
      </c>
      <c r="H778" s="2">
        <f>IFERROR(__xludf.DUMMYFUNCTION("""COMPUTED_VALUE"""),425.62)</f>
        <v>425.62</v>
      </c>
    </row>
    <row r="779">
      <c r="A779" s="2" t="str">
        <f>IFERROR(__xludf.DUMMYFUNCTION("""COMPUTED_VALUE"""),"Abanto y Ciérvana")</f>
        <v>Abanto y Ciérvana</v>
      </c>
      <c r="B779" s="2" t="str">
        <f>IFERROR(__xludf.DUMMYFUNCTION("""COMPUTED_VALUE"""),"Gran Bilbao")</f>
        <v>Gran Bilbao</v>
      </c>
      <c r="C779" s="2" t="str">
        <f>IFERROR(__xludf.DUMMYFUNCTION("""COMPUTED_VALUE"""),"Provincia de Bizkaia")</f>
        <v>Provincia de Bizkaia</v>
      </c>
      <c r="D779" s="2" t="str">
        <f>IFERROR(__xludf.DUMMYFUNCTION("""COMPUTED_VALUE"""),"País Vasco")</f>
        <v>País Vasco</v>
      </c>
      <c r="E779" s="2">
        <f>IFERROR(__xludf.DUMMYFUNCTION("""COMPUTED_VALUE"""),128.0)</f>
        <v>128</v>
      </c>
      <c r="F779" s="2">
        <f>IFERROR(__xludf.DUMMYFUNCTION("""COMPUTED_VALUE"""),16.18)</f>
        <v>16.18</v>
      </c>
      <c r="G779" s="4">
        <f>IFERROR(__xludf.DUMMYFUNCTION("""COMPUTED_VALUE"""),9444.0)</f>
        <v>9444</v>
      </c>
      <c r="H779" s="2">
        <f>IFERROR(__xludf.DUMMYFUNCTION("""COMPUTED_VALUE"""),583.68)</f>
        <v>583.68</v>
      </c>
    </row>
    <row r="780">
      <c r="A780" s="2" t="str">
        <f>IFERROR(__xludf.DUMMYFUNCTION("""COMPUTED_VALUE"""),"Santa Comba")</f>
        <v>Santa Comba</v>
      </c>
      <c r="B780" s="2" t="str">
        <f>IFERROR(__xludf.DUMMYFUNCTION("""COMPUTED_VALUE"""),"Comarca del Xallas")</f>
        <v>Comarca del Xallas</v>
      </c>
      <c r="C780" s="2" t="str">
        <f>IFERROR(__xludf.DUMMYFUNCTION("""COMPUTED_VALUE"""),"Provincia de A Coruña")</f>
        <v>Provincia de A Coruña</v>
      </c>
      <c r="D780" s="2" t="str">
        <f>IFERROR(__xludf.DUMMYFUNCTION("""COMPUTED_VALUE"""),"Galicia")</f>
        <v>Galicia</v>
      </c>
      <c r="E780" s="2">
        <f>IFERROR(__xludf.DUMMYFUNCTION("""COMPUTED_VALUE"""),300.0)</f>
        <v>300</v>
      </c>
      <c r="F780" s="2">
        <f>IFERROR(__xludf.DUMMYFUNCTION("""COMPUTED_VALUE"""),203.7)</f>
        <v>203.7</v>
      </c>
      <c r="G780" s="4">
        <f>IFERROR(__xludf.DUMMYFUNCTION("""COMPUTED_VALUE"""),9426.0)</f>
        <v>9426</v>
      </c>
      <c r="H780" s="2">
        <f>IFERROR(__xludf.DUMMYFUNCTION("""COMPUTED_VALUE"""),46.27)</f>
        <v>46.27</v>
      </c>
    </row>
    <row r="781">
      <c r="A781" s="2" t="str">
        <f>IFERROR(__xludf.DUMMYFUNCTION("""COMPUTED_VALUE"""),"Santa Maria de Palautordera")</f>
        <v>Santa Maria de Palautordera</v>
      </c>
      <c r="B781" s="2" t="str">
        <f>IFERROR(__xludf.DUMMYFUNCTION("""COMPUTED_VALUE"""),"Vallès Oriental")</f>
        <v>Vallès Oriental</v>
      </c>
      <c r="C781" s="2" t="str">
        <f>IFERROR(__xludf.DUMMYFUNCTION("""COMPUTED_VALUE"""),"Provincia de Barcelona")</f>
        <v>Provincia de Barcelona</v>
      </c>
      <c r="D781" s="2" t="str">
        <f>IFERROR(__xludf.DUMMYFUNCTION("""COMPUTED_VALUE"""),"Cataluña")</f>
        <v>Cataluña</v>
      </c>
      <c r="E781" s="2">
        <f>IFERROR(__xludf.DUMMYFUNCTION("""COMPUTED_VALUE"""),208.0)</f>
        <v>208</v>
      </c>
      <c r="F781" s="2">
        <f>IFERROR(__xludf.DUMMYFUNCTION("""COMPUTED_VALUE"""),16.97)</f>
        <v>16.97</v>
      </c>
      <c r="G781" s="4">
        <f>IFERROR(__xludf.DUMMYFUNCTION("""COMPUTED_VALUE"""),9423.0)</f>
        <v>9423</v>
      </c>
      <c r="H781" s="2">
        <f>IFERROR(__xludf.DUMMYFUNCTION("""COMPUTED_VALUE"""),555.27)</f>
        <v>555.27</v>
      </c>
    </row>
    <row r="782">
      <c r="A782" s="2" t="str">
        <f>IFERROR(__xludf.DUMMYFUNCTION("""COMPUTED_VALUE"""),"Alcanar")</f>
        <v>Alcanar</v>
      </c>
      <c r="B782" s="2" t="str">
        <f>IFERROR(__xludf.DUMMYFUNCTION("""COMPUTED_VALUE"""),"Montsiá")</f>
        <v>Montsiá</v>
      </c>
      <c r="C782" s="2" t="str">
        <f>IFERROR(__xludf.DUMMYFUNCTION("""COMPUTED_VALUE"""),"Provincia de Tarragona")</f>
        <v>Provincia de Tarragona</v>
      </c>
      <c r="D782" s="2" t="str">
        <f>IFERROR(__xludf.DUMMYFUNCTION("""COMPUTED_VALUE"""),"Cataluña")</f>
        <v>Cataluña</v>
      </c>
      <c r="E782" s="2">
        <f>IFERROR(__xludf.DUMMYFUNCTION("""COMPUTED_VALUE"""),72.0)</f>
        <v>72</v>
      </c>
      <c r="F782" s="2">
        <f>IFERROR(__xludf.DUMMYFUNCTION("""COMPUTED_VALUE"""),47.1)</f>
        <v>47.1</v>
      </c>
      <c r="G782" s="4">
        <f>IFERROR(__xludf.DUMMYFUNCTION("""COMPUTED_VALUE"""),9418.0)</f>
        <v>9418</v>
      </c>
      <c r="H782" s="2">
        <f>IFERROR(__xludf.DUMMYFUNCTION("""COMPUTED_VALUE"""),199.96)</f>
        <v>199.96</v>
      </c>
    </row>
    <row r="783">
      <c r="A783" s="2" t="str">
        <f>IFERROR(__xludf.DUMMYFUNCTION("""COMPUTED_VALUE"""),"Buñol")</f>
        <v>Buñol</v>
      </c>
      <c r="B783" s="2" t="str">
        <f>IFERROR(__xludf.DUMMYFUNCTION("""COMPUTED_VALUE"""),"Hoya de Buñol")</f>
        <v>Hoya de Buñol</v>
      </c>
      <c r="C783" s="2" t="str">
        <f>IFERROR(__xludf.DUMMYFUNCTION("""COMPUTED_VALUE"""),"Provincia de València")</f>
        <v>Provincia de València</v>
      </c>
      <c r="D783" s="2" t="str">
        <f>IFERROR(__xludf.DUMMYFUNCTION("""COMPUTED_VALUE"""),"Comunidad Valenciana")</f>
        <v>Comunidad Valenciana</v>
      </c>
      <c r="E783" s="2">
        <f>IFERROR(__xludf.DUMMYFUNCTION("""COMPUTED_VALUE"""),441.0)</f>
        <v>441</v>
      </c>
      <c r="F783" s="2">
        <f>IFERROR(__xludf.DUMMYFUNCTION("""COMPUTED_VALUE"""),112.4)</f>
        <v>112.4</v>
      </c>
      <c r="G783" s="4">
        <f>IFERROR(__xludf.DUMMYFUNCTION("""COMPUTED_VALUE"""),9408.0)</f>
        <v>9408</v>
      </c>
      <c r="H783" s="2">
        <f>IFERROR(__xludf.DUMMYFUNCTION("""COMPUTED_VALUE"""),83.7)</f>
        <v>83.7</v>
      </c>
    </row>
    <row r="784">
      <c r="A784" s="2" t="str">
        <f>IFERROR(__xludf.DUMMYFUNCTION("""COMPUTED_VALUE"""),"Palafolls")</f>
        <v>Palafolls</v>
      </c>
      <c r="B784" s="2" t="str">
        <f>IFERROR(__xludf.DUMMYFUNCTION("""COMPUTED_VALUE"""),"Maresme")</f>
        <v>Maresme</v>
      </c>
      <c r="C784" s="2" t="str">
        <f>IFERROR(__xludf.DUMMYFUNCTION("""COMPUTED_VALUE"""),"Provincia de Barcelona")</f>
        <v>Provincia de Barcelona</v>
      </c>
      <c r="D784" s="2" t="str">
        <f>IFERROR(__xludf.DUMMYFUNCTION("""COMPUTED_VALUE"""),"Cataluña")</f>
        <v>Cataluña</v>
      </c>
      <c r="E784" s="2">
        <f>IFERROR(__xludf.DUMMYFUNCTION("""COMPUTED_VALUE"""),16.0)</f>
        <v>16</v>
      </c>
      <c r="F784" s="2">
        <f>IFERROR(__xludf.DUMMYFUNCTION("""COMPUTED_VALUE"""),16.42)</f>
        <v>16.42</v>
      </c>
      <c r="G784" s="4">
        <f>IFERROR(__xludf.DUMMYFUNCTION("""COMPUTED_VALUE"""),9405.0)</f>
        <v>9405</v>
      </c>
      <c r="H784" s="2">
        <f>IFERROR(__xludf.DUMMYFUNCTION("""COMPUTED_VALUE"""),572.78)</f>
        <v>572.78</v>
      </c>
    </row>
    <row r="785">
      <c r="A785" s="2" t="str">
        <f>IFERROR(__xludf.DUMMYFUNCTION("""COMPUTED_VALUE"""),"Olivares")</f>
        <v>Olivares</v>
      </c>
      <c r="B785" s="2" t="str">
        <f>IFERROR(__xludf.DUMMYFUNCTION("""COMPUTED_VALUE"""),"El Aljarafe")</f>
        <v>El Aljarafe</v>
      </c>
      <c r="C785" s="2" t="str">
        <f>IFERROR(__xludf.DUMMYFUNCTION("""COMPUTED_VALUE"""),"Provincia de Sevilla")</f>
        <v>Provincia de Sevilla</v>
      </c>
      <c r="D785" s="2" t="str">
        <f>IFERROR(__xludf.DUMMYFUNCTION("""COMPUTED_VALUE"""),"Andalucía")</f>
        <v>Andalucía</v>
      </c>
      <c r="E785" s="2">
        <f>IFERROR(__xludf.DUMMYFUNCTION("""COMPUTED_VALUE"""),169.0)</f>
        <v>169</v>
      </c>
      <c r="F785" s="2">
        <f>IFERROR(__xludf.DUMMYFUNCTION("""COMPUTED_VALUE"""),45.49)</f>
        <v>45.49</v>
      </c>
      <c r="G785" s="4">
        <f>IFERROR(__xludf.DUMMYFUNCTION("""COMPUTED_VALUE"""),9394.0)</f>
        <v>9394</v>
      </c>
      <c r="H785" s="2">
        <f>IFERROR(__xludf.DUMMYFUNCTION("""COMPUTED_VALUE"""),206.51)</f>
        <v>206.51</v>
      </c>
    </row>
    <row r="786">
      <c r="A786" s="2" t="str">
        <f>IFERROR(__xludf.DUMMYFUNCTION("""COMPUTED_VALUE"""),"Tineo")</f>
        <v>Tineo</v>
      </c>
      <c r="B786" s="2"/>
      <c r="C786" s="2" t="str">
        <f>IFERROR(__xludf.DUMMYFUNCTION("""COMPUTED_VALUE"""),"Provincia de Asturias")</f>
        <v>Provincia de Asturias</v>
      </c>
      <c r="D786" s="2" t="str">
        <f>IFERROR(__xludf.DUMMYFUNCTION("""COMPUTED_VALUE"""),"Principado de Asturias")</f>
        <v>Principado de Asturias</v>
      </c>
      <c r="E786" s="2"/>
      <c r="F786" s="2">
        <f>IFERROR(__xludf.DUMMYFUNCTION("""COMPUTED_VALUE"""),540.83)</f>
        <v>540.83</v>
      </c>
      <c r="G786" s="4">
        <f>IFERROR(__xludf.DUMMYFUNCTION("""COMPUTED_VALUE"""),9389.0)</f>
        <v>9389</v>
      </c>
      <c r="H786" s="2">
        <f>IFERROR(__xludf.DUMMYFUNCTION("""COMPUTED_VALUE"""),17.36)</f>
        <v>17.36</v>
      </c>
    </row>
    <row r="787">
      <c r="A787" s="2" t="str">
        <f>IFERROR(__xludf.DUMMYFUNCTION("""COMPUTED_VALUE"""),"Montoro (Córdoba)")</f>
        <v>Montoro (Córdoba)</v>
      </c>
      <c r="B787" s="2" t="str">
        <f>IFERROR(__xludf.DUMMYFUNCTION("""COMPUTED_VALUE"""),"Alto Guadalquivir (Córdoba)")</f>
        <v>Alto Guadalquivir (Córdoba)</v>
      </c>
      <c r="C787" s="2" t="str">
        <f>IFERROR(__xludf.DUMMYFUNCTION("""COMPUTED_VALUE"""),"Provincia de Córdoba")</f>
        <v>Provincia de Córdoba</v>
      </c>
      <c r="D787" s="2" t="str">
        <f>IFERROR(__xludf.DUMMYFUNCTION("""COMPUTED_VALUE"""),"Andalucía")</f>
        <v>Andalucía</v>
      </c>
      <c r="E787" s="2">
        <f>IFERROR(__xludf.DUMMYFUNCTION("""COMPUTED_VALUE"""),195.0)</f>
        <v>195</v>
      </c>
      <c r="F787" s="2">
        <f>IFERROR(__xludf.DUMMYFUNCTION("""COMPUTED_VALUE"""),585.55)</f>
        <v>585.55</v>
      </c>
      <c r="G787" s="4">
        <f>IFERROR(__xludf.DUMMYFUNCTION("""COMPUTED_VALUE"""),9364.0)</f>
        <v>9364</v>
      </c>
      <c r="H787" s="2">
        <f>IFERROR(__xludf.DUMMYFUNCTION("""COMPUTED_VALUE"""),15.99)</f>
        <v>15.99</v>
      </c>
    </row>
    <row r="788">
      <c r="A788" s="2" t="str">
        <f>IFERROR(__xludf.DUMMYFUNCTION("""COMPUTED_VALUE"""),"Alhendín")</f>
        <v>Alhendín</v>
      </c>
      <c r="B788" s="2" t="str">
        <f>IFERROR(__xludf.DUMMYFUNCTION("""COMPUTED_VALUE"""),"Vega de Granada")</f>
        <v>Vega de Granada</v>
      </c>
      <c r="C788" s="2" t="str">
        <f>IFERROR(__xludf.DUMMYFUNCTION("""COMPUTED_VALUE"""),"Provincia de Granada")</f>
        <v>Provincia de Granada</v>
      </c>
      <c r="D788" s="2" t="str">
        <f>IFERROR(__xludf.DUMMYFUNCTION("""COMPUTED_VALUE"""),"Andalucía")</f>
        <v>Andalucía</v>
      </c>
      <c r="E788" s="2">
        <f>IFERROR(__xludf.DUMMYFUNCTION("""COMPUTED_VALUE"""),739.0)</f>
        <v>739</v>
      </c>
      <c r="F788" s="2">
        <f>IFERROR(__xludf.DUMMYFUNCTION("""COMPUTED_VALUE"""),50.56)</f>
        <v>50.56</v>
      </c>
      <c r="G788" s="4">
        <f>IFERROR(__xludf.DUMMYFUNCTION("""COMPUTED_VALUE"""),9349.0)</f>
        <v>9349</v>
      </c>
      <c r="H788" s="2">
        <f>IFERROR(__xludf.DUMMYFUNCTION("""COMPUTED_VALUE"""),184.91)</f>
        <v>184.91</v>
      </c>
    </row>
    <row r="789">
      <c r="A789" s="2" t="str">
        <f>IFERROR(__xludf.DUMMYFUNCTION("""COMPUTED_VALUE"""),"Valsequillo de Gran Canaria")</f>
        <v>Valsequillo de Gran Canaria</v>
      </c>
      <c r="B789" s="2"/>
      <c r="C789" s="2" t="str">
        <f>IFERROR(__xludf.DUMMYFUNCTION("""COMPUTED_VALUE"""),"Provincia de Las Palmas")</f>
        <v>Provincia de Las Palmas</v>
      </c>
      <c r="D789" s="2" t="str">
        <f>IFERROR(__xludf.DUMMYFUNCTION("""COMPUTED_VALUE"""),"Canarias")</f>
        <v>Canarias</v>
      </c>
      <c r="E789" s="2">
        <f>IFERROR(__xludf.DUMMYFUNCTION("""COMPUTED_VALUE"""),560.0)</f>
        <v>560</v>
      </c>
      <c r="F789" s="2">
        <f>IFERROR(__xludf.DUMMYFUNCTION("""COMPUTED_VALUE"""),38.8)</f>
        <v>38.8</v>
      </c>
      <c r="G789" s="4">
        <f>IFERROR(__xludf.DUMMYFUNCTION("""COMPUTED_VALUE"""),9340.0)</f>
        <v>9340</v>
      </c>
      <c r="H789" s="2">
        <f>IFERROR(__xludf.DUMMYFUNCTION("""COMPUTED_VALUE"""),240.72)</f>
        <v>240.72</v>
      </c>
    </row>
    <row r="790">
      <c r="A790" s="2" t="str">
        <f>IFERROR(__xludf.DUMMYFUNCTION("""COMPUTED_VALUE"""),"A Pobra do Caramiñal")</f>
        <v>A Pobra do Caramiñal</v>
      </c>
      <c r="B790" s="2" t="str">
        <f>IFERROR(__xludf.DUMMYFUNCTION("""COMPUTED_VALUE"""),"Comarca del Barbanza")</f>
        <v>Comarca del Barbanza</v>
      </c>
      <c r="C790" s="2" t="str">
        <f>IFERROR(__xludf.DUMMYFUNCTION("""COMPUTED_VALUE"""),"Provincia de A Coruña")</f>
        <v>Provincia de A Coruña</v>
      </c>
      <c r="D790" s="2" t="str">
        <f>IFERROR(__xludf.DUMMYFUNCTION("""COMPUTED_VALUE"""),"Galicia")</f>
        <v>Galicia</v>
      </c>
      <c r="E790" s="2">
        <f>IFERROR(__xludf.DUMMYFUNCTION("""COMPUTED_VALUE"""),0.0)</f>
        <v>0</v>
      </c>
      <c r="F790" s="2">
        <f>IFERROR(__xludf.DUMMYFUNCTION("""COMPUTED_VALUE"""),32.51)</f>
        <v>32.51</v>
      </c>
      <c r="G790" s="4">
        <f>IFERROR(__xludf.DUMMYFUNCTION("""COMPUTED_VALUE"""),9338.0)</f>
        <v>9338</v>
      </c>
      <c r="H790" s="2">
        <f>IFERROR(__xludf.DUMMYFUNCTION("""COMPUTED_VALUE"""),287.23)</f>
        <v>287.23</v>
      </c>
    </row>
    <row r="791">
      <c r="A791" s="2" t="str">
        <f>IFERROR(__xludf.DUMMYFUNCTION("""COMPUTED_VALUE"""),"Matadepera")</f>
        <v>Matadepera</v>
      </c>
      <c r="B791" s="2" t="str">
        <f>IFERROR(__xludf.DUMMYFUNCTION("""COMPUTED_VALUE"""),"Vallès Occidental")</f>
        <v>Vallès Occidental</v>
      </c>
      <c r="C791" s="2" t="str">
        <f>IFERROR(__xludf.DUMMYFUNCTION("""COMPUTED_VALUE"""),"Provincia de Barcelona")</f>
        <v>Provincia de Barcelona</v>
      </c>
      <c r="D791" s="2" t="str">
        <f>IFERROR(__xludf.DUMMYFUNCTION("""COMPUTED_VALUE"""),"Cataluña")</f>
        <v>Cataluña</v>
      </c>
      <c r="E791" s="2">
        <f>IFERROR(__xludf.DUMMYFUNCTION("""COMPUTED_VALUE"""),423.0)</f>
        <v>423</v>
      </c>
      <c r="F791" s="2">
        <f>IFERROR(__xludf.DUMMYFUNCTION("""COMPUTED_VALUE"""),25.29)</f>
        <v>25.29</v>
      </c>
      <c r="G791" s="4">
        <f>IFERROR(__xludf.DUMMYFUNCTION("""COMPUTED_VALUE"""),9326.0)</f>
        <v>9326</v>
      </c>
      <c r="H791" s="2">
        <f>IFERROR(__xludf.DUMMYFUNCTION("""COMPUTED_VALUE"""),368.76)</f>
        <v>368.76</v>
      </c>
    </row>
    <row r="792">
      <c r="A792" s="2" t="str">
        <f>IFERROR(__xludf.DUMMYFUNCTION("""COMPUTED_VALUE"""),"Muro de Alcoy")</f>
        <v>Muro de Alcoy</v>
      </c>
      <c r="B792" s="2" t="str">
        <f>IFERROR(__xludf.DUMMYFUNCTION("""COMPUTED_VALUE"""),"Condado de Cocentaina")</f>
        <v>Condado de Cocentaina</v>
      </c>
      <c r="C792" s="2" t="str">
        <f>IFERROR(__xludf.DUMMYFUNCTION("""COMPUTED_VALUE"""),"Provincia de Alicante")</f>
        <v>Provincia de Alicante</v>
      </c>
      <c r="D792" s="2" t="str">
        <f>IFERROR(__xludf.DUMMYFUNCTION("""COMPUTED_VALUE"""),"Comunidad Valenciana")</f>
        <v>Comunidad Valenciana</v>
      </c>
      <c r="E792" s="2">
        <f>IFERROR(__xludf.DUMMYFUNCTION("""COMPUTED_VALUE"""),410.0)</f>
        <v>410</v>
      </c>
      <c r="F792" s="2">
        <f>IFERROR(__xludf.DUMMYFUNCTION("""COMPUTED_VALUE"""),30.24)</f>
        <v>30.24</v>
      </c>
      <c r="G792" s="4">
        <f>IFERROR(__xludf.DUMMYFUNCTION("""COMPUTED_VALUE"""),9324.0)</f>
        <v>9324</v>
      </c>
      <c r="H792" s="2">
        <f>IFERROR(__xludf.DUMMYFUNCTION("""COMPUTED_VALUE"""),308.33)</f>
        <v>308.33</v>
      </c>
    </row>
    <row r="793">
      <c r="A793" s="2" t="str">
        <f>IFERROR(__xludf.DUMMYFUNCTION("""COMPUTED_VALUE"""),"Sevilla La Nueva")</f>
        <v>Sevilla La Nueva</v>
      </c>
      <c r="B793" s="2" t="str">
        <f>IFERROR(__xludf.DUMMYFUNCTION("""COMPUTED_VALUE"""),"Comarca Sur")</f>
        <v>Comarca Sur</v>
      </c>
      <c r="C793" s="2" t="str">
        <f>IFERROR(__xludf.DUMMYFUNCTION("""COMPUTED_VALUE"""),"Provincia de Madrid")</f>
        <v>Provincia de Madrid</v>
      </c>
      <c r="D793" s="2" t="str">
        <f>IFERROR(__xludf.DUMMYFUNCTION("""COMPUTED_VALUE"""),"Comunidad de Madrid")</f>
        <v>Comunidad de Madrid</v>
      </c>
      <c r="E793" s="2">
        <f>IFERROR(__xludf.DUMMYFUNCTION("""COMPUTED_VALUE"""),675.0)</f>
        <v>675</v>
      </c>
      <c r="F793" s="2">
        <f>IFERROR(__xludf.DUMMYFUNCTION("""COMPUTED_VALUE"""),25.13)</f>
        <v>25.13</v>
      </c>
      <c r="G793" s="4">
        <f>IFERROR(__xludf.DUMMYFUNCTION("""COMPUTED_VALUE"""),9318.0)</f>
        <v>9318</v>
      </c>
      <c r="H793" s="2">
        <f>IFERROR(__xludf.DUMMYFUNCTION("""COMPUTED_VALUE"""),370.79)</f>
        <v>370.79</v>
      </c>
    </row>
    <row r="794">
      <c r="A794" s="2" t="str">
        <f>IFERROR(__xludf.DUMMYFUNCTION("""COMPUTED_VALUE"""),"Jerez de los Caballeros")</f>
        <v>Jerez de los Caballeros</v>
      </c>
      <c r="B794" s="2" t="str">
        <f>IFERROR(__xludf.DUMMYFUNCTION("""COMPUTED_VALUE"""),"Sierra Suroeste")</f>
        <v>Sierra Suroeste</v>
      </c>
      <c r="C794" s="2" t="str">
        <f>IFERROR(__xludf.DUMMYFUNCTION("""COMPUTED_VALUE"""),"Provincia de Badajoz")</f>
        <v>Provincia de Badajoz</v>
      </c>
      <c r="D794" s="2" t="str">
        <f>IFERROR(__xludf.DUMMYFUNCTION("""COMPUTED_VALUE"""),"Extremadura")</f>
        <v>Extremadura</v>
      </c>
      <c r="E794" s="2">
        <f>IFERROR(__xludf.DUMMYFUNCTION("""COMPUTED_VALUE"""),506.0)</f>
        <v>506</v>
      </c>
      <c r="F794" s="2">
        <f>IFERROR(__xludf.DUMMYFUNCTION("""COMPUTED_VALUE"""),739.93)</f>
        <v>739.93</v>
      </c>
      <c r="G794" s="4">
        <f>IFERROR(__xludf.DUMMYFUNCTION("""COMPUTED_VALUE"""),9303.0)</f>
        <v>9303</v>
      </c>
      <c r="H794" s="2">
        <f>IFERROR(__xludf.DUMMYFUNCTION("""COMPUTED_VALUE"""),12.57)</f>
        <v>12.57</v>
      </c>
    </row>
    <row r="795">
      <c r="A795" s="2" t="str">
        <f>IFERROR(__xludf.DUMMYFUNCTION("""COMPUTED_VALUE"""),"San Juan del Puerto")</f>
        <v>San Juan del Puerto</v>
      </c>
      <c r="B795" s="2" t="str">
        <f>IFERROR(__xludf.DUMMYFUNCTION("""COMPUTED_VALUE"""),"Comarca metropolitana de Huelva")</f>
        <v>Comarca metropolitana de Huelva</v>
      </c>
      <c r="C795" s="2" t="str">
        <f>IFERROR(__xludf.DUMMYFUNCTION("""COMPUTED_VALUE"""),"Provincia de Huelva")</f>
        <v>Provincia de Huelva</v>
      </c>
      <c r="D795" s="2" t="str">
        <f>IFERROR(__xludf.DUMMYFUNCTION("""COMPUTED_VALUE"""),"Andalucía")</f>
        <v>Andalucía</v>
      </c>
      <c r="E795" s="2">
        <f>IFERROR(__xludf.DUMMYFUNCTION("""COMPUTED_VALUE"""),12.0)</f>
        <v>12</v>
      </c>
      <c r="F795" s="2">
        <f>IFERROR(__xludf.DUMMYFUNCTION("""COMPUTED_VALUE"""),45.28)</f>
        <v>45.28</v>
      </c>
      <c r="G795" s="4">
        <f>IFERROR(__xludf.DUMMYFUNCTION("""COMPUTED_VALUE"""),9300.0)</f>
        <v>9300</v>
      </c>
      <c r="H795" s="2">
        <f>IFERROR(__xludf.DUMMYFUNCTION("""COMPUTED_VALUE"""),205.39)</f>
        <v>205.39</v>
      </c>
    </row>
    <row r="796">
      <c r="A796" s="2" t="str">
        <f>IFERROR(__xludf.DUMMYFUNCTION("""COMPUTED_VALUE"""),"Puigcerdà")</f>
        <v>Puigcerdà</v>
      </c>
      <c r="B796" s="2" t="str">
        <f>IFERROR(__xludf.DUMMYFUNCTION("""COMPUTED_VALUE"""),"Baja Cerdaña")</f>
        <v>Baja Cerdaña</v>
      </c>
      <c r="C796" s="2" t="str">
        <f>IFERROR(__xludf.DUMMYFUNCTION("""COMPUTED_VALUE"""),"Provincia de Girona")</f>
        <v>Provincia de Girona</v>
      </c>
      <c r="D796" s="2" t="str">
        <f>IFERROR(__xludf.DUMMYFUNCTION("""COMPUTED_VALUE"""),"Cataluña")</f>
        <v>Cataluña</v>
      </c>
      <c r="E796" s="4">
        <f>IFERROR(__xludf.DUMMYFUNCTION("""COMPUTED_VALUE"""),1202.0)</f>
        <v>1202</v>
      </c>
      <c r="F796" s="2">
        <f>IFERROR(__xludf.DUMMYFUNCTION("""COMPUTED_VALUE"""),18.62)</f>
        <v>18.62</v>
      </c>
      <c r="G796" s="4">
        <f>IFERROR(__xludf.DUMMYFUNCTION("""COMPUTED_VALUE"""),9258.0)</f>
        <v>9258</v>
      </c>
      <c r="H796" s="2">
        <f>IFERROR(__xludf.DUMMYFUNCTION("""COMPUTED_VALUE"""),497.21)</f>
        <v>497.21</v>
      </c>
    </row>
    <row r="797">
      <c r="A797" s="2" t="str">
        <f>IFERROR(__xludf.DUMMYFUNCTION("""COMPUTED_VALUE"""),"Samianigo")</f>
        <v>Samianigo</v>
      </c>
      <c r="B797" s="2" t="str">
        <f>IFERROR(__xludf.DUMMYFUNCTION("""COMPUTED_VALUE"""),"Alto Galligo")</f>
        <v>Alto Galligo</v>
      </c>
      <c r="C797" s="2" t="str">
        <f>IFERROR(__xludf.DUMMYFUNCTION("""COMPUTED_VALUE"""),"Provincia de Huesca")</f>
        <v>Provincia de Huesca</v>
      </c>
      <c r="D797" s="2" t="str">
        <f>IFERROR(__xludf.DUMMYFUNCTION("""COMPUTED_VALUE"""),"Aragón")</f>
        <v>Aragón</v>
      </c>
      <c r="E797" s="2">
        <f>IFERROR(__xludf.DUMMYFUNCTION("""COMPUTED_VALUE"""),780.0)</f>
        <v>780</v>
      </c>
      <c r="F797" s="2">
        <f>IFERROR(__xludf.DUMMYFUNCTION("""COMPUTED_VALUE"""),586.82)</f>
        <v>586.82</v>
      </c>
      <c r="G797" s="4">
        <f>IFERROR(__xludf.DUMMYFUNCTION("""COMPUTED_VALUE"""),9238.0)</f>
        <v>9238</v>
      </c>
      <c r="H797" s="2">
        <f>IFERROR(__xludf.DUMMYFUNCTION("""COMPUTED_VALUE"""),15.74)</f>
        <v>15.74</v>
      </c>
    </row>
    <row r="798">
      <c r="A798" s="2" t="str">
        <f>IFERROR(__xludf.DUMMYFUNCTION("""COMPUTED_VALUE"""),"Pizarra")</f>
        <v>Pizarra</v>
      </c>
      <c r="B798" s="2" t="str">
        <f>IFERROR(__xludf.DUMMYFUNCTION("""COMPUTED_VALUE"""),"Valle del Guadalhorce")</f>
        <v>Valle del Guadalhorce</v>
      </c>
      <c r="C798" s="2" t="str">
        <f>IFERROR(__xludf.DUMMYFUNCTION("""COMPUTED_VALUE"""),"Provincia de Málaga")</f>
        <v>Provincia de Málaga</v>
      </c>
      <c r="D798" s="2" t="str">
        <f>IFERROR(__xludf.DUMMYFUNCTION("""COMPUTED_VALUE"""),"Andalucía")</f>
        <v>Andalucía</v>
      </c>
      <c r="E798" s="2">
        <f>IFERROR(__xludf.DUMMYFUNCTION("""COMPUTED_VALUE"""),80.0)</f>
        <v>80</v>
      </c>
      <c r="F798" s="2">
        <f>IFERROR(__xludf.DUMMYFUNCTION("""COMPUTED_VALUE"""),63.61)</f>
        <v>63.61</v>
      </c>
      <c r="G798" s="4">
        <f>IFERROR(__xludf.DUMMYFUNCTION("""COMPUTED_VALUE"""),9226.0)</f>
        <v>9226</v>
      </c>
      <c r="H798" s="2">
        <f>IFERROR(__xludf.DUMMYFUNCTION("""COMPUTED_VALUE"""),145.04)</f>
        <v>145.04</v>
      </c>
    </row>
    <row r="799">
      <c r="A799" s="2" t="str">
        <f>IFERROR(__xludf.DUMMYFUNCTION("""COMPUTED_VALUE"""),"Garrucha")</f>
        <v>Garrucha</v>
      </c>
      <c r="B799" s="2" t="str">
        <f>IFERROR(__xludf.DUMMYFUNCTION("""COMPUTED_VALUE"""),"Levante Almeriense")</f>
        <v>Levante Almeriense</v>
      </c>
      <c r="C799" s="2" t="str">
        <f>IFERROR(__xludf.DUMMYFUNCTION("""COMPUTED_VALUE"""),"Provincia de Almería")</f>
        <v>Provincia de Almería</v>
      </c>
      <c r="D799" s="2" t="str">
        <f>IFERROR(__xludf.DUMMYFUNCTION("""COMPUTED_VALUE"""),"Andalucía")</f>
        <v>Andalucía</v>
      </c>
      <c r="E799" s="2">
        <f>IFERROR(__xludf.DUMMYFUNCTION("""COMPUTED_VALUE"""),24.0)</f>
        <v>24</v>
      </c>
      <c r="F799" s="2">
        <f>IFERROR(__xludf.DUMMYFUNCTION("""COMPUTED_VALUE"""),7.77)</f>
        <v>7.77</v>
      </c>
      <c r="G799" s="4">
        <f>IFERROR(__xludf.DUMMYFUNCTION("""COMPUTED_VALUE"""),9212.0)</f>
        <v>9212</v>
      </c>
      <c r="H799" s="5">
        <f>IFERROR(__xludf.DUMMYFUNCTION("""COMPUTED_VALUE"""),1185.59)</f>
        <v>1185.59</v>
      </c>
    </row>
    <row r="800">
      <c r="A800" s="2" t="str">
        <f>IFERROR(__xludf.DUMMYFUNCTION("""COMPUTED_VALUE"""),"Masquefa")</f>
        <v>Masquefa</v>
      </c>
      <c r="B800" s="2" t="str">
        <f>IFERROR(__xludf.DUMMYFUNCTION("""COMPUTED_VALUE"""),"Anoia")</f>
        <v>Anoia</v>
      </c>
      <c r="C800" s="2" t="str">
        <f>IFERROR(__xludf.DUMMYFUNCTION("""COMPUTED_VALUE"""),"Provincia de Barcelona")</f>
        <v>Provincia de Barcelona</v>
      </c>
      <c r="D800" s="2" t="str">
        <f>IFERROR(__xludf.DUMMYFUNCTION("""COMPUTED_VALUE"""),"Cataluña")</f>
        <v>Cataluña</v>
      </c>
      <c r="E800" s="2">
        <f>IFERROR(__xludf.DUMMYFUNCTION("""COMPUTED_VALUE"""),257.0)</f>
        <v>257</v>
      </c>
      <c r="F800" s="2">
        <f>IFERROR(__xludf.DUMMYFUNCTION("""COMPUTED_VALUE"""),17.15)</f>
        <v>17.15</v>
      </c>
      <c r="G800" s="4">
        <f>IFERROR(__xludf.DUMMYFUNCTION("""COMPUTED_VALUE"""),9211.0)</f>
        <v>9211</v>
      </c>
      <c r="H800" s="2">
        <f>IFERROR(__xludf.DUMMYFUNCTION("""COMPUTED_VALUE"""),537.08)</f>
        <v>537.08</v>
      </c>
    </row>
    <row r="801">
      <c r="A801" s="2" t="str">
        <f>IFERROR(__xludf.DUMMYFUNCTION("""COMPUTED_VALUE"""),"La Victoria de Acentejo")</f>
        <v>La Victoria de Acentejo</v>
      </c>
      <c r="B801" s="2" t="str">
        <f>IFERROR(__xludf.DUMMYFUNCTION("""COMPUTED_VALUE"""),"Comarca de Acentejo")</f>
        <v>Comarca de Acentejo</v>
      </c>
      <c r="C801" s="2" t="str">
        <f>IFERROR(__xludf.DUMMYFUNCTION("""COMPUTED_VALUE"""),"Provincia de Santa Cruz de Tenerife")</f>
        <v>Provincia de Santa Cruz de Tenerife</v>
      </c>
      <c r="D801" s="2" t="str">
        <f>IFERROR(__xludf.DUMMYFUNCTION("""COMPUTED_VALUE"""),"Canarias")</f>
        <v>Canarias</v>
      </c>
      <c r="E801" s="2">
        <f>IFERROR(__xludf.DUMMYFUNCTION("""COMPUTED_VALUE"""),360.0)</f>
        <v>360</v>
      </c>
      <c r="F801" s="2">
        <f>IFERROR(__xludf.DUMMYFUNCTION("""COMPUTED_VALUE"""),18.09)</f>
        <v>18.09</v>
      </c>
      <c r="G801" s="4">
        <f>IFERROR(__xludf.DUMMYFUNCTION("""COMPUTED_VALUE"""),9185.0)</f>
        <v>9185</v>
      </c>
      <c r="H801" s="2">
        <f>IFERROR(__xludf.DUMMYFUNCTION("""COMPUTED_VALUE"""),507.74)</f>
        <v>507.74</v>
      </c>
    </row>
    <row r="802">
      <c r="A802" s="2" t="str">
        <f>IFERROR(__xludf.DUMMYFUNCTION("""COMPUTED_VALUE"""),"Cervera")</f>
        <v>Cervera</v>
      </c>
      <c r="B802" s="2" t="str">
        <f>IFERROR(__xludf.DUMMYFUNCTION("""COMPUTED_VALUE"""),"Segarra")</f>
        <v>Segarra</v>
      </c>
      <c r="C802" s="2" t="str">
        <f>IFERROR(__xludf.DUMMYFUNCTION("""COMPUTED_VALUE"""),"Provincia de Lleida")</f>
        <v>Provincia de Lleida</v>
      </c>
      <c r="D802" s="2" t="str">
        <f>IFERROR(__xludf.DUMMYFUNCTION("""COMPUTED_VALUE"""),"Cataluña")</f>
        <v>Cataluña</v>
      </c>
      <c r="E802" s="2">
        <f>IFERROR(__xludf.DUMMYFUNCTION("""COMPUTED_VALUE"""),548.0)</f>
        <v>548</v>
      </c>
      <c r="F802" s="2">
        <f>IFERROR(__xludf.DUMMYFUNCTION("""COMPUTED_VALUE"""),55.21)</f>
        <v>55.21</v>
      </c>
      <c r="G802" s="4">
        <f>IFERROR(__xludf.DUMMYFUNCTION("""COMPUTED_VALUE"""),9180.0)</f>
        <v>9180</v>
      </c>
      <c r="H802" s="2">
        <f>IFERROR(__xludf.DUMMYFUNCTION("""COMPUTED_VALUE"""),166.27)</f>
        <v>166.27</v>
      </c>
    </row>
    <row r="803">
      <c r="A803" s="2" t="str">
        <f>IFERROR(__xludf.DUMMYFUNCTION("""COMPUTED_VALUE"""),"Porto do Son")</f>
        <v>Porto do Son</v>
      </c>
      <c r="B803" s="2" t="str">
        <f>IFERROR(__xludf.DUMMYFUNCTION("""COMPUTED_VALUE"""),"Comarca de Noya")</f>
        <v>Comarca de Noya</v>
      </c>
      <c r="C803" s="2" t="str">
        <f>IFERROR(__xludf.DUMMYFUNCTION("""COMPUTED_VALUE"""),"Provincia de A Coruña")</f>
        <v>Provincia de A Coruña</v>
      </c>
      <c r="D803" s="2" t="str">
        <f>IFERROR(__xludf.DUMMYFUNCTION("""COMPUTED_VALUE"""),"Galicia")</f>
        <v>Galicia</v>
      </c>
      <c r="E803" s="2"/>
      <c r="F803" s="2">
        <f>IFERROR(__xludf.DUMMYFUNCTION("""COMPUTED_VALUE"""),94.58)</f>
        <v>94.58</v>
      </c>
      <c r="G803" s="4">
        <f>IFERROR(__xludf.DUMMYFUNCTION("""COMPUTED_VALUE"""),9171.0)</f>
        <v>9171</v>
      </c>
      <c r="H803" s="2">
        <f>IFERROR(__xludf.DUMMYFUNCTION("""COMPUTED_VALUE"""),96.97)</f>
        <v>96.97</v>
      </c>
    </row>
    <row r="804">
      <c r="A804" s="2" t="str">
        <f>IFERROR(__xludf.DUMMYFUNCTION("""COMPUTED_VALUE"""),"Salceda de Caselas")</f>
        <v>Salceda de Caselas</v>
      </c>
      <c r="B804" s="2" t="str">
        <f>IFERROR(__xludf.DUMMYFUNCTION("""COMPUTED_VALUE"""),"Baixo Miño")</f>
        <v>Baixo Miño</v>
      </c>
      <c r="C804" s="2" t="str">
        <f>IFERROR(__xludf.DUMMYFUNCTION("""COMPUTED_VALUE"""),"Provincia de Pontevedra")</f>
        <v>Provincia de Pontevedra</v>
      </c>
      <c r="D804" s="2" t="str">
        <f>IFERROR(__xludf.DUMMYFUNCTION("""COMPUTED_VALUE"""),"Galicia")</f>
        <v>Galicia</v>
      </c>
      <c r="E804" s="2">
        <f>IFERROR(__xludf.DUMMYFUNCTION("""COMPUTED_VALUE"""),55.0)</f>
        <v>55</v>
      </c>
      <c r="F804" s="2">
        <f>IFERROR(__xludf.DUMMYFUNCTION("""COMPUTED_VALUE"""),35.92)</f>
        <v>35.92</v>
      </c>
      <c r="G804" s="4">
        <f>IFERROR(__xludf.DUMMYFUNCTION("""COMPUTED_VALUE"""),9164.0)</f>
        <v>9164</v>
      </c>
      <c r="H804" s="2">
        <f>IFERROR(__xludf.DUMMYFUNCTION("""COMPUTED_VALUE"""),255.12)</f>
        <v>255.12</v>
      </c>
    </row>
    <row r="805">
      <c r="A805" s="2" t="str">
        <f>IFERROR(__xludf.DUMMYFUNCTION("""COMPUTED_VALUE"""),"Santa María de Cayón")</f>
        <v>Santa María de Cayón</v>
      </c>
      <c r="B805" s="2" t="str">
        <f>IFERROR(__xludf.DUMMYFUNCTION("""COMPUTED_VALUE"""),"Comarca de los Valles Pasiegos")</f>
        <v>Comarca de los Valles Pasiegos</v>
      </c>
      <c r="C805" s="2" t="str">
        <f>IFERROR(__xludf.DUMMYFUNCTION("""COMPUTED_VALUE"""),"Provincia de Cantabria")</f>
        <v>Provincia de Cantabria</v>
      </c>
      <c r="D805" s="2" t="str">
        <f>IFERROR(__xludf.DUMMYFUNCTION("""COMPUTED_VALUE"""),"Cantabria")</f>
        <v>Cantabria</v>
      </c>
      <c r="E805" s="2">
        <f>IFERROR(__xludf.DUMMYFUNCTION("""COMPUTED_VALUE"""),96.0)</f>
        <v>96</v>
      </c>
      <c r="F805" s="2">
        <f>IFERROR(__xludf.DUMMYFUNCTION("""COMPUTED_VALUE"""),47.64)</f>
        <v>47.64</v>
      </c>
      <c r="G805" s="4">
        <f>IFERROR(__xludf.DUMMYFUNCTION("""COMPUTED_VALUE"""),9159.0)</f>
        <v>9159</v>
      </c>
      <c r="H805" s="2">
        <f>IFERROR(__xludf.DUMMYFUNCTION("""COMPUTED_VALUE"""),192.25)</f>
        <v>192.25</v>
      </c>
    </row>
    <row r="806">
      <c r="A806" s="2" t="str">
        <f>IFERROR(__xludf.DUMMYFUNCTION("""COMPUTED_VALUE"""),"Colmenarejo")</f>
        <v>Colmenarejo</v>
      </c>
      <c r="B806" s="2"/>
      <c r="C806" s="2" t="str">
        <f>IFERROR(__xludf.DUMMYFUNCTION("""COMPUTED_VALUE"""),"Provincia de Madrid")</f>
        <v>Provincia de Madrid</v>
      </c>
      <c r="D806" s="2" t="str">
        <f>IFERROR(__xludf.DUMMYFUNCTION("""COMPUTED_VALUE"""),"Comunidad de Madrid")</f>
        <v>Comunidad de Madrid</v>
      </c>
      <c r="E806" s="2">
        <f>IFERROR(__xludf.DUMMYFUNCTION("""COMPUTED_VALUE"""),899.0)</f>
        <v>899</v>
      </c>
      <c r="F806" s="2">
        <f>IFERROR(__xludf.DUMMYFUNCTION("""COMPUTED_VALUE"""),31.7)</f>
        <v>31.7</v>
      </c>
      <c r="G806" s="4">
        <f>IFERROR(__xludf.DUMMYFUNCTION("""COMPUTED_VALUE"""),9130.0)</f>
        <v>9130</v>
      </c>
      <c r="H806" s="2">
        <f>IFERROR(__xludf.DUMMYFUNCTION("""COMPUTED_VALUE"""),288.01)</f>
        <v>288.01</v>
      </c>
    </row>
    <row r="807">
      <c r="A807" s="2" t="str">
        <f>IFERROR(__xludf.DUMMYFUNCTION("""COMPUTED_VALUE"""),"Tavernes Blanques")</f>
        <v>Tavernes Blanques</v>
      </c>
      <c r="B807" s="2" t="str">
        <f>IFERROR(__xludf.DUMMYFUNCTION("""COMPUTED_VALUE"""),"Huerta Norte")</f>
        <v>Huerta Norte</v>
      </c>
      <c r="C807" s="2" t="str">
        <f>IFERROR(__xludf.DUMMYFUNCTION("""COMPUTED_VALUE"""),"Provincia de València")</f>
        <v>Provincia de València</v>
      </c>
      <c r="D807" s="2" t="str">
        <f>IFERROR(__xludf.DUMMYFUNCTION("""COMPUTED_VALUE"""),"Comunidad Valenciana")</f>
        <v>Comunidad Valenciana</v>
      </c>
      <c r="E807" s="2">
        <f>IFERROR(__xludf.DUMMYFUNCTION("""COMPUTED_VALUE"""),12.0)</f>
        <v>12</v>
      </c>
      <c r="F807" s="2">
        <f>IFERROR(__xludf.DUMMYFUNCTION("""COMPUTED_VALUE"""),0.74)</f>
        <v>0.74</v>
      </c>
      <c r="G807" s="4">
        <f>IFERROR(__xludf.DUMMYFUNCTION("""COMPUTED_VALUE"""),9120.0)</f>
        <v>9120</v>
      </c>
      <c r="H807" s="5">
        <f>IFERROR(__xludf.DUMMYFUNCTION("""COMPUTED_VALUE"""),12324.32)</f>
        <v>12324.32</v>
      </c>
    </row>
    <row r="808">
      <c r="A808" s="2" t="str">
        <f>IFERROR(__xludf.DUMMYFUNCTION("""COMPUTED_VALUE"""),"Solsona")</f>
        <v>Solsona</v>
      </c>
      <c r="B808" s="2" t="str">
        <f>IFERROR(__xludf.DUMMYFUNCTION("""COMPUTED_VALUE"""),"Solsonés")</f>
        <v>Solsonés</v>
      </c>
      <c r="C808" s="2" t="str">
        <f>IFERROR(__xludf.DUMMYFUNCTION("""COMPUTED_VALUE"""),"Provincia de Lleida")</f>
        <v>Provincia de Lleida</v>
      </c>
      <c r="D808" s="2" t="str">
        <f>IFERROR(__xludf.DUMMYFUNCTION("""COMPUTED_VALUE"""),"Cataluña")</f>
        <v>Cataluña</v>
      </c>
      <c r="E808" s="2">
        <f>IFERROR(__xludf.DUMMYFUNCTION("""COMPUTED_VALUE"""),664.0)</f>
        <v>664</v>
      </c>
      <c r="F808" s="2">
        <f>IFERROR(__xludf.DUMMYFUNCTION("""COMPUTED_VALUE"""),17.71)</f>
        <v>17.71</v>
      </c>
      <c r="G808" s="4">
        <f>IFERROR(__xludf.DUMMYFUNCTION("""COMPUTED_VALUE"""),9094.0)</f>
        <v>9094</v>
      </c>
      <c r="H808" s="2">
        <f>IFERROR(__xludf.DUMMYFUNCTION("""COMPUTED_VALUE"""),513.5)</f>
        <v>513.5</v>
      </c>
    </row>
    <row r="809">
      <c r="A809" s="2" t="str">
        <f>IFERROR(__xludf.DUMMYFUNCTION("""COMPUTED_VALUE"""),"San Sebastián de La Gomera")</f>
        <v>San Sebastián de La Gomera</v>
      </c>
      <c r="B809" s="2"/>
      <c r="C809" s="2" t="str">
        <f>IFERROR(__xludf.DUMMYFUNCTION("""COMPUTED_VALUE"""),"Provincia de Santa Cruz de Tenerife")</f>
        <v>Provincia de Santa Cruz de Tenerife</v>
      </c>
      <c r="D809" s="2" t="str">
        <f>IFERROR(__xludf.DUMMYFUNCTION("""COMPUTED_VALUE"""),"Canarias")</f>
        <v>Canarias</v>
      </c>
      <c r="E809" s="2">
        <f>IFERROR(__xludf.DUMMYFUNCTION("""COMPUTED_VALUE"""),128.0)</f>
        <v>128</v>
      </c>
      <c r="F809" s="2">
        <f>IFERROR(__xludf.DUMMYFUNCTION("""COMPUTED_VALUE"""),113.13)</f>
        <v>113.13</v>
      </c>
      <c r="G809" s="4">
        <f>IFERROR(__xludf.DUMMYFUNCTION("""COMPUTED_VALUE"""),9093.0)</f>
        <v>9093</v>
      </c>
      <c r="H809" s="2">
        <f>IFERROR(__xludf.DUMMYFUNCTION("""COMPUTED_VALUE"""),80.38)</f>
        <v>80.38</v>
      </c>
    </row>
    <row r="810">
      <c r="A810" s="2" t="str">
        <f>IFERROR(__xludf.DUMMYFUNCTION("""COMPUTED_VALUE"""),"Bigues i Riells")</f>
        <v>Bigues i Riells</v>
      </c>
      <c r="B810" s="2" t="str">
        <f>IFERROR(__xludf.DUMMYFUNCTION("""COMPUTED_VALUE"""),"Vallès Oriental")</f>
        <v>Vallès Oriental</v>
      </c>
      <c r="C810" s="2" t="str">
        <f>IFERROR(__xludf.DUMMYFUNCTION("""COMPUTED_VALUE"""),"Provincia de Barcelona")</f>
        <v>Provincia de Barcelona</v>
      </c>
      <c r="D810" s="2" t="str">
        <f>IFERROR(__xludf.DUMMYFUNCTION("""COMPUTED_VALUE"""),"Cataluña")</f>
        <v>Cataluña</v>
      </c>
      <c r="E810" s="2">
        <f>IFERROR(__xludf.DUMMYFUNCTION("""COMPUTED_VALUE"""),307.0)</f>
        <v>307</v>
      </c>
      <c r="F810" s="2">
        <f>IFERROR(__xludf.DUMMYFUNCTION("""COMPUTED_VALUE"""),29.15)</f>
        <v>29.15</v>
      </c>
      <c r="G810" s="4">
        <f>IFERROR(__xludf.DUMMYFUNCTION("""COMPUTED_VALUE"""),9092.0)</f>
        <v>9092</v>
      </c>
      <c r="H810" s="2">
        <f>IFERROR(__xludf.DUMMYFUNCTION("""COMPUTED_VALUE"""),311.9)</f>
        <v>311.9</v>
      </c>
    </row>
    <row r="811">
      <c r="A811" s="2" t="str">
        <f>IFERROR(__xludf.DUMMYFUNCTION("""COMPUTED_VALUE"""),"San Antonio de Benagéber")</f>
        <v>San Antonio de Benagéber</v>
      </c>
      <c r="B811" s="2" t="str">
        <f>IFERROR(__xludf.DUMMYFUNCTION("""COMPUTED_VALUE"""),"Campo de Turia")</f>
        <v>Campo de Turia</v>
      </c>
      <c r="C811" s="2" t="str">
        <f>IFERROR(__xludf.DUMMYFUNCTION("""COMPUTED_VALUE"""),"Provincia de València")</f>
        <v>Provincia de València</v>
      </c>
      <c r="D811" s="2" t="str">
        <f>IFERROR(__xludf.DUMMYFUNCTION("""COMPUTED_VALUE"""),"Comunidad Valenciana")</f>
        <v>Comunidad Valenciana</v>
      </c>
      <c r="E811" s="2">
        <f>IFERROR(__xludf.DUMMYFUNCTION("""COMPUTED_VALUE"""),15.0)</f>
        <v>15</v>
      </c>
      <c r="F811" s="2">
        <f>IFERROR(__xludf.DUMMYFUNCTION("""COMPUTED_VALUE"""),8.74)</f>
        <v>8.74</v>
      </c>
      <c r="G811" s="4">
        <f>IFERROR(__xludf.DUMMYFUNCTION("""COMPUTED_VALUE"""),9089.0)</f>
        <v>9089</v>
      </c>
      <c r="H811" s="5">
        <f>IFERROR(__xludf.DUMMYFUNCTION("""COMPUTED_VALUE"""),1039.93)</f>
        <v>1039.93</v>
      </c>
    </row>
    <row r="812">
      <c r="A812" s="2" t="str">
        <f>IFERROR(__xludf.DUMMYFUNCTION("""COMPUTED_VALUE"""),"Sentmenat")</f>
        <v>Sentmenat</v>
      </c>
      <c r="B812" s="2" t="str">
        <f>IFERROR(__xludf.DUMMYFUNCTION("""COMPUTED_VALUE"""),"Vallès Occidental")</f>
        <v>Vallès Occidental</v>
      </c>
      <c r="C812" s="2" t="str">
        <f>IFERROR(__xludf.DUMMYFUNCTION("""COMPUTED_VALUE"""),"Provincia de Barcelona")</f>
        <v>Provincia de Barcelona</v>
      </c>
      <c r="D812" s="2" t="str">
        <f>IFERROR(__xludf.DUMMYFUNCTION("""COMPUTED_VALUE"""),"Cataluña")</f>
        <v>Cataluña</v>
      </c>
      <c r="E812" s="2">
        <f>IFERROR(__xludf.DUMMYFUNCTION("""COMPUTED_VALUE"""),207.0)</f>
        <v>207</v>
      </c>
      <c r="F812" s="2">
        <f>IFERROR(__xludf.DUMMYFUNCTION("""COMPUTED_VALUE"""),28.31)</f>
        <v>28.31</v>
      </c>
      <c r="G812" s="4">
        <f>IFERROR(__xludf.DUMMYFUNCTION("""COMPUTED_VALUE"""),9078.0)</f>
        <v>9078</v>
      </c>
      <c r="H812" s="2">
        <f>IFERROR(__xludf.DUMMYFUNCTION("""COMPUTED_VALUE"""),320.66)</f>
        <v>320.66</v>
      </c>
    </row>
    <row r="813">
      <c r="A813" s="2" t="str">
        <f>IFERROR(__xludf.DUMMYFUNCTION("""COMPUTED_VALUE"""),"Oropesa del Mar")</f>
        <v>Oropesa del Mar</v>
      </c>
      <c r="B813" s="2" t="str">
        <f>IFERROR(__xludf.DUMMYFUNCTION("""COMPUTED_VALUE"""),"Plana Alta")</f>
        <v>Plana Alta</v>
      </c>
      <c r="C813" s="2" t="str">
        <f>IFERROR(__xludf.DUMMYFUNCTION("""COMPUTED_VALUE"""),"Provincia de Castellón")</f>
        <v>Provincia de Castellón</v>
      </c>
      <c r="D813" s="2" t="str">
        <f>IFERROR(__xludf.DUMMYFUNCTION("""COMPUTED_VALUE"""),"Comunidad Valenciana")</f>
        <v>Comunidad Valenciana</v>
      </c>
      <c r="E813" s="2">
        <f>IFERROR(__xludf.DUMMYFUNCTION("""COMPUTED_VALUE"""),33.0)</f>
        <v>33</v>
      </c>
      <c r="F813" s="2">
        <f>IFERROR(__xludf.DUMMYFUNCTION("""COMPUTED_VALUE"""),26.55)</f>
        <v>26.55</v>
      </c>
      <c r="G813" s="4">
        <f>IFERROR(__xludf.DUMMYFUNCTION("""COMPUTED_VALUE"""),9076.0)</f>
        <v>9076</v>
      </c>
      <c r="H813" s="2">
        <f>IFERROR(__xludf.DUMMYFUNCTION("""COMPUTED_VALUE"""),341.85)</f>
        <v>341.85</v>
      </c>
    </row>
    <row r="814">
      <c r="A814" s="2" t="str">
        <f>IFERROR(__xludf.DUMMYFUNCTION("""COMPUTED_VALUE"""),"Alaior")</f>
        <v>Alaior</v>
      </c>
      <c r="B814" s="2"/>
      <c r="C814" s="2" t="str">
        <f>IFERROR(__xludf.DUMMYFUNCTION("""COMPUTED_VALUE"""),"Provincia de Baleares")</f>
        <v>Provincia de Baleares</v>
      </c>
      <c r="D814" s="2" t="str">
        <f>IFERROR(__xludf.DUMMYFUNCTION("""COMPUTED_VALUE"""),"Islas Baleares")</f>
        <v>Islas Baleares</v>
      </c>
      <c r="E814" s="2">
        <f>IFERROR(__xludf.DUMMYFUNCTION("""COMPUTED_VALUE"""),130.0)</f>
        <v>130</v>
      </c>
      <c r="F814" s="2">
        <f>IFERROR(__xludf.DUMMYFUNCTION("""COMPUTED_VALUE"""),109.86)</f>
        <v>109.86</v>
      </c>
      <c r="G814" s="4">
        <f>IFERROR(__xludf.DUMMYFUNCTION("""COMPUTED_VALUE"""),9065.0)</f>
        <v>9065</v>
      </c>
      <c r="H814" s="2">
        <f>IFERROR(__xludf.DUMMYFUNCTION("""COMPUTED_VALUE"""),82.51)</f>
        <v>82.51</v>
      </c>
    </row>
    <row r="815">
      <c r="A815" s="2" t="str">
        <f>IFERROR(__xludf.DUMMYFUNCTION("""COMPUTED_VALUE"""),"La Matanza de Acentejo")</f>
        <v>La Matanza de Acentejo</v>
      </c>
      <c r="B815" s="2" t="str">
        <f>IFERROR(__xludf.DUMMYFUNCTION("""COMPUTED_VALUE"""),"Comarca de Acentejo")</f>
        <v>Comarca de Acentejo</v>
      </c>
      <c r="C815" s="2" t="str">
        <f>IFERROR(__xludf.DUMMYFUNCTION("""COMPUTED_VALUE"""),"Provincia de Santa Cruz de Tenerife")</f>
        <v>Provincia de Santa Cruz de Tenerife</v>
      </c>
      <c r="D815" s="2" t="str">
        <f>IFERROR(__xludf.DUMMYFUNCTION("""COMPUTED_VALUE"""),"Canarias")</f>
        <v>Canarias</v>
      </c>
      <c r="E815" s="2">
        <f>IFERROR(__xludf.DUMMYFUNCTION("""COMPUTED_VALUE"""),425.0)</f>
        <v>425</v>
      </c>
      <c r="F815" s="2">
        <f>IFERROR(__xludf.DUMMYFUNCTION("""COMPUTED_VALUE"""),14.05)</f>
        <v>14.05</v>
      </c>
      <c r="G815" s="4">
        <f>IFERROR(__xludf.DUMMYFUNCTION("""COMPUTED_VALUE"""),9061.0)</f>
        <v>9061</v>
      </c>
      <c r="H815" s="2">
        <f>IFERROR(__xludf.DUMMYFUNCTION("""COMPUTED_VALUE"""),644.91)</f>
        <v>644.91</v>
      </c>
    </row>
    <row r="816">
      <c r="A816" s="2" t="str">
        <f>IFERROR(__xludf.DUMMYFUNCTION("""COMPUTED_VALUE"""),"Cervelló")</f>
        <v>Cervelló</v>
      </c>
      <c r="B816" s="2" t="str">
        <f>IFERROR(__xludf.DUMMYFUNCTION("""COMPUTED_VALUE"""),"Bajo Llobregat")</f>
        <v>Bajo Llobregat</v>
      </c>
      <c r="C816" s="2" t="str">
        <f>IFERROR(__xludf.DUMMYFUNCTION("""COMPUTED_VALUE"""),"Provincia de Barcelona")</f>
        <v>Provincia de Barcelona</v>
      </c>
      <c r="D816" s="2" t="str">
        <f>IFERROR(__xludf.DUMMYFUNCTION("""COMPUTED_VALUE"""),"Cataluña")</f>
        <v>Cataluña</v>
      </c>
      <c r="E816" s="2">
        <f>IFERROR(__xludf.DUMMYFUNCTION("""COMPUTED_VALUE"""),122.0)</f>
        <v>122</v>
      </c>
      <c r="F816" s="2">
        <f>IFERROR(__xludf.DUMMYFUNCTION("""COMPUTED_VALUE"""),24.21)</f>
        <v>24.21</v>
      </c>
      <c r="G816" s="4">
        <f>IFERROR(__xludf.DUMMYFUNCTION("""COMPUTED_VALUE"""),9054.0)</f>
        <v>9054</v>
      </c>
      <c r="H816" s="2">
        <f>IFERROR(__xludf.DUMMYFUNCTION("""COMPUTED_VALUE"""),373.98)</f>
        <v>373.98</v>
      </c>
    </row>
    <row r="817">
      <c r="A817" s="2" t="str">
        <f>IFERROR(__xludf.DUMMYFUNCTION("""COMPUTED_VALUE"""),"Vilassar de Dalt")</f>
        <v>Vilassar de Dalt</v>
      </c>
      <c r="B817" s="2" t="str">
        <f>IFERROR(__xludf.DUMMYFUNCTION("""COMPUTED_VALUE"""),"El Maresme")</f>
        <v>El Maresme</v>
      </c>
      <c r="C817" s="2" t="str">
        <f>IFERROR(__xludf.DUMMYFUNCTION("""COMPUTED_VALUE"""),"Provincia de Barcelona")</f>
        <v>Provincia de Barcelona</v>
      </c>
      <c r="D817" s="2" t="str">
        <f>IFERROR(__xludf.DUMMYFUNCTION("""COMPUTED_VALUE"""),"Cataluña")</f>
        <v>Cataluña</v>
      </c>
      <c r="E817" s="2">
        <f>IFERROR(__xludf.DUMMYFUNCTION("""COMPUTED_VALUE"""),142.0)</f>
        <v>142</v>
      </c>
      <c r="F817" s="2">
        <f>IFERROR(__xludf.DUMMYFUNCTION("""COMPUTED_VALUE"""),8.92)</f>
        <v>8.92</v>
      </c>
      <c r="G817" s="4">
        <f>IFERROR(__xludf.DUMMYFUNCTION("""COMPUTED_VALUE"""),9043.0)</f>
        <v>9043</v>
      </c>
      <c r="H817" s="5">
        <f>IFERROR(__xludf.DUMMYFUNCTION("""COMPUTED_VALUE"""),1013.79)</f>
        <v>1013.79</v>
      </c>
    </row>
    <row r="818">
      <c r="A818" s="2" t="str">
        <f>IFERROR(__xludf.DUMMYFUNCTION("""COMPUTED_VALUE"""),"La Cistérniga")</f>
        <v>La Cistérniga</v>
      </c>
      <c r="B818" s="2" t="str">
        <f>IFERROR(__xludf.DUMMYFUNCTION("""COMPUTED_VALUE"""),"Tierra de Pinares")</f>
        <v>Tierra de Pinares</v>
      </c>
      <c r="C818" s="2" t="str">
        <f>IFERROR(__xludf.DUMMYFUNCTION("""COMPUTED_VALUE"""),"Provincia de Valladolid")</f>
        <v>Provincia de Valladolid</v>
      </c>
      <c r="D818" s="2" t="str">
        <f>IFERROR(__xludf.DUMMYFUNCTION("""COMPUTED_VALUE"""),"Castilla y León")</f>
        <v>Castilla y León</v>
      </c>
      <c r="E818" s="2">
        <f>IFERROR(__xludf.DUMMYFUNCTION("""COMPUTED_VALUE"""),736.0)</f>
        <v>736</v>
      </c>
      <c r="F818" s="2">
        <f>IFERROR(__xludf.DUMMYFUNCTION("""COMPUTED_VALUE"""),31.77)</f>
        <v>31.77</v>
      </c>
      <c r="G818" s="4">
        <f>IFERROR(__xludf.DUMMYFUNCTION("""COMPUTED_VALUE"""),9034.0)</f>
        <v>9034</v>
      </c>
      <c r="H818" s="2">
        <f>IFERROR(__xludf.DUMMYFUNCTION("""COMPUTED_VALUE"""),284.36)</f>
        <v>284.36</v>
      </c>
    </row>
    <row r="819">
      <c r="A819" s="2" t="str">
        <f>IFERROR(__xludf.DUMMYFUNCTION("""COMPUTED_VALUE"""),"La Mojonera")</f>
        <v>La Mojonera</v>
      </c>
      <c r="B819" s="2" t="str">
        <f>IFERROR(__xludf.DUMMYFUNCTION("""COMPUTED_VALUE"""),"Poniente Almeriense")</f>
        <v>Poniente Almeriense</v>
      </c>
      <c r="C819" s="2" t="str">
        <f>IFERROR(__xludf.DUMMYFUNCTION("""COMPUTED_VALUE"""),"Provincia de Almería")</f>
        <v>Provincia de Almería</v>
      </c>
      <c r="D819" s="2" t="str">
        <f>IFERROR(__xludf.DUMMYFUNCTION("""COMPUTED_VALUE"""),"Andalucía")</f>
        <v>Andalucía</v>
      </c>
      <c r="E819" s="2">
        <f>IFERROR(__xludf.DUMMYFUNCTION("""COMPUTED_VALUE"""),40.0)</f>
        <v>40</v>
      </c>
      <c r="F819" s="2">
        <f>IFERROR(__xludf.DUMMYFUNCTION("""COMPUTED_VALUE"""),23.87)</f>
        <v>23.87</v>
      </c>
      <c r="G819" s="4">
        <f>IFERROR(__xludf.DUMMYFUNCTION("""COMPUTED_VALUE"""),9021.0)</f>
        <v>9021</v>
      </c>
      <c r="H819" s="2">
        <f>IFERROR(__xludf.DUMMYFUNCTION("""COMPUTED_VALUE"""),377.92)</f>
        <v>377.92</v>
      </c>
    </row>
    <row r="820">
      <c r="A820" s="2" t="str">
        <f>IFERROR(__xludf.DUMMYFUNCTION("""COMPUTED_VALUE"""),"Trujillo")</f>
        <v>Trujillo</v>
      </c>
      <c r="B820" s="2" t="str">
        <f>IFERROR(__xludf.DUMMYFUNCTION("""COMPUTED_VALUE"""),"Miajadas-Trujillo")</f>
        <v>Miajadas-Trujillo</v>
      </c>
      <c r="C820" s="2" t="str">
        <f>IFERROR(__xludf.DUMMYFUNCTION("""COMPUTED_VALUE"""),"Provincia de Cáceres")</f>
        <v>Provincia de Cáceres</v>
      </c>
      <c r="D820" s="2" t="str">
        <f>IFERROR(__xludf.DUMMYFUNCTION("""COMPUTED_VALUE"""),"Extremadura")</f>
        <v>Extremadura</v>
      </c>
      <c r="E820" s="2">
        <f>IFERROR(__xludf.DUMMYFUNCTION("""COMPUTED_VALUE"""),564.0)</f>
        <v>564</v>
      </c>
      <c r="F820" s="2">
        <f>IFERROR(__xludf.DUMMYFUNCTION("""COMPUTED_VALUE"""),649.53)</f>
        <v>649.53</v>
      </c>
      <c r="G820" s="4">
        <f>IFERROR(__xludf.DUMMYFUNCTION("""COMPUTED_VALUE"""),9012.0)</f>
        <v>9012</v>
      </c>
      <c r="H820" s="2">
        <f>IFERROR(__xludf.DUMMYFUNCTION("""COMPUTED_VALUE"""),13.87)</f>
        <v>13.87</v>
      </c>
    </row>
    <row r="821">
      <c r="A821" s="2" t="str">
        <f>IFERROR(__xludf.DUMMYFUNCTION("""COMPUTED_VALUE"""),"Reinosa")</f>
        <v>Reinosa</v>
      </c>
      <c r="B821" s="2" t="str">
        <f>IFERROR(__xludf.DUMMYFUNCTION("""COMPUTED_VALUE"""),"Comarca de Campoo-Los Valles")</f>
        <v>Comarca de Campoo-Los Valles</v>
      </c>
      <c r="C821" s="2" t="str">
        <f>IFERROR(__xludf.DUMMYFUNCTION("""COMPUTED_VALUE"""),"Provincia de Cantabria")</f>
        <v>Provincia de Cantabria</v>
      </c>
      <c r="D821" s="2" t="str">
        <f>IFERROR(__xludf.DUMMYFUNCTION("""COMPUTED_VALUE"""),"Cantabria")</f>
        <v>Cantabria</v>
      </c>
      <c r="E821" s="2">
        <f>IFERROR(__xludf.DUMMYFUNCTION("""COMPUTED_VALUE"""),851.0)</f>
        <v>851</v>
      </c>
      <c r="F821" s="2">
        <f>IFERROR(__xludf.DUMMYFUNCTION("""COMPUTED_VALUE"""),4.06)</f>
        <v>4.06</v>
      </c>
      <c r="G821" s="4">
        <f>IFERROR(__xludf.DUMMYFUNCTION("""COMPUTED_VALUE"""),9003.0)</f>
        <v>9003</v>
      </c>
      <c r="H821" s="5">
        <f>IFERROR(__xludf.DUMMYFUNCTION("""COMPUTED_VALUE"""),2217.49)</f>
        <v>2217.49</v>
      </c>
    </row>
    <row r="822">
      <c r="A822" s="2" t="str">
        <f>IFERROR(__xludf.DUMMYFUNCTION("""COMPUTED_VALUE"""),"El Espinar")</f>
        <v>El Espinar</v>
      </c>
      <c r="B822" s="2" t="str">
        <f>IFERROR(__xludf.DUMMYFUNCTION("""COMPUTED_VALUE"""),"Comunidad de Ciudad y Tierra de Segovia")</f>
        <v>Comunidad de Ciudad y Tierra de Segovia</v>
      </c>
      <c r="C822" s="2" t="str">
        <f>IFERROR(__xludf.DUMMYFUNCTION("""COMPUTED_VALUE"""),"Provincia de Segovia")</f>
        <v>Provincia de Segovia</v>
      </c>
      <c r="D822" s="2" t="str">
        <f>IFERROR(__xludf.DUMMYFUNCTION("""COMPUTED_VALUE"""),"Castilla y León")</f>
        <v>Castilla y León</v>
      </c>
      <c r="E822" s="4">
        <f>IFERROR(__xludf.DUMMYFUNCTION("""COMPUTED_VALUE"""),1191.0)</f>
        <v>1191</v>
      </c>
      <c r="F822" s="2">
        <f>IFERROR(__xludf.DUMMYFUNCTION("""COMPUTED_VALUE"""),205.1)</f>
        <v>205.1</v>
      </c>
      <c r="G822" s="4">
        <f>IFERROR(__xludf.DUMMYFUNCTION("""COMPUTED_VALUE"""),8986.0)</f>
        <v>8986</v>
      </c>
      <c r="H822" s="2">
        <f>IFERROR(__xludf.DUMMYFUNCTION("""COMPUTED_VALUE"""),43.81)</f>
        <v>43.81</v>
      </c>
    </row>
    <row r="823">
      <c r="A823" s="2" t="str">
        <f>IFERROR(__xludf.DUMMYFUNCTION("""COMPUTED_VALUE"""),"Segorbe")</f>
        <v>Segorbe</v>
      </c>
      <c r="B823" s="2" t="str">
        <f>IFERROR(__xludf.DUMMYFUNCTION("""COMPUTED_VALUE"""),"Alto Palancia")</f>
        <v>Alto Palancia</v>
      </c>
      <c r="C823" s="2" t="str">
        <f>IFERROR(__xludf.DUMMYFUNCTION("""COMPUTED_VALUE"""),"Provincia de Castellón")</f>
        <v>Provincia de Castellón</v>
      </c>
      <c r="D823" s="2" t="str">
        <f>IFERROR(__xludf.DUMMYFUNCTION("""COMPUTED_VALUE"""),"Comunidad Valenciana")</f>
        <v>Comunidad Valenciana</v>
      </c>
      <c r="E823" s="2">
        <f>IFERROR(__xludf.DUMMYFUNCTION("""COMPUTED_VALUE"""),358.0)</f>
        <v>358</v>
      </c>
      <c r="F823" s="2">
        <f>IFERROR(__xludf.DUMMYFUNCTION("""COMPUTED_VALUE"""),106.2)</f>
        <v>106.2</v>
      </c>
      <c r="G823" s="4">
        <f>IFERROR(__xludf.DUMMYFUNCTION("""COMPUTED_VALUE"""),8978.0)</f>
        <v>8978</v>
      </c>
      <c r="H823" s="2">
        <f>IFERROR(__xludf.DUMMYFUNCTION("""COMPUTED_VALUE"""),84.54)</f>
        <v>84.54</v>
      </c>
    </row>
    <row r="824">
      <c r="A824" s="2" t="str">
        <f>IFERROR(__xludf.DUMMYFUNCTION("""COMPUTED_VALUE"""),"Almussafes")</f>
        <v>Almussafes</v>
      </c>
      <c r="B824" s="2" t="str">
        <f>IFERROR(__xludf.DUMMYFUNCTION("""COMPUTED_VALUE"""),"Ribera Baja (Valencia)")</f>
        <v>Ribera Baja (Valencia)</v>
      </c>
      <c r="C824" s="2" t="str">
        <f>IFERROR(__xludf.DUMMYFUNCTION("""COMPUTED_VALUE"""),"Provincia de València")</f>
        <v>Provincia de València</v>
      </c>
      <c r="D824" s="2" t="str">
        <f>IFERROR(__xludf.DUMMYFUNCTION("""COMPUTED_VALUE"""),"Comunidad Valenciana")</f>
        <v>Comunidad Valenciana</v>
      </c>
      <c r="E824" s="2">
        <f>IFERROR(__xludf.DUMMYFUNCTION("""COMPUTED_VALUE"""),30.0)</f>
        <v>30</v>
      </c>
      <c r="F824" s="2">
        <f>IFERROR(__xludf.DUMMYFUNCTION("""COMPUTED_VALUE"""),10.76)</f>
        <v>10.76</v>
      </c>
      <c r="G824" s="4">
        <f>IFERROR(__xludf.DUMMYFUNCTION("""COMPUTED_VALUE"""),8967.0)</f>
        <v>8967</v>
      </c>
      <c r="H824" s="2">
        <f>IFERROR(__xludf.DUMMYFUNCTION("""COMPUTED_VALUE"""),833.36)</f>
        <v>833.36</v>
      </c>
    </row>
    <row r="825">
      <c r="A825" s="2" t="str">
        <f>IFERROR(__xludf.DUMMYFUNCTION("""COMPUTED_VALUE"""),"Rafelbuñol")</f>
        <v>Rafelbuñol</v>
      </c>
      <c r="B825" s="2" t="str">
        <f>IFERROR(__xludf.DUMMYFUNCTION("""COMPUTED_VALUE"""),"Huerta Norte")</f>
        <v>Huerta Norte</v>
      </c>
      <c r="C825" s="2" t="str">
        <f>IFERROR(__xludf.DUMMYFUNCTION("""COMPUTED_VALUE"""),"Provincia de València")</f>
        <v>Provincia de València</v>
      </c>
      <c r="D825" s="2" t="str">
        <f>IFERROR(__xludf.DUMMYFUNCTION("""COMPUTED_VALUE"""),"Comunidad Valenciana")</f>
        <v>Comunidad Valenciana</v>
      </c>
      <c r="E825" s="2">
        <f>IFERROR(__xludf.DUMMYFUNCTION("""COMPUTED_VALUE"""),32.0)</f>
        <v>32</v>
      </c>
      <c r="F825" s="2">
        <f>IFERROR(__xludf.DUMMYFUNCTION("""COMPUTED_VALUE"""),4.2)</f>
        <v>4.2</v>
      </c>
      <c r="G825" s="4">
        <f>IFERROR(__xludf.DUMMYFUNCTION("""COMPUTED_VALUE"""),8941.0)</f>
        <v>8941</v>
      </c>
      <c r="H825" s="5">
        <f>IFERROR(__xludf.DUMMYFUNCTION("""COMPUTED_VALUE"""),2128.81)</f>
        <v>2128.81</v>
      </c>
    </row>
    <row r="826">
      <c r="A826" s="2" t="str">
        <f>IFERROR(__xludf.DUMMYFUNCTION("""COMPUTED_VALUE"""),"El Molar (Madrid)")</f>
        <v>El Molar (Madrid)</v>
      </c>
      <c r="B826" s="2" t="str">
        <f>IFERROR(__xludf.DUMMYFUNCTION("""COMPUTED_VALUE"""),"Sierra Norte (Madrid)")</f>
        <v>Sierra Norte (Madrid)</v>
      </c>
      <c r="C826" s="2" t="str">
        <f>IFERROR(__xludf.DUMMYFUNCTION("""COMPUTED_VALUE"""),"Provincia de Madrid")</f>
        <v>Provincia de Madrid</v>
      </c>
      <c r="D826" s="2" t="str">
        <f>IFERROR(__xludf.DUMMYFUNCTION("""COMPUTED_VALUE"""),"Comunidad de Madrid")</f>
        <v>Comunidad de Madrid</v>
      </c>
      <c r="E826" s="2">
        <f>IFERROR(__xludf.DUMMYFUNCTION("""COMPUTED_VALUE"""),850.0)</f>
        <v>850</v>
      </c>
      <c r="F826" s="2">
        <f>IFERROR(__xludf.DUMMYFUNCTION("""COMPUTED_VALUE"""),50.29)</f>
        <v>50.29</v>
      </c>
      <c r="G826" s="4">
        <f>IFERROR(__xludf.DUMMYFUNCTION("""COMPUTED_VALUE"""),8938.0)</f>
        <v>8938</v>
      </c>
      <c r="H826" s="2">
        <f>IFERROR(__xludf.DUMMYFUNCTION("""COMPUTED_VALUE"""),177.73)</f>
        <v>177.73</v>
      </c>
    </row>
    <row r="827">
      <c r="A827" s="2" t="str">
        <f>IFERROR(__xludf.DUMMYFUNCTION("""COMPUTED_VALUE"""),"El Sauzal")</f>
        <v>El Sauzal</v>
      </c>
      <c r="B827" s="2" t="str">
        <f>IFERROR(__xludf.DUMMYFUNCTION("""COMPUTED_VALUE"""),"Comarca de Acentejo")</f>
        <v>Comarca de Acentejo</v>
      </c>
      <c r="C827" s="2" t="str">
        <f>IFERROR(__xludf.DUMMYFUNCTION("""COMPUTED_VALUE"""),"Provincia de Santa Cruz de Tenerife")</f>
        <v>Provincia de Santa Cruz de Tenerife</v>
      </c>
      <c r="D827" s="2" t="str">
        <f>IFERROR(__xludf.DUMMYFUNCTION("""COMPUTED_VALUE"""),"Canarias")</f>
        <v>Canarias</v>
      </c>
      <c r="E827" s="2">
        <f>IFERROR(__xludf.DUMMYFUNCTION("""COMPUTED_VALUE"""),322.0)</f>
        <v>322</v>
      </c>
      <c r="F827" s="2">
        <f>IFERROR(__xludf.DUMMYFUNCTION("""COMPUTED_VALUE"""),18.2)</f>
        <v>18.2</v>
      </c>
      <c r="G827" s="4">
        <f>IFERROR(__xludf.DUMMYFUNCTION("""COMPUTED_VALUE"""),8934.0)</f>
        <v>8934</v>
      </c>
      <c r="H827" s="2">
        <f>IFERROR(__xludf.DUMMYFUNCTION("""COMPUTED_VALUE"""),490.88)</f>
        <v>490.88</v>
      </c>
    </row>
    <row r="828">
      <c r="A828" s="2" t="str">
        <f>IFERROR(__xludf.DUMMYFUNCTION("""COMPUTED_VALUE"""),"Arenys de Munt")</f>
        <v>Arenys de Munt</v>
      </c>
      <c r="B828" s="2" t="str">
        <f>IFERROR(__xludf.DUMMYFUNCTION("""COMPUTED_VALUE"""),"El Maresme")</f>
        <v>El Maresme</v>
      </c>
      <c r="C828" s="2" t="str">
        <f>IFERROR(__xludf.DUMMYFUNCTION("""COMPUTED_VALUE"""),"Provincia de Barcelona")</f>
        <v>Provincia de Barcelona</v>
      </c>
      <c r="D828" s="2" t="str">
        <f>IFERROR(__xludf.DUMMYFUNCTION("""COMPUTED_VALUE"""),"Cataluña")</f>
        <v>Cataluña</v>
      </c>
      <c r="E828" s="2">
        <f>IFERROR(__xludf.DUMMYFUNCTION("""COMPUTED_VALUE"""),121.0)</f>
        <v>121</v>
      </c>
      <c r="F828" s="2">
        <f>IFERROR(__xludf.DUMMYFUNCTION("""COMPUTED_VALUE"""),20.73)</f>
        <v>20.73</v>
      </c>
      <c r="G828" s="4">
        <f>IFERROR(__xludf.DUMMYFUNCTION("""COMPUTED_VALUE"""),8931.0)</f>
        <v>8931</v>
      </c>
      <c r="H828" s="2">
        <f>IFERROR(__xludf.DUMMYFUNCTION("""COMPUTED_VALUE"""),430.82)</f>
        <v>430.82</v>
      </c>
    </row>
    <row r="829">
      <c r="A829" s="2" t="str">
        <f>IFERROR(__xludf.DUMMYFUNCTION("""COMPUTED_VALUE"""),"Almagro")</f>
        <v>Almagro</v>
      </c>
      <c r="B829" s="2" t="str">
        <f>IFERROR(__xludf.DUMMYFUNCTION("""COMPUTED_VALUE"""),"Campo de Calatrava")</f>
        <v>Campo de Calatrava</v>
      </c>
      <c r="C829" s="2" t="str">
        <f>IFERROR(__xludf.DUMMYFUNCTION("""COMPUTED_VALUE"""),"Provincia de Ciudad Real")</f>
        <v>Provincia de Ciudad Real</v>
      </c>
      <c r="D829" s="2" t="str">
        <f>IFERROR(__xludf.DUMMYFUNCTION("""COMPUTED_VALUE"""),"Castilla-La Mancha")</f>
        <v>Castilla-La Mancha</v>
      </c>
      <c r="E829" s="2">
        <f>IFERROR(__xludf.DUMMYFUNCTION("""COMPUTED_VALUE"""),646.0)</f>
        <v>646</v>
      </c>
      <c r="F829" s="2">
        <f>IFERROR(__xludf.DUMMYFUNCTION("""COMPUTED_VALUE"""),249.95)</f>
        <v>249.95</v>
      </c>
      <c r="G829" s="4">
        <f>IFERROR(__xludf.DUMMYFUNCTION("""COMPUTED_VALUE"""),8896.0)</f>
        <v>8896</v>
      </c>
      <c r="H829" s="2">
        <f>IFERROR(__xludf.DUMMYFUNCTION("""COMPUTED_VALUE"""),35.59)</f>
        <v>35.59</v>
      </c>
    </row>
    <row r="830">
      <c r="A830" s="2" t="str">
        <f>IFERROR(__xludf.DUMMYFUNCTION("""COMPUTED_VALUE"""),"Umbrete")</f>
        <v>Umbrete</v>
      </c>
      <c r="B830" s="2" t="str">
        <f>IFERROR(__xludf.DUMMYFUNCTION("""COMPUTED_VALUE"""),"Aljarafe")</f>
        <v>Aljarafe</v>
      </c>
      <c r="C830" s="2" t="str">
        <f>IFERROR(__xludf.DUMMYFUNCTION("""COMPUTED_VALUE"""),"Provincia de Sevilla")</f>
        <v>Provincia de Sevilla</v>
      </c>
      <c r="D830" s="2" t="str">
        <f>IFERROR(__xludf.DUMMYFUNCTION("""COMPUTED_VALUE"""),"Andalucía")</f>
        <v>Andalucía</v>
      </c>
      <c r="E830" s="2">
        <f>IFERROR(__xludf.DUMMYFUNCTION("""COMPUTED_VALUE"""),121.0)</f>
        <v>121</v>
      </c>
      <c r="F830" s="2">
        <f>IFERROR(__xludf.DUMMYFUNCTION("""COMPUTED_VALUE"""),12.42)</f>
        <v>12.42</v>
      </c>
      <c r="G830" s="4">
        <f>IFERROR(__xludf.DUMMYFUNCTION("""COMPUTED_VALUE"""),8894.0)</f>
        <v>8894</v>
      </c>
      <c r="H830" s="2">
        <f>IFERROR(__xludf.DUMMYFUNCTION("""COMPUTED_VALUE"""),716.1)</f>
        <v>716.1</v>
      </c>
    </row>
    <row r="831">
      <c r="A831" s="2" t="str">
        <f>IFERROR(__xludf.DUMMYFUNCTION("""COMPUTED_VALUE"""),"Torrejón de la Calzada")</f>
        <v>Torrejón de la Calzada</v>
      </c>
      <c r="B831" s="2"/>
      <c r="C831" s="2" t="str">
        <f>IFERROR(__xludf.DUMMYFUNCTION("""COMPUTED_VALUE"""),"Provincia de Madrid")</f>
        <v>Provincia de Madrid</v>
      </c>
      <c r="D831" s="2" t="str">
        <f>IFERROR(__xludf.DUMMYFUNCTION("""COMPUTED_VALUE"""),"Comunidad de Madrid")</f>
        <v>Comunidad de Madrid</v>
      </c>
      <c r="E831" s="2">
        <f>IFERROR(__xludf.DUMMYFUNCTION("""COMPUTED_VALUE"""),629.0)</f>
        <v>629</v>
      </c>
      <c r="F831" s="2">
        <f>IFERROR(__xludf.DUMMYFUNCTION("""COMPUTED_VALUE"""),8.98)</f>
        <v>8.98</v>
      </c>
      <c r="G831" s="4">
        <f>IFERROR(__xludf.DUMMYFUNCTION("""COMPUTED_VALUE"""),8872.0)</f>
        <v>8872</v>
      </c>
      <c r="H831" s="2">
        <f>IFERROR(__xludf.DUMMYFUNCTION("""COMPUTED_VALUE"""),987.97)</f>
        <v>987.97</v>
      </c>
    </row>
    <row r="832">
      <c r="A832" s="2" t="str">
        <f>IFERROR(__xludf.DUMMYFUNCTION("""COMPUTED_VALUE"""),"Tiana")</f>
        <v>Tiana</v>
      </c>
      <c r="B832" s="2" t="str">
        <f>IFERROR(__xludf.DUMMYFUNCTION("""COMPUTED_VALUE"""),"Maresme")</f>
        <v>Maresme</v>
      </c>
      <c r="C832" s="2" t="str">
        <f>IFERROR(__xludf.DUMMYFUNCTION("""COMPUTED_VALUE"""),"Provincia de Barcelona")</f>
        <v>Provincia de Barcelona</v>
      </c>
      <c r="D832" s="2" t="str">
        <f>IFERROR(__xludf.DUMMYFUNCTION("""COMPUTED_VALUE"""),"Cataluña")</f>
        <v>Cataluña</v>
      </c>
      <c r="E832" s="2">
        <f>IFERROR(__xludf.DUMMYFUNCTION("""COMPUTED_VALUE"""),136.0)</f>
        <v>136</v>
      </c>
      <c r="F832" s="2">
        <f>IFERROR(__xludf.DUMMYFUNCTION("""COMPUTED_VALUE"""),7.94)</f>
        <v>7.94</v>
      </c>
      <c r="G832" s="4">
        <f>IFERROR(__xludf.DUMMYFUNCTION("""COMPUTED_VALUE"""),8840.0)</f>
        <v>8840</v>
      </c>
      <c r="H832" s="5">
        <f>IFERROR(__xludf.DUMMYFUNCTION("""COMPUTED_VALUE"""),1113.35)</f>
        <v>1113.35</v>
      </c>
    </row>
    <row r="833">
      <c r="A833" s="2" t="str">
        <f>IFERROR(__xludf.DUMMYFUNCTION("""COMPUTED_VALUE"""),"Manzanares el Real")</f>
        <v>Manzanares el Real</v>
      </c>
      <c r="B833" s="2" t="str">
        <f>IFERROR(__xludf.DUMMYFUNCTION("""COMPUTED_VALUE"""),"Cuenca Alta del Manzanares")</f>
        <v>Cuenca Alta del Manzanares</v>
      </c>
      <c r="C833" s="2" t="str">
        <f>IFERROR(__xludf.DUMMYFUNCTION("""COMPUTED_VALUE"""),"Provincia de Madrid")</f>
        <v>Provincia de Madrid</v>
      </c>
      <c r="D833" s="2" t="str">
        <f>IFERROR(__xludf.DUMMYFUNCTION("""COMPUTED_VALUE"""),"Comunidad de Madrid")</f>
        <v>Comunidad de Madrid</v>
      </c>
      <c r="E833" s="2">
        <f>IFERROR(__xludf.DUMMYFUNCTION("""COMPUTED_VALUE"""),908.0)</f>
        <v>908</v>
      </c>
      <c r="F833" s="2">
        <f>IFERROR(__xludf.DUMMYFUNCTION("""COMPUTED_VALUE"""),126.7)</f>
        <v>126.7</v>
      </c>
      <c r="G833" s="4">
        <f>IFERROR(__xludf.DUMMYFUNCTION("""COMPUTED_VALUE"""),8840.0)</f>
        <v>8840</v>
      </c>
      <c r="H833" s="2">
        <f>IFERROR(__xludf.DUMMYFUNCTION("""COMPUTED_VALUE"""),69.77)</f>
        <v>69.77</v>
      </c>
    </row>
    <row r="834">
      <c r="A834" s="2" t="str">
        <f>IFERROR(__xludf.DUMMYFUNCTION("""COMPUTED_VALUE"""),"Soto del Real")</f>
        <v>Soto del Real</v>
      </c>
      <c r="B834" s="2" t="str">
        <f>IFERROR(__xludf.DUMMYFUNCTION("""COMPUTED_VALUE"""),"Cuenca Alta del Manzanares")</f>
        <v>Cuenca Alta del Manzanares</v>
      </c>
      <c r="C834" s="2" t="str">
        <f>IFERROR(__xludf.DUMMYFUNCTION("""COMPUTED_VALUE"""),"Provincia de Madrid")</f>
        <v>Provincia de Madrid</v>
      </c>
      <c r="D834" s="2" t="str">
        <f>IFERROR(__xludf.DUMMYFUNCTION("""COMPUTED_VALUE"""),"Comunidad de Madrid")</f>
        <v>Comunidad de Madrid</v>
      </c>
      <c r="E834" s="2">
        <f>IFERROR(__xludf.DUMMYFUNCTION("""COMPUTED_VALUE"""),921.0)</f>
        <v>921</v>
      </c>
      <c r="F834" s="2">
        <f>IFERROR(__xludf.DUMMYFUNCTION("""COMPUTED_VALUE"""),43.21)</f>
        <v>43.21</v>
      </c>
      <c r="G834" s="4">
        <f>IFERROR(__xludf.DUMMYFUNCTION("""COMPUTED_VALUE"""),8799.0)</f>
        <v>8799</v>
      </c>
      <c r="H834" s="2">
        <f>IFERROR(__xludf.DUMMYFUNCTION("""COMPUTED_VALUE"""),203.63)</f>
        <v>203.63</v>
      </c>
    </row>
    <row r="835">
      <c r="A835" s="2" t="str">
        <f>IFERROR(__xludf.DUMMYFUNCTION("""COMPUTED_VALUE"""),"Loeches")</f>
        <v>Loeches</v>
      </c>
      <c r="B835" s="2" t="str">
        <f>IFERROR(__xludf.DUMMYFUNCTION("""COMPUTED_VALUE"""),"Comarca de Alcalá")</f>
        <v>Comarca de Alcalá</v>
      </c>
      <c r="C835" s="2" t="str">
        <f>IFERROR(__xludf.DUMMYFUNCTION("""COMPUTED_VALUE"""),"Provincia de Madrid")</f>
        <v>Provincia de Madrid</v>
      </c>
      <c r="D835" s="2" t="str">
        <f>IFERROR(__xludf.DUMMYFUNCTION("""COMPUTED_VALUE"""),"Comunidad de Madrid")</f>
        <v>Comunidad de Madrid</v>
      </c>
      <c r="E835" s="2">
        <f>IFERROR(__xludf.DUMMYFUNCTION("""COMPUTED_VALUE"""),647.0)</f>
        <v>647</v>
      </c>
      <c r="F835" s="2">
        <f>IFERROR(__xludf.DUMMYFUNCTION("""COMPUTED_VALUE"""),44.06)</f>
        <v>44.06</v>
      </c>
      <c r="G835" s="4">
        <f>IFERROR(__xludf.DUMMYFUNCTION("""COMPUTED_VALUE"""),8791.0)</f>
        <v>8791</v>
      </c>
      <c r="H835" s="2">
        <f>IFERROR(__xludf.DUMMYFUNCTION("""COMPUTED_VALUE"""),199.52)</f>
        <v>199.52</v>
      </c>
    </row>
    <row r="836">
      <c r="A836" s="2" t="str">
        <f>IFERROR(__xludf.DUMMYFUNCTION("""COMPUTED_VALUE"""),"Suances")</f>
        <v>Suances</v>
      </c>
      <c r="B836" s="2" t="str">
        <f>IFERROR(__xludf.DUMMYFUNCTION("""COMPUTED_VALUE"""),"Comarca del Besaya")</f>
        <v>Comarca del Besaya</v>
      </c>
      <c r="C836" s="2" t="str">
        <f>IFERROR(__xludf.DUMMYFUNCTION("""COMPUTED_VALUE"""),"Provincia de Cantabria")</f>
        <v>Provincia de Cantabria</v>
      </c>
      <c r="D836" s="2" t="str">
        <f>IFERROR(__xludf.DUMMYFUNCTION("""COMPUTED_VALUE"""),"Cantabria")</f>
        <v>Cantabria</v>
      </c>
      <c r="E836" s="2">
        <f>IFERROR(__xludf.DUMMYFUNCTION("""COMPUTED_VALUE"""),98.0)</f>
        <v>98</v>
      </c>
      <c r="F836" s="2">
        <f>IFERROR(__xludf.DUMMYFUNCTION("""COMPUTED_VALUE"""),24.56)</f>
        <v>24.56</v>
      </c>
      <c r="G836" s="4">
        <f>IFERROR(__xludf.DUMMYFUNCTION("""COMPUTED_VALUE"""),8782.0)</f>
        <v>8782</v>
      </c>
      <c r="H836" s="2">
        <f>IFERROR(__xludf.DUMMYFUNCTION("""COMPUTED_VALUE"""),357.57)</f>
        <v>357.57</v>
      </c>
    </row>
    <row r="837">
      <c r="A837" s="2" t="str">
        <f>IFERROR(__xludf.DUMMYFUNCTION("""COMPUTED_VALUE"""),"Palomares del Río")</f>
        <v>Palomares del Río</v>
      </c>
      <c r="B837" s="2" t="str">
        <f>IFERROR(__xludf.DUMMYFUNCTION("""COMPUTED_VALUE"""),"Comarca Metropolitana de Sevilla")</f>
        <v>Comarca Metropolitana de Sevilla</v>
      </c>
      <c r="C837" s="2" t="str">
        <f>IFERROR(__xludf.DUMMYFUNCTION("""COMPUTED_VALUE"""),"Provincia de Sevilla")</f>
        <v>Provincia de Sevilla</v>
      </c>
      <c r="D837" s="2" t="str">
        <f>IFERROR(__xludf.DUMMYFUNCTION("""COMPUTED_VALUE"""),"Andalucía")</f>
        <v>Andalucía</v>
      </c>
      <c r="E837" s="2">
        <f>IFERROR(__xludf.DUMMYFUNCTION("""COMPUTED_VALUE"""),37.0)</f>
        <v>37</v>
      </c>
      <c r="F837" s="2">
        <f>IFERROR(__xludf.DUMMYFUNCTION("""COMPUTED_VALUE"""),13.11)</f>
        <v>13.11</v>
      </c>
      <c r="G837" s="4">
        <f>IFERROR(__xludf.DUMMYFUNCTION("""COMPUTED_VALUE"""),8767.0)</f>
        <v>8767</v>
      </c>
      <c r="H837" s="2">
        <f>IFERROR(__xludf.DUMMYFUNCTION("""COMPUTED_VALUE"""),668.73)</f>
        <v>668.73</v>
      </c>
    </row>
    <row r="838">
      <c r="A838" s="2" t="str">
        <f>IFERROR(__xludf.DUMMYFUNCTION("""COMPUTED_VALUE"""),"Montmeló")</f>
        <v>Montmeló</v>
      </c>
      <c r="B838" s="2" t="str">
        <f>IFERROR(__xludf.DUMMYFUNCTION("""COMPUTED_VALUE"""),"Vallès Oriental")</f>
        <v>Vallès Oriental</v>
      </c>
      <c r="C838" s="2" t="str">
        <f>IFERROR(__xludf.DUMMYFUNCTION("""COMPUTED_VALUE"""),"Provincia de Barcelona")</f>
        <v>Provincia de Barcelona</v>
      </c>
      <c r="D838" s="2" t="str">
        <f>IFERROR(__xludf.DUMMYFUNCTION("""COMPUTED_VALUE"""),"Cataluña")</f>
        <v>Cataluña</v>
      </c>
      <c r="E838" s="2">
        <f>IFERROR(__xludf.DUMMYFUNCTION("""COMPUTED_VALUE"""),72.0)</f>
        <v>72</v>
      </c>
      <c r="F838" s="2">
        <f>IFERROR(__xludf.DUMMYFUNCTION("""COMPUTED_VALUE"""),3.88)</f>
        <v>3.88</v>
      </c>
      <c r="G838" s="4">
        <f>IFERROR(__xludf.DUMMYFUNCTION("""COMPUTED_VALUE"""),8755.0)</f>
        <v>8755</v>
      </c>
      <c r="H838" s="5">
        <f>IFERROR(__xludf.DUMMYFUNCTION("""COMPUTED_VALUE"""),2256.44)</f>
        <v>2256.44</v>
      </c>
    </row>
    <row r="839">
      <c r="A839" s="2" t="str">
        <f>IFERROR(__xludf.DUMMYFUNCTION("""COMPUTED_VALUE"""),"Tordesillas")</f>
        <v>Tordesillas</v>
      </c>
      <c r="B839" s="2" t="str">
        <f>IFERROR(__xludf.DUMMYFUNCTION("""COMPUTED_VALUE"""),"Tierra del Vino (Valladolid)")</f>
        <v>Tierra del Vino (Valladolid)</v>
      </c>
      <c r="C839" s="2" t="str">
        <f>IFERROR(__xludf.DUMMYFUNCTION("""COMPUTED_VALUE"""),"Provincia de Valladolid")</f>
        <v>Provincia de Valladolid</v>
      </c>
      <c r="D839" s="2" t="str">
        <f>IFERROR(__xludf.DUMMYFUNCTION("""COMPUTED_VALUE"""),"Castilla y León")</f>
        <v>Castilla y León</v>
      </c>
      <c r="E839" s="2">
        <f>IFERROR(__xludf.DUMMYFUNCTION("""COMPUTED_VALUE"""),704.0)</f>
        <v>704</v>
      </c>
      <c r="F839" s="2">
        <f>IFERROR(__xludf.DUMMYFUNCTION("""COMPUTED_VALUE"""),141.68)</f>
        <v>141.68</v>
      </c>
      <c r="G839" s="4">
        <f>IFERROR(__xludf.DUMMYFUNCTION("""COMPUTED_VALUE"""),8750.0)</f>
        <v>8750</v>
      </c>
      <c r="H839" s="2">
        <f>IFERROR(__xludf.DUMMYFUNCTION("""COMPUTED_VALUE"""),61.76)</f>
        <v>61.76</v>
      </c>
    </row>
    <row r="840">
      <c r="A840" s="2" t="str">
        <f>IFERROR(__xludf.DUMMYFUNCTION("""COMPUTED_VALUE"""),"Sant Fost de Campsentelles")</f>
        <v>Sant Fost de Campsentelles</v>
      </c>
      <c r="B840" s="2" t="str">
        <f>IFERROR(__xludf.DUMMYFUNCTION("""COMPUTED_VALUE"""),"Vallès Oriental")</f>
        <v>Vallès Oriental</v>
      </c>
      <c r="C840" s="2" t="str">
        <f>IFERROR(__xludf.DUMMYFUNCTION("""COMPUTED_VALUE"""),"Provincia de Barcelona")</f>
        <v>Provincia de Barcelona</v>
      </c>
      <c r="D840" s="2" t="str">
        <f>IFERROR(__xludf.DUMMYFUNCTION("""COMPUTED_VALUE"""),"Cataluña")</f>
        <v>Cataluña</v>
      </c>
      <c r="E840" s="2">
        <f>IFERROR(__xludf.DUMMYFUNCTION("""COMPUTED_VALUE"""),112.0)</f>
        <v>112</v>
      </c>
      <c r="F840" s="2">
        <f>IFERROR(__xludf.DUMMYFUNCTION("""COMPUTED_VALUE"""),13.2)</f>
        <v>13.2</v>
      </c>
      <c r="G840" s="4">
        <f>IFERROR(__xludf.DUMMYFUNCTION("""COMPUTED_VALUE"""),8737.0)</f>
        <v>8737</v>
      </c>
      <c r="H840" s="2">
        <f>IFERROR(__xludf.DUMMYFUNCTION("""COMPUTED_VALUE"""),661.89)</f>
        <v>661.89</v>
      </c>
    </row>
    <row r="841">
      <c r="A841" s="2" t="str">
        <f>IFERROR(__xludf.DUMMYFUNCTION("""COMPUTED_VALUE"""),"Villanueva de Córdoba")</f>
        <v>Villanueva de Córdoba</v>
      </c>
      <c r="B841" s="2" t="str">
        <f>IFERROR(__xludf.DUMMYFUNCTION("""COMPUTED_VALUE"""),"Los Pedroches")</f>
        <v>Los Pedroches</v>
      </c>
      <c r="C841" s="2" t="str">
        <f>IFERROR(__xludf.DUMMYFUNCTION("""COMPUTED_VALUE"""),"Provincia de Córdoba")</f>
        <v>Provincia de Córdoba</v>
      </c>
      <c r="D841" s="2" t="str">
        <f>IFERROR(__xludf.DUMMYFUNCTION("""COMPUTED_VALUE"""),"Andalucía")</f>
        <v>Andalucía</v>
      </c>
      <c r="E841" s="2">
        <f>IFERROR(__xludf.DUMMYFUNCTION("""COMPUTED_VALUE"""),725.0)</f>
        <v>725</v>
      </c>
      <c r="F841" s="2">
        <f>IFERROR(__xludf.DUMMYFUNCTION("""COMPUTED_VALUE"""),429.52)</f>
        <v>429.52</v>
      </c>
      <c r="G841" s="4">
        <f>IFERROR(__xludf.DUMMYFUNCTION("""COMPUTED_VALUE"""),8729.0)</f>
        <v>8729</v>
      </c>
      <c r="H841" s="2">
        <f>IFERROR(__xludf.DUMMYFUNCTION("""COMPUTED_VALUE"""),20.32)</f>
        <v>20.32</v>
      </c>
    </row>
    <row r="842">
      <c r="A842" s="2" t="str">
        <f>IFERROR(__xludf.DUMMYFUNCTION("""COMPUTED_VALUE"""),"Toro")</f>
        <v>Toro</v>
      </c>
      <c r="B842" s="2" t="str">
        <f>IFERROR(__xludf.DUMMYFUNCTION("""COMPUTED_VALUE"""),"Alfoz de Toro")</f>
        <v>Alfoz de Toro</v>
      </c>
      <c r="C842" s="2" t="str">
        <f>IFERROR(__xludf.DUMMYFUNCTION("""COMPUTED_VALUE"""),"Provincia de Ávila")</f>
        <v>Provincia de Ávila</v>
      </c>
      <c r="D842" s="2" t="str">
        <f>IFERROR(__xludf.DUMMYFUNCTION("""COMPUTED_VALUE"""),"Castilla y León")</f>
        <v>Castilla y León</v>
      </c>
      <c r="E842" s="2">
        <f>IFERROR(__xludf.DUMMYFUNCTION("""COMPUTED_VALUE"""),740.0)</f>
        <v>740</v>
      </c>
      <c r="F842" s="2">
        <f>IFERROR(__xludf.DUMMYFUNCTION("""COMPUTED_VALUE"""),324.86)</f>
        <v>324.86</v>
      </c>
      <c r="G842" s="4">
        <f>IFERROR(__xludf.DUMMYFUNCTION("""COMPUTED_VALUE"""),8713.0)</f>
        <v>8713</v>
      </c>
      <c r="H842" s="2">
        <f>IFERROR(__xludf.DUMMYFUNCTION("""COMPUTED_VALUE"""),26.82)</f>
        <v>26.82</v>
      </c>
    </row>
    <row r="843">
      <c r="A843" s="2" t="str">
        <f>IFERROR(__xludf.DUMMYFUNCTION("""COMPUTED_VALUE"""),"Bembibre")</f>
        <v>Bembibre</v>
      </c>
      <c r="B843" s="2"/>
      <c r="C843" s="2" t="str">
        <f>IFERROR(__xludf.DUMMYFUNCTION("""COMPUTED_VALUE"""),"Provincia de León")</f>
        <v>Provincia de León</v>
      </c>
      <c r="D843" s="2" t="str">
        <f>IFERROR(__xludf.DUMMYFUNCTION("""COMPUTED_VALUE"""),"Castilla y León")</f>
        <v>Castilla y León</v>
      </c>
      <c r="E843" s="2">
        <f>IFERROR(__xludf.DUMMYFUNCTION("""COMPUTED_VALUE"""),644.0)</f>
        <v>644</v>
      </c>
      <c r="F843" s="2">
        <f>IFERROR(__xludf.DUMMYFUNCTION("""COMPUTED_VALUE"""),63.42)</f>
        <v>63.42</v>
      </c>
      <c r="G843" s="4">
        <f>IFERROR(__xludf.DUMMYFUNCTION("""COMPUTED_VALUE"""),8705.0)</f>
        <v>8705</v>
      </c>
      <c r="H843" s="2">
        <f>IFERROR(__xludf.DUMMYFUNCTION("""COMPUTED_VALUE"""),137.26)</f>
        <v>137.26</v>
      </c>
    </row>
    <row r="844">
      <c r="A844" s="2" t="str">
        <f>IFERROR(__xludf.DUMMYFUNCTION("""COMPUTED_VALUE"""),"Sant Fruitós de Bages")</f>
        <v>Sant Fruitós de Bages</v>
      </c>
      <c r="B844" s="2" t="str">
        <f>IFERROR(__xludf.DUMMYFUNCTION("""COMPUTED_VALUE"""),"Bages")</f>
        <v>Bages</v>
      </c>
      <c r="C844" s="2" t="str">
        <f>IFERROR(__xludf.DUMMYFUNCTION("""COMPUTED_VALUE"""),"Provincia de Barcelona")</f>
        <v>Provincia de Barcelona</v>
      </c>
      <c r="D844" s="2" t="str">
        <f>IFERROR(__xludf.DUMMYFUNCTION("""COMPUTED_VALUE"""),"Cataluña")</f>
        <v>Cataluña</v>
      </c>
      <c r="E844" s="2">
        <f>IFERROR(__xludf.DUMMYFUNCTION("""COMPUTED_VALUE"""),247.0)</f>
        <v>247</v>
      </c>
      <c r="F844" s="2">
        <f>IFERROR(__xludf.DUMMYFUNCTION("""COMPUTED_VALUE"""),22.03)</f>
        <v>22.03</v>
      </c>
      <c r="G844" s="4">
        <f>IFERROR(__xludf.DUMMYFUNCTION("""COMPUTED_VALUE"""),8703.0)</f>
        <v>8703</v>
      </c>
      <c r="H844" s="2">
        <f>IFERROR(__xludf.DUMMYFUNCTION("""COMPUTED_VALUE"""),395.05)</f>
        <v>395.05</v>
      </c>
    </row>
    <row r="845">
      <c r="A845" s="2" t="str">
        <f>IFERROR(__xludf.DUMMYFUNCTION("""COMPUTED_VALUE"""),"Silleda")</f>
        <v>Silleda</v>
      </c>
      <c r="B845" s="2"/>
      <c r="C845" s="2" t="str">
        <f>IFERROR(__xludf.DUMMYFUNCTION("""COMPUTED_VALUE"""),"Provincia de Pontevedra")</f>
        <v>Provincia de Pontevedra</v>
      </c>
      <c r="D845" s="2" t="str">
        <f>IFERROR(__xludf.DUMMYFUNCTION("""COMPUTED_VALUE"""),"Galicia")</f>
        <v>Galicia</v>
      </c>
      <c r="E845" s="2">
        <f>IFERROR(__xludf.DUMMYFUNCTION("""COMPUTED_VALUE"""),524.0)</f>
        <v>524</v>
      </c>
      <c r="F845" s="2">
        <f>IFERROR(__xludf.DUMMYFUNCTION("""COMPUTED_VALUE"""),167.96)</f>
        <v>167.96</v>
      </c>
      <c r="G845" s="4">
        <f>IFERROR(__xludf.DUMMYFUNCTION("""COMPUTED_VALUE"""),8687.0)</f>
        <v>8687</v>
      </c>
      <c r="H845" s="2">
        <f>IFERROR(__xludf.DUMMYFUNCTION("""COMPUTED_VALUE"""),51.72)</f>
        <v>51.72</v>
      </c>
    </row>
    <row r="846">
      <c r="A846" s="2" t="str">
        <f>IFERROR(__xludf.DUMMYFUNCTION("""COMPUTED_VALUE"""),"Catral")</f>
        <v>Catral</v>
      </c>
      <c r="B846" s="2" t="str">
        <f>IFERROR(__xludf.DUMMYFUNCTION("""COMPUTED_VALUE"""),"Vega Baja del Segura")</f>
        <v>Vega Baja del Segura</v>
      </c>
      <c r="C846" s="2" t="str">
        <f>IFERROR(__xludf.DUMMYFUNCTION("""COMPUTED_VALUE"""),"Provincia de Alicante")</f>
        <v>Provincia de Alicante</v>
      </c>
      <c r="D846" s="2" t="str">
        <f>IFERROR(__xludf.DUMMYFUNCTION("""COMPUTED_VALUE"""),"Comunidad Valenciana")</f>
        <v>Comunidad Valenciana</v>
      </c>
      <c r="E846" s="2">
        <f>IFERROR(__xludf.DUMMYFUNCTION("""COMPUTED_VALUE"""),12.0)</f>
        <v>12</v>
      </c>
      <c r="F846" s="2">
        <f>IFERROR(__xludf.DUMMYFUNCTION("""COMPUTED_VALUE"""),20.02)</f>
        <v>20.02</v>
      </c>
      <c r="G846" s="4">
        <f>IFERROR(__xludf.DUMMYFUNCTION("""COMPUTED_VALUE"""),8639.0)</f>
        <v>8639</v>
      </c>
      <c r="H846" s="2">
        <f>IFERROR(__xludf.DUMMYFUNCTION("""COMPUTED_VALUE"""),431.52)</f>
        <v>431.52</v>
      </c>
    </row>
    <row r="847">
      <c r="A847" s="2" t="str">
        <f>IFERROR(__xludf.DUMMYFUNCTION("""COMPUTED_VALUE"""),"El Puig de Santa Maria")</f>
        <v>El Puig de Santa Maria</v>
      </c>
      <c r="B847" s="2" t="str">
        <f>IFERROR(__xludf.DUMMYFUNCTION("""COMPUTED_VALUE"""),"Huerta Norte")</f>
        <v>Huerta Norte</v>
      </c>
      <c r="C847" s="2" t="str">
        <f>IFERROR(__xludf.DUMMYFUNCTION("""COMPUTED_VALUE"""),"Provincia de València")</f>
        <v>Provincia de València</v>
      </c>
      <c r="D847" s="2" t="str">
        <f>IFERROR(__xludf.DUMMYFUNCTION("""COMPUTED_VALUE"""),"Comunidad Valenciana")</f>
        <v>Comunidad Valenciana</v>
      </c>
      <c r="E847" s="2">
        <f>IFERROR(__xludf.DUMMYFUNCTION("""COMPUTED_VALUE"""),50.0)</f>
        <v>50</v>
      </c>
      <c r="F847" s="2">
        <f>IFERROR(__xludf.DUMMYFUNCTION("""COMPUTED_VALUE"""),26.8)</f>
        <v>26.8</v>
      </c>
      <c r="G847" s="4">
        <f>IFERROR(__xludf.DUMMYFUNCTION("""COMPUTED_VALUE"""),8630.0)</f>
        <v>8630</v>
      </c>
      <c r="H847" s="2">
        <f>IFERROR(__xludf.DUMMYFUNCTION("""COMPUTED_VALUE"""),322.01)</f>
        <v>322.01</v>
      </c>
    </row>
    <row r="848">
      <c r="A848" s="2" t="str">
        <f>IFERROR(__xludf.DUMMYFUNCTION("""COMPUTED_VALUE"""),"Villablino")</f>
        <v>Villablino</v>
      </c>
      <c r="B848" s="2" t="str">
        <f>IFERROR(__xludf.DUMMYFUNCTION("""COMPUTED_VALUE"""),"Laciana")</f>
        <v>Laciana</v>
      </c>
      <c r="C848" s="2" t="str">
        <f>IFERROR(__xludf.DUMMYFUNCTION("""COMPUTED_VALUE"""),"Provincia de León")</f>
        <v>Provincia de León</v>
      </c>
      <c r="D848" s="2" t="str">
        <f>IFERROR(__xludf.DUMMYFUNCTION("""COMPUTED_VALUE"""),"Castilla y León")</f>
        <v>Castilla y León</v>
      </c>
      <c r="E848" s="4">
        <f>IFERROR(__xludf.DUMMYFUNCTION("""COMPUTED_VALUE"""),1003.0)</f>
        <v>1003</v>
      </c>
      <c r="F848" s="2">
        <f>IFERROR(__xludf.DUMMYFUNCTION("""COMPUTED_VALUE"""),228.24)</f>
        <v>228.24</v>
      </c>
      <c r="G848" s="4">
        <f>IFERROR(__xludf.DUMMYFUNCTION("""COMPUTED_VALUE"""),8620.0)</f>
        <v>8620</v>
      </c>
      <c r="H848" s="2">
        <f>IFERROR(__xludf.DUMMYFUNCTION("""COMPUTED_VALUE"""),37.77)</f>
        <v>37.77</v>
      </c>
    </row>
    <row r="849">
      <c r="A849" s="2" t="str">
        <f>IFERROR(__xludf.DUMMYFUNCTION("""COMPUTED_VALUE"""),"El Cuervo de Sevilla")</f>
        <v>El Cuervo de Sevilla</v>
      </c>
      <c r="B849" s="2" t="str">
        <f>IFERROR(__xludf.DUMMYFUNCTION("""COMPUTED_VALUE"""),"Bajo Guadalquivir (comarca)")</f>
        <v>Bajo Guadalquivir (comarca)</v>
      </c>
      <c r="C849" s="2" t="str">
        <f>IFERROR(__xludf.DUMMYFUNCTION("""COMPUTED_VALUE"""),"Provincia de Sevilla")</f>
        <v>Provincia de Sevilla</v>
      </c>
      <c r="D849" s="2" t="str">
        <f>IFERROR(__xludf.DUMMYFUNCTION("""COMPUTED_VALUE"""),"Andalucía")</f>
        <v>Andalucía</v>
      </c>
      <c r="E849" s="2">
        <f>IFERROR(__xludf.DUMMYFUNCTION("""COMPUTED_VALUE"""),63.0)</f>
        <v>63</v>
      </c>
      <c r="F849" s="2">
        <f>IFERROR(__xludf.DUMMYFUNCTION("""COMPUTED_VALUE"""),30.44)</f>
        <v>30.44</v>
      </c>
      <c r="G849" s="4">
        <f>IFERROR(__xludf.DUMMYFUNCTION("""COMPUTED_VALUE"""),8610.0)</f>
        <v>8610</v>
      </c>
      <c r="H849" s="2">
        <f>IFERROR(__xludf.DUMMYFUNCTION("""COMPUTED_VALUE"""),282.85)</f>
        <v>282.85</v>
      </c>
    </row>
    <row r="850">
      <c r="A850" s="2" t="str">
        <f>IFERROR(__xludf.DUMMYFUNCTION("""COMPUTED_VALUE"""),"Binissalem")</f>
        <v>Binissalem</v>
      </c>
      <c r="B850" s="2" t="str">
        <f>IFERROR(__xludf.DUMMYFUNCTION("""COMPUTED_VALUE"""),"Raiguer")</f>
        <v>Raiguer</v>
      </c>
      <c r="C850" s="2" t="str">
        <f>IFERROR(__xludf.DUMMYFUNCTION("""COMPUTED_VALUE"""),"Provincia de Baleares")</f>
        <v>Provincia de Baleares</v>
      </c>
      <c r="D850" s="2" t="str">
        <f>IFERROR(__xludf.DUMMYFUNCTION("""COMPUTED_VALUE"""),"Islas Baleares")</f>
        <v>Islas Baleares</v>
      </c>
      <c r="E850" s="2">
        <f>IFERROR(__xludf.DUMMYFUNCTION("""COMPUTED_VALUE"""),139.0)</f>
        <v>139</v>
      </c>
      <c r="F850" s="2">
        <f>IFERROR(__xludf.DUMMYFUNCTION("""COMPUTED_VALUE"""),29.77)</f>
        <v>29.77</v>
      </c>
      <c r="G850" s="4">
        <f>IFERROR(__xludf.DUMMYFUNCTION("""COMPUTED_VALUE"""),8567.0)</f>
        <v>8567</v>
      </c>
      <c r="H850" s="2">
        <f>IFERROR(__xludf.DUMMYFUNCTION("""COMPUTED_VALUE"""),287.77)</f>
        <v>287.77</v>
      </c>
    </row>
    <row r="851">
      <c r="A851" s="2" t="str">
        <f>IFERROR(__xludf.DUMMYFUNCTION("""COMPUTED_VALUE"""),"Zuera")</f>
        <v>Zuera</v>
      </c>
      <c r="B851" s="2" t="str">
        <f>IFERROR(__xludf.DUMMYFUNCTION("""COMPUTED_VALUE"""),"Zaragoza (comarca)")</f>
        <v>Zaragoza (comarca)</v>
      </c>
      <c r="C851" s="2" t="str">
        <f>IFERROR(__xludf.DUMMYFUNCTION("""COMPUTED_VALUE"""),"Provincia de Zaragoza")</f>
        <v>Provincia de Zaragoza</v>
      </c>
      <c r="D851" s="2" t="str">
        <f>IFERROR(__xludf.DUMMYFUNCTION("""COMPUTED_VALUE"""),"Aragón")</f>
        <v>Aragón</v>
      </c>
      <c r="E851" s="2">
        <f>IFERROR(__xludf.DUMMYFUNCTION("""COMPUTED_VALUE"""),280.0)</f>
        <v>280</v>
      </c>
      <c r="F851" s="2">
        <f>IFERROR(__xludf.DUMMYFUNCTION("""COMPUTED_VALUE"""),332.25)</f>
        <v>332.25</v>
      </c>
      <c r="G851" s="4">
        <f>IFERROR(__xludf.DUMMYFUNCTION("""COMPUTED_VALUE"""),8565.0)</f>
        <v>8565</v>
      </c>
      <c r="H851" s="2">
        <f>IFERROR(__xludf.DUMMYFUNCTION("""COMPUTED_VALUE"""),25.78)</f>
        <v>25.78</v>
      </c>
    </row>
    <row r="852">
      <c r="A852" s="2" t="str">
        <f>IFERROR(__xludf.DUMMYFUNCTION("""COMPUTED_VALUE"""),"Tudela de Duero")</f>
        <v>Tudela de Duero</v>
      </c>
      <c r="B852" s="2" t="str">
        <f>IFERROR(__xludf.DUMMYFUNCTION("""COMPUTED_VALUE"""),"Ribera del Duero")</f>
        <v>Ribera del Duero</v>
      </c>
      <c r="C852" s="2" t="str">
        <f>IFERROR(__xludf.DUMMYFUNCTION("""COMPUTED_VALUE"""),"Provincia de Valladolid")</f>
        <v>Provincia de Valladolid</v>
      </c>
      <c r="D852" s="2" t="str">
        <f>IFERROR(__xludf.DUMMYFUNCTION("""COMPUTED_VALUE"""),"Castilla y León")</f>
        <v>Castilla y León</v>
      </c>
      <c r="E852" s="2">
        <f>IFERROR(__xludf.DUMMYFUNCTION("""COMPUTED_VALUE"""),700.0)</f>
        <v>700</v>
      </c>
      <c r="F852" s="2">
        <f>IFERROR(__xludf.DUMMYFUNCTION("""COMPUTED_VALUE"""),60.52)</f>
        <v>60.52</v>
      </c>
      <c r="G852" s="4">
        <f>IFERROR(__xludf.DUMMYFUNCTION("""COMPUTED_VALUE"""),8564.0)</f>
        <v>8564</v>
      </c>
      <c r="H852" s="2">
        <f>IFERROR(__xludf.DUMMYFUNCTION("""COMPUTED_VALUE"""),141.51)</f>
        <v>141.51</v>
      </c>
    </row>
    <row r="853">
      <c r="A853" s="2" t="str">
        <f>IFERROR(__xludf.DUMMYFUNCTION("""COMPUTED_VALUE"""),"Muros (A Coruña)")</f>
        <v>Muros (A Coruña)</v>
      </c>
      <c r="B853" s="2" t="str">
        <f>IFERROR(__xludf.DUMMYFUNCTION("""COMPUTED_VALUE"""),"Comarca de Muros")</f>
        <v>Comarca de Muros</v>
      </c>
      <c r="C853" s="2" t="str">
        <f>IFERROR(__xludf.DUMMYFUNCTION("""COMPUTED_VALUE"""),"Provincia de A Coruña")</f>
        <v>Provincia de A Coruña</v>
      </c>
      <c r="D853" s="2" t="str">
        <f>IFERROR(__xludf.DUMMYFUNCTION("""COMPUTED_VALUE"""),"Galicia")</f>
        <v>Galicia</v>
      </c>
      <c r="E853" s="2">
        <f>IFERROR(__xludf.DUMMYFUNCTION("""COMPUTED_VALUE"""),581.0)</f>
        <v>581</v>
      </c>
      <c r="F853" s="2">
        <f>IFERROR(__xludf.DUMMYFUNCTION("""COMPUTED_VALUE"""),72.91)</f>
        <v>72.91</v>
      </c>
      <c r="G853" s="4">
        <f>IFERROR(__xludf.DUMMYFUNCTION("""COMPUTED_VALUE"""),8556.0)</f>
        <v>8556</v>
      </c>
      <c r="H853" s="2">
        <f>IFERROR(__xludf.DUMMYFUNCTION("""COMPUTED_VALUE"""),117.35)</f>
        <v>117.35</v>
      </c>
    </row>
    <row r="854">
      <c r="A854" s="2" t="str">
        <f>IFERROR(__xludf.DUMMYFUNCTION("""COMPUTED_VALUE"""),"Santiponce")</f>
        <v>Santiponce</v>
      </c>
      <c r="B854" s="2" t="str">
        <f>IFERROR(__xludf.DUMMYFUNCTION("""COMPUTED_VALUE"""),"Comarca Metropolitana de Sevilla")</f>
        <v>Comarca Metropolitana de Sevilla</v>
      </c>
      <c r="C854" s="2" t="str">
        <f>IFERROR(__xludf.DUMMYFUNCTION("""COMPUTED_VALUE"""),"Provincia de Sevilla")</f>
        <v>Provincia de Sevilla</v>
      </c>
      <c r="D854" s="2" t="str">
        <f>IFERROR(__xludf.DUMMYFUNCTION("""COMPUTED_VALUE"""),"Andalucía")</f>
        <v>Andalucía</v>
      </c>
      <c r="E854" s="2">
        <f>IFERROR(__xludf.DUMMYFUNCTION("""COMPUTED_VALUE"""),18.0)</f>
        <v>18</v>
      </c>
      <c r="F854" s="2">
        <f>IFERROR(__xludf.DUMMYFUNCTION("""COMPUTED_VALUE"""),8.39)</f>
        <v>8.39</v>
      </c>
      <c r="G854" s="4">
        <f>IFERROR(__xludf.DUMMYFUNCTION("""COMPUTED_VALUE"""),8554.0)</f>
        <v>8554</v>
      </c>
      <c r="H854" s="5">
        <f>IFERROR(__xludf.DUMMYFUNCTION("""COMPUTED_VALUE"""),1019.55)</f>
        <v>1019.55</v>
      </c>
    </row>
    <row r="855">
      <c r="A855" s="2" t="str">
        <f>IFERROR(__xludf.DUMMYFUNCTION("""COMPUTED_VALUE"""),"Cheste")</f>
        <v>Cheste</v>
      </c>
      <c r="B855" s="2" t="str">
        <f>IFERROR(__xludf.DUMMYFUNCTION("""COMPUTED_VALUE"""),"Hoya de Buñol")</f>
        <v>Hoya de Buñol</v>
      </c>
      <c r="C855" s="2" t="str">
        <f>IFERROR(__xludf.DUMMYFUNCTION("""COMPUTED_VALUE"""),"Provincia de València")</f>
        <v>Provincia de València</v>
      </c>
      <c r="D855" s="2" t="str">
        <f>IFERROR(__xludf.DUMMYFUNCTION("""COMPUTED_VALUE"""),"Comunidad Valenciana")</f>
        <v>Comunidad Valenciana</v>
      </c>
      <c r="E855" s="2">
        <f>IFERROR(__xludf.DUMMYFUNCTION("""COMPUTED_VALUE"""),110.0)</f>
        <v>110</v>
      </c>
      <c r="F855" s="2">
        <f>IFERROR(__xludf.DUMMYFUNCTION("""COMPUTED_VALUE"""),71.44)</f>
        <v>71.44</v>
      </c>
      <c r="G855" s="4">
        <f>IFERROR(__xludf.DUMMYFUNCTION("""COMPUTED_VALUE"""),8494.0)</f>
        <v>8494</v>
      </c>
      <c r="H855" s="2">
        <f>IFERROR(__xludf.DUMMYFUNCTION("""COMPUTED_VALUE"""),118.9)</f>
        <v>118.9</v>
      </c>
    </row>
    <row r="856">
      <c r="A856" s="2" t="str">
        <f>IFERROR(__xludf.DUMMYFUNCTION("""COMPUTED_VALUE"""),"Colindres")</f>
        <v>Colindres</v>
      </c>
      <c r="B856" s="2" t="str">
        <f>IFERROR(__xludf.DUMMYFUNCTION("""COMPUTED_VALUE"""),"Comarca de la Costa Oriental")</f>
        <v>Comarca de la Costa Oriental</v>
      </c>
      <c r="C856" s="2" t="str">
        <f>IFERROR(__xludf.DUMMYFUNCTION("""COMPUTED_VALUE"""),"Provincia de Cantabria")</f>
        <v>Provincia de Cantabria</v>
      </c>
      <c r="D856" s="2" t="str">
        <f>IFERROR(__xludf.DUMMYFUNCTION("""COMPUTED_VALUE"""),"Cantabria")</f>
        <v>Cantabria</v>
      </c>
      <c r="E856" s="2">
        <f>IFERROR(__xludf.DUMMYFUNCTION("""COMPUTED_VALUE"""),10.0)</f>
        <v>10</v>
      </c>
      <c r="F856" s="2">
        <f>IFERROR(__xludf.DUMMYFUNCTION("""COMPUTED_VALUE"""),5.92)</f>
        <v>5.92</v>
      </c>
      <c r="G856" s="4">
        <f>IFERROR(__xludf.DUMMYFUNCTION("""COMPUTED_VALUE"""),8484.0)</f>
        <v>8484</v>
      </c>
      <c r="H856" s="5">
        <f>IFERROR(__xludf.DUMMYFUNCTION("""COMPUTED_VALUE"""),1433.11)</f>
        <v>1433.11</v>
      </c>
    </row>
    <row r="857">
      <c r="A857" s="2" t="str">
        <f>IFERROR(__xludf.DUMMYFUNCTION("""COMPUTED_VALUE"""),"Polinyà")</f>
        <v>Polinyà</v>
      </c>
      <c r="B857" s="2" t="str">
        <f>IFERROR(__xludf.DUMMYFUNCTION("""COMPUTED_VALUE"""),"Vallès Occidental")</f>
        <v>Vallès Occidental</v>
      </c>
      <c r="C857" s="2" t="str">
        <f>IFERROR(__xludf.DUMMYFUNCTION("""COMPUTED_VALUE"""),"Provincia de Barcelona")</f>
        <v>Provincia de Barcelona</v>
      </c>
      <c r="D857" s="2" t="str">
        <f>IFERROR(__xludf.DUMMYFUNCTION("""COMPUTED_VALUE"""),"Cataluña")</f>
        <v>Cataluña</v>
      </c>
      <c r="E857" s="2">
        <f>IFERROR(__xludf.DUMMYFUNCTION("""COMPUTED_VALUE"""),123.0)</f>
        <v>123</v>
      </c>
      <c r="F857" s="2">
        <f>IFERROR(__xludf.DUMMYFUNCTION("""COMPUTED_VALUE"""),8.81)</f>
        <v>8.81</v>
      </c>
      <c r="G857" s="4">
        <f>IFERROR(__xludf.DUMMYFUNCTION("""COMPUTED_VALUE"""),8479.0)</f>
        <v>8479</v>
      </c>
      <c r="H857" s="2">
        <f>IFERROR(__xludf.DUMMYFUNCTION("""COMPUTED_VALUE"""),962.43)</f>
        <v>962.43</v>
      </c>
    </row>
    <row r="858">
      <c r="A858" s="2" t="str">
        <f>IFERROR(__xludf.DUMMYFUNCTION("""COMPUTED_VALUE"""),"L' Ametlla del Vallès")</f>
        <v>L' Ametlla del Vallès</v>
      </c>
      <c r="B858" s="2" t="str">
        <f>IFERROR(__xludf.DUMMYFUNCTION("""COMPUTED_VALUE"""),"Vallès Oriental")</f>
        <v>Vallès Oriental</v>
      </c>
      <c r="C858" s="2" t="str">
        <f>IFERROR(__xludf.DUMMYFUNCTION("""COMPUTED_VALUE"""),"Provincia de Barcelona")</f>
        <v>Provincia de Barcelona</v>
      </c>
      <c r="D858" s="2" t="str">
        <f>IFERROR(__xludf.DUMMYFUNCTION("""COMPUTED_VALUE"""),"Cataluña")</f>
        <v>Cataluña</v>
      </c>
      <c r="E858" s="2">
        <f>IFERROR(__xludf.DUMMYFUNCTION("""COMPUTED_VALUE"""),281.0)</f>
        <v>281</v>
      </c>
      <c r="F858" s="2">
        <f>IFERROR(__xludf.DUMMYFUNCTION("""COMPUTED_VALUE"""),14.21)</f>
        <v>14.21</v>
      </c>
      <c r="G858" s="4">
        <f>IFERROR(__xludf.DUMMYFUNCTION("""COMPUTED_VALUE"""),8462.0)</f>
        <v>8462</v>
      </c>
      <c r="H858" s="2">
        <f>IFERROR(__xludf.DUMMYFUNCTION("""COMPUTED_VALUE"""),595.5)</f>
        <v>595.5</v>
      </c>
    </row>
    <row r="859">
      <c r="A859" s="2" t="str">
        <f>IFERROR(__xludf.DUMMYFUNCTION("""COMPUTED_VALUE"""),"San Martín de Valdeiglesias")</f>
        <v>San Martín de Valdeiglesias</v>
      </c>
      <c r="B859" s="2" t="str">
        <f>IFERROR(__xludf.DUMMYFUNCTION("""COMPUTED_VALUE"""),"Alberche-Tiétar")</f>
        <v>Alberche-Tiétar</v>
      </c>
      <c r="C859" s="2" t="str">
        <f>IFERROR(__xludf.DUMMYFUNCTION("""COMPUTED_VALUE"""),"Provincia de Madrid")</f>
        <v>Provincia de Madrid</v>
      </c>
      <c r="D859" s="2" t="str">
        <f>IFERROR(__xludf.DUMMYFUNCTION("""COMPUTED_VALUE"""),"Comunidad de Madrid")</f>
        <v>Comunidad de Madrid</v>
      </c>
      <c r="E859" s="2">
        <f>IFERROR(__xludf.DUMMYFUNCTION("""COMPUTED_VALUE"""),681.0)</f>
        <v>681</v>
      </c>
      <c r="F859" s="2">
        <f>IFERROR(__xludf.DUMMYFUNCTION("""COMPUTED_VALUE"""),115.48)</f>
        <v>115.48</v>
      </c>
      <c r="G859" s="4">
        <f>IFERROR(__xludf.DUMMYFUNCTION("""COMPUTED_VALUE"""),8459.0)</f>
        <v>8459</v>
      </c>
      <c r="H859" s="2">
        <f>IFERROR(__xludf.DUMMYFUNCTION("""COMPUTED_VALUE"""),73.25)</f>
        <v>73.25</v>
      </c>
    </row>
    <row r="860">
      <c r="A860" s="2" t="str">
        <f>IFERROR(__xludf.DUMMYFUNCTION("""COMPUTED_VALUE"""),"Llagostera")</f>
        <v>Llagostera</v>
      </c>
      <c r="B860" s="2" t="str">
        <f>IFERROR(__xludf.DUMMYFUNCTION("""COMPUTED_VALUE"""),"Gironès")</f>
        <v>Gironès</v>
      </c>
      <c r="C860" s="2" t="str">
        <f>IFERROR(__xludf.DUMMYFUNCTION("""COMPUTED_VALUE"""),"Provincia de Girona")</f>
        <v>Provincia de Girona</v>
      </c>
      <c r="D860" s="2" t="str">
        <f>IFERROR(__xludf.DUMMYFUNCTION("""COMPUTED_VALUE"""),"Cataluña")</f>
        <v>Cataluña</v>
      </c>
      <c r="E860" s="2">
        <f>IFERROR(__xludf.DUMMYFUNCTION("""COMPUTED_VALUE"""),160.0)</f>
        <v>160</v>
      </c>
      <c r="F860" s="2">
        <f>IFERROR(__xludf.DUMMYFUNCTION("""COMPUTED_VALUE"""),77.07)</f>
        <v>77.07</v>
      </c>
      <c r="G860" s="4">
        <f>IFERROR(__xludf.DUMMYFUNCTION("""COMPUTED_VALUE"""),8453.0)</f>
        <v>8453</v>
      </c>
      <c r="H860" s="2">
        <f>IFERROR(__xludf.DUMMYFUNCTION("""COMPUTED_VALUE"""),109.68)</f>
        <v>109.68</v>
      </c>
    </row>
    <row r="861">
      <c r="A861" s="2" t="str">
        <f>IFERROR(__xludf.DUMMYFUNCTION("""COMPUTED_VALUE"""),"Zalla")</f>
        <v>Zalla</v>
      </c>
      <c r="B861" s="2" t="str">
        <f>IFERROR(__xludf.DUMMYFUNCTION("""COMPUTED_VALUE"""),"Las Encartaciones")</f>
        <v>Las Encartaciones</v>
      </c>
      <c r="C861" s="2" t="str">
        <f>IFERROR(__xludf.DUMMYFUNCTION("""COMPUTED_VALUE"""),"Provincia de Bizkaia")</f>
        <v>Provincia de Bizkaia</v>
      </c>
      <c r="D861" s="2" t="str">
        <f>IFERROR(__xludf.DUMMYFUNCTION("""COMPUTED_VALUE"""),"País Vasco")</f>
        <v>País Vasco</v>
      </c>
      <c r="E861" s="2">
        <f>IFERROR(__xludf.DUMMYFUNCTION("""COMPUTED_VALUE"""),96.0)</f>
        <v>96</v>
      </c>
      <c r="F861" s="2">
        <f>IFERROR(__xludf.DUMMYFUNCTION("""COMPUTED_VALUE"""),31.1)</f>
        <v>31.1</v>
      </c>
      <c r="G861" s="4">
        <f>IFERROR(__xludf.DUMMYFUNCTION("""COMPUTED_VALUE"""),8447.0)</f>
        <v>8447</v>
      </c>
      <c r="H861" s="2">
        <f>IFERROR(__xludf.DUMMYFUNCTION("""COMPUTED_VALUE"""),271.61)</f>
        <v>271.61</v>
      </c>
    </row>
    <row r="862">
      <c r="A862" s="2" t="str">
        <f>IFERROR(__xludf.DUMMYFUNCTION("""COMPUTED_VALUE"""),"Campillos")</f>
        <v>Campillos</v>
      </c>
      <c r="B862" s="2" t="str">
        <f>IFERROR(__xludf.DUMMYFUNCTION("""COMPUTED_VALUE"""),"Comarca de Antequera")</f>
        <v>Comarca de Antequera</v>
      </c>
      <c r="C862" s="2" t="str">
        <f>IFERROR(__xludf.DUMMYFUNCTION("""COMPUTED_VALUE"""),"Provincia de Málaga")</f>
        <v>Provincia de Málaga</v>
      </c>
      <c r="D862" s="2" t="str">
        <f>IFERROR(__xludf.DUMMYFUNCTION("""COMPUTED_VALUE"""),"Andalucía")</f>
        <v>Andalucía</v>
      </c>
      <c r="E862" s="2">
        <f>IFERROR(__xludf.DUMMYFUNCTION("""COMPUTED_VALUE"""),461.0)</f>
        <v>461</v>
      </c>
      <c r="F862" s="2">
        <f>IFERROR(__xludf.DUMMYFUNCTION("""COMPUTED_VALUE"""),187.44)</f>
        <v>187.44</v>
      </c>
      <c r="G862" s="4">
        <f>IFERROR(__xludf.DUMMYFUNCTION("""COMPUTED_VALUE"""),8444.0)</f>
        <v>8444</v>
      </c>
      <c r="H862" s="2">
        <f>IFERROR(__xludf.DUMMYFUNCTION("""COMPUTED_VALUE"""),45.05)</f>
        <v>45.05</v>
      </c>
    </row>
    <row r="863">
      <c r="A863" s="2" t="str">
        <f>IFERROR(__xludf.DUMMYFUNCTION("""COMPUTED_VALUE"""),"Hoyo de Manzanares")</f>
        <v>Hoyo de Manzanares</v>
      </c>
      <c r="B863" s="2"/>
      <c r="C863" s="2" t="str">
        <f>IFERROR(__xludf.DUMMYFUNCTION("""COMPUTED_VALUE"""),"Provincia de Madrid")</f>
        <v>Provincia de Madrid</v>
      </c>
      <c r="D863" s="2" t="str">
        <f>IFERROR(__xludf.DUMMYFUNCTION("""COMPUTED_VALUE"""),"Comunidad de Madrid")</f>
        <v>Comunidad de Madrid</v>
      </c>
      <c r="E863" s="4">
        <f>IFERROR(__xludf.DUMMYFUNCTION("""COMPUTED_VALUE"""),1001.0)</f>
        <v>1001</v>
      </c>
      <c r="F863" s="2">
        <f>IFERROR(__xludf.DUMMYFUNCTION("""COMPUTED_VALUE"""),45.31)</f>
        <v>45.31</v>
      </c>
      <c r="G863" s="4">
        <f>IFERROR(__xludf.DUMMYFUNCTION("""COMPUTED_VALUE"""),8434.0)</f>
        <v>8434</v>
      </c>
      <c r="H863" s="2">
        <f>IFERROR(__xludf.DUMMYFUNCTION("""COMPUTED_VALUE"""),186.14)</f>
        <v>186.14</v>
      </c>
    </row>
    <row r="864">
      <c r="A864" s="2" t="str">
        <f>IFERROR(__xludf.DUMMYFUNCTION("""COMPUTED_VALUE"""),"Sant Llorenç des Cardassar")</f>
        <v>Sant Llorenç des Cardassar</v>
      </c>
      <c r="B864" s="2" t="str">
        <f>IFERROR(__xludf.DUMMYFUNCTION("""COMPUTED_VALUE"""),"Llevant")</f>
        <v>Llevant</v>
      </c>
      <c r="C864" s="2" t="str">
        <f>IFERROR(__xludf.DUMMYFUNCTION("""COMPUTED_VALUE"""),"Provincia de Baleares")</f>
        <v>Provincia de Baleares</v>
      </c>
      <c r="D864" s="2" t="str">
        <f>IFERROR(__xludf.DUMMYFUNCTION("""COMPUTED_VALUE"""),"Islas Baleares")</f>
        <v>Islas Baleares</v>
      </c>
      <c r="E864" s="2">
        <f>IFERROR(__xludf.DUMMYFUNCTION("""COMPUTED_VALUE"""),74.0)</f>
        <v>74</v>
      </c>
      <c r="F864" s="2">
        <f>IFERROR(__xludf.DUMMYFUNCTION("""COMPUTED_VALUE"""),82.08)</f>
        <v>82.08</v>
      </c>
      <c r="G864" s="4">
        <f>IFERROR(__xludf.DUMMYFUNCTION("""COMPUTED_VALUE"""),8431.0)</f>
        <v>8431</v>
      </c>
      <c r="H864" s="2">
        <f>IFERROR(__xludf.DUMMYFUNCTION("""COMPUTED_VALUE"""),102.72)</f>
        <v>102.72</v>
      </c>
    </row>
    <row r="865">
      <c r="A865" s="2" t="str">
        <f>IFERROR(__xludf.DUMMYFUNCTION("""COMPUTED_VALUE"""),"Padul")</f>
        <v>Padul</v>
      </c>
      <c r="B865" s="2" t="str">
        <f>IFERROR(__xludf.DUMMYFUNCTION("""COMPUTED_VALUE"""),"Valle de Lecrín")</f>
        <v>Valle de Lecrín</v>
      </c>
      <c r="C865" s="2" t="str">
        <f>IFERROR(__xludf.DUMMYFUNCTION("""COMPUTED_VALUE"""),"Provincia de Granada")</f>
        <v>Provincia de Granada</v>
      </c>
      <c r="D865" s="2" t="str">
        <f>IFERROR(__xludf.DUMMYFUNCTION("""COMPUTED_VALUE"""),"Andalucía")</f>
        <v>Andalucía</v>
      </c>
      <c r="E865" s="2">
        <f>IFERROR(__xludf.DUMMYFUNCTION("""COMPUTED_VALUE"""),744.0)</f>
        <v>744</v>
      </c>
      <c r="F865" s="2">
        <f>IFERROR(__xludf.DUMMYFUNCTION("""COMPUTED_VALUE"""),89.15)</f>
        <v>89.15</v>
      </c>
      <c r="G865" s="4">
        <f>IFERROR(__xludf.DUMMYFUNCTION("""COMPUTED_VALUE"""),8420.0)</f>
        <v>8420</v>
      </c>
      <c r="H865" s="2">
        <f>IFERROR(__xludf.DUMMYFUNCTION("""COMPUTED_VALUE"""),94.45)</f>
        <v>94.45</v>
      </c>
    </row>
    <row r="866">
      <c r="A866" s="2" t="str">
        <f>IFERROR(__xludf.DUMMYFUNCTION("""COMPUTED_VALUE"""),"Ondarroa")</f>
        <v>Ondarroa</v>
      </c>
      <c r="B866" s="2" t="str">
        <f>IFERROR(__xludf.DUMMYFUNCTION("""COMPUTED_VALUE"""),"Lea Artibai")</f>
        <v>Lea Artibai</v>
      </c>
      <c r="C866" s="2" t="str">
        <f>IFERROR(__xludf.DUMMYFUNCTION("""COMPUTED_VALUE"""),"Provincia de Bizkaia")</f>
        <v>Provincia de Bizkaia</v>
      </c>
      <c r="D866" s="2" t="str">
        <f>IFERROR(__xludf.DUMMYFUNCTION("""COMPUTED_VALUE"""),"País Vasco")</f>
        <v>País Vasco</v>
      </c>
      <c r="E866" s="2">
        <f>IFERROR(__xludf.DUMMYFUNCTION("""COMPUTED_VALUE"""),6.0)</f>
        <v>6</v>
      </c>
      <c r="F866" s="2">
        <f>IFERROR(__xludf.DUMMYFUNCTION("""COMPUTED_VALUE"""),4.3)</f>
        <v>4.3</v>
      </c>
      <c r="G866" s="4">
        <f>IFERROR(__xludf.DUMMYFUNCTION("""COMPUTED_VALUE"""),8400.0)</f>
        <v>8400</v>
      </c>
      <c r="H866" s="5">
        <f>IFERROR(__xludf.DUMMYFUNCTION("""COMPUTED_VALUE"""),1953.49)</f>
        <v>1953.49</v>
      </c>
    </row>
    <row r="867">
      <c r="A867" s="2" t="str">
        <f>IFERROR(__xludf.DUMMYFUNCTION("""COMPUTED_VALUE"""),"Ortuella")</f>
        <v>Ortuella</v>
      </c>
      <c r="B867" s="2" t="str">
        <f>IFERROR(__xludf.DUMMYFUNCTION("""COMPUTED_VALUE"""),"Gran Bilbao")</f>
        <v>Gran Bilbao</v>
      </c>
      <c r="C867" s="2" t="str">
        <f>IFERROR(__xludf.DUMMYFUNCTION("""COMPUTED_VALUE"""),"Provincia de Bizkaia")</f>
        <v>Provincia de Bizkaia</v>
      </c>
      <c r="D867" s="2" t="str">
        <f>IFERROR(__xludf.DUMMYFUNCTION("""COMPUTED_VALUE"""),"País Vasco")</f>
        <v>País Vasco</v>
      </c>
      <c r="E867" s="2">
        <f>IFERROR(__xludf.DUMMYFUNCTION("""COMPUTED_VALUE"""),66.0)</f>
        <v>66</v>
      </c>
      <c r="F867" s="2">
        <f>IFERROR(__xludf.DUMMYFUNCTION("""COMPUTED_VALUE"""),7.95)</f>
        <v>7.95</v>
      </c>
      <c r="G867" s="4">
        <f>IFERROR(__xludf.DUMMYFUNCTION("""COMPUTED_VALUE"""),8395.0)</f>
        <v>8395</v>
      </c>
      <c r="H867" s="5">
        <f>IFERROR(__xludf.DUMMYFUNCTION("""COMPUTED_VALUE"""),1055.97)</f>
        <v>1055.97</v>
      </c>
    </row>
    <row r="868">
      <c r="A868" s="2" t="str">
        <f>IFERROR(__xludf.DUMMYFUNCTION("""COMPUTED_VALUE"""),"Herencia")</f>
        <v>Herencia</v>
      </c>
      <c r="B868" s="2" t="str">
        <f>IFERROR(__xludf.DUMMYFUNCTION("""COMPUTED_VALUE"""),"Campo de San Juan")</f>
        <v>Campo de San Juan</v>
      </c>
      <c r="C868" s="2" t="str">
        <f>IFERROR(__xludf.DUMMYFUNCTION("""COMPUTED_VALUE"""),"Provincia de Ciudad Real")</f>
        <v>Provincia de Ciudad Real</v>
      </c>
      <c r="D868" s="2" t="str">
        <f>IFERROR(__xludf.DUMMYFUNCTION("""COMPUTED_VALUE"""),"Castilla-La Mancha")</f>
        <v>Castilla-La Mancha</v>
      </c>
      <c r="E868" s="2">
        <f>IFERROR(__xludf.DUMMYFUNCTION("""COMPUTED_VALUE"""),642.0)</f>
        <v>642</v>
      </c>
      <c r="F868" s="2">
        <f>IFERROR(__xludf.DUMMYFUNCTION("""COMPUTED_VALUE"""),227.31)</f>
        <v>227.31</v>
      </c>
      <c r="G868" s="4">
        <f>IFERROR(__xludf.DUMMYFUNCTION("""COMPUTED_VALUE"""),8390.0)</f>
        <v>8390</v>
      </c>
      <c r="H868" s="2">
        <f>IFERROR(__xludf.DUMMYFUNCTION("""COMPUTED_VALUE"""),36.91)</f>
        <v>36.91</v>
      </c>
    </row>
    <row r="869">
      <c r="A869" s="2" t="str">
        <f>IFERROR(__xludf.DUMMYFUNCTION("""COMPUTED_VALUE"""),"Padrón")</f>
        <v>Padrón</v>
      </c>
      <c r="B869" s="2"/>
      <c r="C869" s="2" t="str">
        <f>IFERROR(__xludf.DUMMYFUNCTION("""COMPUTED_VALUE"""),"Provincia de A Coruña")</f>
        <v>Provincia de A Coruña</v>
      </c>
      <c r="D869" s="2" t="str">
        <f>IFERROR(__xludf.DUMMYFUNCTION("""COMPUTED_VALUE"""),"Galicia")</f>
        <v>Galicia</v>
      </c>
      <c r="E869" s="2"/>
      <c r="F869" s="2">
        <f>IFERROR(__xludf.DUMMYFUNCTION("""COMPUTED_VALUE"""),48.37)</f>
        <v>48.37</v>
      </c>
      <c r="G869" s="4">
        <f>IFERROR(__xludf.DUMMYFUNCTION("""COMPUTED_VALUE"""),8384.0)</f>
        <v>8384</v>
      </c>
      <c r="H869" s="2">
        <f>IFERROR(__xludf.DUMMYFUNCTION("""COMPUTED_VALUE"""),173.33)</f>
        <v>173.33</v>
      </c>
    </row>
    <row r="870">
      <c r="A870" s="2" t="str">
        <f>IFERROR(__xludf.DUMMYFUNCTION("""COMPUTED_VALUE"""),"Reocín")</f>
        <v>Reocín</v>
      </c>
      <c r="B870" s="2" t="str">
        <f>IFERROR(__xludf.DUMMYFUNCTION("""COMPUTED_VALUE"""),"Comarca del Saja-Nansa")</f>
        <v>Comarca del Saja-Nansa</v>
      </c>
      <c r="C870" s="2" t="str">
        <f>IFERROR(__xludf.DUMMYFUNCTION("""COMPUTED_VALUE"""),"Provincia de Cantabria")</f>
        <v>Provincia de Cantabria</v>
      </c>
      <c r="D870" s="2" t="str">
        <f>IFERROR(__xludf.DUMMYFUNCTION("""COMPUTED_VALUE"""),"Cantabria")</f>
        <v>Cantabria</v>
      </c>
      <c r="E870" s="2">
        <f>IFERROR(__xludf.DUMMYFUNCTION("""COMPUTED_VALUE"""),79.0)</f>
        <v>79</v>
      </c>
      <c r="F870" s="2">
        <f>IFERROR(__xludf.DUMMYFUNCTION("""COMPUTED_VALUE"""),32.1)</f>
        <v>32.1</v>
      </c>
      <c r="G870" s="4">
        <f>IFERROR(__xludf.DUMMYFUNCTION("""COMPUTED_VALUE"""),8384.0)</f>
        <v>8384</v>
      </c>
      <c r="H870" s="2">
        <f>IFERROR(__xludf.DUMMYFUNCTION("""COMPUTED_VALUE"""),261.18)</f>
        <v>261.18</v>
      </c>
    </row>
    <row r="871">
      <c r="A871" s="2" t="str">
        <f>IFERROR(__xludf.DUMMYFUNCTION("""COMPUTED_VALUE"""),"Navia")</f>
        <v>Navia</v>
      </c>
      <c r="B871" s="2"/>
      <c r="C871" s="2" t="str">
        <f>IFERROR(__xludf.DUMMYFUNCTION("""COMPUTED_VALUE"""),"Provincia de Asturias")</f>
        <v>Provincia de Asturias</v>
      </c>
      <c r="D871" s="2" t="str">
        <f>IFERROR(__xludf.DUMMYFUNCTION("""COMPUTED_VALUE"""),"Principado de Asturias")</f>
        <v>Principado de Asturias</v>
      </c>
      <c r="E871" s="2"/>
      <c r="F871" s="2">
        <f>IFERROR(__xludf.DUMMYFUNCTION("""COMPUTED_VALUE"""),63.11)</f>
        <v>63.11</v>
      </c>
      <c r="G871" s="4">
        <f>IFERROR(__xludf.DUMMYFUNCTION("""COMPUTED_VALUE"""),8380.0)</f>
        <v>8380</v>
      </c>
      <c r="H871" s="2">
        <f>IFERROR(__xludf.DUMMYFUNCTION("""COMPUTED_VALUE"""),132.78)</f>
        <v>132.78</v>
      </c>
    </row>
    <row r="872">
      <c r="A872" s="2" t="str">
        <f>IFERROR(__xludf.DUMMYFUNCTION("""COMPUTED_VALUE"""),"Legazpia")</f>
        <v>Legazpia</v>
      </c>
      <c r="B872" s="2" t="str">
        <f>IFERROR(__xludf.DUMMYFUNCTION("""COMPUTED_VALUE"""),"Goyerri")</f>
        <v>Goyerri</v>
      </c>
      <c r="C872" s="2" t="str">
        <f>IFERROR(__xludf.DUMMYFUNCTION("""COMPUTED_VALUE"""),"Provincia de Gipuzkoa")</f>
        <v>Provincia de Gipuzkoa</v>
      </c>
      <c r="D872" s="2" t="str">
        <f>IFERROR(__xludf.DUMMYFUNCTION("""COMPUTED_VALUE"""),"País Vasco")</f>
        <v>País Vasco</v>
      </c>
      <c r="E872" s="2">
        <f>IFERROR(__xludf.DUMMYFUNCTION("""COMPUTED_VALUE"""),400.0)</f>
        <v>400</v>
      </c>
      <c r="F872" s="2">
        <f>IFERROR(__xludf.DUMMYFUNCTION("""COMPUTED_VALUE"""),41.84)</f>
        <v>41.84</v>
      </c>
      <c r="G872" s="4">
        <f>IFERROR(__xludf.DUMMYFUNCTION("""COMPUTED_VALUE"""),8371.0)</f>
        <v>8371</v>
      </c>
      <c r="H872" s="2">
        <f>IFERROR(__xludf.DUMMYFUNCTION("""COMPUTED_VALUE"""),200.07)</f>
        <v>200.07</v>
      </c>
    </row>
    <row r="873">
      <c r="A873" s="2" t="str">
        <f>IFERROR(__xludf.DUMMYFUNCTION("""COMPUTED_VALUE"""),"Noáin")</f>
        <v>Noáin</v>
      </c>
      <c r="B873" s="2" t="str">
        <f>IFERROR(__xludf.DUMMYFUNCTION("""COMPUTED_VALUE"""),"Cuenca de Pamplona")</f>
        <v>Cuenca de Pamplona</v>
      </c>
      <c r="C873" s="2" t="str">
        <f>IFERROR(__xludf.DUMMYFUNCTION("""COMPUTED_VALUE"""),"Provincia de Navarra")</f>
        <v>Provincia de Navarra</v>
      </c>
      <c r="D873" s="2" t="str">
        <f>IFERROR(__xludf.DUMMYFUNCTION("""COMPUTED_VALUE"""),"Comunidad Foral de Navarra")</f>
        <v>Comunidad Foral de Navarra</v>
      </c>
      <c r="E873" s="2">
        <f>IFERROR(__xludf.DUMMYFUNCTION("""COMPUTED_VALUE"""),450.0)</f>
        <v>450</v>
      </c>
      <c r="F873" s="2">
        <f>IFERROR(__xludf.DUMMYFUNCTION("""COMPUTED_VALUE"""),48.15)</f>
        <v>48.15</v>
      </c>
      <c r="G873" s="4">
        <f>IFERROR(__xludf.DUMMYFUNCTION("""COMPUTED_VALUE"""),8320.0)</f>
        <v>8320</v>
      </c>
      <c r="H873" s="2">
        <f>IFERROR(__xludf.DUMMYFUNCTION("""COMPUTED_VALUE"""),172.79)</f>
        <v>172.79</v>
      </c>
    </row>
    <row r="874">
      <c r="A874" s="2" t="str">
        <f>IFERROR(__xludf.DUMMYFUNCTION("""COMPUTED_VALUE"""),"Cabezón de la Sal")</f>
        <v>Cabezón de la Sal</v>
      </c>
      <c r="B874" s="2" t="str">
        <f>IFERROR(__xludf.DUMMYFUNCTION("""COMPUTED_VALUE"""),"Comarca del Saja-Nansa")</f>
        <v>Comarca del Saja-Nansa</v>
      </c>
      <c r="C874" s="2" t="str">
        <f>IFERROR(__xludf.DUMMYFUNCTION("""COMPUTED_VALUE"""),"Provincia de Cantabria")</f>
        <v>Provincia de Cantabria</v>
      </c>
      <c r="D874" s="2" t="str">
        <f>IFERROR(__xludf.DUMMYFUNCTION("""COMPUTED_VALUE"""),"Cantabria")</f>
        <v>Cantabria</v>
      </c>
      <c r="E874" s="2">
        <f>IFERROR(__xludf.DUMMYFUNCTION("""COMPUTED_VALUE"""),128.0)</f>
        <v>128</v>
      </c>
      <c r="F874" s="2">
        <f>IFERROR(__xludf.DUMMYFUNCTION("""COMPUTED_VALUE"""),33.23)</f>
        <v>33.23</v>
      </c>
      <c r="G874" s="4">
        <f>IFERROR(__xludf.DUMMYFUNCTION("""COMPUTED_VALUE"""),8301.0)</f>
        <v>8301</v>
      </c>
      <c r="H874" s="2">
        <f>IFERROR(__xludf.DUMMYFUNCTION("""COMPUTED_VALUE"""),249.8)</f>
        <v>249.8</v>
      </c>
    </row>
    <row r="875">
      <c r="A875" s="2" t="str">
        <f>IFERROR(__xludf.DUMMYFUNCTION("""COMPUTED_VALUE"""),"Ollería")</f>
        <v>Ollería</v>
      </c>
      <c r="B875" s="2" t="str">
        <f>IFERROR(__xludf.DUMMYFUNCTION("""COMPUTED_VALUE"""),"Valle de Albaida")</f>
        <v>Valle de Albaida</v>
      </c>
      <c r="C875" s="2" t="str">
        <f>IFERROR(__xludf.DUMMYFUNCTION("""COMPUTED_VALUE"""),"Provincia de València")</f>
        <v>Provincia de València</v>
      </c>
      <c r="D875" s="2" t="str">
        <f>IFERROR(__xludf.DUMMYFUNCTION("""COMPUTED_VALUE"""),"Comunidad Valenciana")</f>
        <v>Comunidad Valenciana</v>
      </c>
      <c r="E875" s="2">
        <f>IFERROR(__xludf.DUMMYFUNCTION("""COMPUTED_VALUE"""),425.0)</f>
        <v>425</v>
      </c>
      <c r="F875" s="2">
        <f>IFERROR(__xludf.DUMMYFUNCTION("""COMPUTED_VALUE"""),32.22)</f>
        <v>32.22</v>
      </c>
      <c r="G875" s="4">
        <f>IFERROR(__xludf.DUMMYFUNCTION("""COMPUTED_VALUE"""),8281.0)</f>
        <v>8281</v>
      </c>
      <c r="H875" s="2">
        <f>IFERROR(__xludf.DUMMYFUNCTION("""COMPUTED_VALUE"""),257.01)</f>
        <v>257.01</v>
      </c>
    </row>
    <row r="876">
      <c r="A876" s="2" t="str">
        <f>IFERROR(__xludf.DUMMYFUNCTION("""COMPUTED_VALUE"""),"Tona")</f>
        <v>Tona</v>
      </c>
      <c r="B876" s="2" t="str">
        <f>IFERROR(__xludf.DUMMYFUNCTION("""COMPUTED_VALUE"""),"Osona")</f>
        <v>Osona</v>
      </c>
      <c r="C876" s="2" t="str">
        <f>IFERROR(__xludf.DUMMYFUNCTION("""COMPUTED_VALUE"""),"Provincia de Barcelona")</f>
        <v>Provincia de Barcelona</v>
      </c>
      <c r="D876" s="2" t="str">
        <f>IFERROR(__xludf.DUMMYFUNCTION("""COMPUTED_VALUE"""),"Cataluña")</f>
        <v>Cataluña</v>
      </c>
      <c r="E876" s="2">
        <f>IFERROR(__xludf.DUMMYFUNCTION("""COMPUTED_VALUE"""),596.0)</f>
        <v>596</v>
      </c>
      <c r="F876" s="2">
        <f>IFERROR(__xludf.DUMMYFUNCTION("""COMPUTED_VALUE"""),16.5)</f>
        <v>16.5</v>
      </c>
      <c r="G876" s="4">
        <f>IFERROR(__xludf.DUMMYFUNCTION("""COMPUTED_VALUE"""),8241.0)</f>
        <v>8241</v>
      </c>
      <c r="H876" s="2">
        <f>IFERROR(__xludf.DUMMYFUNCTION("""COMPUTED_VALUE"""),499.45)</f>
        <v>499.45</v>
      </c>
    </row>
    <row r="877">
      <c r="A877" s="2" t="str">
        <f>IFERROR(__xludf.DUMMYFUNCTION("""COMPUTED_VALUE"""),"Archidona")</f>
        <v>Archidona</v>
      </c>
      <c r="B877" s="2" t="str">
        <f>IFERROR(__xludf.DUMMYFUNCTION("""COMPUTED_VALUE"""),"Comarca de Antequera")</f>
        <v>Comarca de Antequera</v>
      </c>
      <c r="C877" s="2" t="str">
        <f>IFERROR(__xludf.DUMMYFUNCTION("""COMPUTED_VALUE"""),"Provincia de Málaga")</f>
        <v>Provincia de Málaga</v>
      </c>
      <c r="D877" s="2" t="str">
        <f>IFERROR(__xludf.DUMMYFUNCTION("""COMPUTED_VALUE"""),"Andalucía")</f>
        <v>Andalucía</v>
      </c>
      <c r="E877" s="2">
        <f>IFERROR(__xludf.DUMMYFUNCTION("""COMPUTED_VALUE"""),666.0)</f>
        <v>666</v>
      </c>
      <c r="F877" s="2">
        <f>IFERROR(__xludf.DUMMYFUNCTION("""COMPUTED_VALUE"""),186.46)</f>
        <v>186.46</v>
      </c>
      <c r="G877" s="4">
        <f>IFERROR(__xludf.DUMMYFUNCTION("""COMPUTED_VALUE"""),8238.0)</f>
        <v>8238</v>
      </c>
      <c r="H877" s="2">
        <f>IFERROR(__xludf.DUMMYFUNCTION("""COMPUTED_VALUE"""),44.18)</f>
        <v>44.18</v>
      </c>
    </row>
    <row r="878">
      <c r="A878" s="2" t="str">
        <f>IFERROR(__xludf.DUMMYFUNCTION("""COMPUTED_VALUE"""),"Santa Coloma de Cervelló")</f>
        <v>Santa Coloma de Cervelló</v>
      </c>
      <c r="B878" s="2" t="str">
        <f>IFERROR(__xludf.DUMMYFUNCTION("""COMPUTED_VALUE"""),"Bajo Llobregat")</f>
        <v>Bajo Llobregat</v>
      </c>
      <c r="C878" s="2" t="str">
        <f>IFERROR(__xludf.DUMMYFUNCTION("""COMPUTED_VALUE"""),"Provincia de Barcelona")</f>
        <v>Provincia de Barcelona</v>
      </c>
      <c r="D878" s="2" t="str">
        <f>IFERROR(__xludf.DUMMYFUNCTION("""COMPUTED_VALUE"""),"Cataluña")</f>
        <v>Cataluña</v>
      </c>
      <c r="E878" s="2">
        <f>IFERROR(__xludf.DUMMYFUNCTION("""COMPUTED_VALUE"""),73.0)</f>
        <v>73</v>
      </c>
      <c r="F878" s="2">
        <f>IFERROR(__xludf.DUMMYFUNCTION("""COMPUTED_VALUE"""),7.49)</f>
        <v>7.49</v>
      </c>
      <c r="G878" s="4">
        <f>IFERROR(__xludf.DUMMYFUNCTION("""COMPUTED_VALUE"""),8218.0)</f>
        <v>8218</v>
      </c>
      <c r="H878" s="5">
        <f>IFERROR(__xludf.DUMMYFUNCTION("""COMPUTED_VALUE"""),1097.2)</f>
        <v>1097.2</v>
      </c>
    </row>
    <row r="879">
      <c r="A879" s="2" t="str">
        <f>IFERROR(__xludf.DUMMYFUNCTION("""COMPUTED_VALUE"""),"Villanueva del Arzobispo")</f>
        <v>Villanueva del Arzobispo</v>
      </c>
      <c r="B879" s="2" t="str">
        <f>IFERROR(__xludf.DUMMYFUNCTION("""COMPUTED_VALUE"""),"Las Villas (Jaén)")</f>
        <v>Las Villas (Jaén)</v>
      </c>
      <c r="C879" s="2" t="str">
        <f>IFERROR(__xludf.DUMMYFUNCTION("""COMPUTED_VALUE"""),"Provincia de Jaén")</f>
        <v>Provincia de Jaén</v>
      </c>
      <c r="D879" s="2" t="str">
        <f>IFERROR(__xludf.DUMMYFUNCTION("""COMPUTED_VALUE"""),"Andalucía")</f>
        <v>Andalucía</v>
      </c>
      <c r="E879" s="2">
        <f>IFERROR(__xludf.DUMMYFUNCTION("""COMPUTED_VALUE"""),688.0)</f>
        <v>688</v>
      </c>
      <c r="F879" s="2">
        <f>IFERROR(__xludf.DUMMYFUNCTION("""COMPUTED_VALUE"""),177.81)</f>
        <v>177.81</v>
      </c>
      <c r="G879" s="4">
        <f>IFERROR(__xludf.DUMMYFUNCTION("""COMPUTED_VALUE"""),8193.0)</f>
        <v>8193</v>
      </c>
      <c r="H879" s="2">
        <f>IFERROR(__xludf.DUMMYFUNCTION("""COMPUTED_VALUE"""),46.08)</f>
        <v>46.08</v>
      </c>
    </row>
    <row r="880">
      <c r="A880" s="2" t="str">
        <f>IFERROR(__xludf.DUMMYFUNCTION("""COMPUTED_VALUE"""),"Chantada")</f>
        <v>Chantada</v>
      </c>
      <c r="B880" s="2" t="str">
        <f>IFERROR(__xludf.DUMMYFUNCTION("""COMPUTED_VALUE"""),"Comarca de Chantada")</f>
        <v>Comarca de Chantada</v>
      </c>
      <c r="C880" s="2" t="str">
        <f>IFERROR(__xludf.DUMMYFUNCTION("""COMPUTED_VALUE"""),"Provincia de Lugo")</f>
        <v>Provincia de Lugo</v>
      </c>
      <c r="D880" s="2" t="str">
        <f>IFERROR(__xludf.DUMMYFUNCTION("""COMPUTED_VALUE"""),"Galicia")</f>
        <v>Galicia</v>
      </c>
      <c r="E880" s="2">
        <f>IFERROR(__xludf.DUMMYFUNCTION("""COMPUTED_VALUE"""),36.0)</f>
        <v>36</v>
      </c>
      <c r="F880" s="2">
        <f>IFERROR(__xludf.DUMMYFUNCTION("""COMPUTED_VALUE"""),176.73)</f>
        <v>176.73</v>
      </c>
      <c r="G880" s="4">
        <f>IFERROR(__xludf.DUMMYFUNCTION("""COMPUTED_VALUE"""),8192.0)</f>
        <v>8192</v>
      </c>
      <c r="H880" s="2">
        <f>IFERROR(__xludf.DUMMYFUNCTION("""COMPUTED_VALUE"""),46.35)</f>
        <v>46.35</v>
      </c>
    </row>
    <row r="881">
      <c r="A881" s="2" t="str">
        <f>IFERROR(__xludf.DUMMYFUNCTION("""COMPUTED_VALUE"""),"Monforte del Cid")</f>
        <v>Monforte del Cid</v>
      </c>
      <c r="B881" s="2" t="str">
        <f>IFERROR(__xludf.DUMMYFUNCTION("""COMPUTED_VALUE"""),"Medio Vinalopó")</f>
        <v>Medio Vinalopó</v>
      </c>
      <c r="C881" s="2" t="str">
        <f>IFERROR(__xludf.DUMMYFUNCTION("""COMPUTED_VALUE"""),"Provincia de Alicante")</f>
        <v>Provincia de Alicante</v>
      </c>
      <c r="D881" s="2" t="str">
        <f>IFERROR(__xludf.DUMMYFUNCTION("""COMPUTED_VALUE"""),"Comunidad Valenciana")</f>
        <v>Comunidad Valenciana</v>
      </c>
      <c r="E881" s="2">
        <f>IFERROR(__xludf.DUMMYFUNCTION("""COMPUTED_VALUE"""),230.0)</f>
        <v>230</v>
      </c>
      <c r="F881" s="2">
        <f>IFERROR(__xludf.DUMMYFUNCTION("""COMPUTED_VALUE"""),79.52)</f>
        <v>79.52</v>
      </c>
      <c r="G881" s="4">
        <f>IFERROR(__xludf.DUMMYFUNCTION("""COMPUTED_VALUE"""),8165.0)</f>
        <v>8165</v>
      </c>
      <c r="H881" s="2">
        <f>IFERROR(__xludf.DUMMYFUNCTION("""COMPUTED_VALUE"""),102.68)</f>
        <v>102.68</v>
      </c>
    </row>
    <row r="882">
      <c r="A882" s="2" t="str">
        <f>IFERROR(__xludf.DUMMYFUNCTION("""COMPUTED_VALUE"""),"Olvera")</f>
        <v>Olvera</v>
      </c>
      <c r="B882" s="2" t="str">
        <f>IFERROR(__xludf.DUMMYFUNCTION("""COMPUTED_VALUE"""),"Sierra de Cádiz")</f>
        <v>Sierra de Cádiz</v>
      </c>
      <c r="C882" s="2" t="str">
        <f>IFERROR(__xludf.DUMMYFUNCTION("""COMPUTED_VALUE"""),"Provincia de Cádiz")</f>
        <v>Provincia de Cádiz</v>
      </c>
      <c r="D882" s="2" t="str">
        <f>IFERROR(__xludf.DUMMYFUNCTION("""COMPUTED_VALUE"""),"Andalucía")</f>
        <v>Andalucía</v>
      </c>
      <c r="E882" s="2">
        <f>IFERROR(__xludf.DUMMYFUNCTION("""COMPUTED_VALUE"""),643.0)</f>
        <v>643</v>
      </c>
      <c r="F882" s="2">
        <f>IFERROR(__xludf.DUMMYFUNCTION("""COMPUTED_VALUE"""),193.69)</f>
        <v>193.69</v>
      </c>
      <c r="G882" s="4">
        <f>IFERROR(__xludf.DUMMYFUNCTION("""COMPUTED_VALUE"""),8113.0)</f>
        <v>8113</v>
      </c>
      <c r="H882" s="2">
        <f>IFERROR(__xludf.DUMMYFUNCTION("""COMPUTED_VALUE"""),41.89)</f>
        <v>41.89</v>
      </c>
    </row>
    <row r="883">
      <c r="A883" s="2" t="str">
        <f>IFERROR(__xludf.DUMMYFUNCTION("""COMPUTED_VALUE"""),"Pravia")</f>
        <v>Pravia</v>
      </c>
      <c r="B883" s="2"/>
      <c r="C883" s="2" t="str">
        <f>IFERROR(__xludf.DUMMYFUNCTION("""COMPUTED_VALUE"""),"Provincia de Asturias")</f>
        <v>Provincia de Asturias</v>
      </c>
      <c r="D883" s="2" t="str">
        <f>IFERROR(__xludf.DUMMYFUNCTION("""COMPUTED_VALUE"""),"Principado de Asturias")</f>
        <v>Principado de Asturias</v>
      </c>
      <c r="E883" s="2"/>
      <c r="F883" s="2">
        <f>IFERROR(__xludf.DUMMYFUNCTION("""COMPUTED_VALUE"""),102.96)</f>
        <v>102.96</v>
      </c>
      <c r="G883" s="4">
        <f>IFERROR(__xludf.DUMMYFUNCTION("""COMPUTED_VALUE"""),8113.0)</f>
        <v>8113</v>
      </c>
      <c r="H883" s="2">
        <f>IFERROR(__xludf.DUMMYFUNCTION("""COMPUTED_VALUE"""),78.8)</f>
        <v>78.8</v>
      </c>
    </row>
    <row r="884">
      <c r="A884" s="2" t="str">
        <f>IFERROR(__xludf.DUMMYFUNCTION("""COMPUTED_VALUE"""),"Aracena")</f>
        <v>Aracena</v>
      </c>
      <c r="B884" s="2" t="str">
        <f>IFERROR(__xludf.DUMMYFUNCTION("""COMPUTED_VALUE"""),"Sierra de Aracena")</f>
        <v>Sierra de Aracena</v>
      </c>
      <c r="C884" s="2" t="str">
        <f>IFERROR(__xludf.DUMMYFUNCTION("""COMPUTED_VALUE"""),"Provincia de Huelva")</f>
        <v>Provincia de Huelva</v>
      </c>
      <c r="D884" s="2" t="str">
        <f>IFERROR(__xludf.DUMMYFUNCTION("""COMPUTED_VALUE"""),"Andalucía")</f>
        <v>Andalucía</v>
      </c>
      <c r="E884" s="2">
        <f>IFERROR(__xludf.DUMMYFUNCTION("""COMPUTED_VALUE"""),714.0)</f>
        <v>714</v>
      </c>
      <c r="F884" s="2">
        <f>IFERROR(__xludf.DUMMYFUNCTION("""COMPUTED_VALUE"""),184.45)</f>
        <v>184.45</v>
      </c>
      <c r="G884" s="4">
        <f>IFERROR(__xludf.DUMMYFUNCTION("""COMPUTED_VALUE"""),8107.0)</f>
        <v>8107</v>
      </c>
      <c r="H884" s="2">
        <f>IFERROR(__xludf.DUMMYFUNCTION("""COMPUTED_VALUE"""),43.95)</f>
        <v>43.95</v>
      </c>
    </row>
    <row r="885">
      <c r="A885" s="2" t="str">
        <f>IFERROR(__xludf.DUMMYFUNCTION("""COMPUTED_VALUE"""),"Los Santos de Maimona")</f>
        <v>Los Santos de Maimona</v>
      </c>
      <c r="B885" s="2" t="str">
        <f>IFERROR(__xludf.DUMMYFUNCTION("""COMPUTED_VALUE"""),"Zafra - Río Bodión")</f>
        <v>Zafra - Río Bodión</v>
      </c>
      <c r="C885" s="2" t="str">
        <f>IFERROR(__xludf.DUMMYFUNCTION("""COMPUTED_VALUE"""),"Provincia de Badajoz")</f>
        <v>Provincia de Badajoz</v>
      </c>
      <c r="D885" s="2" t="str">
        <f>IFERROR(__xludf.DUMMYFUNCTION("""COMPUTED_VALUE"""),"Extremadura")</f>
        <v>Extremadura</v>
      </c>
      <c r="E885" s="2">
        <f>IFERROR(__xludf.DUMMYFUNCTION("""COMPUTED_VALUE"""),529.0)</f>
        <v>529</v>
      </c>
      <c r="F885" s="2">
        <f>IFERROR(__xludf.DUMMYFUNCTION("""COMPUTED_VALUE"""),108.62)</f>
        <v>108.62</v>
      </c>
      <c r="G885" s="4">
        <f>IFERROR(__xludf.DUMMYFUNCTION("""COMPUTED_VALUE"""),8091.0)</f>
        <v>8091</v>
      </c>
      <c r="H885" s="2">
        <f>IFERROR(__xludf.DUMMYFUNCTION("""COMPUTED_VALUE"""),74.49)</f>
        <v>74.49</v>
      </c>
    </row>
    <row r="886">
      <c r="A886" s="2" t="str">
        <f>IFERROR(__xludf.DUMMYFUNCTION("""COMPUTED_VALUE"""),"Benahavís")</f>
        <v>Benahavís</v>
      </c>
      <c r="B886" s="2" t="str">
        <f>IFERROR(__xludf.DUMMYFUNCTION("""COMPUTED_VALUE"""),"Costa del Sol Occidental")</f>
        <v>Costa del Sol Occidental</v>
      </c>
      <c r="C886" s="2" t="str">
        <f>IFERROR(__xludf.DUMMYFUNCTION("""COMPUTED_VALUE"""),"Provincia de Málaga")</f>
        <v>Provincia de Málaga</v>
      </c>
      <c r="D886" s="2" t="str">
        <f>IFERROR(__xludf.DUMMYFUNCTION("""COMPUTED_VALUE"""),"Andalucía")</f>
        <v>Andalucía</v>
      </c>
      <c r="E886" s="2">
        <f>IFERROR(__xludf.DUMMYFUNCTION("""COMPUTED_VALUE"""),150.0)</f>
        <v>150</v>
      </c>
      <c r="F886" s="2">
        <f>IFERROR(__xludf.DUMMYFUNCTION("""COMPUTED_VALUE"""),145.39)</f>
        <v>145.39</v>
      </c>
      <c r="G886" s="4">
        <f>IFERROR(__xludf.DUMMYFUNCTION("""COMPUTED_VALUE"""),8085.0)</f>
        <v>8085</v>
      </c>
      <c r="H886" s="2">
        <f>IFERROR(__xludf.DUMMYFUNCTION("""COMPUTED_VALUE"""),55.61)</f>
        <v>55.61</v>
      </c>
    </row>
    <row r="887">
      <c r="A887" s="2" t="str">
        <f>IFERROR(__xludf.DUMMYFUNCTION("""COMPUTED_VALUE"""),"Villamediana de Iregua")</f>
        <v>Villamediana de Iregua</v>
      </c>
      <c r="B887" s="2" t="str">
        <f>IFERROR(__xludf.DUMMYFUNCTION("""COMPUTED_VALUE"""),"Comarca de Logroño")</f>
        <v>Comarca de Logroño</v>
      </c>
      <c r="C887" s="2" t="str">
        <f>IFERROR(__xludf.DUMMYFUNCTION("""COMPUTED_VALUE"""),"Provincia de La Rioja")</f>
        <v>Provincia de La Rioja</v>
      </c>
      <c r="D887" s="2" t="str">
        <f>IFERROR(__xludf.DUMMYFUNCTION("""COMPUTED_VALUE"""),"La Rioja")</f>
        <v>La Rioja</v>
      </c>
      <c r="E887" s="2">
        <f>IFERROR(__xludf.DUMMYFUNCTION("""COMPUTED_VALUE"""),449.0)</f>
        <v>449</v>
      </c>
      <c r="F887" s="2">
        <f>IFERROR(__xludf.DUMMYFUNCTION("""COMPUTED_VALUE"""),20.46)</f>
        <v>20.46</v>
      </c>
      <c r="G887" s="4">
        <f>IFERROR(__xludf.DUMMYFUNCTION("""COMPUTED_VALUE"""),8070.0)</f>
        <v>8070</v>
      </c>
      <c r="H887" s="2">
        <f>IFERROR(__xludf.DUMMYFUNCTION("""COMPUTED_VALUE"""),394.43)</f>
        <v>394.43</v>
      </c>
    </row>
    <row r="888">
      <c r="A888" s="2" t="str">
        <f>IFERROR(__xludf.DUMMYFUNCTION("""COMPUTED_VALUE"""),"Nájera")</f>
        <v>Nájera</v>
      </c>
      <c r="B888" s="2" t="str">
        <f>IFERROR(__xludf.DUMMYFUNCTION("""COMPUTED_VALUE"""),"Comarca de Nájera")</f>
        <v>Comarca de Nájera</v>
      </c>
      <c r="C888" s="2" t="str">
        <f>IFERROR(__xludf.DUMMYFUNCTION("""COMPUTED_VALUE"""),"Provincia de La Rioja")</f>
        <v>Provincia de La Rioja</v>
      </c>
      <c r="D888" s="2" t="str">
        <f>IFERROR(__xludf.DUMMYFUNCTION("""COMPUTED_VALUE"""),"La Rioja")</f>
        <v>La Rioja</v>
      </c>
      <c r="E888" s="2">
        <f>IFERROR(__xludf.DUMMYFUNCTION("""COMPUTED_VALUE"""),485.0)</f>
        <v>485</v>
      </c>
      <c r="F888" s="2">
        <f>IFERROR(__xludf.DUMMYFUNCTION("""COMPUTED_VALUE"""),37.44)</f>
        <v>37.44</v>
      </c>
      <c r="G888" s="4">
        <f>IFERROR(__xludf.DUMMYFUNCTION("""COMPUTED_VALUE"""),8045.0)</f>
        <v>8045</v>
      </c>
      <c r="H888" s="2">
        <f>IFERROR(__xludf.DUMMYFUNCTION("""COMPUTED_VALUE"""),214.88)</f>
        <v>214.88</v>
      </c>
    </row>
    <row r="889">
      <c r="A889" s="2" t="str">
        <f>IFERROR(__xludf.DUMMYFUNCTION("""COMPUTED_VALUE"""),"Colmenar de Oreja")</f>
        <v>Colmenar de Oreja</v>
      </c>
      <c r="B889" s="2"/>
      <c r="C889" s="2" t="str">
        <f>IFERROR(__xludf.DUMMYFUNCTION("""COMPUTED_VALUE"""),"Provincia de Madrid")</f>
        <v>Provincia de Madrid</v>
      </c>
      <c r="D889" s="2" t="str">
        <f>IFERROR(__xludf.DUMMYFUNCTION("""COMPUTED_VALUE"""),"Comunidad de Madrid")</f>
        <v>Comunidad de Madrid</v>
      </c>
      <c r="E889" s="2">
        <f>IFERROR(__xludf.DUMMYFUNCTION("""COMPUTED_VALUE"""),761.0)</f>
        <v>761</v>
      </c>
      <c r="F889" s="2">
        <f>IFERROR(__xludf.DUMMYFUNCTION("""COMPUTED_VALUE"""),114.32)</f>
        <v>114.32</v>
      </c>
      <c r="G889" s="4">
        <f>IFERROR(__xludf.DUMMYFUNCTION("""COMPUTED_VALUE"""),8032.0)</f>
        <v>8032</v>
      </c>
      <c r="H889" s="2">
        <f>IFERROR(__xludf.DUMMYFUNCTION("""COMPUTED_VALUE"""),70.26)</f>
        <v>70.26</v>
      </c>
    </row>
    <row r="890">
      <c r="A890" s="2" t="str">
        <f>IFERROR(__xludf.DUMMYFUNCTION("""COMPUTED_VALUE"""),"Carboneras")</f>
        <v>Carboneras</v>
      </c>
      <c r="B890" s="2" t="str">
        <f>IFERROR(__xludf.DUMMYFUNCTION("""COMPUTED_VALUE"""),"Levante Almeriense")</f>
        <v>Levante Almeriense</v>
      </c>
      <c r="C890" s="2" t="str">
        <f>IFERROR(__xludf.DUMMYFUNCTION("""COMPUTED_VALUE"""),"Provincia de Almería")</f>
        <v>Provincia de Almería</v>
      </c>
      <c r="D890" s="2" t="str">
        <f>IFERROR(__xludf.DUMMYFUNCTION("""COMPUTED_VALUE"""),"Andalucía")</f>
        <v>Andalucía</v>
      </c>
      <c r="E890" s="2">
        <f>IFERROR(__xludf.DUMMYFUNCTION("""COMPUTED_VALUE"""),10.0)</f>
        <v>10</v>
      </c>
      <c r="F890" s="2">
        <f>IFERROR(__xludf.DUMMYFUNCTION("""COMPUTED_VALUE"""),95.46)</f>
        <v>95.46</v>
      </c>
      <c r="G890" s="4">
        <f>IFERROR(__xludf.DUMMYFUNCTION("""COMPUTED_VALUE"""),8004.0)</f>
        <v>8004</v>
      </c>
      <c r="H890" s="2">
        <f>IFERROR(__xludf.DUMMYFUNCTION("""COMPUTED_VALUE"""),83.85)</f>
        <v>83.85</v>
      </c>
    </row>
    <row r="891">
      <c r="A891" s="2" t="str">
        <f>IFERROR(__xludf.DUMMYFUNCTION("""COMPUTED_VALUE"""),"Cenes de la Vega")</f>
        <v>Cenes de la Vega</v>
      </c>
      <c r="B891" s="2" t="str">
        <f>IFERROR(__xludf.DUMMYFUNCTION("""COMPUTED_VALUE"""),"Vega de Granada")</f>
        <v>Vega de Granada</v>
      </c>
      <c r="C891" s="2" t="str">
        <f>IFERROR(__xludf.DUMMYFUNCTION("""COMPUTED_VALUE"""),"Provincia de Granada")</f>
        <v>Provincia de Granada</v>
      </c>
      <c r="D891" s="2" t="str">
        <f>IFERROR(__xludf.DUMMYFUNCTION("""COMPUTED_VALUE"""),"Andalucía")</f>
        <v>Andalucía</v>
      </c>
      <c r="E891" s="2">
        <f>IFERROR(__xludf.DUMMYFUNCTION("""COMPUTED_VALUE"""),741.0)</f>
        <v>741</v>
      </c>
      <c r="F891" s="2">
        <f>IFERROR(__xludf.DUMMYFUNCTION("""COMPUTED_VALUE"""),6.49)</f>
        <v>6.49</v>
      </c>
      <c r="G891" s="4">
        <f>IFERROR(__xludf.DUMMYFUNCTION("""COMPUTED_VALUE"""),8002.0)</f>
        <v>8002</v>
      </c>
      <c r="H891" s="5">
        <f>IFERROR(__xludf.DUMMYFUNCTION("""COMPUTED_VALUE"""),1232.97)</f>
        <v>1232.97</v>
      </c>
    </row>
    <row r="892">
      <c r="A892" s="2" t="str">
        <f>IFERROR(__xludf.DUMMYFUNCTION("""COMPUTED_VALUE"""),"Malagón")</f>
        <v>Malagón</v>
      </c>
      <c r="B892" s="2"/>
      <c r="C892" s="2" t="str">
        <f>IFERROR(__xludf.DUMMYFUNCTION("""COMPUTED_VALUE"""),"Provincia de Ciudad Real")</f>
        <v>Provincia de Ciudad Real</v>
      </c>
      <c r="D892" s="2" t="str">
        <f>IFERROR(__xludf.DUMMYFUNCTION("""COMPUTED_VALUE"""),"Castilla-La Mancha")</f>
        <v>Castilla-La Mancha</v>
      </c>
      <c r="E892" s="2">
        <f>IFERROR(__xludf.DUMMYFUNCTION("""COMPUTED_VALUE"""),646.0)</f>
        <v>646</v>
      </c>
      <c r="F892" s="2">
        <f>IFERROR(__xludf.DUMMYFUNCTION("""COMPUTED_VALUE"""),364.8)</f>
        <v>364.8</v>
      </c>
      <c r="G892" s="4">
        <f>IFERROR(__xludf.DUMMYFUNCTION("""COMPUTED_VALUE"""),7998.0)</f>
        <v>7998</v>
      </c>
      <c r="H892" s="2">
        <f>IFERROR(__xludf.DUMMYFUNCTION("""COMPUTED_VALUE"""),21.92)</f>
        <v>21.92</v>
      </c>
    </row>
    <row r="893">
      <c r="A893" s="2" t="str">
        <f>IFERROR(__xludf.DUMMYFUNCTION("""COMPUTED_VALUE"""),"Arico")</f>
        <v>Arico</v>
      </c>
      <c r="B893" s="2" t="str">
        <f>IFERROR(__xludf.DUMMYFUNCTION("""COMPUTED_VALUE"""),"Comarca del Sureste (Tenerife)")</f>
        <v>Comarca del Sureste (Tenerife)</v>
      </c>
      <c r="C893" s="2" t="str">
        <f>IFERROR(__xludf.DUMMYFUNCTION("""COMPUTED_VALUE"""),"Provincia de Santa Cruz de Tenerife")</f>
        <v>Provincia de Santa Cruz de Tenerife</v>
      </c>
      <c r="D893" s="2" t="str">
        <f>IFERROR(__xludf.DUMMYFUNCTION("""COMPUTED_VALUE"""),"Canarias")</f>
        <v>Canarias</v>
      </c>
      <c r="E893" s="2">
        <f>IFERROR(__xludf.DUMMYFUNCTION("""COMPUTED_VALUE"""),556.0)</f>
        <v>556</v>
      </c>
      <c r="F893" s="2">
        <f>IFERROR(__xludf.DUMMYFUNCTION("""COMPUTED_VALUE"""),178.93)</f>
        <v>178.93</v>
      </c>
      <c r="G893" s="4">
        <f>IFERROR(__xludf.DUMMYFUNCTION("""COMPUTED_VALUE"""),7988.0)</f>
        <v>7988</v>
      </c>
      <c r="H893" s="2">
        <f>IFERROR(__xludf.DUMMYFUNCTION("""COMPUTED_VALUE"""),44.64)</f>
        <v>44.64</v>
      </c>
    </row>
    <row r="894">
      <c r="A894" s="2" t="str">
        <f>IFERROR(__xludf.DUMMYFUNCTION("""COMPUTED_VALUE"""),"Arévalo")</f>
        <v>Arévalo</v>
      </c>
      <c r="B894" s="2" t="str">
        <f>IFERROR(__xludf.DUMMYFUNCTION("""COMPUTED_VALUE"""),"La Moraña")</f>
        <v>La Moraña</v>
      </c>
      <c r="C894" s="2" t="str">
        <f>IFERROR(__xludf.DUMMYFUNCTION("""COMPUTED_VALUE"""),"Provincia de Ávila")</f>
        <v>Provincia de Ávila</v>
      </c>
      <c r="D894" s="2" t="str">
        <f>IFERROR(__xludf.DUMMYFUNCTION("""COMPUTED_VALUE"""),"Castilla y León")</f>
        <v>Castilla y León</v>
      </c>
      <c r="E894" s="2">
        <f>IFERROR(__xludf.DUMMYFUNCTION("""COMPUTED_VALUE"""),820.0)</f>
        <v>820</v>
      </c>
      <c r="F894" s="2">
        <f>IFERROR(__xludf.DUMMYFUNCTION("""COMPUTED_VALUE"""),45.71)</f>
        <v>45.71</v>
      </c>
      <c r="G894" s="4">
        <f>IFERROR(__xludf.DUMMYFUNCTION("""COMPUTED_VALUE"""),7986.0)</f>
        <v>7986</v>
      </c>
      <c r="H894" s="2">
        <f>IFERROR(__xludf.DUMMYFUNCTION("""COMPUTED_VALUE"""),174.71)</f>
        <v>174.71</v>
      </c>
    </row>
    <row r="895">
      <c r="A895" s="2" t="str">
        <f>IFERROR(__xludf.DUMMYFUNCTION("""COMPUTED_VALUE"""),"La Pobla de Farnals")</f>
        <v>La Pobla de Farnals</v>
      </c>
      <c r="B895" s="2" t="str">
        <f>IFERROR(__xludf.DUMMYFUNCTION("""COMPUTED_VALUE"""),"Huerta Norte")</f>
        <v>Huerta Norte</v>
      </c>
      <c r="C895" s="2" t="str">
        <f>IFERROR(__xludf.DUMMYFUNCTION("""COMPUTED_VALUE"""),"Provincia de València")</f>
        <v>Provincia de València</v>
      </c>
      <c r="D895" s="2" t="str">
        <f>IFERROR(__xludf.DUMMYFUNCTION("""COMPUTED_VALUE"""),"Comunidad Valenciana")</f>
        <v>Comunidad Valenciana</v>
      </c>
      <c r="E895" s="2">
        <f>IFERROR(__xludf.DUMMYFUNCTION("""COMPUTED_VALUE"""),4.0)</f>
        <v>4</v>
      </c>
      <c r="F895" s="2">
        <f>IFERROR(__xludf.DUMMYFUNCTION("""COMPUTED_VALUE"""),3.62)</f>
        <v>3.62</v>
      </c>
      <c r="G895" s="4">
        <f>IFERROR(__xludf.DUMMYFUNCTION("""COMPUTED_VALUE"""),7978.0)</f>
        <v>7978</v>
      </c>
      <c r="H895" s="5">
        <f>IFERROR(__xludf.DUMMYFUNCTION("""COMPUTED_VALUE"""),2203.87)</f>
        <v>2203.87</v>
      </c>
    </row>
    <row r="896">
      <c r="A896" s="2" t="str">
        <f>IFERROR(__xludf.DUMMYFUNCTION("""COMPUTED_VALUE"""),"Roquetes")</f>
        <v>Roquetes</v>
      </c>
      <c r="B896" s="2" t="str">
        <f>IFERROR(__xludf.DUMMYFUNCTION("""COMPUTED_VALUE"""),"Bajo Ebro")</f>
        <v>Bajo Ebro</v>
      </c>
      <c r="C896" s="2" t="str">
        <f>IFERROR(__xludf.DUMMYFUNCTION("""COMPUTED_VALUE"""),"Provincia de Tarragona")</f>
        <v>Provincia de Tarragona</v>
      </c>
      <c r="D896" s="2" t="str">
        <f>IFERROR(__xludf.DUMMYFUNCTION("""COMPUTED_VALUE"""),"Cataluña")</f>
        <v>Cataluña</v>
      </c>
      <c r="E896" s="2">
        <f>IFERROR(__xludf.DUMMYFUNCTION("""COMPUTED_VALUE"""),14.0)</f>
        <v>14</v>
      </c>
      <c r="F896" s="2">
        <f>IFERROR(__xludf.DUMMYFUNCTION("""COMPUTED_VALUE"""),137.23)</f>
        <v>137.23</v>
      </c>
      <c r="G896" s="4">
        <f>IFERROR(__xludf.DUMMYFUNCTION("""COMPUTED_VALUE"""),7973.0)</f>
        <v>7973</v>
      </c>
      <c r="H896" s="2">
        <f>IFERROR(__xludf.DUMMYFUNCTION("""COMPUTED_VALUE"""),58.1)</f>
        <v>58.1</v>
      </c>
    </row>
    <row r="897">
      <c r="A897" s="2" t="str">
        <f>IFERROR(__xludf.DUMMYFUNCTION("""COMPUTED_VALUE"""),"Corella")</f>
        <v>Corella</v>
      </c>
      <c r="B897" s="2" t="str">
        <f>IFERROR(__xludf.DUMMYFUNCTION("""COMPUTED_VALUE"""),"Comarca de Tudela")</f>
        <v>Comarca de Tudela</v>
      </c>
      <c r="C897" s="2" t="str">
        <f>IFERROR(__xludf.DUMMYFUNCTION("""COMPUTED_VALUE"""),"Provincia de Navarra")</f>
        <v>Provincia de Navarra</v>
      </c>
      <c r="D897" s="2" t="str">
        <f>IFERROR(__xludf.DUMMYFUNCTION("""COMPUTED_VALUE"""),"Comunidad Foral de Navarra")</f>
        <v>Comunidad Foral de Navarra</v>
      </c>
      <c r="E897" s="2">
        <f>IFERROR(__xludf.DUMMYFUNCTION("""COMPUTED_VALUE"""),371.0)</f>
        <v>371</v>
      </c>
      <c r="F897" s="2">
        <f>IFERROR(__xludf.DUMMYFUNCTION("""COMPUTED_VALUE"""),81.35)</f>
        <v>81.35</v>
      </c>
      <c r="G897" s="4">
        <f>IFERROR(__xludf.DUMMYFUNCTION("""COMPUTED_VALUE"""),7971.0)</f>
        <v>7971</v>
      </c>
      <c r="H897" s="2">
        <f>IFERROR(__xludf.DUMMYFUNCTION("""COMPUTED_VALUE"""),97.98)</f>
        <v>97.98</v>
      </c>
    </row>
    <row r="898">
      <c r="A898" s="2" t="str">
        <f>IFERROR(__xludf.DUMMYFUNCTION("""COMPUTED_VALUE"""),"Pinoso")</f>
        <v>Pinoso</v>
      </c>
      <c r="B898" s="2" t="str">
        <f>IFERROR(__xludf.DUMMYFUNCTION("""COMPUTED_VALUE"""),"Vinalopó Medio")</f>
        <v>Vinalopó Medio</v>
      </c>
      <c r="C898" s="2" t="str">
        <f>IFERROR(__xludf.DUMMYFUNCTION("""COMPUTED_VALUE"""),"Provincia de Alicante")</f>
        <v>Provincia de Alicante</v>
      </c>
      <c r="D898" s="2" t="str">
        <f>IFERROR(__xludf.DUMMYFUNCTION("""COMPUTED_VALUE"""),"Comunidad Valenciana")</f>
        <v>Comunidad Valenciana</v>
      </c>
      <c r="E898" s="2">
        <f>IFERROR(__xludf.DUMMYFUNCTION("""COMPUTED_VALUE"""),450.0)</f>
        <v>450</v>
      </c>
      <c r="F898" s="2">
        <f>IFERROR(__xludf.DUMMYFUNCTION("""COMPUTED_VALUE"""),126.46)</f>
        <v>126.46</v>
      </c>
      <c r="G898" s="4">
        <f>IFERROR(__xludf.DUMMYFUNCTION("""COMPUTED_VALUE"""),7966.0)</f>
        <v>7966</v>
      </c>
      <c r="H898" s="2">
        <f>IFERROR(__xludf.DUMMYFUNCTION("""COMPUTED_VALUE"""),62.99)</f>
        <v>62.99</v>
      </c>
    </row>
    <row r="899">
      <c r="A899" s="2" t="str">
        <f>IFERROR(__xludf.DUMMYFUNCTION("""COMPUTED_VALUE"""),"La Almunia de Doña Godina")</f>
        <v>La Almunia de Doña Godina</v>
      </c>
      <c r="B899" s="2" t="str">
        <f>IFERROR(__xludf.DUMMYFUNCTION("""COMPUTED_VALUE"""),"Valdejalón")</f>
        <v>Valdejalón</v>
      </c>
      <c r="C899" s="2" t="str">
        <f>IFERROR(__xludf.DUMMYFUNCTION("""COMPUTED_VALUE"""),"Provincia de Zaragoza")</f>
        <v>Provincia de Zaragoza</v>
      </c>
      <c r="D899" s="2" t="str">
        <f>IFERROR(__xludf.DUMMYFUNCTION("""COMPUTED_VALUE"""),"Aragón")</f>
        <v>Aragón</v>
      </c>
      <c r="E899" s="2">
        <f>IFERROR(__xludf.DUMMYFUNCTION("""COMPUTED_VALUE"""),336.0)</f>
        <v>336</v>
      </c>
      <c r="F899" s="2">
        <f>IFERROR(__xludf.DUMMYFUNCTION("""COMPUTED_VALUE"""),56.65)</f>
        <v>56.65</v>
      </c>
      <c r="G899" s="4">
        <f>IFERROR(__xludf.DUMMYFUNCTION("""COMPUTED_VALUE"""),7951.0)</f>
        <v>7951</v>
      </c>
      <c r="H899" s="2">
        <f>IFERROR(__xludf.DUMMYFUNCTION("""COMPUTED_VALUE"""),140.35)</f>
        <v>140.35</v>
      </c>
    </row>
    <row r="900">
      <c r="A900" s="2" t="str">
        <f>IFERROR(__xludf.DUMMYFUNCTION("""COMPUTED_VALUE"""),"Monachil")</f>
        <v>Monachil</v>
      </c>
      <c r="B900" s="2" t="str">
        <f>IFERROR(__xludf.DUMMYFUNCTION("""COMPUTED_VALUE"""),"Vega de Granada")</f>
        <v>Vega de Granada</v>
      </c>
      <c r="C900" s="2" t="str">
        <f>IFERROR(__xludf.DUMMYFUNCTION("""COMPUTED_VALUE"""),"Provincia de Granada")</f>
        <v>Provincia de Granada</v>
      </c>
      <c r="D900" s="2" t="str">
        <f>IFERROR(__xludf.DUMMYFUNCTION("""COMPUTED_VALUE"""),"Andalucía")</f>
        <v>Andalucía</v>
      </c>
      <c r="E900" s="2">
        <f>IFERROR(__xludf.DUMMYFUNCTION("""COMPUTED_VALUE"""),792.0)</f>
        <v>792</v>
      </c>
      <c r="F900" s="2">
        <f>IFERROR(__xludf.DUMMYFUNCTION("""COMPUTED_VALUE"""),88.92)</f>
        <v>88.92</v>
      </c>
      <c r="G900" s="4">
        <f>IFERROR(__xludf.DUMMYFUNCTION("""COMPUTED_VALUE"""),7939.0)</f>
        <v>7939</v>
      </c>
      <c r="H900" s="2">
        <f>IFERROR(__xludf.DUMMYFUNCTION("""COMPUTED_VALUE"""),89.28)</f>
        <v>89.28</v>
      </c>
    </row>
    <row r="901">
      <c r="A901" s="2" t="str">
        <f>IFERROR(__xludf.DUMMYFUNCTION("""COMPUTED_VALUE"""),"Almodóvar del Río")</f>
        <v>Almodóvar del Río</v>
      </c>
      <c r="B901" s="2" t="str">
        <f>IFERROR(__xludf.DUMMYFUNCTION("""COMPUTED_VALUE"""),"Valle Medio del Guadalquivir")</f>
        <v>Valle Medio del Guadalquivir</v>
      </c>
      <c r="C901" s="2" t="str">
        <f>IFERROR(__xludf.DUMMYFUNCTION("""COMPUTED_VALUE"""),"Provincia de Córdoba")</f>
        <v>Provincia de Córdoba</v>
      </c>
      <c r="D901" s="2" t="str">
        <f>IFERROR(__xludf.DUMMYFUNCTION("""COMPUTED_VALUE"""),"Andalucía")</f>
        <v>Andalucía</v>
      </c>
      <c r="E901" s="2">
        <f>IFERROR(__xludf.DUMMYFUNCTION("""COMPUTED_VALUE"""),121.0)</f>
        <v>121</v>
      </c>
      <c r="F901" s="2">
        <f>IFERROR(__xludf.DUMMYFUNCTION("""COMPUTED_VALUE"""),172.53)</f>
        <v>172.53</v>
      </c>
      <c r="G901" s="4">
        <f>IFERROR(__xludf.DUMMYFUNCTION("""COMPUTED_VALUE"""),7937.0)</f>
        <v>7937</v>
      </c>
      <c r="H901" s="2">
        <f>IFERROR(__xludf.DUMMYFUNCTION("""COMPUTED_VALUE"""),46.0)</f>
        <v>46</v>
      </c>
    </row>
    <row r="902">
      <c r="A902" s="2" t="str">
        <f>IFERROR(__xludf.DUMMYFUNCTION("""COMPUTED_VALUE"""),"Cintruénigo")</f>
        <v>Cintruénigo</v>
      </c>
      <c r="B902" s="2" t="str">
        <f>IFERROR(__xludf.DUMMYFUNCTION("""COMPUTED_VALUE"""),"Ribera de Navarra")</f>
        <v>Ribera de Navarra</v>
      </c>
      <c r="C902" s="2" t="str">
        <f>IFERROR(__xludf.DUMMYFUNCTION("""COMPUTED_VALUE"""),"Provincia de Navarra")</f>
        <v>Provincia de Navarra</v>
      </c>
      <c r="D902" s="2" t="str">
        <f>IFERROR(__xludf.DUMMYFUNCTION("""COMPUTED_VALUE"""),"Comunidad Foral de Navarra")</f>
        <v>Comunidad Foral de Navarra</v>
      </c>
      <c r="E902" s="2">
        <f>IFERROR(__xludf.DUMMYFUNCTION("""COMPUTED_VALUE"""),393.0)</f>
        <v>393</v>
      </c>
      <c r="F902" s="2">
        <f>IFERROR(__xludf.DUMMYFUNCTION("""COMPUTED_VALUE"""),37.34)</f>
        <v>37.34</v>
      </c>
      <c r="G902" s="4">
        <f>IFERROR(__xludf.DUMMYFUNCTION("""COMPUTED_VALUE"""),7903.0)</f>
        <v>7903</v>
      </c>
      <c r="H902" s="2">
        <f>IFERROR(__xludf.DUMMYFUNCTION("""COMPUTED_VALUE"""),211.65)</f>
        <v>211.65</v>
      </c>
    </row>
    <row r="903">
      <c r="A903" s="2" t="str">
        <f>IFERROR(__xludf.DUMMYFUNCTION("""COMPUTED_VALUE"""),"Olías del Rey")</f>
        <v>Olías del Rey</v>
      </c>
      <c r="B903" s="2" t="str">
        <f>IFERROR(__xludf.DUMMYFUNCTION("""COMPUTED_VALUE"""),"La Sagra")</f>
        <v>La Sagra</v>
      </c>
      <c r="C903" s="2" t="str">
        <f>IFERROR(__xludf.DUMMYFUNCTION("""COMPUTED_VALUE"""),"Provincia de Toledo")</f>
        <v>Provincia de Toledo</v>
      </c>
      <c r="D903" s="2" t="str">
        <f>IFERROR(__xludf.DUMMYFUNCTION("""COMPUTED_VALUE"""),"Castilla-La Mancha")</f>
        <v>Castilla-La Mancha</v>
      </c>
      <c r="E903" s="2">
        <f>IFERROR(__xludf.DUMMYFUNCTION("""COMPUTED_VALUE"""),588.0)</f>
        <v>588</v>
      </c>
      <c r="F903" s="2">
        <f>IFERROR(__xludf.DUMMYFUNCTION("""COMPUTED_VALUE"""),40.09)</f>
        <v>40.09</v>
      </c>
      <c r="G903" s="4">
        <f>IFERROR(__xludf.DUMMYFUNCTION("""COMPUTED_VALUE"""),7880.0)</f>
        <v>7880</v>
      </c>
      <c r="H903" s="2">
        <f>IFERROR(__xludf.DUMMYFUNCTION("""COMPUTED_VALUE"""),196.56)</f>
        <v>196.56</v>
      </c>
    </row>
    <row r="904">
      <c r="A904" s="2" t="str">
        <f>IFERROR(__xludf.DUMMYFUNCTION("""COMPUTED_VALUE"""),"Montserrat")</f>
        <v>Montserrat</v>
      </c>
      <c r="B904" s="2" t="str">
        <f>IFERROR(__xludf.DUMMYFUNCTION("""COMPUTED_VALUE"""),"Ribera Alta (Valencia)")</f>
        <v>Ribera Alta (Valencia)</v>
      </c>
      <c r="C904" s="2" t="str">
        <f>IFERROR(__xludf.DUMMYFUNCTION("""COMPUTED_VALUE"""),"Provincia de València")</f>
        <v>Provincia de València</v>
      </c>
      <c r="D904" s="2" t="str">
        <f>IFERROR(__xludf.DUMMYFUNCTION("""COMPUTED_VALUE"""),"Comunidad Valenciana")</f>
        <v>Comunidad Valenciana</v>
      </c>
      <c r="E904" s="2">
        <f>IFERROR(__xludf.DUMMYFUNCTION("""COMPUTED_VALUE"""),169.0)</f>
        <v>169</v>
      </c>
      <c r="F904" s="2">
        <f>IFERROR(__xludf.DUMMYFUNCTION("""COMPUTED_VALUE"""),45.58)</f>
        <v>45.58</v>
      </c>
      <c r="G904" s="4">
        <f>IFERROR(__xludf.DUMMYFUNCTION("""COMPUTED_VALUE"""),7878.0)</f>
        <v>7878</v>
      </c>
      <c r="H904" s="2">
        <f>IFERROR(__xludf.DUMMYFUNCTION("""COMPUTED_VALUE"""),172.84)</f>
        <v>172.84</v>
      </c>
    </row>
    <row r="905">
      <c r="A905" s="2" t="str">
        <f>IFERROR(__xludf.DUMMYFUNCTION("""COMPUTED_VALUE"""),"Redován")</f>
        <v>Redován</v>
      </c>
      <c r="B905" s="2" t="str">
        <f>IFERROR(__xludf.DUMMYFUNCTION("""COMPUTED_VALUE"""),"Vega Baja del Segura")</f>
        <v>Vega Baja del Segura</v>
      </c>
      <c r="C905" s="2" t="str">
        <f>IFERROR(__xludf.DUMMYFUNCTION("""COMPUTED_VALUE"""),"Provincia de Alicante")</f>
        <v>Provincia de Alicante</v>
      </c>
      <c r="D905" s="2" t="str">
        <f>IFERROR(__xludf.DUMMYFUNCTION("""COMPUTED_VALUE"""),"Comunidad Valenciana")</f>
        <v>Comunidad Valenciana</v>
      </c>
      <c r="E905" s="2">
        <f>IFERROR(__xludf.DUMMYFUNCTION("""COMPUTED_VALUE"""),18.0)</f>
        <v>18</v>
      </c>
      <c r="F905" s="2">
        <f>IFERROR(__xludf.DUMMYFUNCTION("""COMPUTED_VALUE"""),9.45)</f>
        <v>9.45</v>
      </c>
      <c r="G905" s="4">
        <f>IFERROR(__xludf.DUMMYFUNCTION("""COMPUTED_VALUE"""),7869.0)</f>
        <v>7869</v>
      </c>
      <c r="H905" s="2">
        <f>IFERROR(__xludf.DUMMYFUNCTION("""COMPUTED_VALUE"""),832.7)</f>
        <v>832.7</v>
      </c>
    </row>
    <row r="906">
      <c r="A906" s="2" t="str">
        <f>IFERROR(__xludf.DUMMYFUNCTION("""COMPUTED_VALUE"""),"La Puebla de Montalbán")</f>
        <v>La Puebla de Montalbán</v>
      </c>
      <c r="B906" s="2" t="str">
        <f>IFERROR(__xludf.DUMMYFUNCTION("""COMPUTED_VALUE"""),"Comarca de Torrijos")</f>
        <v>Comarca de Torrijos</v>
      </c>
      <c r="C906" s="2" t="str">
        <f>IFERROR(__xludf.DUMMYFUNCTION("""COMPUTED_VALUE"""),"Provincia de Toledo")</f>
        <v>Provincia de Toledo</v>
      </c>
      <c r="D906" s="2" t="str">
        <f>IFERROR(__xludf.DUMMYFUNCTION("""COMPUTED_VALUE"""),"Castilla-La Mancha")</f>
        <v>Castilla-La Mancha</v>
      </c>
      <c r="E906" s="2">
        <f>IFERROR(__xludf.DUMMYFUNCTION("""COMPUTED_VALUE"""),453.0)</f>
        <v>453</v>
      </c>
      <c r="F906" s="2">
        <f>IFERROR(__xludf.DUMMYFUNCTION("""COMPUTED_VALUE"""),141.34)</f>
        <v>141.34</v>
      </c>
      <c r="G906" s="4">
        <f>IFERROR(__xludf.DUMMYFUNCTION("""COMPUTED_VALUE"""),7861.0)</f>
        <v>7861</v>
      </c>
      <c r="H906" s="2">
        <f>IFERROR(__xludf.DUMMYFUNCTION("""COMPUTED_VALUE"""),55.62)</f>
        <v>55.62</v>
      </c>
    </row>
    <row r="907">
      <c r="A907" s="2" t="str">
        <f>IFERROR(__xludf.DUMMYFUNCTION("""COMPUTED_VALUE"""),"San Fulgencio")</f>
        <v>San Fulgencio</v>
      </c>
      <c r="B907" s="2" t="str">
        <f>IFERROR(__xludf.DUMMYFUNCTION("""COMPUTED_VALUE"""),"Vega Baja del Segura")</f>
        <v>Vega Baja del Segura</v>
      </c>
      <c r="C907" s="2" t="str">
        <f>IFERROR(__xludf.DUMMYFUNCTION("""COMPUTED_VALUE"""),"Provincia de Alicante")</f>
        <v>Provincia de Alicante</v>
      </c>
      <c r="D907" s="2" t="str">
        <f>IFERROR(__xludf.DUMMYFUNCTION("""COMPUTED_VALUE"""),"Comunidad Valenciana")</f>
        <v>Comunidad Valenciana</v>
      </c>
      <c r="E907" s="2">
        <f>IFERROR(__xludf.DUMMYFUNCTION("""COMPUTED_VALUE"""),4.0)</f>
        <v>4</v>
      </c>
      <c r="F907" s="2">
        <f>IFERROR(__xludf.DUMMYFUNCTION("""COMPUTED_VALUE"""),20.7)</f>
        <v>20.7</v>
      </c>
      <c r="G907" s="4">
        <f>IFERROR(__xludf.DUMMYFUNCTION("""COMPUTED_VALUE"""),7855.0)</f>
        <v>7855</v>
      </c>
      <c r="H907" s="2">
        <f>IFERROR(__xludf.DUMMYFUNCTION("""COMPUTED_VALUE"""),379.47)</f>
        <v>379.47</v>
      </c>
    </row>
    <row r="908">
      <c r="A908" s="2" t="str">
        <f>IFERROR(__xludf.DUMMYFUNCTION("""COMPUTED_VALUE"""),"Rociana del Condado")</f>
        <v>Rociana del Condado</v>
      </c>
      <c r="B908" s="2" t="str">
        <f>IFERROR(__xludf.DUMMYFUNCTION("""COMPUTED_VALUE"""),"El Condado (Huelva)")</f>
        <v>El Condado (Huelva)</v>
      </c>
      <c r="C908" s="2" t="str">
        <f>IFERROR(__xludf.DUMMYFUNCTION("""COMPUTED_VALUE"""),"Provincia de Huelva")</f>
        <v>Provincia de Huelva</v>
      </c>
      <c r="D908" s="2" t="str">
        <f>IFERROR(__xludf.DUMMYFUNCTION("""COMPUTED_VALUE"""),"Andalucía")</f>
        <v>Andalucía</v>
      </c>
      <c r="E908" s="2">
        <f>IFERROR(__xludf.DUMMYFUNCTION("""COMPUTED_VALUE"""),98.0)</f>
        <v>98</v>
      </c>
      <c r="F908" s="2">
        <f>IFERROR(__xludf.DUMMYFUNCTION("""COMPUTED_VALUE"""),71.95)</f>
        <v>71.95</v>
      </c>
      <c r="G908" s="4">
        <f>IFERROR(__xludf.DUMMYFUNCTION("""COMPUTED_VALUE"""),7855.0)</f>
        <v>7855</v>
      </c>
      <c r="H908" s="2">
        <f>IFERROR(__xludf.DUMMYFUNCTION("""COMPUTED_VALUE"""),109.17)</f>
        <v>109.17</v>
      </c>
    </row>
    <row r="909">
      <c r="A909" s="2" t="str">
        <f>IFERROR(__xludf.DUMMYFUNCTION("""COMPUTED_VALUE"""),"Azuaga")</f>
        <v>Azuaga</v>
      </c>
      <c r="B909" s="2" t="str">
        <f>IFERROR(__xludf.DUMMYFUNCTION("""COMPUTED_VALUE"""),"Campiña Sur (Badajoz)")</f>
        <v>Campiña Sur (Badajoz)</v>
      </c>
      <c r="C909" s="2" t="str">
        <f>IFERROR(__xludf.DUMMYFUNCTION("""COMPUTED_VALUE"""),"Provincia de Badajoz")</f>
        <v>Provincia de Badajoz</v>
      </c>
      <c r="D909" s="2" t="str">
        <f>IFERROR(__xludf.DUMMYFUNCTION("""COMPUTED_VALUE"""),"Extremadura")</f>
        <v>Extremadura</v>
      </c>
      <c r="E909" s="2">
        <f>IFERROR(__xludf.DUMMYFUNCTION("""COMPUTED_VALUE"""),593.0)</f>
        <v>593</v>
      </c>
      <c r="F909" s="2">
        <f>IFERROR(__xludf.DUMMYFUNCTION("""COMPUTED_VALUE"""),497.89)</f>
        <v>497.89</v>
      </c>
      <c r="G909" s="4">
        <f>IFERROR(__xludf.DUMMYFUNCTION("""COMPUTED_VALUE"""),7853.0)</f>
        <v>7853</v>
      </c>
      <c r="H909" s="2">
        <f>IFERROR(__xludf.DUMMYFUNCTION("""COMPUTED_VALUE"""),15.77)</f>
        <v>15.77</v>
      </c>
    </row>
    <row r="910">
      <c r="A910" s="2" t="str">
        <f>IFERROR(__xludf.DUMMYFUNCTION("""COMPUTED_VALUE"""),"Artà")</f>
        <v>Artà</v>
      </c>
      <c r="B910" s="2" t="str">
        <f>IFERROR(__xludf.DUMMYFUNCTION("""COMPUTED_VALUE"""),"Llevant")</f>
        <v>Llevant</v>
      </c>
      <c r="C910" s="2" t="str">
        <f>IFERROR(__xludf.DUMMYFUNCTION("""COMPUTED_VALUE"""),"Provincia de Baleares")</f>
        <v>Provincia de Baleares</v>
      </c>
      <c r="D910" s="2" t="str">
        <f>IFERROR(__xludf.DUMMYFUNCTION("""COMPUTED_VALUE"""),"Islas Baleares")</f>
        <v>Islas Baleares</v>
      </c>
      <c r="E910" s="2">
        <f>IFERROR(__xludf.DUMMYFUNCTION("""COMPUTED_VALUE"""),154.0)</f>
        <v>154</v>
      </c>
      <c r="F910" s="2">
        <f>IFERROR(__xludf.DUMMYFUNCTION("""COMPUTED_VALUE"""),139.79)</f>
        <v>139.79</v>
      </c>
      <c r="G910" s="4">
        <f>IFERROR(__xludf.DUMMYFUNCTION("""COMPUTED_VALUE"""),7845.0)</f>
        <v>7845</v>
      </c>
      <c r="H910" s="2">
        <f>IFERROR(__xludf.DUMMYFUNCTION("""COMPUTED_VALUE"""),56.12)</f>
        <v>56.12</v>
      </c>
    </row>
    <row r="911">
      <c r="A911" s="2" t="str">
        <f>IFERROR(__xludf.DUMMYFUNCTION("""COMPUTED_VALUE"""),"Moratalla")</f>
        <v>Moratalla</v>
      </c>
      <c r="B911" s="2" t="str">
        <f>IFERROR(__xludf.DUMMYFUNCTION("""COMPUTED_VALUE"""),"Comarca del Noroeste")</f>
        <v>Comarca del Noroeste</v>
      </c>
      <c r="C911" s="2" t="str">
        <f>IFERROR(__xludf.DUMMYFUNCTION("""COMPUTED_VALUE"""),"Provincia de Murcia")</f>
        <v>Provincia de Murcia</v>
      </c>
      <c r="D911" s="2" t="str">
        <f>IFERROR(__xludf.DUMMYFUNCTION("""COMPUTED_VALUE"""),"Región de Murcia")</f>
        <v>Región de Murcia</v>
      </c>
      <c r="E911" s="2">
        <f>IFERROR(__xludf.DUMMYFUNCTION("""COMPUTED_VALUE"""),681.0)</f>
        <v>681</v>
      </c>
      <c r="F911" s="2">
        <f>IFERROR(__xludf.DUMMYFUNCTION("""COMPUTED_VALUE"""),952.61)</f>
        <v>952.61</v>
      </c>
      <c r="G911" s="4">
        <f>IFERROR(__xludf.DUMMYFUNCTION("""COMPUTED_VALUE"""),7839.0)</f>
        <v>7839</v>
      </c>
      <c r="H911" s="2">
        <f>IFERROR(__xludf.DUMMYFUNCTION("""COMPUTED_VALUE"""),8.23)</f>
        <v>8.23</v>
      </c>
    </row>
    <row r="912">
      <c r="A912" s="2" t="str">
        <f>IFERROR(__xludf.DUMMYFUNCTION("""COMPUTED_VALUE"""),"Brión")</f>
        <v>Brión</v>
      </c>
      <c r="B912" s="2" t="str">
        <f>IFERROR(__xludf.DUMMYFUNCTION("""COMPUTED_VALUE"""),"Santiago de Compostela")</f>
        <v>Santiago de Compostela</v>
      </c>
      <c r="C912" s="2" t="str">
        <f>IFERROR(__xludf.DUMMYFUNCTION("""COMPUTED_VALUE"""),"Provincia de A Coruña")</f>
        <v>Provincia de A Coruña</v>
      </c>
      <c r="D912" s="2" t="str">
        <f>IFERROR(__xludf.DUMMYFUNCTION("""COMPUTED_VALUE"""),"Galicia")</f>
        <v>Galicia</v>
      </c>
      <c r="E912" s="2">
        <f>IFERROR(__xludf.DUMMYFUNCTION("""COMPUTED_VALUE"""),289.0)</f>
        <v>289</v>
      </c>
      <c r="F912" s="2">
        <f>IFERROR(__xludf.DUMMYFUNCTION("""COMPUTED_VALUE"""),74.73)</f>
        <v>74.73</v>
      </c>
      <c r="G912" s="4">
        <f>IFERROR(__xludf.DUMMYFUNCTION("""COMPUTED_VALUE"""),7837.0)</f>
        <v>7837</v>
      </c>
      <c r="H912" s="2">
        <f>IFERROR(__xludf.DUMMYFUNCTION("""COMPUTED_VALUE"""),104.87)</f>
        <v>104.87</v>
      </c>
    </row>
    <row r="913">
      <c r="A913" s="2" t="str">
        <f>IFERROR(__xludf.DUMMYFUNCTION("""COMPUTED_VALUE"""),"Villaverde del Río")</f>
        <v>Villaverde del Río</v>
      </c>
      <c r="B913" s="2" t="str">
        <f>IFERROR(__xludf.DUMMYFUNCTION("""COMPUTED_VALUE"""),"Vega del Guadalquivir")</f>
        <v>Vega del Guadalquivir</v>
      </c>
      <c r="C913" s="2" t="str">
        <f>IFERROR(__xludf.DUMMYFUNCTION("""COMPUTED_VALUE"""),"Provincia de Sevilla")</f>
        <v>Provincia de Sevilla</v>
      </c>
      <c r="D913" s="2" t="str">
        <f>IFERROR(__xludf.DUMMYFUNCTION("""COMPUTED_VALUE"""),"Andalucía")</f>
        <v>Andalucía</v>
      </c>
      <c r="E913" s="2">
        <f>IFERROR(__xludf.DUMMYFUNCTION("""COMPUTED_VALUE"""),17.0)</f>
        <v>17</v>
      </c>
      <c r="F913" s="2">
        <f>IFERROR(__xludf.DUMMYFUNCTION("""COMPUTED_VALUE"""),41.14)</f>
        <v>41.14</v>
      </c>
      <c r="G913" s="4">
        <f>IFERROR(__xludf.DUMMYFUNCTION("""COMPUTED_VALUE"""),7818.0)</f>
        <v>7818</v>
      </c>
      <c r="H913" s="2">
        <f>IFERROR(__xludf.DUMMYFUNCTION("""COMPUTED_VALUE"""),190.03)</f>
        <v>190.03</v>
      </c>
    </row>
    <row r="914">
      <c r="A914" s="2" t="str">
        <f>IFERROR(__xludf.DUMMYFUNCTION("""COMPUTED_VALUE"""),"Castro del Río")</f>
        <v>Castro del Río</v>
      </c>
      <c r="B914" s="2" t="str">
        <f>IFERROR(__xludf.DUMMYFUNCTION("""COMPUTED_VALUE"""),"Campiña Este - Guadajoz")</f>
        <v>Campiña Este - Guadajoz</v>
      </c>
      <c r="C914" s="2" t="str">
        <f>IFERROR(__xludf.DUMMYFUNCTION("""COMPUTED_VALUE"""),"Provincia de Córdoba")</f>
        <v>Provincia de Córdoba</v>
      </c>
      <c r="D914" s="2" t="str">
        <f>IFERROR(__xludf.DUMMYFUNCTION("""COMPUTED_VALUE"""),"Andalucía")</f>
        <v>Andalucía</v>
      </c>
      <c r="E914" s="2">
        <f>IFERROR(__xludf.DUMMYFUNCTION("""COMPUTED_VALUE"""),227.0)</f>
        <v>227</v>
      </c>
      <c r="F914" s="2">
        <f>IFERROR(__xludf.DUMMYFUNCTION("""COMPUTED_VALUE"""),219.74)</f>
        <v>219.74</v>
      </c>
      <c r="G914" s="4">
        <f>IFERROR(__xludf.DUMMYFUNCTION("""COMPUTED_VALUE"""),7809.0)</f>
        <v>7809</v>
      </c>
      <c r="H914" s="2">
        <f>IFERROR(__xludf.DUMMYFUNCTION("""COMPUTED_VALUE"""),35.54)</f>
        <v>35.54</v>
      </c>
    </row>
    <row r="915">
      <c r="A915" s="2" t="str">
        <f>IFERROR(__xludf.DUMMYFUNCTION("""COMPUTED_VALUE"""),"Vidreres")</f>
        <v>Vidreres</v>
      </c>
      <c r="B915" s="2" t="str">
        <f>IFERROR(__xludf.DUMMYFUNCTION("""COMPUTED_VALUE"""),"Selva (comarca)")</f>
        <v>Selva (comarca)</v>
      </c>
      <c r="C915" s="2" t="str">
        <f>IFERROR(__xludf.DUMMYFUNCTION("""COMPUTED_VALUE"""),"Provincia de Girona")</f>
        <v>Provincia de Girona</v>
      </c>
      <c r="D915" s="2" t="str">
        <f>IFERROR(__xludf.DUMMYFUNCTION("""COMPUTED_VALUE"""),"Cataluña")</f>
        <v>Cataluña</v>
      </c>
      <c r="E915" s="2">
        <f>IFERROR(__xludf.DUMMYFUNCTION("""COMPUTED_VALUE"""),93.0)</f>
        <v>93</v>
      </c>
      <c r="F915" s="2">
        <f>IFERROR(__xludf.DUMMYFUNCTION("""COMPUTED_VALUE"""),48.37)</f>
        <v>48.37</v>
      </c>
      <c r="G915" s="4">
        <f>IFERROR(__xludf.DUMMYFUNCTION("""COMPUTED_VALUE"""),7797.0)</f>
        <v>7797</v>
      </c>
      <c r="H915" s="2">
        <f>IFERROR(__xludf.DUMMYFUNCTION("""COMPUTED_VALUE"""),161.19)</f>
        <v>161.19</v>
      </c>
    </row>
    <row r="916">
      <c r="A916" s="2" t="str">
        <f>IFERROR(__xludf.DUMMYFUNCTION("""COMPUTED_VALUE"""),"Torres de la Alameda")</f>
        <v>Torres de la Alameda</v>
      </c>
      <c r="B916" s="2" t="str">
        <f>IFERROR(__xludf.DUMMYFUNCTION("""COMPUTED_VALUE"""),"Comarca de Alcalá")</f>
        <v>Comarca de Alcalá</v>
      </c>
      <c r="C916" s="2" t="str">
        <f>IFERROR(__xludf.DUMMYFUNCTION("""COMPUTED_VALUE"""),"Provincia de Madrid")</f>
        <v>Provincia de Madrid</v>
      </c>
      <c r="D916" s="2" t="str">
        <f>IFERROR(__xludf.DUMMYFUNCTION("""COMPUTED_VALUE"""),"Comunidad de Madrid")</f>
        <v>Comunidad de Madrid</v>
      </c>
      <c r="E916" s="2">
        <f>IFERROR(__xludf.DUMMYFUNCTION("""COMPUTED_VALUE"""),654.0)</f>
        <v>654</v>
      </c>
      <c r="F916" s="2">
        <f>IFERROR(__xludf.DUMMYFUNCTION("""COMPUTED_VALUE"""),43.79)</f>
        <v>43.79</v>
      </c>
      <c r="G916" s="4">
        <f>IFERROR(__xludf.DUMMYFUNCTION("""COMPUTED_VALUE"""),7779.0)</f>
        <v>7779</v>
      </c>
      <c r="H916" s="2">
        <f>IFERROR(__xludf.DUMMYFUNCTION("""COMPUTED_VALUE"""),177.64)</f>
        <v>177.64</v>
      </c>
    </row>
    <row r="917">
      <c r="A917" s="2" t="str">
        <f>IFERROR(__xludf.DUMMYFUNCTION("""COMPUTED_VALUE"""),"Pontedeume")</f>
        <v>Pontedeume</v>
      </c>
      <c r="B917" s="2" t="str">
        <f>IFERROR(__xludf.DUMMYFUNCTION("""COMPUTED_VALUE"""),"Comarca del Eume")</f>
        <v>Comarca del Eume</v>
      </c>
      <c r="C917" s="2" t="str">
        <f>IFERROR(__xludf.DUMMYFUNCTION("""COMPUTED_VALUE"""),"Provincia de A Coruña")</f>
        <v>Provincia de A Coruña</v>
      </c>
      <c r="D917" s="2" t="str">
        <f>IFERROR(__xludf.DUMMYFUNCTION("""COMPUTED_VALUE"""),"Galicia")</f>
        <v>Galicia</v>
      </c>
      <c r="E917" s="2"/>
      <c r="F917" s="2">
        <f>IFERROR(__xludf.DUMMYFUNCTION("""COMPUTED_VALUE"""),29.26)</f>
        <v>29.26</v>
      </c>
      <c r="G917" s="4">
        <f>IFERROR(__xludf.DUMMYFUNCTION("""COMPUTED_VALUE"""),7777.0)</f>
        <v>7777</v>
      </c>
      <c r="H917" s="2">
        <f>IFERROR(__xludf.DUMMYFUNCTION("""COMPUTED_VALUE"""),265.79)</f>
        <v>265.79</v>
      </c>
    </row>
    <row r="918">
      <c r="A918" s="2" t="str">
        <f>IFERROR(__xludf.DUMMYFUNCTION("""COMPUTED_VALUE"""),"Baztan")</f>
        <v>Baztan</v>
      </c>
      <c r="B918" s="2" t="str">
        <f>IFERROR(__xludf.DUMMYFUNCTION("""COMPUTED_VALUE"""),"Baztán (comarca)")</f>
        <v>Baztán (comarca)</v>
      </c>
      <c r="C918" s="2" t="str">
        <f>IFERROR(__xludf.DUMMYFUNCTION("""COMPUTED_VALUE"""),"Provincia de Navarra")</f>
        <v>Provincia de Navarra</v>
      </c>
      <c r="D918" s="2" t="str">
        <f>IFERROR(__xludf.DUMMYFUNCTION("""COMPUTED_VALUE"""),"Comunidad Foral de Navarra")</f>
        <v>Comunidad Foral de Navarra</v>
      </c>
      <c r="E918" s="2">
        <f>IFERROR(__xludf.DUMMYFUNCTION("""COMPUTED_VALUE"""),432.0)</f>
        <v>432</v>
      </c>
      <c r="F918" s="2">
        <f>IFERROR(__xludf.DUMMYFUNCTION("""COMPUTED_VALUE"""),370.99)</f>
        <v>370.99</v>
      </c>
      <c r="G918" s="4">
        <f>IFERROR(__xludf.DUMMYFUNCTION("""COMPUTED_VALUE"""),7777.0)</f>
        <v>7777</v>
      </c>
      <c r="H918" s="2">
        <f>IFERROR(__xludf.DUMMYFUNCTION("""COMPUTED_VALUE"""),20.96)</f>
        <v>20.96</v>
      </c>
    </row>
    <row r="919">
      <c r="A919" s="2" t="str">
        <f>IFERROR(__xludf.DUMMYFUNCTION("""COMPUTED_VALUE"""),"Valencina de la Concepción")</f>
        <v>Valencina de la Concepción</v>
      </c>
      <c r="B919" s="2" t="str">
        <f>IFERROR(__xludf.DUMMYFUNCTION("""COMPUTED_VALUE"""),"Comarca Metropolitana de Sevilla")</f>
        <v>Comarca Metropolitana de Sevilla</v>
      </c>
      <c r="C919" s="2" t="str">
        <f>IFERROR(__xludf.DUMMYFUNCTION("""COMPUTED_VALUE"""),"Provincia de Sevilla")</f>
        <v>Provincia de Sevilla</v>
      </c>
      <c r="D919" s="2" t="str">
        <f>IFERROR(__xludf.DUMMYFUNCTION("""COMPUTED_VALUE"""),"Andalucía")</f>
        <v>Andalucía</v>
      </c>
      <c r="E919" s="2">
        <f>IFERROR(__xludf.DUMMYFUNCTION("""COMPUTED_VALUE"""),153.0)</f>
        <v>153</v>
      </c>
      <c r="F919" s="2">
        <f>IFERROR(__xludf.DUMMYFUNCTION("""COMPUTED_VALUE"""),25.13)</f>
        <v>25.13</v>
      </c>
      <c r="G919" s="4">
        <f>IFERROR(__xludf.DUMMYFUNCTION("""COMPUTED_VALUE"""),7751.0)</f>
        <v>7751</v>
      </c>
      <c r="H919" s="2">
        <f>IFERROR(__xludf.DUMMYFUNCTION("""COMPUTED_VALUE"""),308.44)</f>
        <v>308.44</v>
      </c>
    </row>
    <row r="920">
      <c r="A920" s="2" t="str">
        <f>IFERROR(__xludf.DUMMYFUNCTION("""COMPUTED_VALUE"""),"Trigueros")</f>
        <v>Trigueros</v>
      </c>
      <c r="B920" s="2" t="str">
        <f>IFERROR(__xludf.DUMMYFUNCTION("""COMPUTED_VALUE"""),"El Condado (Huelva)")</f>
        <v>El Condado (Huelva)</v>
      </c>
      <c r="C920" s="2" t="str">
        <f>IFERROR(__xludf.DUMMYFUNCTION("""COMPUTED_VALUE"""),"Provincia de Huelva")</f>
        <v>Provincia de Huelva</v>
      </c>
      <c r="D920" s="2" t="str">
        <f>IFERROR(__xludf.DUMMYFUNCTION("""COMPUTED_VALUE"""),"Andalucía")</f>
        <v>Andalucía</v>
      </c>
      <c r="E920" s="2">
        <f>IFERROR(__xludf.DUMMYFUNCTION("""COMPUTED_VALUE"""),76.0)</f>
        <v>76</v>
      </c>
      <c r="F920" s="2">
        <f>IFERROR(__xludf.DUMMYFUNCTION("""COMPUTED_VALUE"""),117.98)</f>
        <v>117.98</v>
      </c>
      <c r="G920" s="4">
        <f>IFERROR(__xludf.DUMMYFUNCTION("""COMPUTED_VALUE"""),7713.0)</f>
        <v>7713</v>
      </c>
      <c r="H920" s="2">
        <f>IFERROR(__xludf.DUMMYFUNCTION("""COMPUTED_VALUE"""),65.38)</f>
        <v>65.38</v>
      </c>
    </row>
    <row r="921">
      <c r="A921" s="2" t="str">
        <f>IFERROR(__xludf.DUMMYFUNCTION("""COMPUTED_VALUE"""),"Pedreguer")</f>
        <v>Pedreguer</v>
      </c>
      <c r="B921" s="2" t="str">
        <f>IFERROR(__xludf.DUMMYFUNCTION("""COMPUTED_VALUE"""),"Marina Alta")</f>
        <v>Marina Alta</v>
      </c>
      <c r="C921" s="2" t="str">
        <f>IFERROR(__xludf.DUMMYFUNCTION("""COMPUTED_VALUE"""),"Provincia de Alicante")</f>
        <v>Provincia de Alicante</v>
      </c>
      <c r="D921" s="2" t="str">
        <f>IFERROR(__xludf.DUMMYFUNCTION("""COMPUTED_VALUE"""),"Comunidad Valenciana")</f>
        <v>Comunidad Valenciana</v>
      </c>
      <c r="E921" s="2">
        <f>IFERROR(__xludf.DUMMYFUNCTION("""COMPUTED_VALUE"""),83.0)</f>
        <v>83</v>
      </c>
      <c r="F921" s="2">
        <f>IFERROR(__xludf.DUMMYFUNCTION("""COMPUTED_VALUE"""),29.58)</f>
        <v>29.58</v>
      </c>
      <c r="G921" s="4">
        <f>IFERROR(__xludf.DUMMYFUNCTION("""COMPUTED_VALUE"""),7699.0)</f>
        <v>7699</v>
      </c>
      <c r="H921" s="2">
        <f>IFERROR(__xludf.DUMMYFUNCTION("""COMPUTED_VALUE"""),260.28)</f>
        <v>260.28</v>
      </c>
    </row>
    <row r="922">
      <c r="A922" s="2" t="str">
        <f>IFERROR(__xludf.DUMMYFUNCTION("""COMPUTED_VALUE"""),"Balmaseda")</f>
        <v>Balmaseda</v>
      </c>
      <c r="B922" s="2" t="str">
        <f>IFERROR(__xludf.DUMMYFUNCTION("""COMPUTED_VALUE"""),"Las Encartaciones")</f>
        <v>Las Encartaciones</v>
      </c>
      <c r="C922" s="2" t="str">
        <f>IFERROR(__xludf.DUMMYFUNCTION("""COMPUTED_VALUE"""),"Provincia de Bizkaia")</f>
        <v>Provincia de Bizkaia</v>
      </c>
      <c r="D922" s="2" t="str">
        <f>IFERROR(__xludf.DUMMYFUNCTION("""COMPUTED_VALUE"""),"País Vasco")</f>
        <v>País Vasco</v>
      </c>
      <c r="E922" s="2">
        <f>IFERROR(__xludf.DUMMYFUNCTION("""COMPUTED_VALUE"""),146.0)</f>
        <v>146</v>
      </c>
      <c r="F922" s="2">
        <f>IFERROR(__xludf.DUMMYFUNCTION("""COMPUTED_VALUE"""),22.32)</f>
        <v>22.32</v>
      </c>
      <c r="G922" s="4">
        <f>IFERROR(__xludf.DUMMYFUNCTION("""COMPUTED_VALUE"""),7697.0)</f>
        <v>7697</v>
      </c>
      <c r="H922" s="2">
        <f>IFERROR(__xludf.DUMMYFUNCTION("""COMPUTED_VALUE"""),344.85)</f>
        <v>344.85</v>
      </c>
    </row>
    <row r="923">
      <c r="A923" s="2" t="str">
        <f>IFERROR(__xludf.DUMMYFUNCTION("""COMPUTED_VALUE"""),"Moya")</f>
        <v>Moya</v>
      </c>
      <c r="B923" s="2"/>
      <c r="C923" s="2" t="str">
        <f>IFERROR(__xludf.DUMMYFUNCTION("""COMPUTED_VALUE"""),"Provincia de Las Palmas")</f>
        <v>Provincia de Las Palmas</v>
      </c>
      <c r="D923" s="2" t="str">
        <f>IFERROR(__xludf.DUMMYFUNCTION("""COMPUTED_VALUE"""),"Canarias")</f>
        <v>Canarias</v>
      </c>
      <c r="E923" s="2">
        <f>IFERROR(__xludf.DUMMYFUNCTION("""COMPUTED_VALUE"""),490.0)</f>
        <v>490</v>
      </c>
      <c r="F923" s="2">
        <f>IFERROR(__xludf.DUMMYFUNCTION("""COMPUTED_VALUE"""),32.2)</f>
        <v>32.2</v>
      </c>
      <c r="G923" s="4">
        <f>IFERROR(__xludf.DUMMYFUNCTION("""COMPUTED_VALUE"""),7696.0)</f>
        <v>7696</v>
      </c>
      <c r="H923" s="2">
        <f>IFERROR(__xludf.DUMMYFUNCTION("""COMPUTED_VALUE"""),239.01)</f>
        <v>239.01</v>
      </c>
    </row>
    <row r="924">
      <c r="A924" s="2" t="str">
        <f>IFERROR(__xludf.DUMMYFUNCTION("""COMPUTED_VALUE"""),"Tobarra")</f>
        <v>Tobarra</v>
      </c>
      <c r="B924" s="2" t="str">
        <f>IFERROR(__xludf.DUMMYFUNCTION("""COMPUTED_VALUE"""),"Campos de Hellín")</f>
        <v>Campos de Hellín</v>
      </c>
      <c r="C924" s="2" t="str">
        <f>IFERROR(__xludf.DUMMYFUNCTION("""COMPUTED_VALUE"""),"Provincia de Albacete")</f>
        <v>Provincia de Albacete</v>
      </c>
      <c r="D924" s="2" t="str">
        <f>IFERROR(__xludf.DUMMYFUNCTION("""COMPUTED_VALUE"""),"Castilla-La Mancha")</f>
        <v>Castilla-La Mancha</v>
      </c>
      <c r="E924" s="2">
        <f>IFERROR(__xludf.DUMMYFUNCTION("""COMPUTED_VALUE"""),661.0)</f>
        <v>661</v>
      </c>
      <c r="F924" s="2">
        <f>IFERROR(__xludf.DUMMYFUNCTION("""COMPUTED_VALUE"""),324.65)</f>
        <v>324.65</v>
      </c>
      <c r="G924" s="4">
        <f>IFERROR(__xludf.DUMMYFUNCTION("""COMPUTED_VALUE"""),7684.0)</f>
        <v>7684</v>
      </c>
      <c r="H924" s="2">
        <f>IFERROR(__xludf.DUMMYFUNCTION("""COMPUTED_VALUE"""),23.67)</f>
        <v>23.67</v>
      </c>
    </row>
    <row r="925">
      <c r="A925" s="2" t="str">
        <f>IFERROR(__xludf.DUMMYFUNCTION("""COMPUTED_VALUE"""),"Morata de Tajuña")</f>
        <v>Morata de Tajuña</v>
      </c>
      <c r="B925" s="2" t="str">
        <f>IFERROR(__xludf.DUMMYFUNCTION("""COMPUTED_VALUE"""),"La Alcarria")</f>
        <v>La Alcarria</v>
      </c>
      <c r="C925" s="2" t="str">
        <f>IFERROR(__xludf.DUMMYFUNCTION("""COMPUTED_VALUE"""),"Provincia de Madrid")</f>
        <v>Provincia de Madrid</v>
      </c>
      <c r="D925" s="2" t="str">
        <f>IFERROR(__xludf.DUMMYFUNCTION("""COMPUTED_VALUE"""),"Comunidad de Madrid")</f>
        <v>Comunidad de Madrid</v>
      </c>
      <c r="E925" s="2">
        <f>IFERROR(__xludf.DUMMYFUNCTION("""COMPUTED_VALUE"""),537.0)</f>
        <v>537</v>
      </c>
      <c r="F925" s="2">
        <f>IFERROR(__xludf.DUMMYFUNCTION("""COMPUTED_VALUE"""),45.2)</f>
        <v>45.2</v>
      </c>
      <c r="G925" s="4">
        <f>IFERROR(__xludf.DUMMYFUNCTION("""COMPUTED_VALUE"""),7683.0)</f>
        <v>7683</v>
      </c>
      <c r="H925" s="2">
        <f>IFERROR(__xludf.DUMMYFUNCTION("""COMPUTED_VALUE"""),169.98)</f>
        <v>169.98</v>
      </c>
    </row>
    <row r="926">
      <c r="A926" s="2" t="str">
        <f>IFERROR(__xludf.DUMMYFUNCTION("""COMPUTED_VALUE"""),"Bornos")</f>
        <v>Bornos</v>
      </c>
      <c r="B926" s="2" t="str">
        <f>IFERROR(__xludf.DUMMYFUNCTION("""COMPUTED_VALUE"""),"Sierra de Cádiz")</f>
        <v>Sierra de Cádiz</v>
      </c>
      <c r="C926" s="2" t="str">
        <f>IFERROR(__xludf.DUMMYFUNCTION("""COMPUTED_VALUE"""),"Provincia de Cádiz")</f>
        <v>Provincia de Cádiz</v>
      </c>
      <c r="D926" s="2" t="str">
        <f>IFERROR(__xludf.DUMMYFUNCTION("""COMPUTED_VALUE"""),"Andalucía")</f>
        <v>Andalucía</v>
      </c>
      <c r="E926" s="2">
        <f>IFERROR(__xludf.DUMMYFUNCTION("""COMPUTED_VALUE"""),182.0)</f>
        <v>182</v>
      </c>
      <c r="F926" s="2">
        <f>IFERROR(__xludf.DUMMYFUNCTION("""COMPUTED_VALUE"""),55.09)</f>
        <v>55.09</v>
      </c>
      <c r="G926" s="4">
        <f>IFERROR(__xludf.DUMMYFUNCTION("""COMPUTED_VALUE"""),7670.0)</f>
        <v>7670</v>
      </c>
      <c r="H926" s="2">
        <f>IFERROR(__xludf.DUMMYFUNCTION("""COMPUTED_VALUE"""),139.23)</f>
        <v>139.23</v>
      </c>
    </row>
    <row r="927">
      <c r="A927" s="2" t="str">
        <f>IFERROR(__xludf.DUMMYFUNCTION("""COMPUTED_VALUE"""),"Caldes de Malavella")</f>
        <v>Caldes de Malavella</v>
      </c>
      <c r="B927" s="2" t="str">
        <f>IFERROR(__xludf.DUMMYFUNCTION("""COMPUTED_VALUE"""),"Selva (comarca)")</f>
        <v>Selva (comarca)</v>
      </c>
      <c r="C927" s="2" t="str">
        <f>IFERROR(__xludf.DUMMYFUNCTION("""COMPUTED_VALUE"""),"Provincia de Girona")</f>
        <v>Provincia de Girona</v>
      </c>
      <c r="D927" s="2" t="str">
        <f>IFERROR(__xludf.DUMMYFUNCTION("""COMPUTED_VALUE"""),"Cataluña")</f>
        <v>Cataluña</v>
      </c>
      <c r="E927" s="2">
        <f>IFERROR(__xludf.DUMMYFUNCTION("""COMPUTED_VALUE"""),100.0)</f>
        <v>100</v>
      </c>
      <c r="F927" s="2">
        <f>IFERROR(__xludf.DUMMYFUNCTION("""COMPUTED_VALUE"""),56.98)</f>
        <v>56.98</v>
      </c>
      <c r="G927" s="4">
        <f>IFERROR(__xludf.DUMMYFUNCTION("""COMPUTED_VALUE"""),7641.0)</f>
        <v>7641</v>
      </c>
      <c r="H927" s="2">
        <f>IFERROR(__xludf.DUMMYFUNCTION("""COMPUTED_VALUE"""),134.1)</f>
        <v>134.1</v>
      </c>
    </row>
    <row r="928">
      <c r="A928" s="2" t="str">
        <f>IFERROR(__xludf.DUMMYFUNCTION("""COMPUTED_VALUE"""),"El Paso")</f>
        <v>El Paso</v>
      </c>
      <c r="B928" s="2"/>
      <c r="C928" s="2" t="str">
        <f>IFERROR(__xludf.DUMMYFUNCTION("""COMPUTED_VALUE"""),"Provincia de Santa Cruz de Tenerife")</f>
        <v>Provincia de Santa Cruz de Tenerife</v>
      </c>
      <c r="D928" s="2" t="str">
        <f>IFERROR(__xludf.DUMMYFUNCTION("""COMPUTED_VALUE"""),"Canarias")</f>
        <v>Canarias</v>
      </c>
      <c r="E928" s="2">
        <f>IFERROR(__xludf.DUMMYFUNCTION("""COMPUTED_VALUE"""),630.0)</f>
        <v>630</v>
      </c>
      <c r="F928" s="2">
        <f>IFERROR(__xludf.DUMMYFUNCTION("""COMPUTED_VALUE"""),135.94)</f>
        <v>135.94</v>
      </c>
      <c r="G928" s="4">
        <f>IFERROR(__xludf.DUMMYFUNCTION("""COMPUTED_VALUE"""),7622.0)</f>
        <v>7622</v>
      </c>
      <c r="H928" s="2">
        <f>IFERROR(__xludf.DUMMYFUNCTION("""COMPUTED_VALUE"""),56.07)</f>
        <v>56.07</v>
      </c>
    </row>
    <row r="929">
      <c r="A929" s="2" t="str">
        <f>IFERROR(__xludf.DUMMYFUNCTION("""COMPUTED_VALUE"""),"Sant Esteve Sesrovires")</f>
        <v>Sant Esteve Sesrovires</v>
      </c>
      <c r="B929" s="2" t="str">
        <f>IFERROR(__xludf.DUMMYFUNCTION("""COMPUTED_VALUE"""),"Bajo Llobregat")</f>
        <v>Bajo Llobregat</v>
      </c>
      <c r="C929" s="2" t="str">
        <f>IFERROR(__xludf.DUMMYFUNCTION("""COMPUTED_VALUE"""),"Provincia de Barcelona")</f>
        <v>Provincia de Barcelona</v>
      </c>
      <c r="D929" s="2" t="str">
        <f>IFERROR(__xludf.DUMMYFUNCTION("""COMPUTED_VALUE"""),"Cataluña")</f>
        <v>Cataluña</v>
      </c>
      <c r="E929" s="2">
        <f>IFERROR(__xludf.DUMMYFUNCTION("""COMPUTED_VALUE"""),183.0)</f>
        <v>183</v>
      </c>
      <c r="F929" s="2">
        <f>IFERROR(__xludf.DUMMYFUNCTION("""COMPUTED_VALUE"""),18.47)</f>
        <v>18.47</v>
      </c>
      <c r="G929" s="4">
        <f>IFERROR(__xludf.DUMMYFUNCTION("""COMPUTED_VALUE"""),7612.0)</f>
        <v>7612</v>
      </c>
      <c r="H929" s="2">
        <f>IFERROR(__xludf.DUMMYFUNCTION("""COMPUTED_VALUE"""),412.13)</f>
        <v>412.13</v>
      </c>
    </row>
    <row r="930">
      <c r="A930" s="2" t="str">
        <f>IFERROR(__xludf.DUMMYFUNCTION("""COMPUTED_VALUE"""),"Peñíscola")</f>
        <v>Peñíscola</v>
      </c>
      <c r="B930" s="2" t="str">
        <f>IFERROR(__xludf.DUMMYFUNCTION("""COMPUTED_VALUE"""),"Bajo Maestrazgo")</f>
        <v>Bajo Maestrazgo</v>
      </c>
      <c r="C930" s="2" t="str">
        <f>IFERROR(__xludf.DUMMYFUNCTION("""COMPUTED_VALUE"""),"Provincia de Castellón")</f>
        <v>Provincia de Castellón</v>
      </c>
      <c r="D930" s="2" t="str">
        <f>IFERROR(__xludf.DUMMYFUNCTION("""COMPUTED_VALUE"""),"Comunidad Valenciana")</f>
        <v>Comunidad Valenciana</v>
      </c>
      <c r="E930" s="2">
        <f>IFERROR(__xludf.DUMMYFUNCTION("""COMPUTED_VALUE"""),46.0)</f>
        <v>46</v>
      </c>
      <c r="F930" s="2">
        <f>IFERROR(__xludf.DUMMYFUNCTION("""COMPUTED_VALUE"""),78.97)</f>
        <v>78.97</v>
      </c>
      <c r="G930" s="4">
        <f>IFERROR(__xludf.DUMMYFUNCTION("""COMPUTED_VALUE"""),7612.0)</f>
        <v>7612</v>
      </c>
      <c r="H930" s="2">
        <f>IFERROR(__xludf.DUMMYFUNCTION("""COMPUTED_VALUE"""),96.39)</f>
        <v>96.39</v>
      </c>
    </row>
    <row r="931">
      <c r="A931" s="2" t="str">
        <f>IFERROR(__xludf.DUMMYFUNCTION("""COMPUTED_VALUE"""),"Santa Margarida i els Monjos")</f>
        <v>Santa Margarida i els Monjos</v>
      </c>
      <c r="B931" s="2" t="str">
        <f>IFERROR(__xludf.DUMMYFUNCTION("""COMPUTED_VALUE"""),"Alto Penedés")</f>
        <v>Alto Penedés</v>
      </c>
      <c r="C931" s="2" t="str">
        <f>IFERROR(__xludf.DUMMYFUNCTION("""COMPUTED_VALUE"""),"Provincia de Barcelona")</f>
        <v>Provincia de Barcelona</v>
      </c>
      <c r="D931" s="2" t="str">
        <f>IFERROR(__xludf.DUMMYFUNCTION("""COMPUTED_VALUE"""),"Cataluña")</f>
        <v>Cataluña</v>
      </c>
      <c r="E931" s="2">
        <f>IFERROR(__xludf.DUMMYFUNCTION("""COMPUTED_VALUE"""),161.0)</f>
        <v>161</v>
      </c>
      <c r="F931" s="2">
        <f>IFERROR(__xludf.DUMMYFUNCTION("""COMPUTED_VALUE"""),17.48)</f>
        <v>17.48</v>
      </c>
      <c r="G931" s="4">
        <f>IFERROR(__xludf.DUMMYFUNCTION("""COMPUTED_VALUE"""),7611.0)</f>
        <v>7611</v>
      </c>
      <c r="H931" s="2">
        <f>IFERROR(__xludf.DUMMYFUNCTION("""COMPUTED_VALUE"""),435.41)</f>
        <v>435.41</v>
      </c>
    </row>
    <row r="932">
      <c r="A932" s="2" t="str">
        <f>IFERROR(__xludf.DUMMYFUNCTION("""COMPUTED_VALUE"""),"Abadiño")</f>
        <v>Abadiño</v>
      </c>
      <c r="B932" s="2" t="str">
        <f>IFERROR(__xludf.DUMMYFUNCTION("""COMPUTED_VALUE"""),"Duranguesado")</f>
        <v>Duranguesado</v>
      </c>
      <c r="C932" s="2" t="str">
        <f>IFERROR(__xludf.DUMMYFUNCTION("""COMPUTED_VALUE"""),"Provincia de Bizkaia")</f>
        <v>Provincia de Bizkaia</v>
      </c>
      <c r="D932" s="2" t="str">
        <f>IFERROR(__xludf.DUMMYFUNCTION("""COMPUTED_VALUE"""),"País Vasco")</f>
        <v>País Vasco</v>
      </c>
      <c r="E932" s="2">
        <f>IFERROR(__xludf.DUMMYFUNCTION("""COMPUTED_VALUE"""),144.0)</f>
        <v>144</v>
      </c>
      <c r="F932" s="2">
        <f>IFERROR(__xludf.DUMMYFUNCTION("""COMPUTED_VALUE"""),35.93)</f>
        <v>35.93</v>
      </c>
      <c r="G932" s="4">
        <f>IFERROR(__xludf.DUMMYFUNCTION("""COMPUTED_VALUE"""),7599.0)</f>
        <v>7599</v>
      </c>
      <c r="H932" s="2">
        <f>IFERROR(__xludf.DUMMYFUNCTION("""COMPUTED_VALUE"""),211.49)</f>
        <v>211.49</v>
      </c>
    </row>
    <row r="933">
      <c r="A933" s="2" t="str">
        <f>IFERROR(__xludf.DUMMYFUNCTION("""COMPUTED_VALUE"""),"Quintanar del Rey")</f>
        <v>Quintanar del Rey</v>
      </c>
      <c r="B933" s="2" t="str">
        <f>IFERROR(__xludf.DUMMYFUNCTION("""COMPUTED_VALUE"""),"La Manchuela")</f>
        <v>La Manchuela</v>
      </c>
      <c r="C933" s="2" t="str">
        <f>IFERROR(__xludf.DUMMYFUNCTION("""COMPUTED_VALUE"""),"Provincia de Cuenca")</f>
        <v>Provincia de Cuenca</v>
      </c>
      <c r="D933" s="2" t="str">
        <f>IFERROR(__xludf.DUMMYFUNCTION("""COMPUTED_VALUE"""),"Castilla-La Mancha")</f>
        <v>Castilla-La Mancha</v>
      </c>
      <c r="E933" s="2">
        <f>IFERROR(__xludf.DUMMYFUNCTION("""COMPUTED_VALUE"""),728.0)</f>
        <v>728</v>
      </c>
      <c r="F933" s="2">
        <f>IFERROR(__xludf.DUMMYFUNCTION("""COMPUTED_VALUE"""),79.92)</f>
        <v>79.92</v>
      </c>
      <c r="G933" s="4">
        <f>IFERROR(__xludf.DUMMYFUNCTION("""COMPUTED_VALUE"""),7586.0)</f>
        <v>7586</v>
      </c>
      <c r="H933" s="2">
        <f>IFERROR(__xludf.DUMMYFUNCTION("""COMPUTED_VALUE"""),94.92)</f>
        <v>94.92</v>
      </c>
    </row>
    <row r="934">
      <c r="A934" s="2" t="str">
        <f>IFERROR(__xludf.DUMMYFUNCTION("""COMPUTED_VALUE"""),"Gerena")</f>
        <v>Gerena</v>
      </c>
      <c r="B934" s="2" t="str">
        <f>IFERROR(__xludf.DUMMYFUNCTION("""COMPUTED_VALUE"""),"Corredor de la Plata")</f>
        <v>Corredor de la Plata</v>
      </c>
      <c r="C934" s="2" t="str">
        <f>IFERROR(__xludf.DUMMYFUNCTION("""COMPUTED_VALUE"""),"Provincia de Sevilla")</f>
        <v>Provincia de Sevilla</v>
      </c>
      <c r="D934" s="2" t="str">
        <f>IFERROR(__xludf.DUMMYFUNCTION("""COMPUTED_VALUE"""),"Andalucía")</f>
        <v>Andalucía</v>
      </c>
      <c r="E934" s="2">
        <f>IFERROR(__xludf.DUMMYFUNCTION("""COMPUTED_VALUE"""),86.0)</f>
        <v>86</v>
      </c>
      <c r="F934" s="2">
        <f>IFERROR(__xludf.DUMMYFUNCTION("""COMPUTED_VALUE"""),129.08)</f>
        <v>129.08</v>
      </c>
      <c r="G934" s="4">
        <f>IFERROR(__xludf.DUMMYFUNCTION("""COMPUTED_VALUE"""),7585.0)</f>
        <v>7585</v>
      </c>
      <c r="H934" s="2">
        <f>IFERROR(__xludf.DUMMYFUNCTION("""COMPUTED_VALUE"""),58.76)</f>
        <v>58.76</v>
      </c>
    </row>
    <row r="935">
      <c r="A935" s="2" t="str">
        <f>IFERROR(__xludf.DUMMYFUNCTION("""COMPUTED_VALUE"""),"Medio Cudeyo")</f>
        <v>Medio Cudeyo</v>
      </c>
      <c r="B935" s="2" t="str">
        <f>IFERROR(__xludf.DUMMYFUNCTION("""COMPUTED_VALUE"""),"Comarca de Trasmiera")</f>
        <v>Comarca de Trasmiera</v>
      </c>
      <c r="C935" s="2" t="str">
        <f>IFERROR(__xludf.DUMMYFUNCTION("""COMPUTED_VALUE"""),"Provincia de Cantabria")</f>
        <v>Provincia de Cantabria</v>
      </c>
      <c r="D935" s="2" t="str">
        <f>IFERROR(__xludf.DUMMYFUNCTION("""COMPUTED_VALUE"""),"Cantabria")</f>
        <v>Cantabria</v>
      </c>
      <c r="E935" s="2">
        <f>IFERROR(__xludf.DUMMYFUNCTION("""COMPUTED_VALUE"""),70.0)</f>
        <v>70</v>
      </c>
      <c r="F935" s="2">
        <f>IFERROR(__xludf.DUMMYFUNCTION("""COMPUTED_VALUE"""),26.43)</f>
        <v>26.43</v>
      </c>
      <c r="G935" s="4">
        <f>IFERROR(__xludf.DUMMYFUNCTION("""COMPUTED_VALUE"""),7556.0)</f>
        <v>7556</v>
      </c>
      <c r="H935" s="2">
        <f>IFERROR(__xludf.DUMMYFUNCTION("""COMPUTED_VALUE"""),285.89)</f>
        <v>285.89</v>
      </c>
    </row>
    <row r="936">
      <c r="A936" s="2" t="str">
        <f>IFERROR(__xludf.DUMMYFUNCTION("""COMPUTED_VALUE"""),"Vega de San Mateo")</f>
        <v>Vega de San Mateo</v>
      </c>
      <c r="B936" s="2"/>
      <c r="C936" s="2" t="str">
        <f>IFERROR(__xludf.DUMMYFUNCTION("""COMPUTED_VALUE"""),"Provincia de Las Palmas")</f>
        <v>Provincia de Las Palmas</v>
      </c>
      <c r="D936" s="2" t="str">
        <f>IFERROR(__xludf.DUMMYFUNCTION("""COMPUTED_VALUE"""),"Canarias")</f>
        <v>Canarias</v>
      </c>
      <c r="E936" s="2">
        <f>IFERROR(__xludf.DUMMYFUNCTION("""COMPUTED_VALUE"""),820.0)</f>
        <v>820</v>
      </c>
      <c r="F936" s="2">
        <f>IFERROR(__xludf.DUMMYFUNCTION("""COMPUTED_VALUE"""),38.21)</f>
        <v>38.21</v>
      </c>
      <c r="G936" s="4">
        <f>IFERROR(__xludf.DUMMYFUNCTION("""COMPUTED_VALUE"""),7556.0)</f>
        <v>7556</v>
      </c>
      <c r="H936" s="2">
        <f>IFERROR(__xludf.DUMMYFUNCTION("""COMPUTED_VALUE"""),197.75)</f>
        <v>197.75</v>
      </c>
    </row>
    <row r="937">
      <c r="A937" s="2" t="str">
        <f>IFERROR(__xludf.DUMMYFUNCTION("""COMPUTED_VALUE"""),"Santpedor")</f>
        <v>Santpedor</v>
      </c>
      <c r="B937" s="2" t="str">
        <f>IFERROR(__xludf.DUMMYFUNCTION("""COMPUTED_VALUE"""),"Bages")</f>
        <v>Bages</v>
      </c>
      <c r="C937" s="2" t="str">
        <f>IFERROR(__xludf.DUMMYFUNCTION("""COMPUTED_VALUE"""),"Provincia de Barcelona")</f>
        <v>Provincia de Barcelona</v>
      </c>
      <c r="D937" s="2" t="str">
        <f>IFERROR(__xludf.DUMMYFUNCTION("""COMPUTED_VALUE"""),"Cataluña")</f>
        <v>Cataluña</v>
      </c>
      <c r="E937" s="2">
        <f>IFERROR(__xludf.DUMMYFUNCTION("""COMPUTED_VALUE"""),336.0)</f>
        <v>336</v>
      </c>
      <c r="F937" s="2">
        <f>IFERROR(__xludf.DUMMYFUNCTION("""COMPUTED_VALUE"""),16.74)</f>
        <v>16.74</v>
      </c>
      <c r="G937" s="4">
        <f>IFERROR(__xludf.DUMMYFUNCTION("""COMPUTED_VALUE"""),7554.0)</f>
        <v>7554</v>
      </c>
      <c r="H937" s="2">
        <f>IFERROR(__xludf.DUMMYFUNCTION("""COMPUTED_VALUE"""),451.25)</f>
        <v>451.25</v>
      </c>
    </row>
    <row r="938">
      <c r="A938" s="2" t="str">
        <f>IFERROR(__xludf.DUMMYFUNCTION("""COMPUTED_VALUE"""),"Cee (A Coruña)")</f>
        <v>Cee (A Coruña)</v>
      </c>
      <c r="B938" s="2" t="str">
        <f>IFERROR(__xludf.DUMMYFUNCTION("""COMPUTED_VALUE"""),"Comarca de Finisterre")</f>
        <v>Comarca de Finisterre</v>
      </c>
      <c r="C938" s="2" t="str">
        <f>IFERROR(__xludf.DUMMYFUNCTION("""COMPUTED_VALUE"""),"Provincia de A Coruña")</f>
        <v>Provincia de A Coruña</v>
      </c>
      <c r="D938" s="2" t="str">
        <f>IFERROR(__xludf.DUMMYFUNCTION("""COMPUTED_VALUE"""),"Galicia")</f>
        <v>Galicia</v>
      </c>
      <c r="E938" s="2"/>
      <c r="F938" s="2">
        <f>IFERROR(__xludf.DUMMYFUNCTION("""COMPUTED_VALUE"""),57.45)</f>
        <v>57.45</v>
      </c>
      <c r="G938" s="4">
        <f>IFERROR(__xludf.DUMMYFUNCTION("""COMPUTED_VALUE"""),7546.0)</f>
        <v>7546</v>
      </c>
      <c r="H938" s="2">
        <f>IFERROR(__xludf.DUMMYFUNCTION("""COMPUTED_VALUE"""),131.35)</f>
        <v>131.35</v>
      </c>
    </row>
    <row r="939">
      <c r="A939" s="2" t="str">
        <f>IFERROR(__xludf.DUMMYFUNCTION("""COMPUTED_VALUE"""),"Gelida")</f>
        <v>Gelida</v>
      </c>
      <c r="B939" s="2" t="str">
        <f>IFERROR(__xludf.DUMMYFUNCTION("""COMPUTED_VALUE"""),"Alto Penedés")</f>
        <v>Alto Penedés</v>
      </c>
      <c r="C939" s="2" t="str">
        <f>IFERROR(__xludf.DUMMYFUNCTION("""COMPUTED_VALUE"""),"Provincia de Barcelona")</f>
        <v>Provincia de Barcelona</v>
      </c>
      <c r="D939" s="2" t="str">
        <f>IFERROR(__xludf.DUMMYFUNCTION("""COMPUTED_VALUE"""),"Cataluña")</f>
        <v>Cataluña</v>
      </c>
      <c r="E939" s="2">
        <f>IFERROR(__xludf.DUMMYFUNCTION("""COMPUTED_VALUE"""),196.0)</f>
        <v>196</v>
      </c>
      <c r="F939" s="2">
        <f>IFERROR(__xludf.DUMMYFUNCTION("""COMPUTED_VALUE"""),26.68)</f>
        <v>26.68</v>
      </c>
      <c r="G939" s="4">
        <f>IFERROR(__xludf.DUMMYFUNCTION("""COMPUTED_VALUE"""),7533.0)</f>
        <v>7533</v>
      </c>
      <c r="H939" s="2">
        <f>IFERROR(__xludf.DUMMYFUNCTION("""COMPUTED_VALUE"""),282.35)</f>
        <v>282.35</v>
      </c>
    </row>
    <row r="940">
      <c r="A940" s="2" t="str">
        <f>IFERROR(__xludf.DUMMYFUNCTION("""COMPUTED_VALUE"""),"Viladecavalls")</f>
        <v>Viladecavalls</v>
      </c>
      <c r="B940" s="2" t="str">
        <f>IFERROR(__xludf.DUMMYFUNCTION("""COMPUTED_VALUE"""),"Vallès Occidental")</f>
        <v>Vallès Occidental</v>
      </c>
      <c r="C940" s="2" t="str">
        <f>IFERROR(__xludf.DUMMYFUNCTION("""COMPUTED_VALUE"""),"Provincia de Barcelona")</f>
        <v>Provincia de Barcelona</v>
      </c>
      <c r="D940" s="2" t="str">
        <f>IFERROR(__xludf.DUMMYFUNCTION("""COMPUTED_VALUE"""),"Cataluña")</f>
        <v>Cataluña</v>
      </c>
      <c r="E940" s="2">
        <f>IFERROR(__xludf.DUMMYFUNCTION("""COMPUTED_VALUE"""),274.0)</f>
        <v>274</v>
      </c>
      <c r="F940" s="2">
        <f>IFERROR(__xludf.DUMMYFUNCTION("""COMPUTED_VALUE"""),20.08)</f>
        <v>20.08</v>
      </c>
      <c r="G940" s="4">
        <f>IFERROR(__xludf.DUMMYFUNCTION("""COMPUTED_VALUE"""),7512.0)</f>
        <v>7512</v>
      </c>
      <c r="H940" s="2">
        <f>IFERROR(__xludf.DUMMYFUNCTION("""COMPUTED_VALUE"""),374.1)</f>
        <v>374.1</v>
      </c>
    </row>
    <row r="941">
      <c r="A941" s="2" t="str">
        <f>IFERROR(__xludf.DUMMYFUNCTION("""COMPUTED_VALUE"""),"El Boalo")</f>
        <v>El Boalo</v>
      </c>
      <c r="B941" s="2" t="str">
        <f>IFERROR(__xludf.DUMMYFUNCTION("""COMPUTED_VALUE"""),"Cuenca del Guadarrama")</f>
        <v>Cuenca del Guadarrama</v>
      </c>
      <c r="C941" s="2" t="str">
        <f>IFERROR(__xludf.DUMMYFUNCTION("""COMPUTED_VALUE"""),"Provincia de Madrid")</f>
        <v>Provincia de Madrid</v>
      </c>
      <c r="D941" s="2" t="str">
        <f>IFERROR(__xludf.DUMMYFUNCTION("""COMPUTED_VALUE"""),"Comunidad de Madrid")</f>
        <v>Comunidad de Madrid</v>
      </c>
      <c r="E941" s="2">
        <f>IFERROR(__xludf.DUMMYFUNCTION("""COMPUTED_VALUE"""),980.0)</f>
        <v>980</v>
      </c>
      <c r="F941" s="2">
        <f>IFERROR(__xludf.DUMMYFUNCTION("""COMPUTED_VALUE"""),39.59)</f>
        <v>39.59</v>
      </c>
      <c r="G941" s="4">
        <f>IFERROR(__xludf.DUMMYFUNCTION("""COMPUTED_VALUE"""),7508.0)</f>
        <v>7508</v>
      </c>
      <c r="H941" s="2">
        <f>IFERROR(__xludf.DUMMYFUNCTION("""COMPUTED_VALUE"""),189.64)</f>
        <v>189.64</v>
      </c>
    </row>
    <row r="942">
      <c r="A942" s="2" t="str">
        <f>IFERROR(__xludf.DUMMYFUNCTION("""COMPUTED_VALUE"""),"Onil")</f>
        <v>Onil</v>
      </c>
      <c r="B942" s="2" t="str">
        <f>IFERROR(__xludf.DUMMYFUNCTION("""COMPUTED_VALUE"""),"Hoya de Alcoy")</f>
        <v>Hoya de Alcoy</v>
      </c>
      <c r="C942" s="2" t="str">
        <f>IFERROR(__xludf.DUMMYFUNCTION("""COMPUTED_VALUE"""),"Provincia de Alicante")</f>
        <v>Provincia de Alicante</v>
      </c>
      <c r="D942" s="2" t="str">
        <f>IFERROR(__xludf.DUMMYFUNCTION("""COMPUTED_VALUE"""),"Comunidad Valenciana")</f>
        <v>Comunidad Valenciana</v>
      </c>
      <c r="E942" s="2">
        <f>IFERROR(__xludf.DUMMYFUNCTION("""COMPUTED_VALUE"""),697.0)</f>
        <v>697</v>
      </c>
      <c r="F942" s="2">
        <f>IFERROR(__xludf.DUMMYFUNCTION("""COMPUTED_VALUE"""),48.41)</f>
        <v>48.41</v>
      </c>
      <c r="G942" s="4">
        <f>IFERROR(__xludf.DUMMYFUNCTION("""COMPUTED_VALUE"""),7507.0)</f>
        <v>7507</v>
      </c>
      <c r="H942" s="2">
        <f>IFERROR(__xludf.DUMMYFUNCTION("""COMPUTED_VALUE"""),155.07)</f>
        <v>155.07</v>
      </c>
    </row>
    <row r="943">
      <c r="A943" s="2" t="str">
        <f>IFERROR(__xludf.DUMMYFUNCTION("""COMPUTED_VALUE"""),"Muskiz")</f>
        <v>Muskiz</v>
      </c>
      <c r="B943" s="2" t="str">
        <f>IFERROR(__xludf.DUMMYFUNCTION("""COMPUTED_VALUE"""),"Zona Minera")</f>
        <v>Zona Minera</v>
      </c>
      <c r="C943" s="2" t="str">
        <f>IFERROR(__xludf.DUMMYFUNCTION("""COMPUTED_VALUE"""),"Provincia de Bizkaia")</f>
        <v>Provincia de Bizkaia</v>
      </c>
      <c r="D943" s="2" t="str">
        <f>IFERROR(__xludf.DUMMYFUNCTION("""COMPUTED_VALUE"""),"País Vasco")</f>
        <v>País Vasco</v>
      </c>
      <c r="E943" s="2">
        <f>IFERROR(__xludf.DUMMYFUNCTION("""COMPUTED_VALUE"""),10.0)</f>
        <v>10</v>
      </c>
      <c r="F943" s="2">
        <f>IFERROR(__xludf.DUMMYFUNCTION("""COMPUTED_VALUE"""),21.01)</f>
        <v>21.01</v>
      </c>
      <c r="G943" s="4">
        <f>IFERROR(__xludf.DUMMYFUNCTION("""COMPUTED_VALUE"""),7507.0)</f>
        <v>7507</v>
      </c>
      <c r="H943" s="2">
        <f>IFERROR(__xludf.DUMMYFUNCTION("""COMPUTED_VALUE"""),357.31)</f>
        <v>357.31</v>
      </c>
    </row>
    <row r="944">
      <c r="A944" s="2" t="str">
        <f>IFERROR(__xludf.DUMMYFUNCTION("""COMPUTED_VALUE"""),"La Aldea de San Nicolás")</f>
        <v>La Aldea de San Nicolás</v>
      </c>
      <c r="B944" s="2"/>
      <c r="C944" s="2" t="str">
        <f>IFERROR(__xludf.DUMMYFUNCTION("""COMPUTED_VALUE"""),"Provincia de Las Palmas")</f>
        <v>Provincia de Las Palmas</v>
      </c>
      <c r="D944" s="2" t="str">
        <f>IFERROR(__xludf.DUMMYFUNCTION("""COMPUTED_VALUE"""),"Canarias")</f>
        <v>Canarias</v>
      </c>
      <c r="E944" s="2">
        <f>IFERROR(__xludf.DUMMYFUNCTION("""COMPUTED_VALUE"""),33.0)</f>
        <v>33</v>
      </c>
      <c r="F944" s="2">
        <f>IFERROR(__xludf.DUMMYFUNCTION("""COMPUTED_VALUE"""),123.71)</f>
        <v>123.71</v>
      </c>
      <c r="G944" s="4">
        <f>IFERROR(__xludf.DUMMYFUNCTION("""COMPUTED_VALUE"""),7504.0)</f>
        <v>7504</v>
      </c>
      <c r="H944" s="2">
        <f>IFERROR(__xludf.DUMMYFUNCTION("""COMPUTED_VALUE"""),60.66)</f>
        <v>60.66</v>
      </c>
    </row>
    <row r="945">
      <c r="A945" s="2" t="str">
        <f>IFERROR(__xludf.DUMMYFUNCTION("""COMPUTED_VALUE"""),"Oroso")</f>
        <v>Oroso</v>
      </c>
      <c r="B945" s="2" t="str">
        <f>IFERROR(__xludf.DUMMYFUNCTION("""COMPUTED_VALUE"""),"Comarca de Órdenes")</f>
        <v>Comarca de Órdenes</v>
      </c>
      <c r="C945" s="2" t="str">
        <f>IFERROR(__xludf.DUMMYFUNCTION("""COMPUTED_VALUE"""),"Provincia de A Coruña")</f>
        <v>Provincia de A Coruña</v>
      </c>
      <c r="D945" s="2" t="str">
        <f>IFERROR(__xludf.DUMMYFUNCTION("""COMPUTED_VALUE"""),"Galicia")</f>
        <v>Galicia</v>
      </c>
      <c r="E945" s="2"/>
      <c r="F945" s="2">
        <f>IFERROR(__xludf.DUMMYFUNCTION("""COMPUTED_VALUE"""),72.59)</f>
        <v>72.59</v>
      </c>
      <c r="G945" s="4">
        <f>IFERROR(__xludf.DUMMYFUNCTION("""COMPUTED_VALUE"""),7500.0)</f>
        <v>7500</v>
      </c>
      <c r="H945" s="2">
        <f>IFERROR(__xludf.DUMMYFUNCTION("""COMPUTED_VALUE"""),103.32)</f>
        <v>103.32</v>
      </c>
    </row>
    <row r="946">
      <c r="A946" s="2" t="str">
        <f>IFERROR(__xludf.DUMMYFUNCTION("""COMPUTED_VALUE"""),"La Rambla")</f>
        <v>La Rambla</v>
      </c>
      <c r="B946" s="2" t="str">
        <f>IFERROR(__xludf.DUMMYFUNCTION("""COMPUTED_VALUE"""),"Campiña Sur Cordobesa")</f>
        <v>Campiña Sur Cordobesa</v>
      </c>
      <c r="C946" s="2" t="str">
        <f>IFERROR(__xludf.DUMMYFUNCTION("""COMPUTED_VALUE"""),"Provincia de Córdoba")</f>
        <v>Provincia de Córdoba</v>
      </c>
      <c r="D946" s="2" t="str">
        <f>IFERROR(__xludf.DUMMYFUNCTION("""COMPUTED_VALUE"""),"Andalucía")</f>
        <v>Andalucía</v>
      </c>
      <c r="E946" s="2">
        <f>IFERROR(__xludf.DUMMYFUNCTION("""COMPUTED_VALUE"""),358.0)</f>
        <v>358</v>
      </c>
      <c r="F946" s="2">
        <f>IFERROR(__xludf.DUMMYFUNCTION("""COMPUTED_VALUE"""),135.67)</f>
        <v>135.67</v>
      </c>
      <c r="G946" s="4">
        <f>IFERROR(__xludf.DUMMYFUNCTION("""COMPUTED_VALUE"""),7493.0)</f>
        <v>7493</v>
      </c>
      <c r="H946" s="2">
        <f>IFERROR(__xludf.DUMMYFUNCTION("""COMPUTED_VALUE"""),55.23)</f>
        <v>55.23</v>
      </c>
    </row>
    <row r="947">
      <c r="A947" s="2" t="str">
        <f>IFERROR(__xludf.DUMMYFUNCTION("""COMPUTED_VALUE"""),"Marchamalo")</f>
        <v>Marchamalo</v>
      </c>
      <c r="B947" s="2" t="str">
        <f>IFERROR(__xludf.DUMMYFUNCTION("""COMPUTED_VALUE"""),"Campiña de Guadalajara")</f>
        <v>Campiña de Guadalajara</v>
      </c>
      <c r="C947" s="2" t="str">
        <f>IFERROR(__xludf.DUMMYFUNCTION("""COMPUTED_VALUE"""),"Provincia de Guadalajara")</f>
        <v>Provincia de Guadalajara</v>
      </c>
      <c r="D947" s="2" t="str">
        <f>IFERROR(__xludf.DUMMYFUNCTION("""COMPUTED_VALUE"""),"Castilla-La Mancha")</f>
        <v>Castilla-La Mancha</v>
      </c>
      <c r="E947" s="2">
        <f>IFERROR(__xludf.DUMMYFUNCTION("""COMPUTED_VALUE"""),674.0)</f>
        <v>674</v>
      </c>
      <c r="F947" s="2">
        <f>IFERROR(__xludf.DUMMYFUNCTION("""COMPUTED_VALUE"""),30.94)</f>
        <v>30.94</v>
      </c>
      <c r="G947" s="4">
        <f>IFERROR(__xludf.DUMMYFUNCTION("""COMPUTED_VALUE"""),7474.0)</f>
        <v>7474</v>
      </c>
      <c r="H947" s="2">
        <f>IFERROR(__xludf.DUMMYFUNCTION("""COMPUTED_VALUE"""),241.56)</f>
        <v>241.56</v>
      </c>
    </row>
    <row r="948">
      <c r="A948" s="2" t="str">
        <f>IFERROR(__xludf.DUMMYFUNCTION("""COMPUTED_VALUE"""),"Andorra (Teruel)")</f>
        <v>Andorra (Teruel)</v>
      </c>
      <c r="B948" s="2" t="str">
        <f>IFERROR(__xludf.DUMMYFUNCTION("""COMPUTED_VALUE"""),"Andorra-Sierra de Arcos")</f>
        <v>Andorra-Sierra de Arcos</v>
      </c>
      <c r="C948" s="2" t="str">
        <f>IFERROR(__xludf.DUMMYFUNCTION("""COMPUTED_VALUE"""),"Provincia de Teruel")</f>
        <v>Provincia de Teruel</v>
      </c>
      <c r="D948" s="2" t="str">
        <f>IFERROR(__xludf.DUMMYFUNCTION("""COMPUTED_VALUE"""),"Aragón")</f>
        <v>Aragón</v>
      </c>
      <c r="E948" s="2">
        <f>IFERROR(__xludf.DUMMYFUNCTION("""COMPUTED_VALUE"""),714.0)</f>
        <v>714</v>
      </c>
      <c r="F948" s="2">
        <f>IFERROR(__xludf.DUMMYFUNCTION("""COMPUTED_VALUE"""),141.36)</f>
        <v>141.36</v>
      </c>
      <c r="G948" s="4">
        <f>IFERROR(__xludf.DUMMYFUNCTION("""COMPUTED_VALUE"""),7472.0)</f>
        <v>7472</v>
      </c>
      <c r="H948" s="2">
        <f>IFERROR(__xludf.DUMMYFUNCTION("""COMPUTED_VALUE"""),52.86)</f>
        <v>52.86</v>
      </c>
    </row>
    <row r="949">
      <c r="A949" s="2" t="str">
        <f>IFERROR(__xludf.DUMMYFUNCTION("""COMPUTED_VALUE"""),"Dolores")</f>
        <v>Dolores</v>
      </c>
      <c r="B949" s="2" t="str">
        <f>IFERROR(__xludf.DUMMYFUNCTION("""COMPUTED_VALUE"""),"Vega Baja del Segura")</f>
        <v>Vega Baja del Segura</v>
      </c>
      <c r="C949" s="2" t="str">
        <f>IFERROR(__xludf.DUMMYFUNCTION("""COMPUTED_VALUE"""),"Provincia de Alicante")</f>
        <v>Provincia de Alicante</v>
      </c>
      <c r="D949" s="2" t="str">
        <f>IFERROR(__xludf.DUMMYFUNCTION("""COMPUTED_VALUE"""),"Comunidad Valenciana")</f>
        <v>Comunidad Valenciana</v>
      </c>
      <c r="E949" s="2">
        <f>IFERROR(__xludf.DUMMYFUNCTION("""COMPUTED_VALUE"""),4.0)</f>
        <v>4</v>
      </c>
      <c r="F949" s="2">
        <f>IFERROR(__xludf.DUMMYFUNCTION("""COMPUTED_VALUE"""),18.7)</f>
        <v>18.7</v>
      </c>
      <c r="G949" s="4">
        <f>IFERROR(__xludf.DUMMYFUNCTION("""COMPUTED_VALUE"""),7470.0)</f>
        <v>7470</v>
      </c>
      <c r="H949" s="2">
        <f>IFERROR(__xludf.DUMMYFUNCTION("""COMPUTED_VALUE"""),399.47)</f>
        <v>399.47</v>
      </c>
    </row>
    <row r="950">
      <c r="A950" s="2" t="str">
        <f>IFERROR(__xludf.DUMMYFUNCTION("""COMPUTED_VALUE"""),"Firgas")</f>
        <v>Firgas</v>
      </c>
      <c r="B950" s="2"/>
      <c r="C950" s="2" t="str">
        <f>IFERROR(__xludf.DUMMYFUNCTION("""COMPUTED_VALUE"""),"Provincia de Las Palmas")</f>
        <v>Provincia de Las Palmas</v>
      </c>
      <c r="D950" s="2" t="str">
        <f>IFERROR(__xludf.DUMMYFUNCTION("""COMPUTED_VALUE"""),"Canarias")</f>
        <v>Canarias</v>
      </c>
      <c r="E950" s="2">
        <f>IFERROR(__xludf.DUMMYFUNCTION("""COMPUTED_VALUE"""),500.0)</f>
        <v>500</v>
      </c>
      <c r="F950" s="2">
        <f>IFERROR(__xludf.DUMMYFUNCTION("""COMPUTED_VALUE"""),16.03)</f>
        <v>16.03</v>
      </c>
      <c r="G950" s="4">
        <f>IFERROR(__xludf.DUMMYFUNCTION("""COMPUTED_VALUE"""),7455.0)</f>
        <v>7455</v>
      </c>
      <c r="H950" s="2">
        <f>IFERROR(__xludf.DUMMYFUNCTION("""COMPUTED_VALUE"""),465.07)</f>
        <v>465.07</v>
      </c>
    </row>
    <row r="951">
      <c r="A951" s="2" t="str">
        <f>IFERROR(__xludf.DUMMYFUNCTION("""COMPUTED_VALUE"""),"Alsasua")</f>
        <v>Alsasua</v>
      </c>
      <c r="B951" s="2" t="str">
        <f>IFERROR(__xludf.DUMMYFUNCTION("""COMPUTED_VALUE"""),"La Barranca (Navarra)")</f>
        <v>La Barranca (Navarra)</v>
      </c>
      <c r="C951" s="2" t="str">
        <f>IFERROR(__xludf.DUMMYFUNCTION("""COMPUTED_VALUE"""),"Provincia de Navarra")</f>
        <v>Provincia de Navarra</v>
      </c>
      <c r="D951" s="2" t="str">
        <f>IFERROR(__xludf.DUMMYFUNCTION("""COMPUTED_VALUE"""),"Comunidad Foral de Navarra")</f>
        <v>Comunidad Foral de Navarra</v>
      </c>
      <c r="E951" s="2">
        <f>IFERROR(__xludf.DUMMYFUNCTION("""COMPUTED_VALUE"""),528.0)</f>
        <v>528</v>
      </c>
      <c r="F951" s="2">
        <f>IFERROR(__xludf.DUMMYFUNCTION("""COMPUTED_VALUE"""),26.72)</f>
        <v>26.72</v>
      </c>
      <c r="G951" s="4">
        <f>IFERROR(__xludf.DUMMYFUNCTION("""COMPUTED_VALUE"""),7443.0)</f>
        <v>7443</v>
      </c>
      <c r="H951" s="2">
        <f>IFERROR(__xludf.DUMMYFUNCTION("""COMPUTED_VALUE"""),278.56)</f>
        <v>278.56</v>
      </c>
    </row>
    <row r="952">
      <c r="A952" s="2" t="str">
        <f>IFERROR(__xludf.DUMMYFUNCTION("""COMPUTED_VALUE"""),"Cazorla")</f>
        <v>Cazorla</v>
      </c>
      <c r="B952" s="2" t="str">
        <f>IFERROR(__xludf.DUMMYFUNCTION("""COMPUTED_VALUE"""),"Comarca de Sierra de Cazorla")</f>
        <v>Comarca de Sierra de Cazorla</v>
      </c>
      <c r="C952" s="2" t="str">
        <f>IFERROR(__xludf.DUMMYFUNCTION("""COMPUTED_VALUE"""),"Provincia de Jaén")</f>
        <v>Provincia de Jaén</v>
      </c>
      <c r="D952" s="2" t="str">
        <f>IFERROR(__xludf.DUMMYFUNCTION("""COMPUTED_VALUE"""),"Andalucía")</f>
        <v>Andalucía</v>
      </c>
      <c r="E952" s="2">
        <f>IFERROR(__xludf.DUMMYFUNCTION("""COMPUTED_VALUE"""),826.0)</f>
        <v>826</v>
      </c>
      <c r="F952" s="2">
        <f>IFERROR(__xludf.DUMMYFUNCTION("""COMPUTED_VALUE"""),305.4)</f>
        <v>305.4</v>
      </c>
      <c r="G952" s="4">
        <f>IFERROR(__xludf.DUMMYFUNCTION("""COMPUTED_VALUE"""),7441.0)</f>
        <v>7441</v>
      </c>
      <c r="H952" s="2">
        <f>IFERROR(__xludf.DUMMYFUNCTION("""COMPUTED_VALUE"""),24.36)</f>
        <v>24.36</v>
      </c>
    </row>
    <row r="953">
      <c r="A953" s="2" t="str">
        <f>IFERROR(__xludf.DUMMYFUNCTION("""COMPUTED_VALUE"""),"Cabrils")</f>
        <v>Cabrils</v>
      </c>
      <c r="B953" s="2" t="str">
        <f>IFERROR(__xludf.DUMMYFUNCTION("""COMPUTED_VALUE"""),"Maresme")</f>
        <v>Maresme</v>
      </c>
      <c r="C953" s="2" t="str">
        <f>IFERROR(__xludf.DUMMYFUNCTION("""COMPUTED_VALUE"""),"Provincia de Barcelona")</f>
        <v>Provincia de Barcelona</v>
      </c>
      <c r="D953" s="2" t="str">
        <f>IFERROR(__xludf.DUMMYFUNCTION("""COMPUTED_VALUE"""),"Cataluña")</f>
        <v>Cataluña</v>
      </c>
      <c r="E953" s="2">
        <f>IFERROR(__xludf.DUMMYFUNCTION("""COMPUTED_VALUE"""),147.0)</f>
        <v>147</v>
      </c>
      <c r="F953" s="2">
        <f>IFERROR(__xludf.DUMMYFUNCTION("""COMPUTED_VALUE"""),6.99)</f>
        <v>6.99</v>
      </c>
      <c r="G953" s="4">
        <f>IFERROR(__xludf.DUMMYFUNCTION("""COMPUTED_VALUE"""),7439.0)</f>
        <v>7439</v>
      </c>
      <c r="H953" s="5">
        <f>IFERROR(__xludf.DUMMYFUNCTION("""COMPUTED_VALUE"""),1064.23)</f>
        <v>1064.23</v>
      </c>
    </row>
    <row r="954">
      <c r="A954" s="2" t="str">
        <f>IFERROR(__xludf.DUMMYFUNCTION("""COMPUTED_VALUE"""),"Es Castell")</f>
        <v>Es Castell</v>
      </c>
      <c r="B954" s="2"/>
      <c r="C954" s="2" t="str">
        <f>IFERROR(__xludf.DUMMYFUNCTION("""COMPUTED_VALUE"""),"Provincia de Baleares")</f>
        <v>Provincia de Baleares</v>
      </c>
      <c r="D954" s="2" t="str">
        <f>IFERROR(__xludf.DUMMYFUNCTION("""COMPUTED_VALUE"""),"Islas Baleares")</f>
        <v>Islas Baleares</v>
      </c>
      <c r="E954" s="2">
        <f>IFERROR(__xludf.DUMMYFUNCTION("""COMPUTED_VALUE"""),19.0)</f>
        <v>19</v>
      </c>
      <c r="F954" s="2">
        <f>IFERROR(__xludf.DUMMYFUNCTION("""COMPUTED_VALUE"""),11.63)</f>
        <v>11.63</v>
      </c>
      <c r="G954" s="4">
        <f>IFERROR(__xludf.DUMMYFUNCTION("""COMPUTED_VALUE"""),7434.0)</f>
        <v>7434</v>
      </c>
      <c r="H954" s="2">
        <f>IFERROR(__xludf.DUMMYFUNCTION("""COMPUTED_VALUE"""),639.21)</f>
        <v>639.21</v>
      </c>
    </row>
    <row r="955">
      <c r="A955" s="2" t="str">
        <f>IFERROR(__xludf.DUMMYFUNCTION("""COMPUTED_VALUE"""),"Cúllar Vega")</f>
        <v>Cúllar Vega</v>
      </c>
      <c r="B955" s="2" t="str">
        <f>IFERROR(__xludf.DUMMYFUNCTION("""COMPUTED_VALUE"""),"Vega de Granada")</f>
        <v>Vega de Granada</v>
      </c>
      <c r="C955" s="2" t="str">
        <f>IFERROR(__xludf.DUMMYFUNCTION("""COMPUTED_VALUE"""),"Provincia de Granada")</f>
        <v>Provincia de Granada</v>
      </c>
      <c r="D955" s="2" t="str">
        <f>IFERROR(__xludf.DUMMYFUNCTION("""COMPUTED_VALUE"""),"Andalucía")</f>
        <v>Andalucía</v>
      </c>
      <c r="E955" s="2">
        <f>IFERROR(__xludf.DUMMYFUNCTION("""COMPUTED_VALUE"""),641.0)</f>
        <v>641</v>
      </c>
      <c r="F955" s="2">
        <f>IFERROR(__xludf.DUMMYFUNCTION("""COMPUTED_VALUE"""),4.27)</f>
        <v>4.27</v>
      </c>
      <c r="G955" s="4">
        <f>IFERROR(__xludf.DUMMYFUNCTION("""COMPUTED_VALUE"""),7429.0)</f>
        <v>7429</v>
      </c>
      <c r="H955" s="5">
        <f>IFERROR(__xludf.DUMMYFUNCTION("""COMPUTED_VALUE"""),1739.81)</f>
        <v>1739.81</v>
      </c>
    </row>
    <row r="956">
      <c r="A956" s="2" t="str">
        <f>IFERROR(__xludf.DUMMYFUNCTION("""COMPUTED_VALUE"""),"Cobeña")</f>
        <v>Cobeña</v>
      </c>
      <c r="B956" s="2" t="str">
        <f>IFERROR(__xludf.DUMMYFUNCTION("""COMPUTED_VALUE"""),"Comarca de Alcalá")</f>
        <v>Comarca de Alcalá</v>
      </c>
      <c r="C956" s="2" t="str">
        <f>IFERROR(__xludf.DUMMYFUNCTION("""COMPUTED_VALUE"""),"Provincia de Madrid")</f>
        <v>Provincia de Madrid</v>
      </c>
      <c r="D956" s="2" t="str">
        <f>IFERROR(__xludf.DUMMYFUNCTION("""COMPUTED_VALUE"""),"Comunidad de Madrid")</f>
        <v>Comunidad de Madrid</v>
      </c>
      <c r="E956" s="2">
        <f>IFERROR(__xludf.DUMMYFUNCTION("""COMPUTED_VALUE"""),675.0)</f>
        <v>675</v>
      </c>
      <c r="F956" s="2">
        <f>IFERROR(__xludf.DUMMYFUNCTION("""COMPUTED_VALUE"""),20.84)</f>
        <v>20.84</v>
      </c>
      <c r="G956" s="4">
        <f>IFERROR(__xludf.DUMMYFUNCTION("""COMPUTED_VALUE"""),7428.0)</f>
        <v>7428</v>
      </c>
      <c r="H956" s="2">
        <f>IFERROR(__xludf.DUMMYFUNCTION("""COMPUTED_VALUE"""),356.43)</f>
        <v>356.43</v>
      </c>
    </row>
    <row r="957">
      <c r="A957" s="2" t="str">
        <f>IFERROR(__xludf.DUMMYFUNCTION("""COMPUTED_VALUE"""),"Bujalance")</f>
        <v>Bujalance</v>
      </c>
      <c r="B957" s="2" t="str">
        <f>IFERROR(__xludf.DUMMYFUNCTION("""COMPUTED_VALUE"""),"Alto Guadalquivir (Córdoba)")</f>
        <v>Alto Guadalquivir (Córdoba)</v>
      </c>
      <c r="C957" s="2" t="str">
        <f>IFERROR(__xludf.DUMMYFUNCTION("""COMPUTED_VALUE"""),"Provincia de Córdoba")</f>
        <v>Provincia de Córdoba</v>
      </c>
      <c r="D957" s="2" t="str">
        <f>IFERROR(__xludf.DUMMYFUNCTION("""COMPUTED_VALUE"""),"Andalucía")</f>
        <v>Andalucía</v>
      </c>
      <c r="E957" s="2">
        <f>IFERROR(__xludf.DUMMYFUNCTION("""COMPUTED_VALUE"""),357.0)</f>
        <v>357</v>
      </c>
      <c r="F957" s="2">
        <f>IFERROR(__xludf.DUMMYFUNCTION("""COMPUTED_VALUE"""),124.81)</f>
        <v>124.81</v>
      </c>
      <c r="G957" s="4">
        <f>IFERROR(__xludf.DUMMYFUNCTION("""COMPUTED_VALUE"""),7417.0)</f>
        <v>7417</v>
      </c>
      <c r="H957" s="2">
        <f>IFERROR(__xludf.DUMMYFUNCTION("""COMPUTED_VALUE"""),59.43)</f>
        <v>59.43</v>
      </c>
    </row>
    <row r="958">
      <c r="A958" s="2" t="str">
        <f>IFERROR(__xludf.DUMMYFUNCTION("""COMPUTED_VALUE"""),"Mellid")</f>
        <v>Mellid</v>
      </c>
      <c r="B958" s="2" t="str">
        <f>IFERROR(__xludf.DUMMYFUNCTION("""COMPUTED_VALUE"""),"Comarca de Tierra de Mellid")</f>
        <v>Comarca de Tierra de Mellid</v>
      </c>
      <c r="C958" s="2" t="str">
        <f>IFERROR(__xludf.DUMMYFUNCTION("""COMPUTED_VALUE"""),"Provincia de A Coruña")</f>
        <v>Provincia de A Coruña</v>
      </c>
      <c r="D958" s="2" t="str">
        <f>IFERROR(__xludf.DUMMYFUNCTION("""COMPUTED_VALUE"""),"Galicia")</f>
        <v>Galicia</v>
      </c>
      <c r="E958" s="2">
        <f>IFERROR(__xludf.DUMMYFUNCTION("""COMPUTED_VALUE"""),454.0)</f>
        <v>454</v>
      </c>
      <c r="F958" s="2">
        <f>IFERROR(__xludf.DUMMYFUNCTION("""COMPUTED_VALUE"""),101.3)</f>
        <v>101.3</v>
      </c>
      <c r="G958" s="4">
        <f>IFERROR(__xludf.DUMMYFUNCTION("""COMPUTED_VALUE"""),7406.0)</f>
        <v>7406</v>
      </c>
      <c r="H958" s="2">
        <f>IFERROR(__xludf.DUMMYFUNCTION("""COMPUTED_VALUE"""),73.11)</f>
        <v>73.11</v>
      </c>
    </row>
    <row r="959">
      <c r="A959" s="2" t="str">
        <f>IFERROR(__xludf.DUMMYFUNCTION("""COMPUTED_VALUE"""),"Centelles")</f>
        <v>Centelles</v>
      </c>
      <c r="B959" s="2" t="str">
        <f>IFERROR(__xludf.DUMMYFUNCTION("""COMPUTED_VALUE"""),"Osona")</f>
        <v>Osona</v>
      </c>
      <c r="C959" s="2" t="str">
        <f>IFERROR(__xludf.DUMMYFUNCTION("""COMPUTED_VALUE"""),"Provincia de Barcelona")</f>
        <v>Provincia de Barcelona</v>
      </c>
      <c r="D959" s="2" t="str">
        <f>IFERROR(__xludf.DUMMYFUNCTION("""COMPUTED_VALUE"""),"Cataluña")</f>
        <v>Cataluña</v>
      </c>
      <c r="E959" s="2">
        <f>IFERROR(__xludf.DUMMYFUNCTION("""COMPUTED_VALUE"""),496.0)</f>
        <v>496</v>
      </c>
      <c r="F959" s="2">
        <f>IFERROR(__xludf.DUMMYFUNCTION("""COMPUTED_VALUE"""),15.35)</f>
        <v>15.35</v>
      </c>
      <c r="G959" s="4">
        <f>IFERROR(__xludf.DUMMYFUNCTION("""COMPUTED_VALUE"""),7404.0)</f>
        <v>7404</v>
      </c>
      <c r="H959" s="2">
        <f>IFERROR(__xludf.DUMMYFUNCTION("""COMPUTED_VALUE"""),482.35)</f>
        <v>482.35</v>
      </c>
    </row>
    <row r="960">
      <c r="A960" s="2" t="str">
        <f>IFERROR(__xludf.DUMMYFUNCTION("""COMPUTED_VALUE"""),"Soutomaior")</f>
        <v>Soutomaior</v>
      </c>
      <c r="B960" s="2" t="str">
        <f>IFERROR(__xludf.DUMMYFUNCTION("""COMPUTED_VALUE"""),"Comarca de Vigo")</f>
        <v>Comarca de Vigo</v>
      </c>
      <c r="C960" s="2" t="str">
        <f>IFERROR(__xludf.DUMMYFUNCTION("""COMPUTED_VALUE"""),"Provincia de Pontevedra")</f>
        <v>Provincia de Pontevedra</v>
      </c>
      <c r="D960" s="2" t="str">
        <f>IFERROR(__xludf.DUMMYFUNCTION("""COMPUTED_VALUE"""),"Galicia")</f>
        <v>Galicia</v>
      </c>
      <c r="E960" s="2">
        <f>IFERROR(__xludf.DUMMYFUNCTION("""COMPUTED_VALUE"""),239.0)</f>
        <v>239</v>
      </c>
      <c r="F960" s="2">
        <f>IFERROR(__xludf.DUMMYFUNCTION("""COMPUTED_VALUE"""),24.99)</f>
        <v>24.99</v>
      </c>
      <c r="G960" s="4">
        <f>IFERROR(__xludf.DUMMYFUNCTION("""COMPUTED_VALUE"""),7395.0)</f>
        <v>7395</v>
      </c>
      <c r="H960" s="2">
        <f>IFERROR(__xludf.DUMMYFUNCTION("""COMPUTED_VALUE"""),295.92)</f>
        <v>295.92</v>
      </c>
    </row>
    <row r="961">
      <c r="A961" s="2" t="str">
        <f>IFERROR(__xludf.DUMMYFUNCTION("""COMPUTED_VALUE"""),"Santa María del Camí")</f>
        <v>Santa María del Camí</v>
      </c>
      <c r="B961" s="2" t="str">
        <f>IFERROR(__xludf.DUMMYFUNCTION("""COMPUTED_VALUE"""),"Raiguer")</f>
        <v>Raiguer</v>
      </c>
      <c r="C961" s="2" t="str">
        <f>IFERROR(__xludf.DUMMYFUNCTION("""COMPUTED_VALUE"""),"Provincia de Baleares")</f>
        <v>Provincia de Baleares</v>
      </c>
      <c r="D961" s="2" t="str">
        <f>IFERROR(__xludf.DUMMYFUNCTION("""COMPUTED_VALUE"""),"Islas Baleares")</f>
        <v>Islas Baleares</v>
      </c>
      <c r="E961" s="2">
        <f>IFERROR(__xludf.DUMMYFUNCTION("""COMPUTED_VALUE"""),132.0)</f>
        <v>132</v>
      </c>
      <c r="F961" s="2">
        <f>IFERROR(__xludf.DUMMYFUNCTION("""COMPUTED_VALUE"""),37.62)</f>
        <v>37.62</v>
      </c>
      <c r="G961" s="4">
        <f>IFERROR(__xludf.DUMMYFUNCTION("""COMPUTED_VALUE"""),7375.0)</f>
        <v>7375</v>
      </c>
      <c r="H961" s="2">
        <f>IFERROR(__xludf.DUMMYFUNCTION("""COMPUTED_VALUE"""),196.04)</f>
        <v>196.04</v>
      </c>
    </row>
    <row r="962">
      <c r="A962" s="2" t="str">
        <f>IFERROR(__xludf.DUMMYFUNCTION("""COMPUTED_VALUE"""),"Callosa d'En Sarrià")</f>
        <v>Callosa d'En Sarrià</v>
      </c>
      <c r="B962" s="2" t="str">
        <f>IFERROR(__xludf.DUMMYFUNCTION("""COMPUTED_VALUE"""),"Marina Baja")</f>
        <v>Marina Baja</v>
      </c>
      <c r="C962" s="2" t="str">
        <f>IFERROR(__xludf.DUMMYFUNCTION("""COMPUTED_VALUE"""),"Provincia de Alicante")</f>
        <v>Provincia de Alicante</v>
      </c>
      <c r="D962" s="2" t="str">
        <f>IFERROR(__xludf.DUMMYFUNCTION("""COMPUTED_VALUE"""),"Comunidad Valenciana")</f>
        <v>Comunidad Valenciana</v>
      </c>
      <c r="E962" s="2">
        <f>IFERROR(__xludf.DUMMYFUNCTION("""COMPUTED_VALUE"""),247.0)</f>
        <v>247</v>
      </c>
      <c r="F962" s="2">
        <f>IFERROR(__xludf.DUMMYFUNCTION("""COMPUTED_VALUE"""),34.66)</f>
        <v>34.66</v>
      </c>
      <c r="G962" s="4">
        <f>IFERROR(__xludf.DUMMYFUNCTION("""COMPUTED_VALUE"""),7373.0)</f>
        <v>7373</v>
      </c>
      <c r="H962" s="2">
        <f>IFERROR(__xludf.DUMMYFUNCTION("""COMPUTED_VALUE"""),212.72)</f>
        <v>212.72</v>
      </c>
    </row>
    <row r="963">
      <c r="A963" s="2" t="str">
        <f>IFERROR(__xludf.DUMMYFUNCTION("""COMPUTED_VALUE"""),"Elorrio")</f>
        <v>Elorrio</v>
      </c>
      <c r="B963" s="2" t="str">
        <f>IFERROR(__xludf.DUMMYFUNCTION("""COMPUTED_VALUE"""),"Duranguesado")</f>
        <v>Duranguesado</v>
      </c>
      <c r="C963" s="2" t="str">
        <f>IFERROR(__xludf.DUMMYFUNCTION("""COMPUTED_VALUE"""),"Provincia de Bizkaia")</f>
        <v>Provincia de Bizkaia</v>
      </c>
      <c r="D963" s="2" t="str">
        <f>IFERROR(__xludf.DUMMYFUNCTION("""COMPUTED_VALUE"""),"País Vasco")</f>
        <v>País Vasco</v>
      </c>
      <c r="E963" s="2">
        <f>IFERROR(__xludf.DUMMYFUNCTION("""COMPUTED_VALUE"""),185.0)</f>
        <v>185</v>
      </c>
      <c r="F963" s="2">
        <f>IFERROR(__xludf.DUMMYFUNCTION("""COMPUTED_VALUE"""),37.04)</f>
        <v>37.04</v>
      </c>
      <c r="G963" s="4">
        <f>IFERROR(__xludf.DUMMYFUNCTION("""COMPUTED_VALUE"""),7372.0)</f>
        <v>7372</v>
      </c>
      <c r="H963" s="2">
        <f>IFERROR(__xludf.DUMMYFUNCTION("""COMPUTED_VALUE"""),199.03)</f>
        <v>199.03</v>
      </c>
    </row>
    <row r="964">
      <c r="A964" s="2" t="str">
        <f>IFERROR(__xludf.DUMMYFUNCTION("""COMPUTED_VALUE"""),"Talayuela")</f>
        <v>Talayuela</v>
      </c>
      <c r="B964" s="2"/>
      <c r="C964" s="2" t="str">
        <f>IFERROR(__xludf.DUMMYFUNCTION("""COMPUTED_VALUE"""),"Provincia de Cáceres")</f>
        <v>Provincia de Cáceres</v>
      </c>
      <c r="D964" s="2" t="str">
        <f>IFERROR(__xludf.DUMMYFUNCTION("""COMPUTED_VALUE"""),"Extremadura")</f>
        <v>Extremadura</v>
      </c>
      <c r="E964" s="2">
        <f>IFERROR(__xludf.DUMMYFUNCTION("""COMPUTED_VALUE"""),287.0)</f>
        <v>287</v>
      </c>
      <c r="F964" s="2">
        <f>IFERROR(__xludf.DUMMYFUNCTION("""COMPUTED_VALUE"""),181.21)</f>
        <v>181.21</v>
      </c>
      <c r="G964" s="4">
        <f>IFERROR(__xludf.DUMMYFUNCTION("""COMPUTED_VALUE"""),7371.0)</f>
        <v>7371</v>
      </c>
      <c r="H964" s="2">
        <f>IFERROR(__xludf.DUMMYFUNCTION("""COMPUTED_VALUE"""),40.68)</f>
        <v>40.68</v>
      </c>
    </row>
    <row r="965">
      <c r="A965" s="2" t="str">
        <f>IFERROR(__xludf.DUMMYFUNCTION("""COMPUTED_VALUE"""),"Foios")</f>
        <v>Foios</v>
      </c>
      <c r="B965" s="2" t="str">
        <f>IFERROR(__xludf.DUMMYFUNCTION("""COMPUTED_VALUE"""),"Huerta Norte")</f>
        <v>Huerta Norte</v>
      </c>
      <c r="C965" s="2" t="str">
        <f>IFERROR(__xludf.DUMMYFUNCTION("""COMPUTED_VALUE"""),"Provincia de València")</f>
        <v>Provincia de València</v>
      </c>
      <c r="D965" s="2" t="str">
        <f>IFERROR(__xludf.DUMMYFUNCTION("""COMPUTED_VALUE"""),"Comunidad Valenciana")</f>
        <v>Comunidad Valenciana</v>
      </c>
      <c r="E965" s="2">
        <f>IFERROR(__xludf.DUMMYFUNCTION("""COMPUTED_VALUE"""),8.0)</f>
        <v>8</v>
      </c>
      <c r="F965" s="2">
        <f>IFERROR(__xludf.DUMMYFUNCTION("""COMPUTED_VALUE"""),6.48)</f>
        <v>6.48</v>
      </c>
      <c r="G965" s="4">
        <f>IFERROR(__xludf.DUMMYFUNCTION("""COMPUTED_VALUE"""),7367.0)</f>
        <v>7367</v>
      </c>
      <c r="H965" s="5">
        <f>IFERROR(__xludf.DUMMYFUNCTION("""COMPUTED_VALUE"""),1136.88)</f>
        <v>1136.88</v>
      </c>
    </row>
    <row r="966">
      <c r="A966" s="2" t="str">
        <f>IFERROR(__xludf.DUMMYFUNCTION("""COMPUTED_VALUE"""),"Montblanc")</f>
        <v>Montblanc</v>
      </c>
      <c r="B966" s="2" t="str">
        <f>IFERROR(__xludf.DUMMYFUNCTION("""COMPUTED_VALUE"""),"Cuenca de Barberá")</f>
        <v>Cuenca de Barberá</v>
      </c>
      <c r="C966" s="2" t="str">
        <f>IFERROR(__xludf.DUMMYFUNCTION("""COMPUTED_VALUE"""),"Provincia de Tarragona")</f>
        <v>Provincia de Tarragona</v>
      </c>
      <c r="D966" s="2" t="str">
        <f>IFERROR(__xludf.DUMMYFUNCTION("""COMPUTED_VALUE"""),"Cataluña")</f>
        <v>Cataluña</v>
      </c>
      <c r="E966" s="2">
        <f>IFERROR(__xludf.DUMMYFUNCTION("""COMPUTED_VALUE"""),350.0)</f>
        <v>350</v>
      </c>
      <c r="F966" s="2">
        <f>IFERROR(__xludf.DUMMYFUNCTION("""COMPUTED_VALUE"""),91.43)</f>
        <v>91.43</v>
      </c>
      <c r="G966" s="4">
        <f>IFERROR(__xludf.DUMMYFUNCTION("""COMPUTED_VALUE"""),7364.0)</f>
        <v>7364</v>
      </c>
      <c r="H966" s="2">
        <f>IFERROR(__xludf.DUMMYFUNCTION("""COMPUTED_VALUE"""),80.54)</f>
        <v>80.54</v>
      </c>
    </row>
    <row r="967">
      <c r="A967" s="2" t="str">
        <f>IFERROR(__xludf.DUMMYFUNCTION("""COMPUTED_VALUE"""),"Almàssera")</f>
        <v>Almàssera</v>
      </c>
      <c r="B967" s="2" t="str">
        <f>IFERROR(__xludf.DUMMYFUNCTION("""COMPUTED_VALUE"""),"Huerta Norte")</f>
        <v>Huerta Norte</v>
      </c>
      <c r="C967" s="2" t="str">
        <f>IFERROR(__xludf.DUMMYFUNCTION("""COMPUTED_VALUE"""),"Provincia de València")</f>
        <v>Provincia de València</v>
      </c>
      <c r="D967" s="2" t="str">
        <f>IFERROR(__xludf.DUMMYFUNCTION("""COMPUTED_VALUE"""),"Comunidad Valenciana")</f>
        <v>Comunidad Valenciana</v>
      </c>
      <c r="E967" s="2">
        <f>IFERROR(__xludf.DUMMYFUNCTION("""COMPUTED_VALUE"""),10.0)</f>
        <v>10</v>
      </c>
      <c r="F967" s="2">
        <f>IFERROR(__xludf.DUMMYFUNCTION("""COMPUTED_VALUE"""),2.74)</f>
        <v>2.74</v>
      </c>
      <c r="G967" s="4">
        <f>IFERROR(__xludf.DUMMYFUNCTION("""COMPUTED_VALUE"""),7349.0)</f>
        <v>7349</v>
      </c>
      <c r="H967" s="5">
        <f>IFERROR(__xludf.DUMMYFUNCTION("""COMPUTED_VALUE"""),2682.12)</f>
        <v>2682.12</v>
      </c>
    </row>
    <row r="968">
      <c r="A968" s="2" t="str">
        <f>IFERROR(__xludf.DUMMYFUNCTION("""COMPUTED_VALUE"""),"Camarma de Esteruelas")</f>
        <v>Camarma de Esteruelas</v>
      </c>
      <c r="B968" s="2" t="str">
        <f>IFERROR(__xludf.DUMMYFUNCTION("""COMPUTED_VALUE"""),"Cuenca del Medio Jarama")</f>
        <v>Cuenca del Medio Jarama</v>
      </c>
      <c r="C968" s="2" t="str">
        <f>IFERROR(__xludf.DUMMYFUNCTION("""COMPUTED_VALUE"""),"Provincia de Madrid")</f>
        <v>Provincia de Madrid</v>
      </c>
      <c r="D968" s="2" t="str">
        <f>IFERROR(__xludf.DUMMYFUNCTION("""COMPUTED_VALUE"""),"Comunidad de Madrid")</f>
        <v>Comunidad de Madrid</v>
      </c>
      <c r="E968" s="2">
        <f>IFERROR(__xludf.DUMMYFUNCTION("""COMPUTED_VALUE"""),712.0)</f>
        <v>712</v>
      </c>
      <c r="F968" s="2">
        <f>IFERROR(__xludf.DUMMYFUNCTION("""COMPUTED_VALUE"""),35.43)</f>
        <v>35.43</v>
      </c>
      <c r="G968" s="4">
        <f>IFERROR(__xludf.DUMMYFUNCTION("""COMPUTED_VALUE"""),7336.0)</f>
        <v>7336</v>
      </c>
      <c r="H968" s="2">
        <f>IFERROR(__xludf.DUMMYFUNCTION("""COMPUTED_VALUE"""),207.06)</f>
        <v>207.06</v>
      </c>
    </row>
    <row r="969">
      <c r="A969" s="2" t="str">
        <f>IFERROR(__xludf.DUMMYFUNCTION("""COMPUTED_VALUE"""),"Villarejo de Salvanés")</f>
        <v>Villarejo de Salvanés</v>
      </c>
      <c r="B969" s="2"/>
      <c r="C969" s="2" t="str">
        <f>IFERROR(__xludf.DUMMYFUNCTION("""COMPUTED_VALUE"""),"Provincia de Madrid")</f>
        <v>Provincia de Madrid</v>
      </c>
      <c r="D969" s="2" t="str">
        <f>IFERROR(__xludf.DUMMYFUNCTION("""COMPUTED_VALUE"""),"Comunidad de Madrid")</f>
        <v>Comunidad de Madrid</v>
      </c>
      <c r="E969" s="2">
        <f>IFERROR(__xludf.DUMMYFUNCTION("""COMPUTED_VALUE"""),759.0)</f>
        <v>759</v>
      </c>
      <c r="F969" s="2">
        <f>IFERROR(__xludf.DUMMYFUNCTION("""COMPUTED_VALUE"""),118.62)</f>
        <v>118.62</v>
      </c>
      <c r="G969" s="4">
        <f>IFERROR(__xludf.DUMMYFUNCTION("""COMPUTED_VALUE"""),7335.0)</f>
        <v>7335</v>
      </c>
      <c r="H969" s="2">
        <f>IFERROR(__xludf.DUMMYFUNCTION("""COMPUTED_VALUE"""),61.84)</f>
        <v>61.84</v>
      </c>
    </row>
    <row r="970">
      <c r="A970" s="2" t="str">
        <f>IFERROR(__xludf.DUMMYFUNCTION("""COMPUTED_VALUE"""),"Valverde de la Virgen")</f>
        <v>Valverde de la Virgen</v>
      </c>
      <c r="B970" s="2" t="str">
        <f>IFERROR(__xludf.DUMMYFUNCTION("""COMPUTED_VALUE"""),"Tierra de León")</f>
        <v>Tierra de León</v>
      </c>
      <c r="C970" s="2" t="str">
        <f>IFERROR(__xludf.DUMMYFUNCTION("""COMPUTED_VALUE"""),"Provincia de León")</f>
        <v>Provincia de León</v>
      </c>
      <c r="D970" s="2" t="str">
        <f>IFERROR(__xludf.DUMMYFUNCTION("""COMPUTED_VALUE"""),"Castilla y León")</f>
        <v>Castilla y León</v>
      </c>
      <c r="E970" s="2">
        <f>IFERROR(__xludf.DUMMYFUNCTION("""COMPUTED_VALUE"""),838.0)</f>
        <v>838</v>
      </c>
      <c r="F970" s="2">
        <f>IFERROR(__xludf.DUMMYFUNCTION("""COMPUTED_VALUE"""),63.63)</f>
        <v>63.63</v>
      </c>
      <c r="G970" s="4">
        <f>IFERROR(__xludf.DUMMYFUNCTION("""COMPUTED_VALUE"""),7328.0)</f>
        <v>7328</v>
      </c>
      <c r="H970" s="2">
        <f>IFERROR(__xludf.DUMMYFUNCTION("""COMPUTED_VALUE"""),115.17)</f>
        <v>115.17</v>
      </c>
    </row>
    <row r="971">
      <c r="A971" s="2" t="str">
        <f>IFERROR(__xludf.DUMMYFUNCTION("""COMPUTED_VALUE"""),"Posadas")</f>
        <v>Posadas</v>
      </c>
      <c r="B971" s="2" t="str">
        <f>IFERROR(__xludf.DUMMYFUNCTION("""COMPUTED_VALUE"""),"Valle Medio del Guadalquivir")</f>
        <v>Valle Medio del Guadalquivir</v>
      </c>
      <c r="C971" s="2" t="str">
        <f>IFERROR(__xludf.DUMMYFUNCTION("""COMPUTED_VALUE"""),"Provincia de Córdoba")</f>
        <v>Provincia de Córdoba</v>
      </c>
      <c r="D971" s="2" t="str">
        <f>IFERROR(__xludf.DUMMYFUNCTION("""COMPUTED_VALUE"""),"Andalucía")</f>
        <v>Andalucía</v>
      </c>
      <c r="E971" s="2">
        <f>IFERROR(__xludf.DUMMYFUNCTION("""COMPUTED_VALUE"""),88.0)</f>
        <v>88</v>
      </c>
      <c r="F971" s="2">
        <f>IFERROR(__xludf.DUMMYFUNCTION("""COMPUTED_VALUE"""),160.28)</f>
        <v>160.28</v>
      </c>
      <c r="G971" s="4">
        <f>IFERROR(__xludf.DUMMYFUNCTION("""COMPUTED_VALUE"""),7325.0)</f>
        <v>7325</v>
      </c>
      <c r="H971" s="2">
        <f>IFERROR(__xludf.DUMMYFUNCTION("""COMPUTED_VALUE"""),45.7)</f>
        <v>45.7</v>
      </c>
    </row>
    <row r="972">
      <c r="A972" s="2" t="str">
        <f>IFERROR(__xludf.DUMMYFUNCTION("""COMPUTED_VALUE"""),"Lekeitio")</f>
        <v>Lekeitio</v>
      </c>
      <c r="B972" s="2" t="str">
        <f>IFERROR(__xludf.DUMMYFUNCTION("""COMPUTED_VALUE"""),"Lea-Artibai")</f>
        <v>Lea-Artibai</v>
      </c>
      <c r="C972" s="2" t="str">
        <f>IFERROR(__xludf.DUMMYFUNCTION("""COMPUTED_VALUE"""),"Provincia de Bizkaia")</f>
        <v>Provincia de Bizkaia</v>
      </c>
      <c r="D972" s="2" t="str">
        <f>IFERROR(__xludf.DUMMYFUNCTION("""COMPUTED_VALUE"""),"País Vasco")</f>
        <v>País Vasco</v>
      </c>
      <c r="E972" s="2">
        <f>IFERROR(__xludf.DUMMYFUNCTION("""COMPUTED_VALUE"""),0.0)</f>
        <v>0</v>
      </c>
      <c r="F972" s="2">
        <f>IFERROR(__xludf.DUMMYFUNCTION("""COMPUTED_VALUE"""),1.79)</f>
        <v>1.79</v>
      </c>
      <c r="G972" s="4">
        <f>IFERROR(__xludf.DUMMYFUNCTION("""COMPUTED_VALUE"""),7307.0)</f>
        <v>7307</v>
      </c>
      <c r="H972" s="5">
        <f>IFERROR(__xludf.DUMMYFUNCTION("""COMPUTED_VALUE"""),4082.12)</f>
        <v>4082.12</v>
      </c>
    </row>
    <row r="973">
      <c r="A973" s="2" t="str">
        <f>IFERROR(__xludf.DUMMYFUNCTION("""COMPUTED_VALUE"""),"Cox")</f>
        <v>Cox</v>
      </c>
      <c r="B973" s="2" t="str">
        <f>IFERROR(__xludf.DUMMYFUNCTION("""COMPUTED_VALUE"""),"Vega Baja del Segura")</f>
        <v>Vega Baja del Segura</v>
      </c>
      <c r="C973" s="2" t="str">
        <f>IFERROR(__xludf.DUMMYFUNCTION("""COMPUTED_VALUE"""),"Provincia de Alicante")</f>
        <v>Provincia de Alicante</v>
      </c>
      <c r="D973" s="2" t="str">
        <f>IFERROR(__xludf.DUMMYFUNCTION("""COMPUTED_VALUE"""),"Comunidad Valenciana")</f>
        <v>Comunidad Valenciana</v>
      </c>
      <c r="E973" s="2">
        <f>IFERROR(__xludf.DUMMYFUNCTION("""COMPUTED_VALUE"""),16.0)</f>
        <v>16</v>
      </c>
      <c r="F973" s="2">
        <f>IFERROR(__xludf.DUMMYFUNCTION("""COMPUTED_VALUE"""),16.71)</f>
        <v>16.71</v>
      </c>
      <c r="G973" s="4">
        <f>IFERROR(__xludf.DUMMYFUNCTION("""COMPUTED_VALUE"""),7297.0)</f>
        <v>7297</v>
      </c>
      <c r="H973" s="2">
        <f>IFERROR(__xludf.DUMMYFUNCTION("""COMPUTED_VALUE"""),436.68)</f>
        <v>436.68</v>
      </c>
    </row>
    <row r="974">
      <c r="A974" s="2" t="str">
        <f>IFERROR(__xludf.DUMMYFUNCTION("""COMPUTED_VALUE"""),"Pedro Muñoz")</f>
        <v>Pedro Muñoz</v>
      </c>
      <c r="B974" s="2" t="str">
        <f>IFERROR(__xludf.DUMMYFUNCTION("""COMPUTED_VALUE"""),"Mancha Alta")</f>
        <v>Mancha Alta</v>
      </c>
      <c r="C974" s="2" t="str">
        <f>IFERROR(__xludf.DUMMYFUNCTION("""COMPUTED_VALUE"""),"Provincia de Ciudad Real")</f>
        <v>Provincia de Ciudad Real</v>
      </c>
      <c r="D974" s="2" t="str">
        <f>IFERROR(__xludf.DUMMYFUNCTION("""COMPUTED_VALUE"""),"Castilla-La Mancha")</f>
        <v>Castilla-La Mancha</v>
      </c>
      <c r="E974" s="2">
        <f>IFERROR(__xludf.DUMMYFUNCTION("""COMPUTED_VALUE"""),656.0)</f>
        <v>656</v>
      </c>
      <c r="F974" s="2">
        <f>IFERROR(__xludf.DUMMYFUNCTION("""COMPUTED_VALUE"""),101.06)</f>
        <v>101.06</v>
      </c>
      <c r="G974" s="4">
        <f>IFERROR(__xludf.DUMMYFUNCTION("""COMPUTED_VALUE"""),7293.0)</f>
        <v>7293</v>
      </c>
      <c r="H974" s="2">
        <f>IFERROR(__xludf.DUMMYFUNCTION("""COMPUTED_VALUE"""),72.17)</f>
        <v>72.17</v>
      </c>
    </row>
    <row r="975">
      <c r="A975" s="2" t="str">
        <f>IFERROR(__xludf.DUMMYFUNCTION("""COMPUTED_VALUE"""),"Santa Eulàlia de Ronçana")</f>
        <v>Santa Eulàlia de Ronçana</v>
      </c>
      <c r="B975" s="2" t="str">
        <f>IFERROR(__xludf.DUMMYFUNCTION("""COMPUTED_VALUE"""),"Vallès Oriental")</f>
        <v>Vallès Oriental</v>
      </c>
      <c r="C975" s="2" t="str">
        <f>IFERROR(__xludf.DUMMYFUNCTION("""COMPUTED_VALUE"""),"Provincia de Barcelona")</f>
        <v>Provincia de Barcelona</v>
      </c>
      <c r="D975" s="2" t="str">
        <f>IFERROR(__xludf.DUMMYFUNCTION("""COMPUTED_VALUE"""),"Cataluña")</f>
        <v>Cataluña</v>
      </c>
      <c r="E975" s="2">
        <f>IFERROR(__xludf.DUMMYFUNCTION("""COMPUTED_VALUE"""),236.0)</f>
        <v>236</v>
      </c>
      <c r="F975" s="2">
        <f>IFERROR(__xludf.DUMMYFUNCTION("""COMPUTED_VALUE"""),13.96)</f>
        <v>13.96</v>
      </c>
      <c r="G975" s="4">
        <f>IFERROR(__xludf.DUMMYFUNCTION("""COMPUTED_VALUE"""),7288.0)</f>
        <v>7288</v>
      </c>
      <c r="H975" s="2">
        <f>IFERROR(__xludf.DUMMYFUNCTION("""COMPUTED_VALUE"""),522.06)</f>
        <v>522.06</v>
      </c>
    </row>
    <row r="976">
      <c r="A976" s="2" t="str">
        <f>IFERROR(__xludf.DUMMYFUNCTION("""COMPUTED_VALUE"""),"Torreperogil")</f>
        <v>Torreperogil</v>
      </c>
      <c r="B976" s="2" t="str">
        <f>IFERROR(__xludf.DUMMYFUNCTION("""COMPUTED_VALUE"""),"La Loma (Jaén)")</f>
        <v>La Loma (Jaén)</v>
      </c>
      <c r="C976" s="2" t="str">
        <f>IFERROR(__xludf.DUMMYFUNCTION("""COMPUTED_VALUE"""),"Provincia de Jaén")</f>
        <v>Provincia de Jaén</v>
      </c>
      <c r="D976" s="2" t="str">
        <f>IFERROR(__xludf.DUMMYFUNCTION("""COMPUTED_VALUE"""),"Andalucía")</f>
        <v>Andalucía</v>
      </c>
      <c r="E976" s="2">
        <f>IFERROR(__xludf.DUMMYFUNCTION("""COMPUTED_VALUE"""),755.0)</f>
        <v>755</v>
      </c>
      <c r="F976" s="2">
        <f>IFERROR(__xludf.DUMMYFUNCTION("""COMPUTED_VALUE"""),90.94)</f>
        <v>90.94</v>
      </c>
      <c r="G976" s="4">
        <f>IFERROR(__xludf.DUMMYFUNCTION("""COMPUTED_VALUE"""),7276.0)</f>
        <v>7276</v>
      </c>
      <c r="H976" s="2">
        <f>IFERROR(__xludf.DUMMYFUNCTION("""COMPUTED_VALUE"""),80.01)</f>
        <v>80.01</v>
      </c>
    </row>
    <row r="977">
      <c r="A977" s="2" t="str">
        <f>IFERROR(__xludf.DUMMYFUNCTION("""COMPUTED_VALUE"""),"Berrioplano")</f>
        <v>Berrioplano</v>
      </c>
      <c r="B977" s="2" t="str">
        <f>IFERROR(__xludf.DUMMYFUNCTION("""COMPUTED_VALUE"""),"Cuenca de Pamplona")</f>
        <v>Cuenca de Pamplona</v>
      </c>
      <c r="C977" s="2" t="str">
        <f>IFERROR(__xludf.DUMMYFUNCTION("""COMPUTED_VALUE"""),"Provincia de Navarra")</f>
        <v>Provincia de Navarra</v>
      </c>
      <c r="D977" s="2" t="str">
        <f>IFERROR(__xludf.DUMMYFUNCTION("""COMPUTED_VALUE"""),"Comunidad Foral de Navarra")</f>
        <v>Comunidad Foral de Navarra</v>
      </c>
      <c r="E977" s="2">
        <f>IFERROR(__xludf.DUMMYFUNCTION("""COMPUTED_VALUE"""),456.0)</f>
        <v>456</v>
      </c>
      <c r="F977" s="2">
        <f>IFERROR(__xludf.DUMMYFUNCTION("""COMPUTED_VALUE"""),26.13)</f>
        <v>26.13</v>
      </c>
      <c r="G977" s="4">
        <f>IFERROR(__xludf.DUMMYFUNCTION("""COMPUTED_VALUE"""),7256.0)</f>
        <v>7256</v>
      </c>
      <c r="H977" s="2">
        <f>IFERROR(__xludf.DUMMYFUNCTION("""COMPUTED_VALUE"""),277.69)</f>
        <v>277.69</v>
      </c>
    </row>
    <row r="978">
      <c r="A978" s="2" t="str">
        <f>IFERROR(__xludf.DUMMYFUNCTION("""COMPUTED_VALUE"""),"Huéscar")</f>
        <v>Huéscar</v>
      </c>
      <c r="B978" s="2" t="str">
        <f>IFERROR(__xludf.DUMMYFUNCTION("""COMPUTED_VALUE"""),"Comarca de Huéscar")</f>
        <v>Comarca de Huéscar</v>
      </c>
      <c r="C978" s="2" t="str">
        <f>IFERROR(__xludf.DUMMYFUNCTION("""COMPUTED_VALUE"""),"Provincia de Granada")</f>
        <v>Provincia de Granada</v>
      </c>
      <c r="D978" s="2" t="str">
        <f>IFERROR(__xludf.DUMMYFUNCTION("""COMPUTED_VALUE"""),"Andalucía")</f>
        <v>Andalucía</v>
      </c>
      <c r="E978" s="2">
        <f>IFERROR(__xludf.DUMMYFUNCTION("""COMPUTED_VALUE"""),953.0)</f>
        <v>953</v>
      </c>
      <c r="F978" s="2">
        <f>IFERROR(__xludf.DUMMYFUNCTION("""COMPUTED_VALUE"""),473.44)</f>
        <v>473.44</v>
      </c>
      <c r="G978" s="4">
        <f>IFERROR(__xludf.DUMMYFUNCTION("""COMPUTED_VALUE"""),7253.0)</f>
        <v>7253</v>
      </c>
      <c r="H978" s="2">
        <f>IFERROR(__xludf.DUMMYFUNCTION("""COMPUTED_VALUE"""),15.32)</f>
        <v>15.32</v>
      </c>
    </row>
    <row r="979">
      <c r="A979" s="2" t="str">
        <f>IFERROR(__xludf.DUMMYFUNCTION("""COMPUTED_VALUE"""),"Benacazón")</f>
        <v>Benacazón</v>
      </c>
      <c r="B979" s="2" t="str">
        <f>IFERROR(__xludf.DUMMYFUNCTION("""COMPUTED_VALUE"""),"Aljarafe")</f>
        <v>Aljarafe</v>
      </c>
      <c r="C979" s="2" t="str">
        <f>IFERROR(__xludf.DUMMYFUNCTION("""COMPUTED_VALUE"""),"Provincia de Sevilla")</f>
        <v>Provincia de Sevilla</v>
      </c>
      <c r="D979" s="2" t="str">
        <f>IFERROR(__xludf.DUMMYFUNCTION("""COMPUTED_VALUE"""),"Andalucía")</f>
        <v>Andalucía</v>
      </c>
      <c r="E979" s="2">
        <f>IFERROR(__xludf.DUMMYFUNCTION("""COMPUTED_VALUE"""),120.0)</f>
        <v>120</v>
      </c>
      <c r="F979" s="2">
        <f>IFERROR(__xludf.DUMMYFUNCTION("""COMPUTED_VALUE"""),32.13)</f>
        <v>32.13</v>
      </c>
      <c r="G979" s="4">
        <f>IFERROR(__xludf.DUMMYFUNCTION("""COMPUTED_VALUE"""),7241.0)</f>
        <v>7241</v>
      </c>
      <c r="H979" s="2">
        <f>IFERROR(__xludf.DUMMYFUNCTION("""COMPUTED_VALUE"""),225.37)</f>
        <v>225.37</v>
      </c>
    </row>
    <row r="980">
      <c r="A980" s="2" t="str">
        <f>IFERROR(__xludf.DUMMYFUNCTION("""COMPUTED_VALUE"""),"Rocafort")</f>
        <v>Rocafort</v>
      </c>
      <c r="B980" s="2" t="str">
        <f>IFERROR(__xludf.DUMMYFUNCTION("""COMPUTED_VALUE"""),"Huerta Norte")</f>
        <v>Huerta Norte</v>
      </c>
      <c r="C980" s="2" t="str">
        <f>IFERROR(__xludf.DUMMYFUNCTION("""COMPUTED_VALUE"""),"Provincia de València")</f>
        <v>Provincia de València</v>
      </c>
      <c r="D980" s="2" t="str">
        <f>IFERROR(__xludf.DUMMYFUNCTION("""COMPUTED_VALUE"""),"Comunidad Valenciana")</f>
        <v>Comunidad Valenciana</v>
      </c>
      <c r="E980" s="2">
        <f>IFERROR(__xludf.DUMMYFUNCTION("""COMPUTED_VALUE"""),35.0)</f>
        <v>35</v>
      </c>
      <c r="F980" s="2">
        <f>IFERROR(__xludf.DUMMYFUNCTION("""COMPUTED_VALUE"""),2.34)</f>
        <v>2.34</v>
      </c>
      <c r="G980" s="4">
        <f>IFERROR(__xludf.DUMMYFUNCTION("""COMPUTED_VALUE"""),7240.0)</f>
        <v>7240</v>
      </c>
      <c r="H980" s="5">
        <f>IFERROR(__xludf.DUMMYFUNCTION("""COMPUTED_VALUE"""),3094.02)</f>
        <v>3094.02</v>
      </c>
    </row>
    <row r="981">
      <c r="A981" s="2" t="str">
        <f>IFERROR(__xludf.DUMMYFUNCTION("""COMPUTED_VALUE"""),"Albuñol")</f>
        <v>Albuñol</v>
      </c>
      <c r="B981" s="2" t="str">
        <f>IFERROR(__xludf.DUMMYFUNCTION("""COMPUTED_VALUE"""),"Costa Granadina")</f>
        <v>Costa Granadina</v>
      </c>
      <c r="C981" s="2" t="str">
        <f>IFERROR(__xludf.DUMMYFUNCTION("""COMPUTED_VALUE"""),"Provincia de Granada")</f>
        <v>Provincia de Granada</v>
      </c>
      <c r="D981" s="2" t="str">
        <f>IFERROR(__xludf.DUMMYFUNCTION("""COMPUTED_VALUE"""),"Andalucía")</f>
        <v>Andalucía</v>
      </c>
      <c r="E981" s="2">
        <f>IFERROR(__xludf.DUMMYFUNCTION("""COMPUTED_VALUE"""),250.0)</f>
        <v>250</v>
      </c>
      <c r="F981" s="2">
        <f>IFERROR(__xludf.DUMMYFUNCTION("""COMPUTED_VALUE"""),62.94)</f>
        <v>62.94</v>
      </c>
      <c r="G981" s="4">
        <f>IFERROR(__xludf.DUMMYFUNCTION("""COMPUTED_VALUE"""),7233.0)</f>
        <v>7233</v>
      </c>
      <c r="H981" s="2">
        <f>IFERROR(__xludf.DUMMYFUNCTION("""COMPUTED_VALUE"""),114.92)</f>
        <v>114.92</v>
      </c>
    </row>
    <row r="982">
      <c r="A982" s="2" t="str">
        <f>IFERROR(__xludf.DUMMYFUNCTION("""COMPUTED_VALUE"""),"Breña Alta")</f>
        <v>Breña Alta</v>
      </c>
      <c r="B982" s="2"/>
      <c r="C982" s="2" t="str">
        <f>IFERROR(__xludf.DUMMYFUNCTION("""COMPUTED_VALUE"""),"Provincia de Santa Cruz de Tenerife")</f>
        <v>Provincia de Santa Cruz de Tenerife</v>
      </c>
      <c r="D982" s="2" t="str">
        <f>IFERROR(__xludf.DUMMYFUNCTION("""COMPUTED_VALUE"""),"Canarias")</f>
        <v>Canarias</v>
      </c>
      <c r="E982" s="2">
        <f>IFERROR(__xludf.DUMMYFUNCTION("""COMPUTED_VALUE"""),350.0)</f>
        <v>350</v>
      </c>
      <c r="F982" s="2">
        <f>IFERROR(__xludf.DUMMYFUNCTION("""COMPUTED_VALUE"""),30.89)</f>
        <v>30.89</v>
      </c>
      <c r="G982" s="4">
        <f>IFERROR(__xludf.DUMMYFUNCTION("""COMPUTED_VALUE"""),7204.0)</f>
        <v>7204</v>
      </c>
      <c r="H982" s="2">
        <f>IFERROR(__xludf.DUMMYFUNCTION("""COMPUTED_VALUE"""),233.21)</f>
        <v>233.21</v>
      </c>
    </row>
    <row r="983">
      <c r="A983" s="2" t="str">
        <f>IFERROR(__xludf.DUMMYFUNCTION("""COMPUTED_VALUE"""),"Villamayor")</f>
        <v>Villamayor</v>
      </c>
      <c r="B983" s="2" t="str">
        <f>IFERROR(__xludf.DUMMYFUNCTION("""COMPUTED_VALUE"""),"La Armuña")</f>
        <v>La Armuña</v>
      </c>
      <c r="C983" s="2" t="str">
        <f>IFERROR(__xludf.DUMMYFUNCTION("""COMPUTED_VALUE"""),"Provincia de Salamanca")</f>
        <v>Provincia de Salamanca</v>
      </c>
      <c r="D983" s="2" t="str">
        <f>IFERROR(__xludf.DUMMYFUNCTION("""COMPUTED_VALUE"""),"Castilla y León")</f>
        <v>Castilla y León</v>
      </c>
      <c r="E983" s="2">
        <f>IFERROR(__xludf.DUMMYFUNCTION("""COMPUTED_VALUE"""),782.0)</f>
        <v>782</v>
      </c>
      <c r="F983" s="2">
        <f>IFERROR(__xludf.DUMMYFUNCTION("""COMPUTED_VALUE"""),20.19)</f>
        <v>20.19</v>
      </c>
      <c r="G983" s="4">
        <f>IFERROR(__xludf.DUMMYFUNCTION("""COMPUTED_VALUE"""),7202.0)</f>
        <v>7202</v>
      </c>
      <c r="H983" s="2">
        <f>IFERROR(__xludf.DUMMYFUNCTION("""COMPUTED_VALUE"""),356.71)</f>
        <v>356.71</v>
      </c>
    </row>
    <row r="984">
      <c r="A984" s="2" t="str">
        <f>IFERROR(__xludf.DUMMYFUNCTION("""COMPUTED_VALUE"""),"Berango")</f>
        <v>Berango</v>
      </c>
      <c r="B984" s="2" t="str">
        <f>IFERROR(__xludf.DUMMYFUNCTION("""COMPUTED_VALUE"""),"Gran Bilbao")</f>
        <v>Gran Bilbao</v>
      </c>
      <c r="C984" s="2" t="str">
        <f>IFERROR(__xludf.DUMMYFUNCTION("""COMPUTED_VALUE"""),"Provincia de Bizkaia")</f>
        <v>Provincia de Bizkaia</v>
      </c>
      <c r="D984" s="2" t="str">
        <f>IFERROR(__xludf.DUMMYFUNCTION("""COMPUTED_VALUE"""),"País Vasco")</f>
        <v>País Vasco</v>
      </c>
      <c r="E984" s="2">
        <f>IFERROR(__xludf.DUMMYFUNCTION("""COMPUTED_VALUE"""),31.0)</f>
        <v>31</v>
      </c>
      <c r="F984" s="2">
        <f>IFERROR(__xludf.DUMMYFUNCTION("""COMPUTED_VALUE"""),8.73)</f>
        <v>8.73</v>
      </c>
      <c r="G984" s="4">
        <f>IFERROR(__xludf.DUMMYFUNCTION("""COMPUTED_VALUE"""),7195.0)</f>
        <v>7195</v>
      </c>
      <c r="H984" s="2">
        <f>IFERROR(__xludf.DUMMYFUNCTION("""COMPUTED_VALUE"""),824.17)</f>
        <v>824.17</v>
      </c>
    </row>
    <row r="985">
      <c r="A985" s="2" t="str">
        <f>IFERROR(__xludf.DUMMYFUNCTION("""COMPUTED_VALUE"""),"Alagón")</f>
        <v>Alagón</v>
      </c>
      <c r="B985" s="2" t="str">
        <f>IFERROR(__xludf.DUMMYFUNCTION("""COMPUTED_VALUE"""),"Ribera Alta del Ebro")</f>
        <v>Ribera Alta del Ebro</v>
      </c>
      <c r="C985" s="2" t="str">
        <f>IFERROR(__xludf.DUMMYFUNCTION("""COMPUTED_VALUE"""),"Provincia de Zaragoza")</f>
        <v>Provincia de Zaragoza</v>
      </c>
      <c r="D985" s="2" t="str">
        <f>IFERROR(__xludf.DUMMYFUNCTION("""COMPUTED_VALUE"""),"Aragón")</f>
        <v>Aragón</v>
      </c>
      <c r="E985" s="2">
        <f>IFERROR(__xludf.DUMMYFUNCTION("""COMPUTED_VALUE"""),235.0)</f>
        <v>235</v>
      </c>
      <c r="F985" s="2">
        <f>IFERROR(__xludf.DUMMYFUNCTION("""COMPUTED_VALUE"""),24.18)</f>
        <v>24.18</v>
      </c>
      <c r="G985" s="4">
        <f>IFERROR(__xludf.DUMMYFUNCTION("""COMPUTED_VALUE"""),7163.0)</f>
        <v>7163</v>
      </c>
      <c r="H985" s="2">
        <f>IFERROR(__xludf.DUMMYFUNCTION("""COMPUTED_VALUE"""),296.24)</f>
        <v>296.24</v>
      </c>
    </row>
    <row r="986">
      <c r="A986" s="2" t="str">
        <f>IFERROR(__xludf.DUMMYFUNCTION("""COMPUTED_VALUE"""),"Lorquí")</f>
        <v>Lorquí</v>
      </c>
      <c r="B986" s="2" t="str">
        <f>IFERROR(__xludf.DUMMYFUNCTION("""COMPUTED_VALUE"""),"Vega Media del Segura")</f>
        <v>Vega Media del Segura</v>
      </c>
      <c r="C986" s="2" t="str">
        <f>IFERROR(__xludf.DUMMYFUNCTION("""COMPUTED_VALUE"""),"Provincia de Murcia")</f>
        <v>Provincia de Murcia</v>
      </c>
      <c r="D986" s="2" t="str">
        <f>IFERROR(__xludf.DUMMYFUNCTION("""COMPUTED_VALUE"""),"Región de Murcia")</f>
        <v>Región de Murcia</v>
      </c>
      <c r="E986" s="2">
        <f>IFERROR(__xludf.DUMMYFUNCTION("""COMPUTED_VALUE"""),89.0)</f>
        <v>89</v>
      </c>
      <c r="F986" s="2">
        <f>IFERROR(__xludf.DUMMYFUNCTION("""COMPUTED_VALUE"""),15.73)</f>
        <v>15.73</v>
      </c>
      <c r="G986" s="4">
        <f>IFERROR(__xludf.DUMMYFUNCTION("""COMPUTED_VALUE"""),7141.0)</f>
        <v>7141</v>
      </c>
      <c r="H986" s="2">
        <f>IFERROR(__xludf.DUMMYFUNCTION("""COMPUTED_VALUE"""),453.97)</f>
        <v>453.97</v>
      </c>
    </row>
    <row r="987">
      <c r="A987" s="2" t="str">
        <f>IFERROR(__xludf.DUMMYFUNCTION("""COMPUTED_VALUE"""),"Guissona")</f>
        <v>Guissona</v>
      </c>
      <c r="B987" s="2" t="str">
        <f>IFERROR(__xludf.DUMMYFUNCTION("""COMPUTED_VALUE"""),"Segarra")</f>
        <v>Segarra</v>
      </c>
      <c r="C987" s="2" t="str">
        <f>IFERROR(__xludf.DUMMYFUNCTION("""COMPUTED_VALUE"""),"Provincia de Lleida")</f>
        <v>Provincia de Lleida</v>
      </c>
      <c r="D987" s="2" t="str">
        <f>IFERROR(__xludf.DUMMYFUNCTION("""COMPUTED_VALUE"""),"Cataluña")</f>
        <v>Cataluña</v>
      </c>
      <c r="E987" s="2">
        <f>IFERROR(__xludf.DUMMYFUNCTION("""COMPUTED_VALUE"""),484.0)</f>
        <v>484</v>
      </c>
      <c r="F987" s="2">
        <f>IFERROR(__xludf.DUMMYFUNCTION("""COMPUTED_VALUE"""),18.18)</f>
        <v>18.18</v>
      </c>
      <c r="G987" s="4">
        <f>IFERROR(__xludf.DUMMYFUNCTION("""COMPUTED_VALUE"""),7136.0)</f>
        <v>7136</v>
      </c>
      <c r="H987" s="2">
        <f>IFERROR(__xludf.DUMMYFUNCTION("""COMPUTED_VALUE"""),392.52)</f>
        <v>392.52</v>
      </c>
    </row>
    <row r="988">
      <c r="A988" s="2" t="str">
        <f>IFERROR(__xludf.DUMMYFUNCTION("""COMPUTED_VALUE"""),"Aretxabaleta")</f>
        <v>Aretxabaleta</v>
      </c>
      <c r="B988" s="2" t="str">
        <f>IFERROR(__xludf.DUMMYFUNCTION("""COMPUTED_VALUE"""),"Alto Deva")</f>
        <v>Alto Deva</v>
      </c>
      <c r="C988" s="2" t="str">
        <f>IFERROR(__xludf.DUMMYFUNCTION("""COMPUTED_VALUE"""),"Provincia de Gipuzkoa")</f>
        <v>Provincia de Gipuzkoa</v>
      </c>
      <c r="D988" s="2" t="str">
        <f>IFERROR(__xludf.DUMMYFUNCTION("""COMPUTED_VALUE"""),"País Vasco")</f>
        <v>País Vasco</v>
      </c>
      <c r="E988" s="2">
        <f>IFERROR(__xludf.DUMMYFUNCTION("""COMPUTED_VALUE"""),260.0)</f>
        <v>260</v>
      </c>
      <c r="F988" s="2">
        <f>IFERROR(__xludf.DUMMYFUNCTION("""COMPUTED_VALUE"""),29.13)</f>
        <v>29.13</v>
      </c>
      <c r="G988" s="4">
        <f>IFERROR(__xludf.DUMMYFUNCTION("""COMPUTED_VALUE"""),7128.0)</f>
        <v>7128</v>
      </c>
      <c r="H988" s="2">
        <f>IFERROR(__xludf.DUMMYFUNCTION("""COMPUTED_VALUE"""),244.7)</f>
        <v>244.7</v>
      </c>
    </row>
    <row r="989">
      <c r="A989" s="2" t="str">
        <f>IFERROR(__xludf.DUMMYFUNCTION("""COMPUTED_VALUE"""),"Carbajosa de la Sagrada")</f>
        <v>Carbajosa de la Sagrada</v>
      </c>
      <c r="B989" s="2" t="str">
        <f>IFERROR(__xludf.DUMMYFUNCTION("""COMPUTED_VALUE"""),"Campo de Salamanca")</f>
        <v>Campo de Salamanca</v>
      </c>
      <c r="C989" s="2" t="str">
        <f>IFERROR(__xludf.DUMMYFUNCTION("""COMPUTED_VALUE"""),"Provincia de Salamanca")</f>
        <v>Provincia de Salamanca</v>
      </c>
      <c r="D989" s="2" t="str">
        <f>IFERROR(__xludf.DUMMYFUNCTION("""COMPUTED_VALUE"""),"Castilla y León")</f>
        <v>Castilla y León</v>
      </c>
      <c r="E989" s="2">
        <f>IFERROR(__xludf.DUMMYFUNCTION("""COMPUTED_VALUE"""),789.0)</f>
        <v>789</v>
      </c>
      <c r="F989" s="2">
        <f>IFERROR(__xludf.DUMMYFUNCTION("""COMPUTED_VALUE"""),13.71)</f>
        <v>13.71</v>
      </c>
      <c r="G989" s="4">
        <f>IFERROR(__xludf.DUMMYFUNCTION("""COMPUTED_VALUE"""),7116.0)</f>
        <v>7116</v>
      </c>
      <c r="H989" s="2">
        <f>IFERROR(__xludf.DUMMYFUNCTION("""COMPUTED_VALUE"""),519.04)</f>
        <v>519.04</v>
      </c>
    </row>
    <row r="990">
      <c r="A990" s="2" t="str">
        <f>IFERROR(__xludf.DUMMYFUNCTION("""COMPUTED_VALUE"""),"Fuentes de Andalucía")</f>
        <v>Fuentes de Andalucía</v>
      </c>
      <c r="B990" s="2" t="str">
        <f>IFERROR(__xludf.DUMMYFUNCTION("""COMPUTED_VALUE"""),"Comarca de Écija")</f>
        <v>Comarca de Écija</v>
      </c>
      <c r="C990" s="2" t="str">
        <f>IFERROR(__xludf.DUMMYFUNCTION("""COMPUTED_VALUE"""),"Provincia de Sevilla")</f>
        <v>Provincia de Sevilla</v>
      </c>
      <c r="D990" s="2" t="str">
        <f>IFERROR(__xludf.DUMMYFUNCTION("""COMPUTED_VALUE"""),"Andalucía")</f>
        <v>Andalucía</v>
      </c>
      <c r="E990" s="2">
        <f>IFERROR(__xludf.DUMMYFUNCTION("""COMPUTED_VALUE"""),183.0)</f>
        <v>183</v>
      </c>
      <c r="F990" s="2">
        <f>IFERROR(__xludf.DUMMYFUNCTION("""COMPUTED_VALUE"""),150.52)</f>
        <v>150.52</v>
      </c>
      <c r="G990" s="4">
        <f>IFERROR(__xludf.DUMMYFUNCTION("""COMPUTED_VALUE"""),7111.0)</f>
        <v>7111</v>
      </c>
      <c r="H990" s="2">
        <f>IFERROR(__xludf.DUMMYFUNCTION("""COMPUTED_VALUE"""),47.24)</f>
        <v>47.24</v>
      </c>
    </row>
    <row r="991">
      <c r="A991" s="2" t="str">
        <f>IFERROR(__xludf.DUMMYFUNCTION("""COMPUTED_VALUE"""),"Villa del Río")</f>
        <v>Villa del Río</v>
      </c>
      <c r="B991" s="2" t="str">
        <f>IFERROR(__xludf.DUMMYFUNCTION("""COMPUTED_VALUE"""),"Comarca del Alto Guadalquivir")</f>
        <v>Comarca del Alto Guadalquivir</v>
      </c>
      <c r="C991" s="2" t="str">
        <f>IFERROR(__xludf.DUMMYFUNCTION("""COMPUTED_VALUE"""),"Provincia de Córdoba")</f>
        <v>Provincia de Córdoba</v>
      </c>
      <c r="D991" s="2" t="str">
        <f>IFERROR(__xludf.DUMMYFUNCTION("""COMPUTED_VALUE"""),"Andalucía")</f>
        <v>Andalucía</v>
      </c>
      <c r="E991" s="2">
        <f>IFERROR(__xludf.DUMMYFUNCTION("""COMPUTED_VALUE"""),165.0)</f>
        <v>165</v>
      </c>
      <c r="F991" s="2">
        <f>IFERROR(__xludf.DUMMYFUNCTION("""COMPUTED_VALUE"""),22.07)</f>
        <v>22.07</v>
      </c>
      <c r="G991" s="4">
        <f>IFERROR(__xludf.DUMMYFUNCTION("""COMPUTED_VALUE"""),7104.0)</f>
        <v>7104</v>
      </c>
      <c r="H991" s="2">
        <f>IFERROR(__xludf.DUMMYFUNCTION("""COMPUTED_VALUE"""),321.88)</f>
        <v>321.88</v>
      </c>
    </row>
    <row r="992">
      <c r="A992" s="2" t="str">
        <f>IFERROR(__xludf.DUMMYFUNCTION("""COMPUTED_VALUE"""),"Huarte/Uharte")</f>
        <v>Huarte/Uharte</v>
      </c>
      <c r="B992" s="2" t="str">
        <f>IFERROR(__xludf.DUMMYFUNCTION("""COMPUTED_VALUE"""),"Cuenca de Pamplona")</f>
        <v>Cuenca de Pamplona</v>
      </c>
      <c r="C992" s="2" t="str">
        <f>IFERROR(__xludf.DUMMYFUNCTION("""COMPUTED_VALUE"""),"Provincia de Navarra")</f>
        <v>Provincia de Navarra</v>
      </c>
      <c r="D992" s="2" t="str">
        <f>IFERROR(__xludf.DUMMYFUNCTION("""COMPUTED_VALUE"""),"Comunidad Foral de Navarra")</f>
        <v>Comunidad Foral de Navarra</v>
      </c>
      <c r="E992" s="2">
        <f>IFERROR(__xludf.DUMMYFUNCTION("""COMPUTED_VALUE"""),442.0)</f>
        <v>442</v>
      </c>
      <c r="F992" s="2">
        <f>IFERROR(__xludf.DUMMYFUNCTION("""COMPUTED_VALUE"""),3.86)</f>
        <v>3.86</v>
      </c>
      <c r="G992" s="4">
        <f>IFERROR(__xludf.DUMMYFUNCTION("""COMPUTED_VALUE"""),7101.0)</f>
        <v>7101</v>
      </c>
      <c r="H992" s="5">
        <f>IFERROR(__xludf.DUMMYFUNCTION("""COMPUTED_VALUE"""),1839.64)</f>
        <v>1839.64</v>
      </c>
    </row>
    <row r="993">
      <c r="A993" s="2" t="str">
        <f>IFERROR(__xludf.DUMMYFUNCTION("""COMPUTED_VALUE"""),"Begues")</f>
        <v>Begues</v>
      </c>
      <c r="B993" s="2" t="str">
        <f>IFERROR(__xludf.DUMMYFUNCTION("""COMPUTED_VALUE"""),"Bajo Llobregat")</f>
        <v>Bajo Llobregat</v>
      </c>
      <c r="C993" s="2" t="str">
        <f>IFERROR(__xludf.DUMMYFUNCTION("""COMPUTED_VALUE"""),"Provincia de Barcelona")</f>
        <v>Provincia de Barcelona</v>
      </c>
      <c r="D993" s="2" t="str">
        <f>IFERROR(__xludf.DUMMYFUNCTION("""COMPUTED_VALUE"""),"Cataluña")</f>
        <v>Cataluña</v>
      </c>
      <c r="E993" s="2">
        <f>IFERROR(__xludf.DUMMYFUNCTION("""COMPUTED_VALUE"""),399.0)</f>
        <v>399</v>
      </c>
      <c r="F993" s="2">
        <f>IFERROR(__xludf.DUMMYFUNCTION("""COMPUTED_VALUE"""),50.39)</f>
        <v>50.39</v>
      </c>
      <c r="G993" s="4">
        <f>IFERROR(__xludf.DUMMYFUNCTION("""COMPUTED_VALUE"""),7098.0)</f>
        <v>7098</v>
      </c>
      <c r="H993" s="2">
        <f>IFERROR(__xludf.DUMMYFUNCTION("""COMPUTED_VALUE"""),140.86)</f>
        <v>140.86</v>
      </c>
    </row>
    <row r="994">
      <c r="A994" s="2" t="str">
        <f>IFERROR(__xludf.DUMMYFUNCTION("""COMPUTED_VALUE"""),"Muro")</f>
        <v>Muro</v>
      </c>
      <c r="B994" s="2" t="str">
        <f>IFERROR(__xludf.DUMMYFUNCTION("""COMPUTED_VALUE"""),"Pla de Mallorca")</f>
        <v>Pla de Mallorca</v>
      </c>
      <c r="C994" s="2" t="str">
        <f>IFERROR(__xludf.DUMMYFUNCTION("""COMPUTED_VALUE"""),"Provincia de Baleares")</f>
        <v>Provincia de Baleares</v>
      </c>
      <c r="D994" s="2" t="str">
        <f>IFERROR(__xludf.DUMMYFUNCTION("""COMPUTED_VALUE"""),"Islas Baleares")</f>
        <v>Islas Baleares</v>
      </c>
      <c r="E994" s="2">
        <f>IFERROR(__xludf.DUMMYFUNCTION("""COMPUTED_VALUE"""),83.0)</f>
        <v>83</v>
      </c>
      <c r="F994" s="2">
        <f>IFERROR(__xludf.DUMMYFUNCTION("""COMPUTED_VALUE"""),58.61)</f>
        <v>58.61</v>
      </c>
      <c r="G994" s="4">
        <f>IFERROR(__xludf.DUMMYFUNCTION("""COMPUTED_VALUE"""),7085.0)</f>
        <v>7085</v>
      </c>
      <c r="H994" s="2">
        <f>IFERROR(__xludf.DUMMYFUNCTION("""COMPUTED_VALUE"""),120.88)</f>
        <v>120.88</v>
      </c>
    </row>
    <row r="995">
      <c r="A995" s="2" t="str">
        <f>IFERROR(__xludf.DUMMYFUNCTION("""COMPUTED_VALUE"""),"Banyeres de Mariola")</f>
        <v>Banyeres de Mariola</v>
      </c>
      <c r="B995" s="2" t="str">
        <f>IFERROR(__xludf.DUMMYFUNCTION("""COMPUTED_VALUE"""),"Hoya de Alcoy")</f>
        <v>Hoya de Alcoy</v>
      </c>
      <c r="C995" s="2" t="str">
        <f>IFERROR(__xludf.DUMMYFUNCTION("""COMPUTED_VALUE"""),"Provincia de Alicante")</f>
        <v>Provincia de Alicante</v>
      </c>
      <c r="D995" s="2" t="str">
        <f>IFERROR(__xludf.DUMMYFUNCTION("""COMPUTED_VALUE"""),"Comunidad Valenciana")</f>
        <v>Comunidad Valenciana</v>
      </c>
      <c r="E995" s="2">
        <f>IFERROR(__xludf.DUMMYFUNCTION("""COMPUTED_VALUE"""),816.0)</f>
        <v>816</v>
      </c>
      <c r="F995" s="2">
        <f>IFERROR(__xludf.DUMMYFUNCTION("""COMPUTED_VALUE"""),50.28)</f>
        <v>50.28</v>
      </c>
      <c r="G995" s="4">
        <f>IFERROR(__xludf.DUMMYFUNCTION("""COMPUTED_VALUE"""),7068.0)</f>
        <v>7068</v>
      </c>
      <c r="H995" s="2">
        <f>IFERROR(__xludf.DUMMYFUNCTION("""COMPUTED_VALUE"""),140.57)</f>
        <v>140.57</v>
      </c>
    </row>
    <row r="996">
      <c r="A996" s="2" t="str">
        <f>IFERROR(__xludf.DUMMYFUNCTION("""COMPUTED_VALUE"""),"Vimianzo")</f>
        <v>Vimianzo</v>
      </c>
      <c r="B996" s="2" t="str">
        <f>IFERROR(__xludf.DUMMYFUNCTION("""COMPUTED_VALUE"""),"Comarca de Tierra de Soneira")</f>
        <v>Comarca de Tierra de Soneira</v>
      </c>
      <c r="C996" s="2" t="str">
        <f>IFERROR(__xludf.DUMMYFUNCTION("""COMPUTED_VALUE"""),"Provincia de A Coruña")</f>
        <v>Provincia de A Coruña</v>
      </c>
      <c r="D996" s="2" t="str">
        <f>IFERROR(__xludf.DUMMYFUNCTION("""COMPUTED_VALUE"""),"Galicia")</f>
        <v>Galicia</v>
      </c>
      <c r="E996" s="2">
        <f>IFERROR(__xludf.DUMMYFUNCTION("""COMPUTED_VALUE"""),450.0)</f>
        <v>450</v>
      </c>
      <c r="F996" s="2">
        <f>IFERROR(__xludf.DUMMYFUNCTION("""COMPUTED_VALUE"""),187.27)</f>
        <v>187.27</v>
      </c>
      <c r="G996" s="4">
        <f>IFERROR(__xludf.DUMMYFUNCTION("""COMPUTED_VALUE"""),7057.0)</f>
        <v>7057</v>
      </c>
      <c r="H996" s="2">
        <f>IFERROR(__xludf.DUMMYFUNCTION("""COMPUTED_VALUE"""),37.68)</f>
        <v>37.68</v>
      </c>
    </row>
    <row r="997">
      <c r="A997" s="2" t="str">
        <f>IFERROR(__xludf.DUMMYFUNCTION("""COMPUTED_VALUE"""),"Montellano")</f>
        <v>Montellano</v>
      </c>
      <c r="B997" s="2" t="str">
        <f>IFERROR(__xludf.DUMMYFUNCTION("""COMPUTED_VALUE"""),"Campiña de Morón y Marchena")</f>
        <v>Campiña de Morón y Marchena</v>
      </c>
      <c r="C997" s="2" t="str">
        <f>IFERROR(__xludf.DUMMYFUNCTION("""COMPUTED_VALUE"""),"Provincia de Sevilla")</f>
        <v>Provincia de Sevilla</v>
      </c>
      <c r="D997" s="2" t="str">
        <f>IFERROR(__xludf.DUMMYFUNCTION("""COMPUTED_VALUE"""),"Andalucía")</f>
        <v>Andalucía</v>
      </c>
      <c r="E997" s="2">
        <f>IFERROR(__xludf.DUMMYFUNCTION("""COMPUTED_VALUE"""),250.0)</f>
        <v>250</v>
      </c>
      <c r="F997" s="2">
        <f>IFERROR(__xludf.DUMMYFUNCTION("""COMPUTED_VALUE"""),116.71)</f>
        <v>116.71</v>
      </c>
      <c r="G997" s="4">
        <f>IFERROR(__xludf.DUMMYFUNCTION("""COMPUTED_VALUE"""),7056.0)</f>
        <v>7056</v>
      </c>
      <c r="H997" s="2">
        <f>IFERROR(__xludf.DUMMYFUNCTION("""COMPUTED_VALUE"""),60.46)</f>
        <v>60.46</v>
      </c>
    </row>
    <row r="998">
      <c r="A998" s="2" t="str">
        <f>IFERROR(__xludf.DUMMYFUNCTION("""COMPUTED_VALUE"""),"Villanueva de Castellón")</f>
        <v>Villanueva de Castellón</v>
      </c>
      <c r="B998" s="2" t="str">
        <f>IFERROR(__xludf.DUMMYFUNCTION("""COMPUTED_VALUE"""),"Ribera Alta (Valencia)")</f>
        <v>Ribera Alta (Valencia)</v>
      </c>
      <c r="C998" s="2" t="str">
        <f>IFERROR(__xludf.DUMMYFUNCTION("""COMPUTED_VALUE"""),"Provincia de València")</f>
        <v>Provincia de València</v>
      </c>
      <c r="D998" s="2" t="str">
        <f>IFERROR(__xludf.DUMMYFUNCTION("""COMPUTED_VALUE"""),"Comunidad Valenciana")</f>
        <v>Comunidad Valenciana</v>
      </c>
      <c r="E998" s="2">
        <f>IFERROR(__xludf.DUMMYFUNCTION("""COMPUTED_VALUE"""),30.0)</f>
        <v>30</v>
      </c>
      <c r="F998" s="2">
        <f>IFERROR(__xludf.DUMMYFUNCTION("""COMPUTED_VALUE"""),20.3)</f>
        <v>20.3</v>
      </c>
      <c r="G998" s="4">
        <f>IFERROR(__xludf.DUMMYFUNCTION("""COMPUTED_VALUE"""),7049.0)</f>
        <v>7049</v>
      </c>
      <c r="H998" s="2">
        <f>IFERROR(__xludf.DUMMYFUNCTION("""COMPUTED_VALUE"""),347.24)</f>
        <v>347.24</v>
      </c>
    </row>
    <row r="999">
      <c r="A999" s="2" t="str">
        <f>IFERROR(__xludf.DUMMYFUNCTION("""COMPUTED_VALUE"""),"Trebujena")</f>
        <v>Trebujena</v>
      </c>
      <c r="B999" s="2" t="str">
        <f>IFERROR(__xludf.DUMMYFUNCTION("""COMPUTED_VALUE"""),"Costa Noroeste de Cádiz")</f>
        <v>Costa Noroeste de Cádiz</v>
      </c>
      <c r="C999" s="2" t="str">
        <f>IFERROR(__xludf.DUMMYFUNCTION("""COMPUTED_VALUE"""),"Provincia de Cádiz")</f>
        <v>Provincia de Cádiz</v>
      </c>
      <c r="D999" s="2" t="str">
        <f>IFERROR(__xludf.DUMMYFUNCTION("""COMPUTED_VALUE"""),"Andalucía")</f>
        <v>Andalucía</v>
      </c>
      <c r="E999" s="2">
        <f>IFERROR(__xludf.DUMMYFUNCTION("""COMPUTED_VALUE"""),69.0)</f>
        <v>69</v>
      </c>
      <c r="F999" s="2">
        <f>IFERROR(__xludf.DUMMYFUNCTION("""COMPUTED_VALUE"""),70.72)</f>
        <v>70.72</v>
      </c>
      <c r="G999" s="4">
        <f>IFERROR(__xludf.DUMMYFUNCTION("""COMPUTED_VALUE"""),7028.0)</f>
        <v>7028</v>
      </c>
      <c r="H999" s="2">
        <f>IFERROR(__xludf.DUMMYFUNCTION("""COMPUTED_VALUE"""),99.38)</f>
        <v>99.38</v>
      </c>
    </row>
    <row r="1000">
      <c r="A1000" s="2" t="str">
        <f>IFERROR(__xludf.DUMMYFUNCTION("""COMPUTED_VALUE"""),"Cercedilla")</f>
        <v>Cercedilla</v>
      </c>
      <c r="B1000" s="2"/>
      <c r="C1000" s="2" t="str">
        <f>IFERROR(__xludf.DUMMYFUNCTION("""COMPUTED_VALUE"""),"Provincia de Madrid")</f>
        <v>Provincia de Madrid</v>
      </c>
      <c r="D1000" s="2" t="str">
        <f>IFERROR(__xludf.DUMMYFUNCTION("""COMPUTED_VALUE"""),"Comunidad de Madrid")</f>
        <v>Comunidad de Madrid</v>
      </c>
      <c r="E1000" s="4">
        <f>IFERROR(__xludf.DUMMYFUNCTION("""COMPUTED_VALUE"""),1118.0)</f>
        <v>1118</v>
      </c>
      <c r="F1000" s="2">
        <f>IFERROR(__xludf.DUMMYFUNCTION("""COMPUTED_VALUE"""),35.78)</f>
        <v>35.78</v>
      </c>
      <c r="G1000" s="4">
        <f>IFERROR(__xludf.DUMMYFUNCTION("""COMPUTED_VALUE"""),7026.0)</f>
        <v>7026</v>
      </c>
      <c r="H1000" s="2">
        <f>IFERROR(__xludf.DUMMYFUNCTION("""COMPUTED_VALUE"""),196.37)</f>
        <v>196.37</v>
      </c>
    </row>
    <row r="1001">
      <c r="A1001" s="2" t="str">
        <f>IFERROR(__xludf.DUMMYFUNCTION("""COMPUTED_VALUE"""),"Dúrcal")</f>
        <v>Dúrcal</v>
      </c>
      <c r="B1001" s="2" t="str">
        <f>IFERROR(__xludf.DUMMYFUNCTION("""COMPUTED_VALUE"""),"Valle de Lecrín")</f>
        <v>Valle de Lecrín</v>
      </c>
      <c r="C1001" s="2" t="str">
        <f>IFERROR(__xludf.DUMMYFUNCTION("""COMPUTED_VALUE"""),"Provincia de Granada")</f>
        <v>Provincia de Granada</v>
      </c>
      <c r="D1001" s="2" t="str">
        <f>IFERROR(__xludf.DUMMYFUNCTION("""COMPUTED_VALUE"""),"Andalucía")</f>
        <v>Andalucía</v>
      </c>
      <c r="E1001" s="2">
        <f>IFERROR(__xludf.DUMMYFUNCTION("""COMPUTED_VALUE"""),782.0)</f>
        <v>782</v>
      </c>
      <c r="F1001" s="2">
        <f>IFERROR(__xludf.DUMMYFUNCTION("""COMPUTED_VALUE"""),76.63)</f>
        <v>76.63</v>
      </c>
      <c r="G1001" s="4">
        <f>IFERROR(__xludf.DUMMYFUNCTION("""COMPUTED_VALUE"""),7015.0)</f>
        <v>7015</v>
      </c>
      <c r="H1001" s="2">
        <f>IFERROR(__xludf.DUMMYFUNCTION("""COMPUTED_VALUE"""),91.54)</f>
        <v>91.54</v>
      </c>
    </row>
    <row r="1002">
      <c r="A1002" s="2" t="str">
        <f>IFERROR(__xludf.DUMMYFUNCTION("""COMPUTED_VALUE"""),"… siguientes resultados")</f>
        <v>… siguientes resultados</v>
      </c>
      <c r="B1002" s="2"/>
      <c r="C1002" s="2"/>
      <c r="D1002" s="2"/>
      <c r="E1002" s="2"/>
      <c r="F1002" s="2"/>
      <c r="G1002" s="2"/>
      <c r="H1002" s="2"/>
    </row>
  </sheetData>
  <autoFilter ref="$A$1:$H$1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>
      <c r="F14" s="6" t="s">
        <v>17</v>
      </c>
    </row>
    <row r="15"/>
    <row r="16"/>
    <row r="17"/>
    <row r="18"/>
    <row r="19"/>
  </sheetData>
  <drawing r:id="rId2"/>
</worksheet>
</file>