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lo\Documentos\FI\8vo Semestre\Redes\Proyecto\"/>
    </mc:Choice>
  </mc:AlternateContent>
  <xr:revisionPtr revIDLastSave="0" documentId="13_ncr:1_{0ED8A783-3412-4E5F-B655-21BDD933862C}" xr6:coauthVersionLast="47" xr6:coauthVersionMax="47" xr10:uidLastSave="{00000000-0000-0000-0000-000000000000}"/>
  <bookViews>
    <workbookView xWindow="-120" yWindow="-120" windowWidth="20640" windowHeight="11160" xr2:uid="{2AF3C547-9FBE-40E1-8849-136D5BAB07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7" i="1" l="1"/>
  <c r="C167" i="1"/>
  <c r="B167" i="1"/>
  <c r="E161" i="1"/>
  <c r="D161" i="1"/>
  <c r="C161" i="1"/>
  <c r="B161" i="1"/>
  <c r="E155" i="1"/>
  <c r="G116" i="1"/>
  <c r="G97" i="1"/>
  <c r="F97" i="1"/>
  <c r="K18" i="1"/>
  <c r="I17" i="1"/>
  <c r="K17" i="1" s="1"/>
  <c r="I16" i="1"/>
  <c r="K16" i="1"/>
  <c r="J155" i="1"/>
  <c r="I155" i="1"/>
  <c r="H155" i="1"/>
  <c r="G155" i="1"/>
  <c r="D155" i="1"/>
  <c r="C155" i="1"/>
  <c r="B155" i="1"/>
  <c r="E144" i="1"/>
  <c r="D116" i="1"/>
  <c r="E139" i="1"/>
  <c r="E134" i="1"/>
  <c r="G126" i="1"/>
  <c r="D126" i="1"/>
  <c r="E126" i="1" s="1"/>
  <c r="E129" i="1"/>
  <c r="C113" i="1"/>
  <c r="C108" i="1"/>
  <c r="C105" i="1"/>
  <c r="D105" i="1"/>
  <c r="E105" i="1" s="1"/>
  <c r="B105" i="1"/>
  <c r="H97" i="1"/>
  <c r="F14" i="1"/>
  <c r="E13" i="1"/>
  <c r="C13" i="1"/>
  <c r="C12" i="1"/>
  <c r="C11" i="1"/>
  <c r="E11" i="1" s="1"/>
  <c r="C10" i="1"/>
  <c r="C7" i="1"/>
  <c r="C8" i="1"/>
  <c r="C9" i="1"/>
  <c r="E7" i="1"/>
  <c r="E12" i="1"/>
  <c r="E10" i="1"/>
  <c r="E9" i="1"/>
  <c r="E8" i="1"/>
  <c r="D113" i="1"/>
  <c r="F108" i="1"/>
  <c r="E100" i="1"/>
  <c r="C85" i="1"/>
  <c r="E85" i="1" s="1"/>
  <c r="C84" i="1"/>
  <c r="E84" i="1" s="1"/>
  <c r="C83" i="1"/>
  <c r="C82" i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C70" i="1"/>
  <c r="E70" i="1" s="1"/>
  <c r="C69" i="1"/>
  <c r="E69" i="1" s="1"/>
  <c r="C68" i="1"/>
  <c r="E68" i="1" s="1"/>
  <c r="C58" i="1"/>
  <c r="C67" i="1"/>
  <c r="C66" i="1"/>
  <c r="E66" i="1" s="1"/>
  <c r="C65" i="1"/>
  <c r="E65" i="1" s="1"/>
  <c r="C64" i="1"/>
  <c r="C63" i="1"/>
  <c r="E63" i="1" s="1"/>
  <c r="C62" i="1"/>
  <c r="E62" i="1" s="1"/>
  <c r="E67" i="1"/>
  <c r="E71" i="1"/>
  <c r="E82" i="1"/>
  <c r="E83" i="1"/>
  <c r="E58" i="1"/>
  <c r="E64" i="1"/>
  <c r="C61" i="1"/>
  <c r="E61" i="1" s="1"/>
  <c r="C60" i="1"/>
  <c r="E60" i="1" s="1"/>
  <c r="C59" i="1"/>
  <c r="E59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E121" i="1"/>
  <c r="F155" i="1" s="1"/>
  <c r="F86" i="1"/>
  <c r="F42" i="1"/>
  <c r="C41" i="1"/>
  <c r="E41" i="1" s="1"/>
  <c r="C40" i="1"/>
  <c r="E40" i="1" s="1"/>
  <c r="C38" i="1"/>
  <c r="E38" i="1" s="1"/>
  <c r="C37" i="1"/>
  <c r="E37" i="1" s="1"/>
  <c r="C36" i="1"/>
  <c r="E36" i="1" s="1"/>
  <c r="C35" i="1"/>
  <c r="E35" i="1" s="1"/>
  <c r="C34" i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6" i="1"/>
  <c r="E26" i="1" s="1"/>
  <c r="C27" i="1"/>
  <c r="E27" i="1" s="1"/>
  <c r="C25" i="1"/>
  <c r="E25" i="1" s="1"/>
  <c r="C24" i="1"/>
  <c r="E24" i="1" s="1"/>
  <c r="C39" i="1"/>
  <c r="E39" i="1" s="1"/>
  <c r="E34" i="1"/>
  <c r="C23" i="1"/>
  <c r="E23" i="1" s="1"/>
  <c r="C22" i="1"/>
  <c r="E22" i="1" s="1"/>
  <c r="K155" i="1" l="1"/>
</calcChain>
</file>

<file path=xl/sharedStrings.xml><?xml version="1.0" encoding="utf-8"?>
<sst xmlns="http://schemas.openxmlformats.org/spreadsheetml/2006/main" count="231" uniqueCount="123">
  <si>
    <t>PLANTA1</t>
  </si>
  <si>
    <t>Cableado Horizontal</t>
  </si>
  <si>
    <t>Nodo1</t>
  </si>
  <si>
    <t>Holgura</t>
  </si>
  <si>
    <t>Medida</t>
  </si>
  <si>
    <t>Medida Total</t>
  </si>
  <si>
    <t>Medida Redondeada</t>
  </si>
  <si>
    <t>Nodo2</t>
  </si>
  <si>
    <t>Nodo3</t>
  </si>
  <si>
    <t>Nodo4</t>
  </si>
  <si>
    <t>Nodo5</t>
  </si>
  <si>
    <t>Nodo6</t>
  </si>
  <si>
    <t>Nodo7</t>
  </si>
  <si>
    <t>Nodo8</t>
  </si>
  <si>
    <t>Nodo9</t>
  </si>
  <si>
    <t>Nodo10</t>
  </si>
  <si>
    <t>Nodo11</t>
  </si>
  <si>
    <t>Nodo12</t>
  </si>
  <si>
    <t>Nodo13</t>
  </si>
  <si>
    <t>Nodo14</t>
  </si>
  <si>
    <t>Nodo15</t>
  </si>
  <si>
    <t>Nodo16</t>
  </si>
  <si>
    <t>Nodo17</t>
  </si>
  <si>
    <t>AccessPoint1</t>
  </si>
  <si>
    <t>AccessPoint2</t>
  </si>
  <si>
    <t>AccessPoint3</t>
  </si>
  <si>
    <t>TOTAL (m)</t>
  </si>
  <si>
    <t>TOTAL REDONDEADO</t>
  </si>
  <si>
    <t>PLANTA2</t>
  </si>
  <si>
    <t>Modelo</t>
  </si>
  <si>
    <t>Cantidad</t>
  </si>
  <si>
    <t>Precio</t>
  </si>
  <si>
    <t>Total</t>
  </si>
  <si>
    <t>RJ45</t>
  </si>
  <si>
    <t>Cantidad Min</t>
  </si>
  <si>
    <t>Cantidad Total</t>
  </si>
  <si>
    <t>Total-Precio</t>
  </si>
  <si>
    <t>Repuesto(15%)</t>
  </si>
  <si>
    <t>Link de compra</t>
  </si>
  <si>
    <t>.</t>
  </si>
  <si>
    <t>Nodo18</t>
  </si>
  <si>
    <t>Nodo19</t>
  </si>
  <si>
    <t>Nodo20</t>
  </si>
  <si>
    <t>Nodo21</t>
  </si>
  <si>
    <t>Nodo22</t>
  </si>
  <si>
    <t>Nodo23</t>
  </si>
  <si>
    <t>Nodo24</t>
  </si>
  <si>
    <t>Nodo25</t>
  </si>
  <si>
    <t>Nodo26</t>
  </si>
  <si>
    <t>Nodo27</t>
  </si>
  <si>
    <t>Nodo28</t>
  </si>
  <si>
    <t>Nodo29</t>
  </si>
  <si>
    <t>Nodo30</t>
  </si>
  <si>
    <t>Televisión</t>
  </si>
  <si>
    <t>GASTOS TOTALES</t>
  </si>
  <si>
    <t>UTP-Cat6</t>
  </si>
  <si>
    <t>Belden-Bobina305m</t>
  </si>
  <si>
    <t>Planta1</t>
  </si>
  <si>
    <t>Planta2</t>
  </si>
  <si>
    <t>Bobinas 305m</t>
  </si>
  <si>
    <t>https://articulo.mercadolibre.com.mx/MLM-792505063-cable-utp-cat6-belden-bobina-305metros-100-cobre-certific-_JM?matt_tool=20003779&amp;matt_word=&amp;matt_source=google&amp;matt_campaign_id=15698047603&amp;matt_ad_group_id=139276014405&amp;matt_match_type=&amp;matt_network=g&amp;matt_device=c&amp;matt_creative=619878764058&amp;matt_keyword=&amp;matt_ad_position=&amp;matt_ad_type=pla&amp;matt_merchant_id=131642881&amp;matt_product_id=MLM792505063&amp;matt_product_partition_id=1994760955327&amp;matt_target_id=aud-2005965463816:pla-1994760955327&amp;gclid=CjwKCAjwg-GjBhBnEiwAMUvNWxL5wkLNn8DFcTyUmYr9YoFhTrytuw-6U-Srv3G9MqauCdg8MPxAsBoC8kMQAvD_BwE</t>
  </si>
  <si>
    <t>Intellinet-100pz-Cat6</t>
  </si>
  <si>
    <t>https://articulo.mercadolibre.com.mx/MLM-588182658-plug-bote-100-piezas-conector-rj45-intellinet-502344-cat6-_JM?matt_tool=20003779&amp;matt_word=&amp;matt_source=google&amp;matt_campaign_id=15698047603&amp;matt_ad_group_id=139276014405&amp;matt_match_type=&amp;matt_network=g&amp;matt_device=c&amp;matt_creative=619878764058&amp;matt_keyword=&amp;matt_ad_position=&amp;matt_ad_type=pla&amp;matt_merchant_id=114077206&amp;matt_product_id=MLM588182658&amp;matt_product_partition_id=1994760955327&amp;matt_target_id=aud-2005965463816:pla-1994760955327&amp;gclid=CjwKCAjwg-GjBhBnEiwAMUvNW3sTwqHiv_zmB77wXrZWr1qxlcG8eyeOgAqT3DPk5-vGUVEyC2O0_xoCunwQAvD_BwE</t>
  </si>
  <si>
    <t>Everest Media -20Pz</t>
  </si>
  <si>
    <t>Canaletas</t>
  </si>
  <si>
    <t>PLANTA BAJA</t>
  </si>
  <si>
    <t>PlantaBaja</t>
  </si>
  <si>
    <t>CantBobina</t>
  </si>
  <si>
    <t>Cant.Nodos</t>
  </si>
  <si>
    <t>Cant=7</t>
  </si>
  <si>
    <t>Cant=20</t>
  </si>
  <si>
    <t>Cant=34</t>
  </si>
  <si>
    <t>Botes 100pz</t>
  </si>
  <si>
    <t xml:space="preserve">Cantidad </t>
  </si>
  <si>
    <t>ROSETAS</t>
  </si>
  <si>
    <t>SERVIDORES</t>
  </si>
  <si>
    <t>RACKS</t>
  </si>
  <si>
    <t>INTERNET</t>
  </si>
  <si>
    <t>Metros</t>
  </si>
  <si>
    <t>Distancia</t>
  </si>
  <si>
    <t>CantidadCanaletas</t>
  </si>
  <si>
    <t>#Cables100%</t>
  </si>
  <si>
    <t>Charofil Charola 3m</t>
  </si>
  <si>
    <t>#Cables60%</t>
  </si>
  <si>
    <t>Cables MAX</t>
  </si>
  <si>
    <t>https://www.abasteo.mx/Almacenamiento-de-Datos/Servidores/Accesorios-para-Servidores/Charolas-para-Racks-y-Gabinetes/Charofil-Charola-Tipo-Malla-para-Rack-3-Metros-hasta-129-Cables-Acero-Inoxidable.html</t>
  </si>
  <si>
    <t>Router</t>
  </si>
  <si>
    <t>TP-LinkTL-ER7206</t>
  </si>
  <si>
    <t>TP-Link TL-ER7206 Router VPN SafeStream GB MUL-WAN : Amazon.com.mx: Electrónicos</t>
  </si>
  <si>
    <t>AccessPoint</t>
  </si>
  <si>
    <t>LinkedPro</t>
  </si>
  <si>
    <t>https://bsai.com.mx/products/rack-de-acero-de-4ft-x-19in-24ur-con-organizadores-verticales-y-guia-superior-para-cableado?variant=31882170794056&amp;currency=MXN&amp;utm_source=google&amp;utm_medium=cpc&amp;utm_campaign=google+shopping&amp;gclid=Cj0KCQjw7PCjBhDwARIsANo7CgkRnj7Zbgx-7xvm5waPKPaRQEJNTASqtx4SP3pS8aqmjpOttkDQP_YaAuy3EALw_wcB</t>
  </si>
  <si>
    <t>ROSETAS-RJ45</t>
  </si>
  <si>
    <t>Piezas</t>
  </si>
  <si>
    <t>CantidadNecesaria</t>
  </si>
  <si>
    <t>CantidadTotal</t>
  </si>
  <si>
    <t>Paquete de 4 placas de pared Ethernet Cat6, 1 puerto RJ45, red hembra a hembra, acoplador de pared, color azul : Amazon.com.mx: Electrónicos</t>
  </si>
  <si>
    <t>DELL T40</t>
  </si>
  <si>
    <t>(4) Servidor Dell Poweredge T40 Intel Xeon E-2224g 8gb, 1tb | Meses sin intereses (mercadolibre.com.mx)</t>
  </si>
  <si>
    <t>Router ASUS AX1800 WiFi 6, RT-AX1800S, doble banda, inalámbrico, múltiples dispositivos, tecnología MU-MIMO y OFDMA, seguridad de red AiProtection, control parental : Amazon.com.mx: Electrónicos</t>
  </si>
  <si>
    <t>ISP</t>
  </si>
  <si>
    <t>Paquete</t>
  </si>
  <si>
    <t>Potencia</t>
  </si>
  <si>
    <t>1000 MEGAS</t>
  </si>
  <si>
    <t>https://www.totalplay.com.mx/paquetes</t>
  </si>
  <si>
    <t>UTP</t>
  </si>
  <si>
    <t>ACCESSPOINT</t>
  </si>
  <si>
    <t>ROUTER</t>
  </si>
  <si>
    <t>GASTO TOTAL MATERIALES</t>
  </si>
  <si>
    <t>Cableado Vertical</t>
  </si>
  <si>
    <t>PB-P1</t>
  </si>
  <si>
    <t>Racks</t>
  </si>
  <si>
    <t>Servidores</t>
  </si>
  <si>
    <t>Internet</t>
  </si>
  <si>
    <t>ASUS AX1800</t>
  </si>
  <si>
    <t>CANALETAS</t>
  </si>
  <si>
    <t>MANO DE OBRA</t>
  </si>
  <si>
    <t>Gasto Materiales</t>
  </si>
  <si>
    <t xml:space="preserve">Mano de Obra 30% </t>
  </si>
  <si>
    <t>Seguro de trabajo 10%</t>
  </si>
  <si>
    <t>Materiales</t>
  </si>
  <si>
    <t>Mano de obra</t>
  </si>
  <si>
    <t>COSTO TOTAL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</si>
</sst>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3" xfId="0" applyFill="1" applyBorder="1"/>
    <xf numFmtId="0" fontId="0" fillId="0" borderId="4" xfId="0" applyBorder="1"/>
    <xf numFmtId="0" fontId="0" fillId="7" borderId="1" xfId="0" applyFill="1" applyBorder="1"/>
    <xf numFmtId="0" fontId="0" fillId="8" borderId="1" xfId="0" applyFill="1" applyBorder="1"/>
    <xf numFmtId="0" fontId="2" fillId="0" borderId="1" xfId="1" applyBorder="1"/>
    <xf numFmtId="0" fontId="0" fillId="8" borderId="3" xfId="0" applyFill="1" applyBorder="1"/>
    <xf numFmtId="0" fontId="0" fillId="9" borderId="1" xfId="0" applyFill="1" applyBorder="1"/>
    <xf numFmtId="0" fontId="0" fillId="8" borderId="2" xfId="0" applyFill="1" applyBorder="1"/>
    <xf numFmtId="0" fontId="0" fillId="0" borderId="2" xfId="0" applyBorder="1"/>
    <xf numFmtId="0" fontId="0" fillId="10" borderId="1" xfId="0" applyFill="1" applyBorder="1"/>
    <xf numFmtId="0" fontId="0" fillId="10" borderId="3" xfId="0" applyFill="1" applyBorder="1"/>
    <xf numFmtId="0" fontId="0" fillId="0" borderId="5" xfId="0" applyBorder="1"/>
    <xf numFmtId="0" fontId="3" fillId="0" borderId="1" xfId="1" applyFont="1" applyBorder="1"/>
    <xf numFmtId="0" fontId="0" fillId="4" borderId="6" xfId="0" applyFill="1" applyBorder="1"/>
    <xf numFmtId="0" fontId="0" fillId="11" borderId="3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ticulo.mercadolibre.com.mx/MLM-1808413005-servidor-dell-poweredge-t40-intel-xeon-e-2224g-8gb-1tb-_JM?matt_tool=78527612&amp;matt_word=&amp;matt_source=google&amp;matt_campaign_id=19640949742&amp;matt_ad_group_id=148636916551&amp;matt_match_type=&amp;matt_network=g&amp;matt_device=c&amp;matt_creative=646734338833&amp;matt_keyword=&amp;matt_ad_position=&amp;matt_ad_type=pla&amp;matt_merchant_id=164900481&amp;matt_product_id=MLM1808413005&amp;matt_product_partition_id=1940801657251&amp;matt_target_id=aud-2005965463816:pla-1940801657251&amp;gclid=Cj0KCQjw7PCjBhDwARIsANo7CgmvoNmmvfjljCEk-kEz9AGenm6rdFk8GaTPVHmh_mNyrJucfErGSmYaAvNDEALw_wcB" TargetMode="External"/><Relationship Id="rId3" Type="http://schemas.openxmlformats.org/officeDocument/2006/relationships/hyperlink" Target="https://www.abasteo.mx/Almacenamiento-de-Datos/Servidores/Accesorios-para-Servidores/Charolas-para-Racks-y-Gabinetes/Charofil-Charola-Tipo-Malla-para-Rack-3-Metros-hasta-129-Cables-Acero-Inoxidable.html" TargetMode="External"/><Relationship Id="rId7" Type="http://schemas.openxmlformats.org/officeDocument/2006/relationships/hyperlink" Target="https://www.amazon.com.mx/Ethernet-Keystone-frontales-compatible-unidades/dp/B08TZZRPCF/ref=asc_df_B08TZZRPCF/?tag=gledskshopmx-20&amp;linkCode=df0&amp;hvadid=547139760900&amp;hvpos=&amp;hvnetw=g&amp;hvrand=257670266964325774&amp;hvpone=&amp;hvptwo=&amp;hvqmt=&amp;hvdev=c&amp;hvdvcmdl=&amp;hvlocint=&amp;hvlocphy=9047095&amp;hvtargid=pla-1232004065679&amp;psc=1" TargetMode="External"/><Relationship Id="rId2" Type="http://schemas.openxmlformats.org/officeDocument/2006/relationships/hyperlink" Target="https://articulo.mercadolibre.com.mx/MLM-588182658-plug-bote-100-piezas-conector-rj45-intellinet-502344-cat6-_JM?matt_tool=20003779&amp;matt_word=&amp;matt_source=google&amp;matt_campaign_id=15698047603&amp;matt_ad_group_id=139276014405&amp;matt_match_type=&amp;matt_network=g&amp;matt_device=c&amp;matt_creative=619878764058&amp;matt_keyword=&amp;matt_ad_position=&amp;matt_ad_type=pla&amp;matt_merchant_id=114077206&amp;matt_product_id=MLM588182658&amp;matt_product_partition_id=1994760955327&amp;matt_target_id=aud-2005965463816:pla-1994760955327&amp;gclid=CjwKCAjwg-GjBhBnEiwAMUvNW3sTwqHiv_zmB77wXrZWr1qxlcG8eyeOgAqT3DPk5-vGUVEyC2O0_xoCunwQAvD_BwE" TargetMode="External"/><Relationship Id="rId1" Type="http://schemas.openxmlformats.org/officeDocument/2006/relationships/hyperlink" Target="https://articulo.mercadolibre.com.mx/MLM-792505063-cable-utp-cat6-belden-bobina-305metros-100-cobre-certific-_JM?matt_tool=20003779&amp;matt_word=&amp;matt_source=google&amp;matt_campaign_id=15698047603&amp;matt_ad_group_id=139276014405&amp;matt_match_type=&amp;matt_network=g&amp;matt_device=c&amp;matt_creative=619878764058&amp;matt_keyword=&amp;matt_ad_position=&amp;matt_ad_type=pla&amp;matt_merchant_id=131642881&amp;matt_product_id=MLM792505063&amp;matt_product_partition_id=1994760955327&amp;matt_target_id=aud-2005965463816:pla-1994760955327&amp;gclid=CjwKCAjwg-GjBhBnEiwAMUvNWxL5wkLNn8DFcTyUmYr9YoFhTrytuw-6U-Srv3G9MqauCdg8MPxAsBoC8kMQAvD_BwE" TargetMode="External"/><Relationship Id="rId6" Type="http://schemas.openxmlformats.org/officeDocument/2006/relationships/hyperlink" Target="https://bsai.com.mx/products/rack-de-acero-de-4ft-x-19in-24ur-con-organizadores-verticales-y-guia-superior-para-cableado?variant=31882170794056&amp;currency=MXN&amp;utm_source=google&amp;utm_medium=cpc&amp;utm_campaign=google+shopping&amp;gclid=Cj0KCQjw7PCjBhDwARIsANo7CgkRnj7Zbgx-7xvm5waPKPaRQEJNTASqtx4SP3pS8aqmjpOttkDQP_YaAuy3EALw_wcB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.mx/TP-Link-TL-ER7206-Router-SafeStream-MUL-WAN/dp/B08W4RMZ8T/ref=asc_df_B08W4RMZ8T/?tag=gledskshopmx-20&amp;linkCode=df0&amp;hvadid=547107109881&amp;hvpos=&amp;hvnetw=g&amp;hvrand=7920493294631249072&amp;hvpone=&amp;hvptwo=&amp;hvqmt=&amp;hvdev=c&amp;hvdvcmdl=&amp;hvlocint=&amp;hvlocphy=9047095&amp;hvtargid=pla-1192478187546&amp;psc=1" TargetMode="External"/><Relationship Id="rId10" Type="http://schemas.openxmlformats.org/officeDocument/2006/relationships/hyperlink" Target="https://www.totalplay.com.mx/paquetes" TargetMode="External"/><Relationship Id="rId4" Type="http://schemas.openxmlformats.org/officeDocument/2006/relationships/hyperlink" Target="https://www.abasteo.mx/Almacenamiento-de-Datos/Servidores/Accesorios-para-Servidores/Charolas-para-Racks-y-Gabinetes/Charofil-Charola-Tipo-Malla-para-Rack-3-Metros-hasta-129-Cables-Acero-Inoxidable.html" TargetMode="External"/><Relationship Id="rId9" Type="http://schemas.openxmlformats.org/officeDocument/2006/relationships/hyperlink" Target="https://www.amazon.com.mx/dp/B09M9477NS?ref_=cm_sw_r_apan_dp_VWYD4878TEA4PXT26M3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4709-BC00-4A2B-8E73-50CCB1DDC592}">
  <dimension ref="A3:L167"/>
  <sheetViews>
    <sheetView tabSelected="1" topLeftCell="A120" zoomScale="115" zoomScaleNormal="115" workbookViewId="0">
      <selection activeCell="K122" sqref="K122"/>
    </sheetView>
  </sheetViews>
  <sheetFormatPr baseColWidth="10" defaultRowHeight="15" x14ac:dyDescent="0.25"/>
  <cols>
    <col min="1" max="1" width="10.85546875" customWidth="1"/>
    <col min="2" max="3" width="17.42578125" customWidth="1"/>
    <col min="4" max="4" width="21" customWidth="1"/>
    <col min="5" max="5" width="14.5703125" customWidth="1"/>
    <col min="6" max="6" width="14.85546875" customWidth="1"/>
    <col min="7" max="7" width="10.85546875" customWidth="1"/>
    <col min="8" max="8" width="14.42578125" customWidth="1"/>
    <col min="9" max="9" width="14.85546875" customWidth="1"/>
    <col min="11" max="11" width="16.28515625" customWidth="1"/>
    <col min="12" max="12" width="14.5703125" customWidth="1"/>
  </cols>
  <sheetData>
    <row r="3" spans="1:12" x14ac:dyDescent="0.25">
      <c r="A3" s="1" t="s">
        <v>65</v>
      </c>
      <c r="B3" s="1"/>
    </row>
    <row r="5" spans="1:12" x14ac:dyDescent="0.25">
      <c r="B5" s="2" t="s">
        <v>1</v>
      </c>
      <c r="C5" s="2"/>
      <c r="D5" s="8" t="s">
        <v>69</v>
      </c>
      <c r="E5" s="8"/>
      <c r="F5" s="8"/>
    </row>
    <row r="6" spans="1:12" x14ac:dyDescent="0.25">
      <c r="B6" s="4"/>
      <c r="C6" s="4" t="s">
        <v>4</v>
      </c>
      <c r="D6" s="7" t="s">
        <v>3</v>
      </c>
      <c r="E6" s="7" t="s">
        <v>5</v>
      </c>
      <c r="F6" s="7" t="s">
        <v>6</v>
      </c>
    </row>
    <row r="7" spans="1:12" x14ac:dyDescent="0.25">
      <c r="B7" s="4" t="s">
        <v>2</v>
      </c>
      <c r="C7" s="3">
        <f>2.35+3.85+1.7</f>
        <v>7.9</v>
      </c>
      <c r="D7" s="3">
        <v>1</v>
      </c>
      <c r="E7" s="3">
        <f>D7+C7</f>
        <v>8.9</v>
      </c>
      <c r="F7" s="3">
        <v>12</v>
      </c>
      <c r="L7" s="8"/>
    </row>
    <row r="8" spans="1:12" x14ac:dyDescent="0.25">
      <c r="B8" s="4" t="s">
        <v>7</v>
      </c>
      <c r="C8" s="3">
        <f>2.35+3.85+3.5</f>
        <v>9.6999999999999993</v>
      </c>
      <c r="D8" s="3">
        <v>1</v>
      </c>
      <c r="E8" s="3">
        <f>D8+C8</f>
        <v>10.7</v>
      </c>
      <c r="F8" s="3">
        <v>11.5</v>
      </c>
      <c r="L8" s="20"/>
    </row>
    <row r="9" spans="1:12" x14ac:dyDescent="0.25">
      <c r="B9" s="4" t="s">
        <v>8</v>
      </c>
      <c r="C9" s="3">
        <f>3.15+3.85</f>
        <v>7</v>
      </c>
      <c r="D9" s="3">
        <v>1</v>
      </c>
      <c r="E9" s="3">
        <f t="shared" ref="E9" si="0">D9+C9</f>
        <v>8</v>
      </c>
      <c r="F9" s="3">
        <v>10</v>
      </c>
    </row>
    <row r="10" spans="1:12" x14ac:dyDescent="0.25">
      <c r="B10" s="4" t="s">
        <v>23</v>
      </c>
      <c r="C10" s="3">
        <f>2.35+3.85+6.5</f>
        <v>12.7</v>
      </c>
      <c r="D10" s="3">
        <v>1</v>
      </c>
      <c r="E10" s="3">
        <f>D10+C10</f>
        <v>13.7</v>
      </c>
      <c r="F10" s="3">
        <v>6</v>
      </c>
    </row>
    <row r="11" spans="1:12" x14ac:dyDescent="0.25">
      <c r="B11" s="4" t="s">
        <v>24</v>
      </c>
      <c r="C11" s="3">
        <f>3.15+1.9+3.15+2.35+3.85</f>
        <v>14.399999999999999</v>
      </c>
      <c r="D11" s="3">
        <v>1</v>
      </c>
      <c r="E11" s="3">
        <f>D11+C11</f>
        <v>15.399999999999999</v>
      </c>
      <c r="F11" s="3">
        <v>13</v>
      </c>
    </row>
    <row r="12" spans="1:12" x14ac:dyDescent="0.25">
      <c r="B12" s="4" t="s">
        <v>25</v>
      </c>
      <c r="C12" s="3">
        <f>3.15+3.85+5+3.15+2.35</f>
        <v>17.5</v>
      </c>
      <c r="D12" s="3">
        <v>1</v>
      </c>
      <c r="E12" s="3">
        <f>D12+C12</f>
        <v>18.5</v>
      </c>
      <c r="F12" s="3">
        <v>26</v>
      </c>
    </row>
    <row r="13" spans="1:12" x14ac:dyDescent="0.25">
      <c r="B13" s="4" t="s">
        <v>53</v>
      </c>
      <c r="C13" s="3">
        <f>3.15+3.85+5.8</f>
        <v>12.8</v>
      </c>
      <c r="D13" s="3">
        <v>1</v>
      </c>
      <c r="E13" s="3">
        <f>D13+C13</f>
        <v>13.8</v>
      </c>
      <c r="F13" s="3">
        <v>14</v>
      </c>
    </row>
    <row r="14" spans="1:12" x14ac:dyDescent="0.25">
      <c r="E14" s="5" t="s">
        <v>26</v>
      </c>
      <c r="F14" s="6">
        <f>SUM(F7:F13)</f>
        <v>92.5</v>
      </c>
      <c r="H14" s="2" t="s">
        <v>109</v>
      </c>
      <c r="I14" s="2"/>
      <c r="J14" s="8"/>
      <c r="K14" s="8"/>
    </row>
    <row r="15" spans="1:12" x14ac:dyDescent="0.25">
      <c r="E15" s="5" t="s">
        <v>27</v>
      </c>
      <c r="F15" s="6">
        <v>93</v>
      </c>
      <c r="H15" s="4"/>
      <c r="I15" s="4" t="s">
        <v>4</v>
      </c>
      <c r="J15" s="7" t="s">
        <v>3</v>
      </c>
      <c r="K15" s="7" t="s">
        <v>5</v>
      </c>
      <c r="L15" t="s">
        <v>39</v>
      </c>
    </row>
    <row r="16" spans="1:12" x14ac:dyDescent="0.25">
      <c r="H16" s="4" t="s">
        <v>110</v>
      </c>
      <c r="I16" s="3">
        <f>3</f>
        <v>3</v>
      </c>
      <c r="J16" s="3">
        <v>1</v>
      </c>
      <c r="K16" s="3">
        <f>J16+I16</f>
        <v>4</v>
      </c>
    </row>
    <row r="17" spans="1:11" x14ac:dyDescent="0.25">
      <c r="H17" s="4" t="s">
        <v>110</v>
      </c>
      <c r="I17" s="3">
        <f>3</f>
        <v>3</v>
      </c>
      <c r="J17" s="3">
        <v>1</v>
      </c>
      <c r="K17" s="3">
        <f>J17+I17</f>
        <v>4</v>
      </c>
    </row>
    <row r="18" spans="1:11" x14ac:dyDescent="0.25">
      <c r="A18" s="1" t="s">
        <v>0</v>
      </c>
      <c r="J18" s="5" t="s">
        <v>26</v>
      </c>
      <c r="K18" s="6">
        <f>SUM(K16:K17)</f>
        <v>8</v>
      </c>
    </row>
    <row r="20" spans="1:11" x14ac:dyDescent="0.25">
      <c r="B20" s="2" t="s">
        <v>1</v>
      </c>
      <c r="C20" s="2"/>
      <c r="D20" s="8" t="s">
        <v>70</v>
      </c>
      <c r="E20" s="8"/>
      <c r="F20" s="8"/>
    </row>
    <row r="21" spans="1:11" x14ac:dyDescent="0.25">
      <c r="B21" s="4"/>
      <c r="C21" s="4" t="s">
        <v>4</v>
      </c>
      <c r="D21" s="7" t="s">
        <v>3</v>
      </c>
      <c r="E21" s="7" t="s">
        <v>5</v>
      </c>
      <c r="F21" s="7" t="s">
        <v>6</v>
      </c>
    </row>
    <row r="22" spans="1:11" x14ac:dyDescent="0.25">
      <c r="B22" s="4" t="s">
        <v>2</v>
      </c>
      <c r="C22" s="3">
        <f>2.35+3.85+3.85+0.65</f>
        <v>10.700000000000001</v>
      </c>
      <c r="D22" s="3">
        <v>1</v>
      </c>
      <c r="E22" s="3">
        <f>D22+C22</f>
        <v>11.700000000000001</v>
      </c>
      <c r="F22" s="3">
        <v>12</v>
      </c>
    </row>
    <row r="23" spans="1:11" x14ac:dyDescent="0.25">
      <c r="B23" s="4" t="s">
        <v>7</v>
      </c>
      <c r="C23" s="3">
        <f>2.35+3.85+3.85</f>
        <v>10.050000000000001</v>
      </c>
      <c r="D23" s="3">
        <v>1</v>
      </c>
      <c r="E23" s="3">
        <f>D23+C23</f>
        <v>11.05</v>
      </c>
      <c r="F23" s="3">
        <v>11.5</v>
      </c>
    </row>
    <row r="24" spans="1:11" x14ac:dyDescent="0.25">
      <c r="B24" s="4" t="s">
        <v>8</v>
      </c>
      <c r="C24" s="3">
        <f>2.35+3.85+1.9+1</f>
        <v>9.1</v>
      </c>
      <c r="D24" s="3">
        <v>1</v>
      </c>
      <c r="E24" s="3">
        <f t="shared" ref="E24:E40" si="1">D24+C24</f>
        <v>10.1</v>
      </c>
      <c r="F24" s="3">
        <v>10</v>
      </c>
    </row>
    <row r="25" spans="1:11" x14ac:dyDescent="0.25">
      <c r="B25" s="4" t="s">
        <v>9</v>
      </c>
      <c r="C25" s="3">
        <f>2.35+3.85+1.9+2</f>
        <v>10.1</v>
      </c>
      <c r="D25" s="3">
        <v>1</v>
      </c>
      <c r="E25" s="3">
        <f t="shared" si="1"/>
        <v>11.1</v>
      </c>
      <c r="F25" s="3">
        <v>11</v>
      </c>
    </row>
    <row r="26" spans="1:11" x14ac:dyDescent="0.25">
      <c r="B26" s="4" t="s">
        <v>10</v>
      </c>
      <c r="C26" s="3">
        <f>2.35+3.85+1.9+3</f>
        <v>11.1</v>
      </c>
      <c r="D26" s="3">
        <v>1</v>
      </c>
      <c r="E26" s="3">
        <f t="shared" si="1"/>
        <v>12.1</v>
      </c>
      <c r="F26" s="3">
        <v>12</v>
      </c>
    </row>
    <row r="27" spans="1:11" x14ac:dyDescent="0.25">
      <c r="B27" s="4" t="s">
        <v>11</v>
      </c>
      <c r="C27" s="3">
        <f>2.35+3.85+1.9+5</f>
        <v>13.1</v>
      </c>
      <c r="D27" s="3">
        <v>1</v>
      </c>
      <c r="E27" s="3">
        <f t="shared" si="1"/>
        <v>14.1</v>
      </c>
      <c r="F27" s="3">
        <v>14</v>
      </c>
    </row>
    <row r="28" spans="1:11" x14ac:dyDescent="0.25">
      <c r="B28" s="4" t="s">
        <v>12</v>
      </c>
      <c r="C28" s="3">
        <f>2.35+3.85+1.9+6</f>
        <v>14.1</v>
      </c>
      <c r="D28" s="3">
        <v>1</v>
      </c>
      <c r="E28" s="3">
        <f t="shared" si="1"/>
        <v>15.1</v>
      </c>
      <c r="F28" s="3">
        <v>15</v>
      </c>
    </row>
    <row r="29" spans="1:11" x14ac:dyDescent="0.25">
      <c r="B29" s="4" t="s">
        <v>13</v>
      </c>
      <c r="C29" s="3">
        <f>2.35+3.85+1.9+7</f>
        <v>15.1</v>
      </c>
      <c r="D29" s="3">
        <v>1</v>
      </c>
      <c r="E29" s="3">
        <f t="shared" si="1"/>
        <v>16.100000000000001</v>
      </c>
      <c r="F29" s="3">
        <v>16</v>
      </c>
    </row>
    <row r="30" spans="1:11" x14ac:dyDescent="0.25">
      <c r="B30" s="4" t="s">
        <v>14</v>
      </c>
      <c r="C30" s="3">
        <f>2.35+3.85+1.9+7.45+1</f>
        <v>16.55</v>
      </c>
      <c r="D30" s="3">
        <v>1</v>
      </c>
      <c r="E30" s="3">
        <f t="shared" si="1"/>
        <v>17.55</v>
      </c>
      <c r="F30" s="3">
        <v>18</v>
      </c>
    </row>
    <row r="31" spans="1:11" x14ac:dyDescent="0.25">
      <c r="B31" s="4" t="s">
        <v>15</v>
      </c>
      <c r="C31" s="3">
        <f>2.35+3.85+1.9+7.45+2</f>
        <v>17.55</v>
      </c>
      <c r="D31" s="3">
        <v>1</v>
      </c>
      <c r="E31" s="3">
        <f t="shared" si="1"/>
        <v>18.55</v>
      </c>
      <c r="F31" s="3">
        <v>19</v>
      </c>
    </row>
    <row r="32" spans="1:11" x14ac:dyDescent="0.25">
      <c r="B32" s="4" t="s">
        <v>16</v>
      </c>
      <c r="C32" s="3">
        <f>2.35+3.85+1.9+7.45+3</f>
        <v>18.55</v>
      </c>
      <c r="D32" s="3">
        <v>1</v>
      </c>
      <c r="E32" s="3">
        <f t="shared" si="1"/>
        <v>19.55</v>
      </c>
      <c r="F32" s="3">
        <v>20</v>
      </c>
    </row>
    <row r="33" spans="1:7" x14ac:dyDescent="0.25">
      <c r="B33" s="4" t="s">
        <v>17</v>
      </c>
      <c r="C33" s="3">
        <f>2.35+3.85+1.9+7.45+3.45+1</f>
        <v>20</v>
      </c>
      <c r="D33" s="3">
        <v>1</v>
      </c>
      <c r="E33" s="3">
        <f t="shared" si="1"/>
        <v>21</v>
      </c>
      <c r="F33" s="3">
        <v>21</v>
      </c>
    </row>
    <row r="34" spans="1:7" x14ac:dyDescent="0.25">
      <c r="B34" s="4" t="s">
        <v>18</v>
      </c>
      <c r="C34" s="3">
        <f>2.35+3.85+1.9+7.45+3.45+2</f>
        <v>21</v>
      </c>
      <c r="D34" s="3">
        <v>1</v>
      </c>
      <c r="E34" s="3">
        <f t="shared" si="1"/>
        <v>22</v>
      </c>
      <c r="F34" s="3">
        <v>22</v>
      </c>
    </row>
    <row r="35" spans="1:7" x14ac:dyDescent="0.25">
      <c r="B35" s="4" t="s">
        <v>19</v>
      </c>
      <c r="C35" s="3">
        <f>2.35+3.85+1.9+7.45+3.45+3</f>
        <v>22</v>
      </c>
      <c r="D35" s="3">
        <v>1</v>
      </c>
      <c r="E35" s="3">
        <f t="shared" si="1"/>
        <v>23</v>
      </c>
      <c r="F35" s="3">
        <v>23</v>
      </c>
    </row>
    <row r="36" spans="1:7" x14ac:dyDescent="0.25">
      <c r="B36" s="4" t="s">
        <v>20</v>
      </c>
      <c r="C36" s="3">
        <f>2.35+3.85+1.9+7.45+3.45+4</f>
        <v>23</v>
      </c>
      <c r="D36" s="3">
        <v>1</v>
      </c>
      <c r="E36" s="3">
        <f t="shared" si="1"/>
        <v>24</v>
      </c>
      <c r="F36" s="3">
        <v>24</v>
      </c>
    </row>
    <row r="37" spans="1:7" x14ac:dyDescent="0.25">
      <c r="B37" s="4" t="s">
        <v>21</v>
      </c>
      <c r="C37" s="3">
        <f>2.35+3.85+1.9+7.45+3.45+5</f>
        <v>24</v>
      </c>
      <c r="D37" s="3">
        <v>1</v>
      </c>
      <c r="E37" s="3">
        <f t="shared" si="1"/>
        <v>25</v>
      </c>
      <c r="F37" s="3">
        <v>25</v>
      </c>
    </row>
    <row r="38" spans="1:7" x14ac:dyDescent="0.25">
      <c r="B38" s="4" t="s">
        <v>22</v>
      </c>
      <c r="C38" s="3">
        <f>2.35+3.85+1.9+7.45+3.45+6</f>
        <v>25</v>
      </c>
      <c r="D38" s="3">
        <v>1</v>
      </c>
      <c r="E38" s="3">
        <f t="shared" si="1"/>
        <v>26</v>
      </c>
      <c r="F38" s="3">
        <v>26</v>
      </c>
    </row>
    <row r="39" spans="1:7" x14ac:dyDescent="0.25">
      <c r="B39" s="4" t="s">
        <v>23</v>
      </c>
      <c r="C39" s="3">
        <f>3.85+0.65</f>
        <v>4.5</v>
      </c>
      <c r="D39" s="3">
        <v>1</v>
      </c>
      <c r="E39" s="3">
        <f t="shared" si="1"/>
        <v>5.5</v>
      </c>
      <c r="F39" s="3">
        <v>6</v>
      </c>
    </row>
    <row r="40" spans="1:7" x14ac:dyDescent="0.25">
      <c r="B40" s="4" t="s">
        <v>24</v>
      </c>
      <c r="C40" s="3">
        <f>2.35+3.85+1.9+3.2</f>
        <v>11.3</v>
      </c>
      <c r="D40" s="3">
        <v>1</v>
      </c>
      <c r="E40" s="3">
        <f t="shared" si="1"/>
        <v>12.3</v>
      </c>
      <c r="F40" s="3">
        <v>13</v>
      </c>
    </row>
    <row r="41" spans="1:7" x14ac:dyDescent="0.25">
      <c r="B41" s="4" t="s">
        <v>25</v>
      </c>
      <c r="C41" s="3">
        <f>2.35+3.85+1.9+7.45+3.45+6</f>
        <v>25</v>
      </c>
      <c r="D41" s="3">
        <v>1</v>
      </c>
      <c r="E41" s="3">
        <f t="shared" ref="E41" si="2">D41+C41</f>
        <v>26</v>
      </c>
      <c r="F41" s="3">
        <v>26</v>
      </c>
    </row>
    <row r="42" spans="1:7" x14ac:dyDescent="0.25">
      <c r="E42" s="5" t="s">
        <v>26</v>
      </c>
      <c r="F42" s="6">
        <f>SUM(F22:F41)</f>
        <v>344.5</v>
      </c>
    </row>
    <row r="43" spans="1:7" x14ac:dyDescent="0.25">
      <c r="E43" s="5" t="s">
        <v>27</v>
      </c>
      <c r="F43" s="6">
        <v>345</v>
      </c>
    </row>
    <row r="48" spans="1:7" x14ac:dyDescent="0.25">
      <c r="A48" s="1" t="s">
        <v>28</v>
      </c>
      <c r="G48" t="s">
        <v>39</v>
      </c>
    </row>
    <row r="50" spans="2:6" x14ac:dyDescent="0.25">
      <c r="B50" s="2" t="s">
        <v>1</v>
      </c>
      <c r="C50" s="2"/>
      <c r="D50" s="8" t="s">
        <v>71</v>
      </c>
      <c r="E50" s="8"/>
      <c r="F50" s="8"/>
    </row>
    <row r="51" spans="2:6" x14ac:dyDescent="0.25">
      <c r="B51" s="4"/>
      <c r="C51" s="4" t="s">
        <v>4</v>
      </c>
      <c r="D51" s="7" t="s">
        <v>3</v>
      </c>
      <c r="E51" s="7" t="s">
        <v>5</v>
      </c>
      <c r="F51" s="7" t="s">
        <v>6</v>
      </c>
    </row>
    <row r="52" spans="2:6" x14ac:dyDescent="0.25">
      <c r="B52" s="4" t="s">
        <v>2</v>
      </c>
      <c r="C52" s="3">
        <f>2.35+3.85+1+0.8</f>
        <v>8</v>
      </c>
      <c r="D52" s="3">
        <v>1</v>
      </c>
      <c r="E52" s="3">
        <f>C52+D52</f>
        <v>9</v>
      </c>
      <c r="F52" s="3">
        <v>9</v>
      </c>
    </row>
    <row r="53" spans="2:6" x14ac:dyDescent="0.25">
      <c r="B53" s="4" t="s">
        <v>7</v>
      </c>
      <c r="C53" s="3">
        <f>2.35+3.85+1+1.4</f>
        <v>8.6</v>
      </c>
      <c r="D53" s="3">
        <v>1</v>
      </c>
      <c r="E53" s="3">
        <f t="shared" ref="E53:E85" si="3">C53+D53</f>
        <v>9.6</v>
      </c>
      <c r="F53" s="3">
        <v>10</v>
      </c>
    </row>
    <row r="54" spans="2:6" x14ac:dyDescent="0.25">
      <c r="B54" s="4" t="s">
        <v>8</v>
      </c>
      <c r="C54" s="3">
        <f>2.35+3.85+1+2.1</f>
        <v>9.3000000000000007</v>
      </c>
      <c r="D54" s="3">
        <v>1</v>
      </c>
      <c r="E54" s="3">
        <f t="shared" si="3"/>
        <v>10.3</v>
      </c>
      <c r="F54" s="3">
        <v>10.5</v>
      </c>
    </row>
    <row r="55" spans="2:6" x14ac:dyDescent="0.25">
      <c r="B55" s="4" t="s">
        <v>9</v>
      </c>
      <c r="C55" s="3">
        <f>2.35+3.85+1+2.8</f>
        <v>10</v>
      </c>
      <c r="D55" s="3">
        <v>1</v>
      </c>
      <c r="E55" s="3">
        <f t="shared" si="3"/>
        <v>11</v>
      </c>
      <c r="F55" s="3">
        <v>11</v>
      </c>
    </row>
    <row r="56" spans="2:6" x14ac:dyDescent="0.25">
      <c r="B56" s="4" t="s">
        <v>10</v>
      </c>
      <c r="C56" s="3">
        <f>2.35+3.85+1+3.5</f>
        <v>10.7</v>
      </c>
      <c r="D56" s="3">
        <v>1</v>
      </c>
      <c r="E56" s="3">
        <f t="shared" si="3"/>
        <v>11.7</v>
      </c>
      <c r="F56" s="3">
        <v>12</v>
      </c>
    </row>
    <row r="57" spans="2:6" x14ac:dyDescent="0.25">
      <c r="B57" s="4" t="s">
        <v>11</v>
      </c>
      <c r="C57" s="3">
        <f>2.35+3.85+1+4.2</f>
        <v>11.4</v>
      </c>
      <c r="D57" s="3">
        <v>1</v>
      </c>
      <c r="E57" s="3">
        <f t="shared" si="3"/>
        <v>12.4</v>
      </c>
      <c r="F57" s="3">
        <v>12.5</v>
      </c>
    </row>
    <row r="58" spans="2:6" x14ac:dyDescent="0.25">
      <c r="B58" s="4" t="s">
        <v>12</v>
      </c>
      <c r="C58" s="3">
        <f>2.35+3.85+1+4.9</f>
        <v>12.100000000000001</v>
      </c>
      <c r="D58" s="3">
        <v>1</v>
      </c>
      <c r="E58" s="3">
        <f t="shared" si="3"/>
        <v>13.100000000000001</v>
      </c>
      <c r="F58" s="3">
        <v>22</v>
      </c>
    </row>
    <row r="59" spans="2:6" x14ac:dyDescent="0.25">
      <c r="B59" s="4" t="s">
        <v>13</v>
      </c>
      <c r="C59" s="3">
        <f>2.35+3.85+1+5.6</f>
        <v>12.8</v>
      </c>
      <c r="D59" s="3">
        <v>1</v>
      </c>
      <c r="E59" s="3">
        <f t="shared" si="3"/>
        <v>13.8</v>
      </c>
      <c r="F59" s="3">
        <v>14</v>
      </c>
    </row>
    <row r="60" spans="2:6" x14ac:dyDescent="0.25">
      <c r="B60" s="4" t="s">
        <v>14</v>
      </c>
      <c r="C60" s="3">
        <f>2.35+3.85+1+6.3</f>
        <v>13.5</v>
      </c>
      <c r="D60" s="3">
        <v>1</v>
      </c>
      <c r="E60" s="3">
        <f t="shared" si="3"/>
        <v>14.5</v>
      </c>
      <c r="F60" s="3">
        <v>14.5</v>
      </c>
    </row>
    <row r="61" spans="2:6" x14ac:dyDescent="0.25">
      <c r="B61" s="4" t="s">
        <v>15</v>
      </c>
      <c r="C61" s="3">
        <f>2.35+3.85+1+7</f>
        <v>14.2</v>
      </c>
      <c r="D61" s="3">
        <v>1</v>
      </c>
      <c r="E61" s="3">
        <f t="shared" si="3"/>
        <v>15.2</v>
      </c>
      <c r="F61" s="3">
        <v>15.5</v>
      </c>
    </row>
    <row r="62" spans="2:6" x14ac:dyDescent="0.25">
      <c r="B62" s="4" t="s">
        <v>16</v>
      </c>
      <c r="C62" s="3">
        <f>2.35+3.85+2+0.8</f>
        <v>9</v>
      </c>
      <c r="D62" s="3">
        <v>1</v>
      </c>
      <c r="E62" s="3">
        <f t="shared" si="3"/>
        <v>10</v>
      </c>
      <c r="F62" s="3">
        <v>10</v>
      </c>
    </row>
    <row r="63" spans="2:6" x14ac:dyDescent="0.25">
      <c r="B63" s="4" t="s">
        <v>17</v>
      </c>
      <c r="C63" s="3">
        <f>2.35+3.85+2+1.4</f>
        <v>9.6</v>
      </c>
      <c r="D63" s="3">
        <v>1</v>
      </c>
      <c r="E63" s="3">
        <f t="shared" si="3"/>
        <v>10.6</v>
      </c>
      <c r="F63" s="3">
        <v>11</v>
      </c>
    </row>
    <row r="64" spans="2:6" x14ac:dyDescent="0.25">
      <c r="B64" s="4" t="s">
        <v>18</v>
      </c>
      <c r="C64" s="3">
        <f>2.35+3.85+2+2.1</f>
        <v>10.299999999999999</v>
      </c>
      <c r="D64" s="3">
        <v>1</v>
      </c>
      <c r="E64" s="3">
        <f t="shared" si="3"/>
        <v>11.299999999999999</v>
      </c>
      <c r="F64" s="3">
        <v>11.5</v>
      </c>
    </row>
    <row r="65" spans="2:6" x14ac:dyDescent="0.25">
      <c r="B65" s="4" t="s">
        <v>19</v>
      </c>
      <c r="C65" s="3">
        <f>2.35+3.85+2+2.8</f>
        <v>11</v>
      </c>
      <c r="D65" s="3">
        <v>1</v>
      </c>
      <c r="E65" s="3">
        <f t="shared" si="3"/>
        <v>12</v>
      </c>
      <c r="F65" s="3">
        <v>12</v>
      </c>
    </row>
    <row r="66" spans="2:6" x14ac:dyDescent="0.25">
      <c r="B66" s="4" t="s">
        <v>20</v>
      </c>
      <c r="C66" s="3">
        <f>2.35+3.85+2+3.5</f>
        <v>11.7</v>
      </c>
      <c r="D66" s="3">
        <v>1</v>
      </c>
      <c r="E66" s="3">
        <f t="shared" si="3"/>
        <v>12.7</v>
      </c>
      <c r="F66" s="3">
        <v>13</v>
      </c>
    </row>
    <row r="67" spans="2:6" x14ac:dyDescent="0.25">
      <c r="B67" s="4" t="s">
        <v>21</v>
      </c>
      <c r="C67" s="3">
        <f>2.35+3.85+2+4.2</f>
        <v>12.399999999999999</v>
      </c>
      <c r="D67" s="3">
        <v>1</v>
      </c>
      <c r="E67" s="3">
        <f t="shared" si="3"/>
        <v>13.399999999999999</v>
      </c>
      <c r="F67" s="3">
        <v>13.5</v>
      </c>
    </row>
    <row r="68" spans="2:6" x14ac:dyDescent="0.25">
      <c r="B68" s="4" t="s">
        <v>22</v>
      </c>
      <c r="C68" s="3">
        <f>2.35+3.85+2+4.9</f>
        <v>13.1</v>
      </c>
      <c r="D68" s="3">
        <v>1</v>
      </c>
      <c r="E68" s="3">
        <f t="shared" si="3"/>
        <v>14.1</v>
      </c>
      <c r="F68" s="3">
        <v>14</v>
      </c>
    </row>
    <row r="69" spans="2:6" x14ac:dyDescent="0.25">
      <c r="B69" s="4" t="s">
        <v>40</v>
      </c>
      <c r="C69" s="3">
        <f>2.35+3.85+2+5.6</f>
        <v>13.799999999999999</v>
      </c>
      <c r="D69" s="3">
        <v>1</v>
      </c>
      <c r="E69" s="3">
        <f t="shared" si="3"/>
        <v>14.799999999999999</v>
      </c>
      <c r="F69" s="3">
        <v>15</v>
      </c>
    </row>
    <row r="70" spans="2:6" x14ac:dyDescent="0.25">
      <c r="B70" s="4" t="s">
        <v>41</v>
      </c>
      <c r="C70" s="3">
        <f>2.35+3.85+2+6.3</f>
        <v>14.5</v>
      </c>
      <c r="D70" s="3">
        <v>1</v>
      </c>
      <c r="E70" s="3">
        <f t="shared" si="3"/>
        <v>15.5</v>
      </c>
      <c r="F70" s="3">
        <v>15.5</v>
      </c>
    </row>
    <row r="71" spans="2:6" x14ac:dyDescent="0.25">
      <c r="B71" s="4" t="s">
        <v>42</v>
      </c>
      <c r="C71" s="3">
        <f>2.35+3.85+2+7</f>
        <v>15.2</v>
      </c>
      <c r="D71" s="3">
        <v>1</v>
      </c>
      <c r="E71" s="3">
        <f t="shared" si="3"/>
        <v>16.2</v>
      </c>
      <c r="F71" s="3">
        <v>16.5</v>
      </c>
    </row>
    <row r="72" spans="2:6" x14ac:dyDescent="0.25">
      <c r="B72" s="4" t="s">
        <v>43</v>
      </c>
      <c r="C72" s="3">
        <f>2.35+3.85+3+0.8</f>
        <v>10</v>
      </c>
      <c r="D72" s="3">
        <v>1</v>
      </c>
      <c r="E72" s="3">
        <f t="shared" si="3"/>
        <v>11</v>
      </c>
      <c r="F72" s="3">
        <v>11</v>
      </c>
    </row>
    <row r="73" spans="2:6" x14ac:dyDescent="0.25">
      <c r="B73" s="4" t="s">
        <v>44</v>
      </c>
      <c r="C73" s="3">
        <f>2.35+3.85+3+1.4</f>
        <v>10.6</v>
      </c>
      <c r="D73" s="3">
        <v>1</v>
      </c>
      <c r="E73" s="3">
        <f t="shared" si="3"/>
        <v>11.6</v>
      </c>
      <c r="F73" s="3">
        <v>12</v>
      </c>
    </row>
    <row r="74" spans="2:6" x14ac:dyDescent="0.25">
      <c r="B74" s="4" t="s">
        <v>45</v>
      </c>
      <c r="C74" s="3">
        <f>2.35+3.85+3+2.1</f>
        <v>11.299999999999999</v>
      </c>
      <c r="D74" s="3">
        <v>1</v>
      </c>
      <c r="E74" s="3">
        <f t="shared" si="3"/>
        <v>12.299999999999999</v>
      </c>
      <c r="F74" s="3">
        <v>12.5</v>
      </c>
    </row>
    <row r="75" spans="2:6" x14ac:dyDescent="0.25">
      <c r="B75" s="4" t="s">
        <v>46</v>
      </c>
      <c r="C75" s="3">
        <f>2.35+3.85+3+2.8</f>
        <v>12</v>
      </c>
      <c r="D75" s="3">
        <v>1</v>
      </c>
      <c r="E75" s="3">
        <f t="shared" si="3"/>
        <v>13</v>
      </c>
      <c r="F75" s="3">
        <v>13</v>
      </c>
    </row>
    <row r="76" spans="2:6" x14ac:dyDescent="0.25">
      <c r="B76" s="4" t="s">
        <v>47</v>
      </c>
      <c r="C76" s="3">
        <f>2.35+3.85+3+3.5</f>
        <v>12.7</v>
      </c>
      <c r="D76" s="3">
        <v>1</v>
      </c>
      <c r="E76" s="3">
        <f t="shared" si="3"/>
        <v>13.7</v>
      </c>
      <c r="F76" s="3">
        <v>14</v>
      </c>
    </row>
    <row r="77" spans="2:6" x14ac:dyDescent="0.25">
      <c r="B77" s="4" t="s">
        <v>48</v>
      </c>
      <c r="C77" s="3">
        <f>2.35+3.85+3+4.2</f>
        <v>13.399999999999999</v>
      </c>
      <c r="D77" s="3">
        <v>1</v>
      </c>
      <c r="E77" s="3">
        <f t="shared" si="3"/>
        <v>14.399999999999999</v>
      </c>
      <c r="F77" s="3">
        <v>14.5</v>
      </c>
    </row>
    <row r="78" spans="2:6" x14ac:dyDescent="0.25">
      <c r="B78" s="4" t="s">
        <v>49</v>
      </c>
      <c r="C78" s="3">
        <f>2.35+3.85+3+4.9</f>
        <v>14.1</v>
      </c>
      <c r="D78" s="3">
        <v>1</v>
      </c>
      <c r="E78" s="3">
        <f t="shared" si="3"/>
        <v>15.1</v>
      </c>
      <c r="F78" s="3">
        <v>15</v>
      </c>
    </row>
    <row r="79" spans="2:6" x14ac:dyDescent="0.25">
      <c r="B79" s="4" t="s">
        <v>50</v>
      </c>
      <c r="C79" s="3">
        <f>2.35+3.85+3+5.6</f>
        <v>14.799999999999999</v>
      </c>
      <c r="D79" s="3">
        <v>1</v>
      </c>
      <c r="E79" s="3">
        <f t="shared" si="3"/>
        <v>15.799999999999999</v>
      </c>
      <c r="F79" s="3">
        <v>16</v>
      </c>
    </row>
    <row r="80" spans="2:6" x14ac:dyDescent="0.25">
      <c r="B80" s="4" t="s">
        <v>51</v>
      </c>
      <c r="C80" s="3">
        <f>2.35+3.85+3+6.3</f>
        <v>15.5</v>
      </c>
      <c r="D80" s="3">
        <v>1</v>
      </c>
      <c r="E80" s="3">
        <f t="shared" si="3"/>
        <v>16.5</v>
      </c>
      <c r="F80" s="3">
        <v>16.5</v>
      </c>
    </row>
    <row r="81" spans="1:9" x14ac:dyDescent="0.25">
      <c r="B81" s="4" t="s">
        <v>52</v>
      </c>
      <c r="C81" s="3">
        <f>2.35+3.85+3+7</f>
        <v>16.2</v>
      </c>
      <c r="D81" s="3">
        <v>1</v>
      </c>
      <c r="E81" s="3">
        <f t="shared" si="3"/>
        <v>17.2</v>
      </c>
      <c r="F81" s="3">
        <v>17.5</v>
      </c>
    </row>
    <row r="82" spans="1:9" x14ac:dyDescent="0.25">
      <c r="B82" s="4" t="s">
        <v>53</v>
      </c>
      <c r="C82" s="3">
        <f>1.8+2.35</f>
        <v>4.1500000000000004</v>
      </c>
      <c r="D82" s="3">
        <v>1</v>
      </c>
      <c r="E82" s="3">
        <f t="shared" si="3"/>
        <v>5.15</v>
      </c>
      <c r="F82" s="3">
        <v>5</v>
      </c>
    </row>
    <row r="83" spans="1:9" x14ac:dyDescent="0.25">
      <c r="B83" s="4" t="s">
        <v>23</v>
      </c>
      <c r="C83" s="3">
        <f>1.8+2.35</f>
        <v>4.1500000000000004</v>
      </c>
      <c r="D83" s="3">
        <v>1</v>
      </c>
      <c r="E83" s="3">
        <f t="shared" si="3"/>
        <v>5.15</v>
      </c>
      <c r="F83" s="3">
        <v>5</v>
      </c>
    </row>
    <row r="84" spans="1:9" x14ac:dyDescent="0.25">
      <c r="B84" s="4" t="s">
        <v>24</v>
      </c>
      <c r="C84" s="3">
        <f>2.35+3.85+2+3.5</f>
        <v>11.7</v>
      </c>
      <c r="D84" s="3">
        <v>1</v>
      </c>
      <c r="E84" s="3">
        <f t="shared" ref="E84" si="4">C84+D84</f>
        <v>12.7</v>
      </c>
      <c r="F84" s="3">
        <v>13</v>
      </c>
    </row>
    <row r="85" spans="1:9" x14ac:dyDescent="0.25">
      <c r="B85" s="4" t="s">
        <v>25</v>
      </c>
      <c r="C85" s="3">
        <f>3.85+1.5</f>
        <v>5.35</v>
      </c>
      <c r="D85" s="3">
        <v>1</v>
      </c>
      <c r="E85" s="3">
        <f t="shared" si="3"/>
        <v>6.35</v>
      </c>
      <c r="F85" s="3">
        <v>6.5</v>
      </c>
    </row>
    <row r="86" spans="1:9" x14ac:dyDescent="0.25">
      <c r="E86" s="5" t="s">
        <v>26</v>
      </c>
      <c r="F86" s="6">
        <f>SUM(F52:F85)</f>
        <v>434.5</v>
      </c>
    </row>
    <row r="87" spans="1:9" x14ac:dyDescent="0.25">
      <c r="E87" s="5" t="s">
        <v>27</v>
      </c>
      <c r="F87" s="6">
        <v>435</v>
      </c>
    </row>
    <row r="92" spans="1:9" x14ac:dyDescent="0.25">
      <c r="A92" s="1" t="s">
        <v>54</v>
      </c>
      <c r="B92" s="1"/>
    </row>
    <row r="95" spans="1:9" x14ac:dyDescent="0.25">
      <c r="B95" s="9" t="s">
        <v>55</v>
      </c>
    </row>
    <row r="96" spans="1:9" x14ac:dyDescent="0.25">
      <c r="B96" s="10"/>
      <c r="C96" s="10" t="s">
        <v>66</v>
      </c>
      <c r="D96" s="10" t="s">
        <v>57</v>
      </c>
      <c r="E96" s="10" t="s">
        <v>58</v>
      </c>
      <c r="F96" s="10" t="s">
        <v>109</v>
      </c>
      <c r="G96" s="10" t="s">
        <v>32</v>
      </c>
      <c r="H96" s="10" t="s">
        <v>59</v>
      </c>
      <c r="I96" s="10" t="s">
        <v>67</v>
      </c>
    </row>
    <row r="97" spans="2:9" x14ac:dyDescent="0.25">
      <c r="B97" s="10" t="s">
        <v>4</v>
      </c>
      <c r="C97" s="13">
        <v>93</v>
      </c>
      <c r="D97" s="13">
        <v>345</v>
      </c>
      <c r="E97" s="13">
        <v>435</v>
      </c>
      <c r="F97" s="13">
        <f>K18</f>
        <v>8</v>
      </c>
      <c r="G97" s="13">
        <f>SUM(C97:F97)</f>
        <v>881</v>
      </c>
      <c r="H97" s="3">
        <f>G97/305</f>
        <v>2.8885245901639345</v>
      </c>
      <c r="I97" s="3">
        <v>3</v>
      </c>
    </row>
    <row r="99" spans="2:9" x14ac:dyDescent="0.25">
      <c r="B99" s="10" t="s">
        <v>29</v>
      </c>
      <c r="C99" s="10" t="s">
        <v>30</v>
      </c>
      <c r="D99" s="10" t="s">
        <v>31</v>
      </c>
      <c r="E99" s="16" t="s">
        <v>36</v>
      </c>
      <c r="F99" s="10" t="s">
        <v>38</v>
      </c>
    </row>
    <row r="100" spans="2:9" x14ac:dyDescent="0.25">
      <c r="B100" s="3" t="s">
        <v>56</v>
      </c>
      <c r="C100" s="3">
        <v>3</v>
      </c>
      <c r="D100" s="3">
        <v>3499</v>
      </c>
      <c r="E100" s="3">
        <f>C100*D100</f>
        <v>10497</v>
      </c>
      <c r="F100" s="11" t="s">
        <v>60</v>
      </c>
      <c r="G100" t="s">
        <v>39</v>
      </c>
    </row>
    <row r="103" spans="2:9" x14ac:dyDescent="0.25">
      <c r="B103" s="9" t="s">
        <v>33</v>
      </c>
    </row>
    <row r="104" spans="2:9" x14ac:dyDescent="0.25">
      <c r="B104" s="10" t="s">
        <v>68</v>
      </c>
      <c r="C104" s="10" t="s">
        <v>34</v>
      </c>
      <c r="D104" s="10" t="s">
        <v>37</v>
      </c>
      <c r="E104" s="14" t="s">
        <v>30</v>
      </c>
      <c r="F104" s="10" t="s">
        <v>35</v>
      </c>
    </row>
    <row r="105" spans="2:9" x14ac:dyDescent="0.25">
      <c r="B105" s="3">
        <f>7+20+34</f>
        <v>61</v>
      </c>
      <c r="C105" s="3">
        <f>4*B105</f>
        <v>244</v>
      </c>
      <c r="D105" s="3">
        <f>0.15*C105</f>
        <v>36.6</v>
      </c>
      <c r="E105" s="15">
        <f>C105+D105</f>
        <v>280.60000000000002</v>
      </c>
      <c r="F105" s="3">
        <v>281</v>
      </c>
    </row>
    <row r="107" spans="2:9" x14ac:dyDescent="0.25">
      <c r="B107" s="10" t="s">
        <v>29</v>
      </c>
      <c r="C107" s="10" t="s">
        <v>72</v>
      </c>
      <c r="D107" s="10" t="s">
        <v>30</v>
      </c>
      <c r="E107" s="10" t="s">
        <v>31</v>
      </c>
      <c r="F107" s="16" t="s">
        <v>36</v>
      </c>
      <c r="G107" s="10" t="s">
        <v>38</v>
      </c>
    </row>
    <row r="108" spans="2:9" x14ac:dyDescent="0.25">
      <c r="B108" s="3" t="s">
        <v>61</v>
      </c>
      <c r="C108" s="3">
        <f>F105/100</f>
        <v>2.81</v>
      </c>
      <c r="D108" s="3">
        <v>3</v>
      </c>
      <c r="E108" s="3">
        <v>522</v>
      </c>
      <c r="F108" s="3">
        <f>D108*E108</f>
        <v>1566</v>
      </c>
      <c r="G108" s="11" t="s">
        <v>62</v>
      </c>
      <c r="H108" t="s">
        <v>39</v>
      </c>
    </row>
    <row r="111" spans="2:9" x14ac:dyDescent="0.25">
      <c r="B111" s="9" t="s">
        <v>92</v>
      </c>
    </row>
    <row r="112" spans="2:9" x14ac:dyDescent="0.25">
      <c r="B112" s="10" t="s">
        <v>34</v>
      </c>
      <c r="C112" s="10" t="s">
        <v>37</v>
      </c>
      <c r="D112" s="14" t="s">
        <v>73</v>
      </c>
      <c r="E112" s="10" t="s">
        <v>35</v>
      </c>
    </row>
    <row r="113" spans="2:10" x14ac:dyDescent="0.25">
      <c r="B113" s="3">
        <v>61</v>
      </c>
      <c r="C113" s="3">
        <f>0.15*B113</f>
        <v>9.15</v>
      </c>
      <c r="D113" s="15">
        <f>B113+C113</f>
        <v>70.150000000000006</v>
      </c>
      <c r="E113" s="3">
        <v>71</v>
      </c>
    </row>
    <row r="115" spans="2:10" x14ac:dyDescent="0.25">
      <c r="B115" s="10" t="s">
        <v>29</v>
      </c>
      <c r="C115" s="10" t="s">
        <v>93</v>
      </c>
      <c r="D115" s="10" t="s">
        <v>94</v>
      </c>
      <c r="E115" s="10" t="s">
        <v>95</v>
      </c>
      <c r="F115" s="10" t="s">
        <v>31</v>
      </c>
      <c r="G115" s="16" t="s">
        <v>36</v>
      </c>
      <c r="H115" s="10" t="s">
        <v>38</v>
      </c>
    </row>
    <row r="116" spans="2:10" x14ac:dyDescent="0.25">
      <c r="B116" s="3" t="s">
        <v>63</v>
      </c>
      <c r="C116" s="3">
        <v>4</v>
      </c>
      <c r="D116" s="3">
        <f>E113/4</f>
        <v>17.75</v>
      </c>
      <c r="E116" s="3">
        <v>18</v>
      </c>
      <c r="F116" s="3">
        <v>346</v>
      </c>
      <c r="G116" s="3">
        <f>E116*F116</f>
        <v>6228</v>
      </c>
      <c r="H116" s="11" t="s">
        <v>96</v>
      </c>
      <c r="I116" t="s">
        <v>39</v>
      </c>
    </row>
    <row r="119" spans="2:10" x14ac:dyDescent="0.25">
      <c r="B119" s="9" t="s">
        <v>89</v>
      </c>
      <c r="C119" s="8"/>
      <c r="D119" s="8"/>
      <c r="E119" s="8"/>
      <c r="F119" s="8"/>
    </row>
    <row r="120" spans="2:10" x14ac:dyDescent="0.25">
      <c r="B120" s="10" t="s">
        <v>29</v>
      </c>
      <c r="C120" s="12" t="s">
        <v>30</v>
      </c>
      <c r="D120" s="12" t="s">
        <v>31</v>
      </c>
      <c r="E120" s="17" t="s">
        <v>36</v>
      </c>
      <c r="F120" s="12" t="s">
        <v>38</v>
      </c>
    </row>
    <row r="121" spans="2:10" x14ac:dyDescent="0.25">
      <c r="B121" s="3" t="s">
        <v>114</v>
      </c>
      <c r="C121" s="3">
        <v>9</v>
      </c>
      <c r="D121" s="3">
        <v>1489</v>
      </c>
      <c r="E121" s="3">
        <f>C121*D121</f>
        <v>13401</v>
      </c>
      <c r="F121" s="11" t="s">
        <v>99</v>
      </c>
      <c r="G121" t="s">
        <v>39</v>
      </c>
    </row>
    <row r="124" spans="2:10" x14ac:dyDescent="0.25">
      <c r="B124" s="9" t="s">
        <v>64</v>
      </c>
    </row>
    <row r="125" spans="2:10" x14ac:dyDescent="0.25">
      <c r="B125" s="10" t="s">
        <v>29</v>
      </c>
      <c r="C125" s="10" t="s">
        <v>78</v>
      </c>
      <c r="D125" s="10" t="s">
        <v>79</v>
      </c>
      <c r="E125" s="10" t="s">
        <v>80</v>
      </c>
      <c r="F125" s="10" t="s">
        <v>81</v>
      </c>
      <c r="G125" s="10" t="s">
        <v>83</v>
      </c>
      <c r="H125" s="10" t="s">
        <v>84</v>
      </c>
      <c r="I125" s="10" t="s">
        <v>38</v>
      </c>
    </row>
    <row r="126" spans="2:10" x14ac:dyDescent="0.25">
      <c r="B126" s="3" t="s">
        <v>82</v>
      </c>
      <c r="C126" s="3">
        <v>3</v>
      </c>
      <c r="D126" s="3">
        <f>G97</f>
        <v>881</v>
      </c>
      <c r="E126" s="3">
        <f>D126/C126</f>
        <v>293.66666666666669</v>
      </c>
      <c r="F126" s="3">
        <v>129</v>
      </c>
      <c r="G126" s="3">
        <f>129*0.6</f>
        <v>77.399999999999991</v>
      </c>
      <c r="H126" s="3">
        <v>100</v>
      </c>
      <c r="I126" s="11" t="s">
        <v>85</v>
      </c>
      <c r="J126" t="s">
        <v>39</v>
      </c>
    </row>
    <row r="128" spans="2:10" x14ac:dyDescent="0.25">
      <c r="B128" s="10" t="s">
        <v>29</v>
      </c>
      <c r="C128" s="10" t="s">
        <v>30</v>
      </c>
      <c r="D128" s="10" t="s">
        <v>31</v>
      </c>
      <c r="E128" s="16" t="s">
        <v>36</v>
      </c>
      <c r="F128" s="10" t="s">
        <v>38</v>
      </c>
    </row>
    <row r="129" spans="2:7" x14ac:dyDescent="0.25">
      <c r="B129" s="3" t="s">
        <v>82</v>
      </c>
      <c r="C129" s="3">
        <v>294</v>
      </c>
      <c r="D129" s="3">
        <v>530</v>
      </c>
      <c r="E129" s="3">
        <f>C129*D129</f>
        <v>155820</v>
      </c>
      <c r="F129" s="11" t="s">
        <v>85</v>
      </c>
      <c r="G129" t="s">
        <v>39</v>
      </c>
    </row>
    <row r="132" spans="2:7" x14ac:dyDescent="0.25">
      <c r="B132" s="9" t="s">
        <v>86</v>
      </c>
      <c r="C132" s="8"/>
      <c r="D132" s="8"/>
      <c r="E132" s="8"/>
      <c r="F132" s="8"/>
    </row>
    <row r="133" spans="2:7" x14ac:dyDescent="0.25">
      <c r="B133" s="10" t="s">
        <v>29</v>
      </c>
      <c r="C133" s="12" t="s">
        <v>30</v>
      </c>
      <c r="D133" s="12" t="s">
        <v>31</v>
      </c>
      <c r="E133" s="17" t="s">
        <v>36</v>
      </c>
      <c r="F133" s="12" t="s">
        <v>38</v>
      </c>
    </row>
    <row r="134" spans="2:7" x14ac:dyDescent="0.25">
      <c r="B134" s="3" t="s">
        <v>87</v>
      </c>
      <c r="C134" s="3">
        <v>2</v>
      </c>
      <c r="D134" s="3">
        <v>2514</v>
      </c>
      <c r="E134" s="3">
        <f>C134*D134</f>
        <v>5028</v>
      </c>
      <c r="F134" s="11" t="s">
        <v>88</v>
      </c>
      <c r="G134" t="s">
        <v>39</v>
      </c>
    </row>
    <row r="137" spans="2:7" x14ac:dyDescent="0.25">
      <c r="B137" s="9" t="s">
        <v>111</v>
      </c>
      <c r="C137" s="8"/>
      <c r="D137" s="8"/>
      <c r="E137" s="8"/>
      <c r="F137" s="8"/>
    </row>
    <row r="138" spans="2:7" x14ac:dyDescent="0.25">
      <c r="B138" s="10" t="s">
        <v>29</v>
      </c>
      <c r="C138" s="12" t="s">
        <v>30</v>
      </c>
      <c r="D138" s="12" t="s">
        <v>31</v>
      </c>
      <c r="E138" s="17" t="s">
        <v>36</v>
      </c>
      <c r="F138" s="12" t="s">
        <v>38</v>
      </c>
    </row>
    <row r="139" spans="2:7" x14ac:dyDescent="0.25">
      <c r="B139" s="3" t="s">
        <v>90</v>
      </c>
      <c r="C139" s="3">
        <v>3</v>
      </c>
      <c r="D139" s="3">
        <v>4459</v>
      </c>
      <c r="E139" s="3">
        <f>C139*D139</f>
        <v>13377</v>
      </c>
      <c r="F139" s="11" t="s">
        <v>91</v>
      </c>
      <c r="G139" t="s">
        <v>39</v>
      </c>
    </row>
    <row r="142" spans="2:7" x14ac:dyDescent="0.25">
      <c r="B142" s="9" t="s">
        <v>112</v>
      </c>
      <c r="C142" s="8"/>
      <c r="D142" s="8"/>
      <c r="E142" s="8"/>
      <c r="F142" s="8"/>
    </row>
    <row r="143" spans="2:7" x14ac:dyDescent="0.25">
      <c r="B143" s="10" t="s">
        <v>29</v>
      </c>
      <c r="C143" s="12" t="s">
        <v>30</v>
      </c>
      <c r="D143" s="12" t="s">
        <v>31</v>
      </c>
      <c r="E143" s="17" t="s">
        <v>36</v>
      </c>
      <c r="F143" s="12" t="s">
        <v>38</v>
      </c>
    </row>
    <row r="144" spans="2:7" x14ac:dyDescent="0.25">
      <c r="B144" s="3" t="s">
        <v>97</v>
      </c>
      <c r="C144" s="3">
        <v>2</v>
      </c>
      <c r="D144" s="3">
        <v>20369</v>
      </c>
      <c r="E144" s="3">
        <f>C144*D144</f>
        <v>40738</v>
      </c>
      <c r="F144" s="11" t="s">
        <v>98</v>
      </c>
      <c r="G144" t="s">
        <v>39</v>
      </c>
    </row>
    <row r="147" spans="2:11" x14ac:dyDescent="0.25">
      <c r="B147" s="9" t="s">
        <v>113</v>
      </c>
      <c r="C147" s="8"/>
      <c r="D147" s="8"/>
      <c r="E147" s="8"/>
      <c r="F147" s="8"/>
    </row>
    <row r="148" spans="2:11" x14ac:dyDescent="0.25">
      <c r="B148" s="10" t="s">
        <v>100</v>
      </c>
      <c r="C148" s="12" t="s">
        <v>101</v>
      </c>
      <c r="D148" s="12" t="s">
        <v>102</v>
      </c>
      <c r="E148" s="17" t="s">
        <v>36</v>
      </c>
      <c r="F148" s="12" t="s">
        <v>38</v>
      </c>
    </row>
    <row r="149" spans="2:11" x14ac:dyDescent="0.25">
      <c r="B149" s="3" t="s">
        <v>97</v>
      </c>
      <c r="C149" s="3">
        <v>2</v>
      </c>
      <c r="D149" s="3" t="s">
        <v>103</v>
      </c>
      <c r="E149" s="3">
        <v>1600</v>
      </c>
      <c r="F149" s="11" t="s">
        <v>104</v>
      </c>
      <c r="G149" s="18" t="s">
        <v>39</v>
      </c>
    </row>
    <row r="153" spans="2:11" x14ac:dyDescent="0.25">
      <c r="B153" s="9" t="s">
        <v>108</v>
      </c>
      <c r="C153" s="9"/>
      <c r="D153" s="9"/>
      <c r="E153" s="8"/>
      <c r="F153" s="8"/>
    </row>
    <row r="154" spans="2:11" x14ac:dyDescent="0.25">
      <c r="B154" s="10" t="s">
        <v>105</v>
      </c>
      <c r="C154" s="12" t="s">
        <v>33</v>
      </c>
      <c r="D154" s="12" t="s">
        <v>74</v>
      </c>
      <c r="E154" s="12" t="s">
        <v>115</v>
      </c>
      <c r="F154" s="12" t="s">
        <v>106</v>
      </c>
      <c r="G154" s="10" t="s">
        <v>107</v>
      </c>
      <c r="H154" s="10" t="s">
        <v>76</v>
      </c>
      <c r="I154" s="10" t="s">
        <v>75</v>
      </c>
      <c r="J154" s="10" t="s">
        <v>77</v>
      </c>
      <c r="K154" s="16" t="s">
        <v>36</v>
      </c>
    </row>
    <row r="155" spans="2:11" x14ac:dyDescent="0.25">
      <c r="B155" s="3">
        <f>E100</f>
        <v>10497</v>
      </c>
      <c r="C155" s="3">
        <f>F108</f>
        <v>1566</v>
      </c>
      <c r="D155" s="3">
        <f>G116</f>
        <v>6228</v>
      </c>
      <c r="E155" s="3">
        <f>E129</f>
        <v>155820</v>
      </c>
      <c r="F155" s="3">
        <f>E121</f>
        <v>13401</v>
      </c>
      <c r="G155" s="19">
        <f>E134</f>
        <v>5028</v>
      </c>
      <c r="H155" s="3">
        <f>E139</f>
        <v>13377</v>
      </c>
      <c r="I155" s="3">
        <f>E144</f>
        <v>40738</v>
      </c>
      <c r="J155" s="19">
        <f>E149</f>
        <v>1600</v>
      </c>
      <c r="K155" s="3">
        <f>SUM(C155:J155)</f>
        <v>237758</v>
      </c>
    </row>
    <row r="159" spans="2:11" x14ac:dyDescent="0.25">
      <c r="B159" s="9" t="s">
        <v>116</v>
      </c>
      <c r="D159" s="8"/>
      <c r="E159" s="8"/>
    </row>
    <row r="160" spans="2:11" x14ac:dyDescent="0.25">
      <c r="B160" s="10" t="s">
        <v>117</v>
      </c>
      <c r="C160" s="12" t="s">
        <v>118</v>
      </c>
      <c r="D160" s="12" t="s">
        <v>119</v>
      </c>
      <c r="E160" s="17" t="s">
        <v>36</v>
      </c>
    </row>
    <row r="161" spans="2:5" x14ac:dyDescent="0.25">
      <c r="B161" s="3">
        <f>K155</f>
        <v>237758</v>
      </c>
      <c r="C161" s="3">
        <f>0.3*B161</f>
        <v>71327.399999999994</v>
      </c>
      <c r="D161" s="3">
        <f>0.1*B161</f>
        <v>23775.800000000003</v>
      </c>
      <c r="E161" s="3">
        <f>SUM(C161:D161)</f>
        <v>95103.2</v>
      </c>
    </row>
    <row r="165" spans="2:5" x14ac:dyDescent="0.25">
      <c r="B165" s="9" t="s">
        <v>122</v>
      </c>
      <c r="C165" s="9"/>
      <c r="D165" s="8"/>
    </row>
    <row r="166" spans="2:5" x14ac:dyDescent="0.25">
      <c r="B166" s="10" t="s">
        <v>120</v>
      </c>
      <c r="C166" s="12" t="s">
        <v>121</v>
      </c>
      <c r="D166" s="21" t="s">
        <v>32</v>
      </c>
      <c r="E166" s="8"/>
    </row>
    <row r="167" spans="2:5" x14ac:dyDescent="0.25">
      <c r="B167" s="3">
        <f>K155</f>
        <v>237758</v>
      </c>
      <c r="C167" s="3">
        <f>E161</f>
        <v>95103.2</v>
      </c>
      <c r="D167" s="3">
        <f>SUM(B167:C167)</f>
        <v>332861.2</v>
      </c>
    </row>
  </sheetData>
  <phoneticPr fontId="1" type="noConversion"/>
  <hyperlinks>
    <hyperlink ref="F100" r:id="rId1" display="https://articulo.mercadolibre.com.mx/MLM-792505063-cable-utp-cat6-belden-bobina-305metros-100-cobre-certific-_JM?matt_tool=20003779&amp;matt_word=&amp;matt_source=google&amp;matt_campaign_id=15698047603&amp;matt_ad_group_id=139276014405&amp;matt_match_type=&amp;matt_network=g&amp;matt_device=c&amp;matt_creative=619878764058&amp;matt_keyword=&amp;matt_ad_position=&amp;matt_ad_type=pla&amp;matt_merchant_id=131642881&amp;matt_product_id=MLM792505063&amp;matt_product_partition_id=1994760955327&amp;matt_target_id=aud-2005965463816:pla-1994760955327&amp;gclid=CjwKCAjwg-GjBhBnEiwAMUvNWxL5wkLNn8DFcTyUmYr9YoFhTrytuw-6U-Srv3G9MqauCdg8MPxAsBoC8kMQAvD_BwE" xr:uid="{45599830-6EDD-41CE-A0F1-E73751FD7B7A}"/>
    <hyperlink ref="G108" r:id="rId2" display="https://articulo.mercadolibre.com.mx/MLM-588182658-plug-bote-100-piezas-conector-rj45-intellinet-502344-cat6-_JM?matt_tool=20003779&amp;matt_word=&amp;matt_source=google&amp;matt_campaign_id=15698047603&amp;matt_ad_group_id=139276014405&amp;matt_match_type=&amp;matt_network=g&amp;matt_device=c&amp;matt_creative=619878764058&amp;matt_keyword=&amp;matt_ad_position=&amp;matt_ad_type=pla&amp;matt_merchant_id=114077206&amp;matt_product_id=MLM588182658&amp;matt_product_partition_id=1994760955327&amp;matt_target_id=aud-2005965463816:pla-1994760955327&amp;gclid=CjwKCAjwg-GjBhBnEiwAMUvNW3sTwqHiv_zmB77wXrZWr1qxlcG8eyeOgAqT3DPk5-vGUVEyC2O0_xoCunwQAvD_BwE" xr:uid="{1C9F3FFF-46B9-4198-B3D1-F84BC4492380}"/>
    <hyperlink ref="I126" r:id="rId3" xr:uid="{F55E5BDA-2508-4C15-A62C-5979641C81FD}"/>
    <hyperlink ref="F129" r:id="rId4" xr:uid="{1E865D5E-70F5-4C50-BAC3-5BEAABF9E58B}"/>
    <hyperlink ref="F134" r:id="rId5" display="https://www.amazon.com.mx/TP-Link-TL-ER7206-Router-SafeStream-MUL-WAN/dp/B08W4RMZ8T/ref=asc_df_B08W4RMZ8T/?tag=gledskshopmx-20&amp;linkCode=df0&amp;hvadid=547107109881&amp;hvpos=&amp;hvnetw=g&amp;hvrand=7920493294631249072&amp;hvpone=&amp;hvptwo=&amp;hvqmt=&amp;hvdev=c&amp;hvdvcmdl=&amp;hvlocint=&amp;hvlocphy=9047095&amp;hvtargid=pla-1192478187546&amp;psc=1" xr:uid="{A2723F1F-E55F-4D29-98B5-99453915A968}"/>
    <hyperlink ref="F139" r:id="rId6" display="https://bsai.com.mx/products/rack-de-acero-de-4ft-x-19in-24ur-con-organizadores-verticales-y-guia-superior-para-cableado?variant=31882170794056&amp;currency=MXN&amp;utm_source=google&amp;utm_medium=cpc&amp;utm_campaign=google+shopping&amp;gclid=Cj0KCQjw7PCjBhDwARIsANo7CgkRnj7Zbgx-7xvm5waPKPaRQEJNTASqtx4SP3pS8aqmjpOttkDQP_YaAuy3EALw_wcB" xr:uid="{FDDE8C3A-488B-4E15-9570-06BF79DD5B04}"/>
    <hyperlink ref="H116" r:id="rId7" display="https://www.amazon.com.mx/Ethernet-Keystone-frontales-compatible-unidades/dp/B08TZZRPCF/ref=asc_df_B08TZZRPCF/?tag=gledskshopmx-20&amp;linkCode=df0&amp;hvadid=547139760900&amp;hvpos=&amp;hvnetw=g&amp;hvrand=257670266964325774&amp;hvpone=&amp;hvptwo=&amp;hvqmt=&amp;hvdev=c&amp;hvdvcmdl=&amp;hvlocint=&amp;hvlocphy=9047095&amp;hvtargid=pla-1232004065679&amp;psc=1" xr:uid="{9B790BB0-F1A2-4E47-8961-F42E6BF475C7}"/>
    <hyperlink ref="F144" r:id="rId8" display="https://articulo.mercadolibre.com.mx/MLM-1808413005-servidor-dell-poweredge-t40-intel-xeon-e-2224g-8gb-1tb-_JM?matt_tool=78527612&amp;matt_word=&amp;matt_source=google&amp;matt_campaign_id=19640949742&amp;matt_ad_group_id=148636916551&amp;matt_match_type=&amp;matt_network=g&amp;matt_device=c&amp;matt_creative=646734338833&amp;matt_keyword=&amp;matt_ad_position=&amp;matt_ad_type=pla&amp;matt_merchant_id=164900481&amp;matt_product_id=MLM1808413005&amp;matt_product_partition_id=1940801657251&amp;matt_target_id=aud-2005965463816:pla-1940801657251&amp;gclid=Cj0KCQjw7PCjBhDwARIsANo7CgmvoNmmvfjljCEk-kEz9AGenm6rdFk8GaTPVHmh_mNyrJucfErGSmYaAvNDEALw_wcB" xr:uid="{E813AD05-55D2-48F9-B30A-7BCF350E6F16}"/>
    <hyperlink ref="F121" r:id="rId9" display="https://www.amazon.com.mx/dp/B09M9477NS?ref_=cm_sw_r_apan_dp_VWYD4878TEA4PXT26M3E" xr:uid="{C377C0A9-F90D-4CAF-A3C4-C0340B92A230}"/>
    <hyperlink ref="F149" r:id="rId10" xr:uid="{0143AA9C-FBE4-4BC0-8B5A-C0F3BD8F6C40}"/>
  </hyperlinks>
  <pageMargins left="0.7" right="0.7" top="0.75" bottom="0.75" header="0.3" footer="0.3"/>
  <pageSetup orientation="portrait" horizontalDpi="0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Ramos</dc:creator>
  <cp:lastModifiedBy>Carlos Ramos</cp:lastModifiedBy>
  <dcterms:created xsi:type="dcterms:W3CDTF">2023-06-01T06:33:23Z</dcterms:created>
  <dcterms:modified xsi:type="dcterms:W3CDTF">2023-06-05T02:25:20Z</dcterms:modified>
</cp:coreProperties>
</file>