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an\OneDrive\Documentos\Excel\"/>
    </mc:Choice>
  </mc:AlternateContent>
  <xr:revisionPtr revIDLastSave="0" documentId="13_ncr:1_{B9054503-A0A0-47E2-8780-635AFE2D4220}" xr6:coauthVersionLast="47" xr6:coauthVersionMax="47" xr10:uidLastSave="{00000000-0000-0000-0000-000000000000}"/>
  <bookViews>
    <workbookView xWindow="7320" yWindow="1665" windowWidth="9585" windowHeight="9120" xr2:uid="{50ACBF3B-0666-43B8-B1E7-D975CEA8D9A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H10" i="1"/>
  <c r="I10" i="1"/>
  <c r="J10" i="1"/>
  <c r="K10" i="1"/>
  <c r="L10" i="1"/>
  <c r="M10" i="1"/>
  <c r="N10" i="1"/>
  <c r="O10" i="1"/>
  <c r="P10" i="1"/>
  <c r="Q10" i="1"/>
  <c r="R10" i="1"/>
  <c r="T10" i="1"/>
  <c r="U10" i="1"/>
  <c r="V10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H123" i="1"/>
  <c r="I123" i="1"/>
</calcChain>
</file>

<file path=xl/sharedStrings.xml><?xml version="1.0" encoding="utf-8"?>
<sst xmlns="http://schemas.openxmlformats.org/spreadsheetml/2006/main" count="1522" uniqueCount="605">
  <si>
    <t>Country</t>
  </si>
  <si>
    <t>City</t>
  </si>
  <si>
    <t>Language</t>
  </si>
  <si>
    <t>Currency</t>
  </si>
  <si>
    <t>Dollar</t>
  </si>
  <si>
    <t>Only one person</t>
  </si>
  <si>
    <t>4 people</t>
  </si>
  <si>
    <t>1 lb chicken</t>
  </si>
  <si>
    <t>Big Mac</t>
  </si>
  <si>
    <t>Average Meal</t>
  </si>
  <si>
    <t>Coca Cola 2lt</t>
  </si>
  <si>
    <t>Monthly rent</t>
  </si>
  <si>
    <t>Monthly rent expensive</t>
  </si>
  <si>
    <t>Internet 8mbps</t>
  </si>
  <si>
    <t>Medical visit</t>
  </si>
  <si>
    <t>Marlboro Cigarette</t>
  </si>
  <si>
    <t>Dhaka</t>
  </si>
  <si>
    <t>Bangladesh</t>
  </si>
  <si>
    <t>Taka</t>
  </si>
  <si>
    <t>1/4 gal gasoline</t>
  </si>
  <si>
    <t>Monthly rent (small)</t>
  </si>
  <si>
    <t>Average public transport</t>
  </si>
  <si>
    <t>Continent</t>
  </si>
  <si>
    <t>Asia</t>
  </si>
  <si>
    <t>Bengali</t>
  </si>
  <si>
    <t>Sylhet</t>
  </si>
  <si>
    <t>Delhi</t>
  </si>
  <si>
    <t>India</t>
  </si>
  <si>
    <t>Language 2</t>
  </si>
  <si>
    <t>Hindi</t>
  </si>
  <si>
    <t>English</t>
  </si>
  <si>
    <t>Rupee</t>
  </si>
  <si>
    <t>Mumbai</t>
  </si>
  <si>
    <t>Maratí</t>
  </si>
  <si>
    <t>Kolkata</t>
  </si>
  <si>
    <t>Agra</t>
  </si>
  <si>
    <t>Hanoi</t>
  </si>
  <si>
    <t>Vietnam</t>
  </si>
  <si>
    <t>Vietnamese</t>
  </si>
  <si>
    <t>Chinese</t>
  </si>
  <si>
    <t>Dong</t>
  </si>
  <si>
    <t>Singapore</t>
  </si>
  <si>
    <t>Malay</t>
  </si>
  <si>
    <t>SGD</t>
  </si>
  <si>
    <t>Monthly rent expesive (small)</t>
  </si>
  <si>
    <t>Malaysia</t>
  </si>
  <si>
    <t>Kuala Lumpur</t>
  </si>
  <si>
    <t>Ringgit</t>
  </si>
  <si>
    <t>Kota Kinabalu</t>
  </si>
  <si>
    <t>Johor Bahru</t>
  </si>
  <si>
    <t>Ho Chi Minh</t>
  </si>
  <si>
    <t>Phnom Penh</t>
  </si>
  <si>
    <t>Cambodia</t>
  </si>
  <si>
    <t>Cambodian</t>
  </si>
  <si>
    <t>Riel</t>
  </si>
  <si>
    <t>Bangkok</t>
  </si>
  <si>
    <t>Thailand</t>
  </si>
  <si>
    <t>Thai</t>
  </si>
  <si>
    <t>Baht</t>
  </si>
  <si>
    <t>Chiang Mai</t>
  </si>
  <si>
    <t>Kham Muang</t>
  </si>
  <si>
    <t>Manila</t>
  </si>
  <si>
    <t>Philippines</t>
  </si>
  <si>
    <t>Tagalog</t>
  </si>
  <si>
    <t>Php</t>
  </si>
  <si>
    <t>Riyadh</t>
  </si>
  <si>
    <t>Saudi Arabia</t>
  </si>
  <si>
    <t>Arabic</t>
  </si>
  <si>
    <t>Riyal</t>
  </si>
  <si>
    <t>Jeddah</t>
  </si>
  <si>
    <t>Mecca</t>
  </si>
  <si>
    <t>Yerevan</t>
  </si>
  <si>
    <t>Armenia</t>
  </si>
  <si>
    <t>Armenian</t>
  </si>
  <si>
    <t>Russian</t>
  </si>
  <si>
    <t>Dram</t>
  </si>
  <si>
    <t>Baku</t>
  </si>
  <si>
    <t>Azerbaijan</t>
  </si>
  <si>
    <t>Azeri</t>
  </si>
  <si>
    <t>Manat</t>
  </si>
  <si>
    <t>Manama</t>
  </si>
  <si>
    <t>Bahrain</t>
  </si>
  <si>
    <t>BHD</t>
  </si>
  <si>
    <t>Bandar Seri Begawan</t>
  </si>
  <si>
    <t>Brunei</t>
  </si>
  <si>
    <t>BND</t>
  </si>
  <si>
    <t>Timphu</t>
  </si>
  <si>
    <t>Bhutan</t>
  </si>
  <si>
    <t>Dzongkha</t>
  </si>
  <si>
    <t>Tshangla</t>
  </si>
  <si>
    <t>Ngultrum</t>
  </si>
  <si>
    <t>Doha</t>
  </si>
  <si>
    <t>Qatar</t>
  </si>
  <si>
    <t>Rial</t>
  </si>
  <si>
    <t>Chengdu</t>
  </si>
  <si>
    <t>China</t>
  </si>
  <si>
    <t>Sichuanese</t>
  </si>
  <si>
    <t>Yuan Renminbi</t>
  </si>
  <si>
    <t>Chongqing</t>
  </si>
  <si>
    <t>Southwestern Mandarin</t>
  </si>
  <si>
    <t>Beijing</t>
  </si>
  <si>
    <t>Shanghai</t>
  </si>
  <si>
    <t>Shanghainese</t>
  </si>
  <si>
    <t>Nanjing</t>
  </si>
  <si>
    <t>Nanjing Mandarine</t>
  </si>
  <si>
    <t>Wuhan</t>
  </si>
  <si>
    <t>Wuhan Dialect</t>
  </si>
  <si>
    <t>Nicosia</t>
  </si>
  <si>
    <t>Cyprus</t>
  </si>
  <si>
    <t>Greek</t>
  </si>
  <si>
    <t>Turkish</t>
  </si>
  <si>
    <t>Euro</t>
  </si>
  <si>
    <t>Limassol</t>
  </si>
  <si>
    <t>Busan</t>
  </si>
  <si>
    <t>South Korea</t>
  </si>
  <si>
    <t>Won</t>
  </si>
  <si>
    <t>Korean</t>
  </si>
  <si>
    <t>Soeul</t>
  </si>
  <si>
    <t>Daegu</t>
  </si>
  <si>
    <t>Abu Dhabi</t>
  </si>
  <si>
    <t>UAE</t>
  </si>
  <si>
    <t>Dirham</t>
  </si>
  <si>
    <t>Dubai</t>
  </si>
  <si>
    <t>Tbilisi</t>
  </si>
  <si>
    <t>Georgia</t>
  </si>
  <si>
    <t>Georgian</t>
  </si>
  <si>
    <t>Lari</t>
  </si>
  <si>
    <t>Badung</t>
  </si>
  <si>
    <t>Indonesia</t>
  </si>
  <si>
    <t>Indonesian</t>
  </si>
  <si>
    <t>Rupiah</t>
  </si>
  <si>
    <t>Jakarta</t>
  </si>
  <si>
    <t>Sundanese</t>
  </si>
  <si>
    <t>Haifa</t>
  </si>
  <si>
    <t>Israel</t>
  </si>
  <si>
    <t>Hebrew</t>
  </si>
  <si>
    <t>Shekel</t>
  </si>
  <si>
    <t>Jerusalem</t>
  </si>
  <si>
    <t>Tel Aviv</t>
  </si>
  <si>
    <t>Astana</t>
  </si>
  <si>
    <t>Kazakhstan</t>
  </si>
  <si>
    <t>Kazakh</t>
  </si>
  <si>
    <t>Tenge</t>
  </si>
  <si>
    <t>Kyrgyz</t>
  </si>
  <si>
    <t>Bishkek</t>
  </si>
  <si>
    <t>Kyrgyztan</t>
  </si>
  <si>
    <t>Som</t>
  </si>
  <si>
    <t>Kuwait</t>
  </si>
  <si>
    <t>Dinar</t>
  </si>
  <si>
    <t>Nagoya</t>
  </si>
  <si>
    <t>Japan</t>
  </si>
  <si>
    <t>Japanese</t>
  </si>
  <si>
    <t>Yen</t>
  </si>
  <si>
    <t>Osaka</t>
  </si>
  <si>
    <t>Yokohama</t>
  </si>
  <si>
    <t>Tokio</t>
  </si>
  <si>
    <t>Ulaanbaatar</t>
  </si>
  <si>
    <t>Mongolia</t>
  </si>
  <si>
    <t>Mongolian</t>
  </si>
  <si>
    <t>MNT</t>
  </si>
  <si>
    <t>Kathmandu</t>
  </si>
  <si>
    <t>Nepal</t>
  </si>
  <si>
    <t>Nepali</t>
  </si>
  <si>
    <t>Nrupee</t>
  </si>
  <si>
    <t>Muscat</t>
  </si>
  <si>
    <t>Oman</t>
  </si>
  <si>
    <t>Orial</t>
  </si>
  <si>
    <t>Islambad</t>
  </si>
  <si>
    <t>Pakistan</t>
  </si>
  <si>
    <t>Urdu</t>
  </si>
  <si>
    <t>PKR</t>
  </si>
  <si>
    <t>Hyderabad</t>
  </si>
  <si>
    <t>Shindhi</t>
  </si>
  <si>
    <t>Karachi</t>
  </si>
  <si>
    <t>Damascus</t>
  </si>
  <si>
    <t>Syria</t>
  </si>
  <si>
    <t>SYP</t>
  </si>
  <si>
    <t>Dushanbe</t>
  </si>
  <si>
    <t>Tajikistan</t>
  </si>
  <si>
    <t>Tajic</t>
  </si>
  <si>
    <t>Somoni</t>
  </si>
  <si>
    <t>Dili</t>
  </si>
  <si>
    <t>East Timor</t>
  </si>
  <si>
    <t>Portuguese</t>
  </si>
  <si>
    <t>Tetum</t>
  </si>
  <si>
    <t>Ankara</t>
  </si>
  <si>
    <t>Turkey</t>
  </si>
  <si>
    <t>Kurdish</t>
  </si>
  <si>
    <t>Lira</t>
  </si>
  <si>
    <t>Istanbul</t>
  </si>
  <si>
    <t>Tashkent</t>
  </si>
  <si>
    <t>Uzbek</t>
  </si>
  <si>
    <t>Uzbekistan</t>
  </si>
  <si>
    <t>UZS</t>
  </si>
  <si>
    <t>Tirana</t>
  </si>
  <si>
    <t>Albania</t>
  </si>
  <si>
    <t>Europe</t>
  </si>
  <si>
    <t>Albanian</t>
  </si>
  <si>
    <t>Lek</t>
  </si>
  <si>
    <t>Cologne</t>
  </si>
  <si>
    <t>Germany</t>
  </si>
  <si>
    <t>German</t>
  </si>
  <si>
    <t>Dortmund</t>
  </si>
  <si>
    <t>Frankfurt</t>
  </si>
  <si>
    <t>Berlin</t>
  </si>
  <si>
    <t>Hamburg</t>
  </si>
  <si>
    <t>Munich</t>
  </si>
  <si>
    <t>Stuttgart</t>
  </si>
  <si>
    <t>Andorra</t>
  </si>
  <si>
    <t>Andorra la Vella</t>
  </si>
  <si>
    <t>Catalan</t>
  </si>
  <si>
    <t>French</t>
  </si>
  <si>
    <t>Vienna</t>
  </si>
  <si>
    <t>Austria</t>
  </si>
  <si>
    <t>Hungarian</t>
  </si>
  <si>
    <t>Salzburg</t>
  </si>
  <si>
    <t>Sloven</t>
  </si>
  <si>
    <t>Innsbruk</t>
  </si>
  <si>
    <t>Brussels</t>
  </si>
  <si>
    <t>Belgium</t>
  </si>
  <si>
    <t>Dutch</t>
  </si>
  <si>
    <t>Ghent</t>
  </si>
  <si>
    <t>Liege</t>
  </si>
  <si>
    <t>Walloon</t>
  </si>
  <si>
    <t>Minsk</t>
  </si>
  <si>
    <t>Belarus</t>
  </si>
  <si>
    <t>Belarusian</t>
  </si>
  <si>
    <t>BYN</t>
  </si>
  <si>
    <t>Sarajevo</t>
  </si>
  <si>
    <t>Bosnia and Herzegovina</t>
  </si>
  <si>
    <t>Bonian</t>
  </si>
  <si>
    <t>Serbian</t>
  </si>
  <si>
    <t>Marka</t>
  </si>
  <si>
    <t>Sofia</t>
  </si>
  <si>
    <t>Bulgaria</t>
  </si>
  <si>
    <t>Bulgarian</t>
  </si>
  <si>
    <t>Lev</t>
  </si>
  <si>
    <t>Croatia</t>
  </si>
  <si>
    <t>Zagreb</t>
  </si>
  <si>
    <t>Croatian</t>
  </si>
  <si>
    <t>Kuna</t>
  </si>
  <si>
    <t>Copenhagen</t>
  </si>
  <si>
    <t>Denmark</t>
  </si>
  <si>
    <t>Danish</t>
  </si>
  <si>
    <t>Krone</t>
  </si>
  <si>
    <t>Bratislava</t>
  </si>
  <si>
    <t>Slovakia</t>
  </si>
  <si>
    <t>Slovak</t>
  </si>
  <si>
    <t>Ljubljana</t>
  </si>
  <si>
    <t>Slovene</t>
  </si>
  <si>
    <t>Italian</t>
  </si>
  <si>
    <t>Barcelona</t>
  </si>
  <si>
    <t>Spain</t>
  </si>
  <si>
    <t>Spanish</t>
  </si>
  <si>
    <t>Bilbao</t>
  </si>
  <si>
    <t>Basque</t>
  </si>
  <si>
    <t>Cordoba</t>
  </si>
  <si>
    <t>Madrid</t>
  </si>
  <si>
    <t>Santander</t>
  </si>
  <si>
    <t>Tallinn</t>
  </si>
  <si>
    <t>Estonia</t>
  </si>
  <si>
    <t>Estonian</t>
  </si>
  <si>
    <t>Tartu</t>
  </si>
  <si>
    <t>Helsinki</t>
  </si>
  <si>
    <t>Finland</t>
  </si>
  <si>
    <t>Finnish</t>
  </si>
  <si>
    <t>Swedish</t>
  </si>
  <si>
    <t>Bordeaux</t>
  </si>
  <si>
    <t>France</t>
  </si>
  <si>
    <t>Lille</t>
  </si>
  <si>
    <t>Lyon</t>
  </si>
  <si>
    <t>Marseille</t>
  </si>
  <si>
    <t>Paris</t>
  </si>
  <si>
    <t>Toulouse</t>
  </si>
  <si>
    <t>Athens</t>
  </si>
  <si>
    <t>Greece</t>
  </si>
  <si>
    <t>Thesaaloniki</t>
  </si>
  <si>
    <t>Budapest</t>
  </si>
  <si>
    <t>Hungary</t>
  </si>
  <si>
    <t>Forint</t>
  </si>
  <si>
    <t>Cork</t>
  </si>
  <si>
    <t>Irish</t>
  </si>
  <si>
    <t>Ireland</t>
  </si>
  <si>
    <t>Dublin</t>
  </si>
  <si>
    <t>Limerick</t>
  </si>
  <si>
    <t>Reykjavik</t>
  </si>
  <si>
    <t>Iceland</t>
  </si>
  <si>
    <t>Krona</t>
  </si>
  <si>
    <t>Turin</t>
  </si>
  <si>
    <t>Italy</t>
  </si>
  <si>
    <t>Rome</t>
  </si>
  <si>
    <t>Venice</t>
  </si>
  <si>
    <t>Venetian</t>
  </si>
  <si>
    <t>Milan</t>
  </si>
  <si>
    <t>Florence</t>
  </si>
  <si>
    <t>Naples</t>
  </si>
  <si>
    <t>Neapolitan</t>
  </si>
  <si>
    <t>Latvia</t>
  </si>
  <si>
    <t>Riga</t>
  </si>
  <si>
    <t>Livonian</t>
  </si>
  <si>
    <t>Latgalian</t>
  </si>
  <si>
    <t>Vaduz</t>
  </si>
  <si>
    <t>Liechtenstein</t>
  </si>
  <si>
    <t>Franc</t>
  </si>
  <si>
    <t>Vilnus</t>
  </si>
  <si>
    <t>Lithuania</t>
  </si>
  <si>
    <t>Lithuanian</t>
  </si>
  <si>
    <t>Luxembourgish</t>
  </si>
  <si>
    <t>Luxembourg</t>
  </si>
  <si>
    <t>Skopje</t>
  </si>
  <si>
    <t>North Macedonia</t>
  </si>
  <si>
    <t>Macedonian</t>
  </si>
  <si>
    <t>Denar</t>
  </si>
  <si>
    <t>La Valleta</t>
  </si>
  <si>
    <t>Malta</t>
  </si>
  <si>
    <t>Maltese</t>
  </si>
  <si>
    <t>Romanian</t>
  </si>
  <si>
    <t>Moldava</t>
  </si>
  <si>
    <t>Ukrainian</t>
  </si>
  <si>
    <t>Leu</t>
  </si>
  <si>
    <t>Oslo</t>
  </si>
  <si>
    <t>Norway</t>
  </si>
  <si>
    <t>Norweigan</t>
  </si>
  <si>
    <t>Sami</t>
  </si>
  <si>
    <t>Trondheim</t>
  </si>
  <si>
    <t>Eindhoven</t>
  </si>
  <si>
    <t>Netherlands</t>
  </si>
  <si>
    <t>Rotterdam</t>
  </si>
  <si>
    <t>Amsterdam</t>
  </si>
  <si>
    <t>Krakow</t>
  </si>
  <si>
    <t>Poland</t>
  </si>
  <si>
    <t>Polish</t>
  </si>
  <si>
    <t>Zloty</t>
  </si>
  <si>
    <t>Poznan</t>
  </si>
  <si>
    <t>Warsaw</t>
  </si>
  <si>
    <t>Braga</t>
  </si>
  <si>
    <t>Portugal</t>
  </si>
  <si>
    <t>Lisbon</t>
  </si>
  <si>
    <t>Porto</t>
  </si>
  <si>
    <t>London</t>
  </si>
  <si>
    <t>United Kindom</t>
  </si>
  <si>
    <t>Pound</t>
  </si>
  <si>
    <t>Edinburgh</t>
  </si>
  <si>
    <t>Scots</t>
  </si>
  <si>
    <t>Oxford</t>
  </si>
  <si>
    <t>Southampton</t>
  </si>
  <si>
    <t>Brighton and Hove</t>
  </si>
  <si>
    <t>Portsmouth</t>
  </si>
  <si>
    <t>Birmingham</t>
  </si>
  <si>
    <t>Prague</t>
  </si>
  <si>
    <t>Czech Republic</t>
  </si>
  <si>
    <t>Czech</t>
  </si>
  <si>
    <t>Koruna</t>
  </si>
  <si>
    <t>Pilsen</t>
  </si>
  <si>
    <t>Tiraspol</t>
  </si>
  <si>
    <t>Iasi</t>
  </si>
  <si>
    <t>Romania</t>
  </si>
  <si>
    <t>RON</t>
  </si>
  <si>
    <t>Bucharest</t>
  </si>
  <si>
    <t>Moscow</t>
  </si>
  <si>
    <t>Russia</t>
  </si>
  <si>
    <t>Ruble</t>
  </si>
  <si>
    <t>Rostov</t>
  </si>
  <si>
    <t>Saint Petersburg</t>
  </si>
  <si>
    <t>Belgrade</t>
  </si>
  <si>
    <t>Serbia</t>
  </si>
  <si>
    <t>RSD</t>
  </si>
  <si>
    <t>Stockholm</t>
  </si>
  <si>
    <t>Sweden</t>
  </si>
  <si>
    <t>Gothenburg</t>
  </si>
  <si>
    <t>Basel</t>
  </si>
  <si>
    <t>Switzerland</t>
  </si>
  <si>
    <t>Ginebra</t>
  </si>
  <si>
    <t>Zurich</t>
  </si>
  <si>
    <t>Canberra</t>
  </si>
  <si>
    <t>Australia</t>
  </si>
  <si>
    <t>Oceania</t>
  </si>
  <si>
    <t>AUD</t>
  </si>
  <si>
    <t>Brisbane</t>
  </si>
  <si>
    <t>Cairns</t>
  </si>
  <si>
    <t>Melbourne</t>
  </si>
  <si>
    <t>Newcastle</t>
  </si>
  <si>
    <t>Sidney</t>
  </si>
  <si>
    <t>Auckland</t>
  </si>
  <si>
    <t>New Zealand</t>
  </si>
  <si>
    <t>Maori</t>
  </si>
  <si>
    <t>NZD</t>
  </si>
  <si>
    <t>Hamilton</t>
  </si>
  <si>
    <t>Wellington</t>
  </si>
  <si>
    <t>Suva</t>
  </si>
  <si>
    <t>Fiji</t>
  </si>
  <si>
    <t>Fijian</t>
  </si>
  <si>
    <t>FJD</t>
  </si>
  <si>
    <t>Port Moresby</t>
  </si>
  <si>
    <t>Papua New Guinea</t>
  </si>
  <si>
    <t>Hiri Motu</t>
  </si>
  <si>
    <t>Kina</t>
  </si>
  <si>
    <t>Faaa</t>
  </si>
  <si>
    <t>Tahitian</t>
  </si>
  <si>
    <t>XPF</t>
  </si>
  <si>
    <t>Honolulu</t>
  </si>
  <si>
    <t>United States</t>
  </si>
  <si>
    <t>Hawaiian</t>
  </si>
  <si>
    <t>Quebec</t>
  </si>
  <si>
    <t>Canada</t>
  </si>
  <si>
    <t>America</t>
  </si>
  <si>
    <t>CAD</t>
  </si>
  <si>
    <t>Ottawa</t>
  </si>
  <si>
    <t>Toronto</t>
  </si>
  <si>
    <t>Vancouver</t>
  </si>
  <si>
    <t>Winnipeg</t>
  </si>
  <si>
    <t>Abbotsford</t>
  </si>
  <si>
    <t>New York</t>
  </si>
  <si>
    <t>Los Angeles</t>
  </si>
  <si>
    <t>Washington</t>
  </si>
  <si>
    <t>Chicago</t>
  </si>
  <si>
    <t>San Antonio</t>
  </si>
  <si>
    <t>Boston</t>
  </si>
  <si>
    <t>Portland</t>
  </si>
  <si>
    <t>Seattle</t>
  </si>
  <si>
    <t>San Louis</t>
  </si>
  <si>
    <t>San Francisco</t>
  </si>
  <si>
    <t>Puebla de Zaragoza</t>
  </si>
  <si>
    <t>Mexico</t>
  </si>
  <si>
    <t>MXN</t>
  </si>
  <si>
    <t>Guadalajara</t>
  </si>
  <si>
    <t>Mexico City</t>
  </si>
  <si>
    <t>Monterrey</t>
  </si>
  <si>
    <t>San Jose</t>
  </si>
  <si>
    <t>Costa Rica</t>
  </si>
  <si>
    <t>Colon</t>
  </si>
  <si>
    <t>San Salvador</t>
  </si>
  <si>
    <t>El Salvador</t>
  </si>
  <si>
    <t>Guatemala City</t>
  </si>
  <si>
    <t>Guatemala</t>
  </si>
  <si>
    <t>Nahuatl</t>
  </si>
  <si>
    <t>Quetzal</t>
  </si>
  <si>
    <t>Honduras</t>
  </si>
  <si>
    <t>San Pedro Sula</t>
  </si>
  <si>
    <t>Lempira</t>
  </si>
  <si>
    <t>Nueva Guinea</t>
  </si>
  <si>
    <t>Nicaragua</t>
  </si>
  <si>
    <t>NIO</t>
  </si>
  <si>
    <t>Panama City</t>
  </si>
  <si>
    <t>Panama</t>
  </si>
  <si>
    <t>PAN</t>
  </si>
  <si>
    <t>Buenos Aires</t>
  </si>
  <si>
    <t>Argentina</t>
  </si>
  <si>
    <t>ARS</t>
  </si>
  <si>
    <t>Corrientes</t>
  </si>
  <si>
    <t>La Plata</t>
  </si>
  <si>
    <t>La Paz</t>
  </si>
  <si>
    <t>Bolivia</t>
  </si>
  <si>
    <t>Aymara</t>
  </si>
  <si>
    <t>BOB</t>
  </si>
  <si>
    <t>Santa Cruz de la Sierra</t>
  </si>
  <si>
    <t>Quechua</t>
  </si>
  <si>
    <t>Sao Paulo</t>
  </si>
  <si>
    <t>Brazil</t>
  </si>
  <si>
    <t>Real</t>
  </si>
  <si>
    <t>Rio de Janeiro</t>
  </si>
  <si>
    <t>Brasilia</t>
  </si>
  <si>
    <t>Santos</t>
  </si>
  <si>
    <t>Santiago</t>
  </si>
  <si>
    <t>Chile</t>
  </si>
  <si>
    <t>Mapuche</t>
  </si>
  <si>
    <t>CLP</t>
  </si>
  <si>
    <t>Valparaiso</t>
  </si>
  <si>
    <t>Antofagasta</t>
  </si>
  <si>
    <t>Bogota</t>
  </si>
  <si>
    <t>Colombia</t>
  </si>
  <si>
    <t>COP</t>
  </si>
  <si>
    <t>Cali</t>
  </si>
  <si>
    <t>Quito</t>
  </si>
  <si>
    <t>Ecuador</t>
  </si>
  <si>
    <t>Guayaquil</t>
  </si>
  <si>
    <t>Shuar</t>
  </si>
  <si>
    <t>Ascuncion</t>
  </si>
  <si>
    <t>Paraguay</t>
  </si>
  <si>
    <t>Guarani</t>
  </si>
  <si>
    <t>Lima</t>
  </si>
  <si>
    <t>Peru</t>
  </si>
  <si>
    <t>Sol</t>
  </si>
  <si>
    <t>Cusco</t>
  </si>
  <si>
    <t>Paramaribo</t>
  </si>
  <si>
    <t>Suriname</t>
  </si>
  <si>
    <t>SRD</t>
  </si>
  <si>
    <t>Port of Spain</t>
  </si>
  <si>
    <t>Trinidad and Tobago</t>
  </si>
  <si>
    <t>Hindustani</t>
  </si>
  <si>
    <t>TTS</t>
  </si>
  <si>
    <t>Montevideo</t>
  </si>
  <si>
    <t>Uruguay</t>
  </si>
  <si>
    <t>UYU</t>
  </si>
  <si>
    <t>Rivera</t>
  </si>
  <si>
    <t>Caracas</t>
  </si>
  <si>
    <t>Venezuela</t>
  </si>
  <si>
    <t>Barquisimeto</t>
  </si>
  <si>
    <t>Nassau</t>
  </si>
  <si>
    <t>Bahamas</t>
  </si>
  <si>
    <t>BSD</t>
  </si>
  <si>
    <t>BBD</t>
  </si>
  <si>
    <t>Bridgetown</t>
  </si>
  <si>
    <t>Barbados</t>
  </si>
  <si>
    <t>La Habana</t>
  </si>
  <si>
    <t>Cuba</t>
  </si>
  <si>
    <t>Georgetown</t>
  </si>
  <si>
    <t>Guyana</t>
  </si>
  <si>
    <t>GYD</t>
  </si>
  <si>
    <t>Kingston</t>
  </si>
  <si>
    <t>Jamaica</t>
  </si>
  <si>
    <t>Jamaican Patois</t>
  </si>
  <si>
    <t>JMD</t>
  </si>
  <si>
    <t>Santo Domingo</t>
  </si>
  <si>
    <t>Dominican Republic</t>
  </si>
  <si>
    <t>DOP</t>
  </si>
  <si>
    <t>San Juan</t>
  </si>
  <si>
    <t>Puerto Rico</t>
  </si>
  <si>
    <t>Anchorage</t>
  </si>
  <si>
    <t>Aleut</t>
  </si>
  <si>
    <t>Angola</t>
  </si>
  <si>
    <t>Luanda</t>
  </si>
  <si>
    <t>Africa</t>
  </si>
  <si>
    <t>Umbundu</t>
  </si>
  <si>
    <t>Kwanza</t>
  </si>
  <si>
    <t>Algiers</t>
  </si>
  <si>
    <t>Algeria</t>
  </si>
  <si>
    <t>Berber</t>
  </si>
  <si>
    <t>DZD</t>
  </si>
  <si>
    <t>Oran</t>
  </si>
  <si>
    <t>Praia</t>
  </si>
  <si>
    <t>Cape Verde</t>
  </si>
  <si>
    <t>Cape Verdean</t>
  </si>
  <si>
    <t>CVE</t>
  </si>
  <si>
    <t>Abidjan</t>
  </si>
  <si>
    <t>Ivory Coast</t>
  </si>
  <si>
    <t>Bete</t>
  </si>
  <si>
    <t>XOF</t>
  </si>
  <si>
    <t>Alejandria</t>
  </si>
  <si>
    <t>Egypt</t>
  </si>
  <si>
    <t>Copto</t>
  </si>
  <si>
    <t>EGP</t>
  </si>
  <si>
    <t>Cairo</t>
  </si>
  <si>
    <t>Asmara</t>
  </si>
  <si>
    <t>Eritrea</t>
  </si>
  <si>
    <t>Tigrinya</t>
  </si>
  <si>
    <t>Nakfa</t>
  </si>
  <si>
    <t>Addis Abada</t>
  </si>
  <si>
    <t>Ethiopia</t>
  </si>
  <si>
    <t>Amharic</t>
  </si>
  <si>
    <t>Oromo</t>
  </si>
  <si>
    <t>Birr</t>
  </si>
  <si>
    <t>Accra</t>
  </si>
  <si>
    <t>Ghana</t>
  </si>
  <si>
    <t>Twi</t>
  </si>
  <si>
    <t>Cedi</t>
  </si>
  <si>
    <t>Nairobi</t>
  </si>
  <si>
    <t>Kenia</t>
  </si>
  <si>
    <t>Swahili</t>
  </si>
  <si>
    <t>Shilling</t>
  </si>
  <si>
    <t>Tripoli</t>
  </si>
  <si>
    <t>Libya</t>
  </si>
  <si>
    <t>LYD</t>
  </si>
  <si>
    <t>Rabat</t>
  </si>
  <si>
    <t>Morocco</t>
  </si>
  <si>
    <t>MAD</t>
  </si>
  <si>
    <t>Casablanca</t>
  </si>
  <si>
    <t>Marrakesh</t>
  </si>
  <si>
    <t>Maputo</t>
  </si>
  <si>
    <t>Mozambique</t>
  </si>
  <si>
    <t>Meticali</t>
  </si>
  <si>
    <t>Windhoek</t>
  </si>
  <si>
    <t>Namibia</t>
  </si>
  <si>
    <t>Khoekhoegowab</t>
  </si>
  <si>
    <t>NAD</t>
  </si>
  <si>
    <t>Kigali</t>
  </si>
  <si>
    <t>Rwanda</t>
  </si>
  <si>
    <t>Kinyarwanda</t>
  </si>
  <si>
    <t>RWF</t>
  </si>
  <si>
    <t>Dakar</t>
  </si>
  <si>
    <t>Senegal</t>
  </si>
  <si>
    <t>Wolof</t>
  </si>
  <si>
    <t>Cape Town</t>
  </si>
  <si>
    <t>Afrikaans</t>
  </si>
  <si>
    <t>Rand</t>
  </si>
  <si>
    <t>Johannesburg</t>
  </si>
  <si>
    <t>Zulu</t>
  </si>
  <si>
    <t>Pretoria</t>
  </si>
  <si>
    <t>South Africa</t>
  </si>
  <si>
    <t>Dar el Salaam</t>
  </si>
  <si>
    <t>Tanzania</t>
  </si>
  <si>
    <t>TZS</t>
  </si>
  <si>
    <t>Tunis</t>
  </si>
  <si>
    <t>Tunisia</t>
  </si>
  <si>
    <t>TND</t>
  </si>
  <si>
    <t>Kampala</t>
  </si>
  <si>
    <t>Uganda</t>
  </si>
  <si>
    <t>UGX</t>
  </si>
  <si>
    <t>Lusaka</t>
  </si>
  <si>
    <t>Zambia</t>
  </si>
  <si>
    <t>Bemba</t>
  </si>
  <si>
    <t>ZMW</t>
  </si>
  <si>
    <t>Harare</t>
  </si>
  <si>
    <t>Zimbabwe</t>
  </si>
  <si>
    <t>Nambya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</si>
</sst>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.0000_-;\-&quot;$&quot;* #,##0.0000_-;_-&quot;$&quot;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44" fontId="0" fillId="0" borderId="0" xfId="1" applyNumberFormat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00_-;\-&quot;$&quot;* #,##0.00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00_-;\-&quot;$&quot;* #,##0.00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00_-;\-&quot;$&quot;* #,##0.00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00_-;\-&quot;$&quot;* #,##0.00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00_-;\-&quot;$&quot;* #,##0.00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00_-;\-&quot;$&quot;* #,##0.00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00_-;\-&quot;$&quot;* #,##0.00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00_-;\-&quot;$&quot;* #,##0.00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00_-;\-&quot;$&quot;* #,##0.00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00_-;\-&quot;$&quot;* #,##0.00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00_-;\-&quot;$&quot;* #,##0.00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00_-;\-&quot;$&quot;* #,##0.00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00_-;\-&quot;$&quot;* #,##0.00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00_-;\-&quot;$&quot;* #,##0.00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00_-;\-&quot;$&quot;* #,##0.00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&quot;$&quot;* #,##0.0000_-;\-&quot;$&quot;* #,##0.00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A5AFE6-6ED4-403E-A8FC-6A8DA4DC26AB}" name="Tabla1" displayName="Tabla1" ref="A1:V251" totalsRowShown="0" dataDxfId="16" dataCellStyle="Moneda">
  <autoFilter ref="A1:V251" xr:uid="{94A5AFE6-6ED4-403E-A8FC-6A8DA4DC26AB}"/>
  <sortState xmlns:xlrd2="http://schemas.microsoft.com/office/spreadsheetml/2017/richdata2" ref="A2:V251">
    <sortCondition ref="J1:J251"/>
  </sortState>
  <tableColumns count="22">
    <tableColumn id="1" xr3:uid="{3CD28858-618A-428F-8C59-4E449780935A}" name="City"/>
    <tableColumn id="2" xr3:uid="{25E373F7-C8B0-4CAD-A544-120FA74444B9}" name="Country"/>
    <tableColumn id="3" xr3:uid="{A5A69C54-4681-45AE-9D2E-44DF6F628F95}" name="Continent"/>
    <tableColumn id="4" xr3:uid="{4DE4EE21-0854-4CC3-A82C-4155382FB12C}" name="Language"/>
    <tableColumn id="5" xr3:uid="{DDF12600-8414-449E-A115-F59E331350F5}" name="Language 2"/>
    <tableColumn id="6" xr3:uid="{DBA0FE08-4EE7-464C-A0BF-F5F6966C1022}" name="Currency"/>
    <tableColumn id="7" xr3:uid="{5A2E8BFD-7F7E-4E7A-82FE-9EB533CA665E}" name="Dollar" dataDxfId="15" dataCellStyle="Moneda"/>
    <tableColumn id="8" xr3:uid="{7CF2AB1A-9A92-4373-A6D2-1C56FE4DEFE0}" name="Only one person" dataDxfId="14" dataCellStyle="Moneda"/>
    <tableColumn id="9" xr3:uid="{3F40303D-4823-450D-B2B9-A12FA20AC28A}" name="4 people" dataDxfId="13" dataCellStyle="Moneda"/>
    <tableColumn id="10" xr3:uid="{62807A9E-C660-4618-9EAE-D38346997569}" name="1 lb chicken" dataDxfId="12" dataCellStyle="Moneda"/>
    <tableColumn id="11" xr3:uid="{16C6D868-A102-47FF-B0EE-657A4A722E9F}" name="Big Mac" dataDxfId="11" dataCellStyle="Moneda"/>
    <tableColumn id="12" xr3:uid="{8E31572F-837F-4F28-9936-E576DB2B8F2A}" name="Average Meal" dataDxfId="10" dataCellStyle="Moneda"/>
    <tableColumn id="13" xr3:uid="{C6296A33-46C7-4604-B312-A96F6A1B84A5}" name="Coca Cola 2lt" dataDxfId="9" dataCellStyle="Moneda"/>
    <tableColumn id="14" xr3:uid="{CF63F09E-7C78-43B4-A655-C4ACB4C69926}" name="Monthly rent" dataDxfId="8" dataCellStyle="Moneda"/>
    <tableColumn id="15" xr3:uid="{F7DC55C9-ABEC-44CA-8296-FD814CECD6B3}" name="Monthly rent expensive" dataDxfId="7" dataCellStyle="Moneda"/>
    <tableColumn id="16" xr3:uid="{9618CAE4-ABF1-4FA2-931A-F7B68DBF831F}" name="Monthly rent (small)" dataDxfId="6" dataCellStyle="Moneda"/>
    <tableColumn id="17" xr3:uid="{F17BE9BC-40D8-4EEE-B7D2-05C3B8B0D870}" name="Monthly rent expesive (small)" dataDxfId="5" dataCellStyle="Moneda"/>
    <tableColumn id="18" xr3:uid="{AE098B86-41E5-4F6D-A66C-79C8397193C1}" name="Internet 8mbps" dataDxfId="4" dataCellStyle="Moneda"/>
    <tableColumn id="19" xr3:uid="{E8639922-7E66-4B5C-B474-52397454445F}" name="Medical visit" dataDxfId="3" dataCellStyle="Moneda"/>
    <tableColumn id="20" xr3:uid="{9A5BA509-6925-4B33-AFC9-9260C4368F26}" name="1/4 gal gasoline" dataDxfId="2" dataCellStyle="Moneda"/>
    <tableColumn id="21" xr3:uid="{D7D3803A-7970-4BB1-990C-F9BE64B91EB5}" name="Average public transport" dataDxfId="1" dataCellStyle="Moneda"/>
    <tableColumn id="22" xr3:uid="{8CEF9F72-31B7-4ABA-A2CD-38F29D988893}" name="Marlboro Cigarette" dataDxfId="0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B50BE-71F7-446B-A629-33C26EC803D3}">
  <dimension ref="A1:V251"/>
  <sheetViews>
    <sheetView tabSelected="1" workbookViewId="0">
      <selection activeCell="B1" sqref="B1"/>
    </sheetView>
  </sheetViews>
  <sheetFormatPr baseColWidth="10" defaultRowHeight="15" x14ac:dyDescent="0.25"/>
  <cols>
    <col min="1" max="1" width="20.5703125" bestFit="1" customWidth="1"/>
    <col min="2" max="2" width="22.28515625" bestFit="1" customWidth="1"/>
    <col min="3" max="3" width="12" customWidth="1"/>
    <col min="4" max="4" width="22.5703125" bestFit="1" customWidth="1"/>
    <col min="5" max="5" width="14.85546875" bestFit="1" customWidth="1"/>
    <col min="6" max="6" width="14.28515625" bestFit="1" customWidth="1"/>
    <col min="7" max="7" width="13.5703125" bestFit="1" customWidth="1"/>
    <col min="8" max="8" width="17.7109375" customWidth="1"/>
    <col min="9" max="9" width="14.5703125" bestFit="1" customWidth="1"/>
    <col min="10" max="10" width="13.42578125" customWidth="1"/>
    <col min="11" max="11" width="11.85546875" bestFit="1" customWidth="1"/>
    <col min="12" max="12" width="15.42578125" customWidth="1"/>
    <col min="13" max="13" width="14.28515625" customWidth="1"/>
    <col min="14" max="14" width="14.85546875" customWidth="1"/>
    <col min="15" max="15" width="24.42578125" customWidth="1"/>
    <col min="16" max="16" width="22.42578125" customWidth="1"/>
    <col min="17" max="17" width="29.85546875" customWidth="1"/>
    <col min="18" max="18" width="16.7109375" customWidth="1"/>
    <col min="19" max="19" width="14.42578125" customWidth="1"/>
    <col min="20" max="20" width="16.85546875" customWidth="1"/>
    <col min="21" max="21" width="24.85546875" customWidth="1"/>
    <col min="22" max="22" width="20" customWidth="1"/>
  </cols>
  <sheetData>
    <row r="1" spans="1:22" x14ac:dyDescent="0.25">
      <c r="A1" t="s">
        <v>1</v>
      </c>
      <c r="B1" t="s">
        <v>0</v>
      </c>
      <c r="C1" t="s">
        <v>22</v>
      </c>
      <c r="D1" t="s">
        <v>2</v>
      </c>
      <c r="E1" t="s">
        <v>28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20</v>
      </c>
      <c r="Q1" t="s">
        <v>44</v>
      </c>
      <c r="R1" t="s">
        <v>13</v>
      </c>
      <c r="S1" t="s">
        <v>14</v>
      </c>
      <c r="T1" t="s">
        <v>19</v>
      </c>
      <c r="U1" t="s">
        <v>21</v>
      </c>
      <c r="V1" t="s">
        <v>15</v>
      </c>
    </row>
    <row r="2" spans="1:22" x14ac:dyDescent="0.25">
      <c r="A2" t="s">
        <v>171</v>
      </c>
      <c r="B2" t="s">
        <v>168</v>
      </c>
      <c r="C2" t="s">
        <v>23</v>
      </c>
      <c r="D2" t="s">
        <v>172</v>
      </c>
      <c r="E2" t="s">
        <v>169</v>
      </c>
      <c r="F2" t="s">
        <v>170</v>
      </c>
      <c r="G2" s="1">
        <v>4.4099999999999999E-3</v>
      </c>
      <c r="H2" s="2">
        <v>221</v>
      </c>
      <c r="I2" s="2">
        <v>585</v>
      </c>
      <c r="J2" s="2">
        <v>0.94</v>
      </c>
      <c r="K2" s="2">
        <v>1.55</v>
      </c>
      <c r="L2" s="2">
        <v>5.32</v>
      </c>
      <c r="M2" s="2">
        <v>0.4</v>
      </c>
      <c r="N2" s="2">
        <v>83</v>
      </c>
      <c r="O2" s="2">
        <v>128</v>
      </c>
      <c r="P2" s="2">
        <v>57</v>
      </c>
      <c r="Q2" s="2">
        <v>107</v>
      </c>
      <c r="R2" s="2">
        <v>3.69</v>
      </c>
      <c r="S2" s="2">
        <v>4.41</v>
      </c>
      <c r="T2" s="2">
        <v>0.32</v>
      </c>
      <c r="U2" s="2">
        <v>5.62</v>
      </c>
      <c r="V2" s="2">
        <v>0.93</v>
      </c>
    </row>
    <row r="3" spans="1:22" x14ac:dyDescent="0.25">
      <c r="A3" t="s">
        <v>475</v>
      </c>
      <c r="B3" t="s">
        <v>474</v>
      </c>
      <c r="C3" t="s">
        <v>405</v>
      </c>
      <c r="D3" t="s">
        <v>253</v>
      </c>
      <c r="E3" t="s">
        <v>253</v>
      </c>
      <c r="F3" t="s">
        <v>476</v>
      </c>
      <c r="G3" s="1">
        <v>1</v>
      </c>
      <c r="H3" s="2">
        <v>986</v>
      </c>
      <c r="I3" s="2">
        <v>2315</v>
      </c>
      <c r="J3" s="2">
        <v>1.06</v>
      </c>
      <c r="K3" s="2">
        <v>7</v>
      </c>
      <c r="L3" s="2">
        <v>13</v>
      </c>
      <c r="M3" s="2">
        <v>1.93</v>
      </c>
      <c r="N3" s="2">
        <v>387</v>
      </c>
      <c r="O3" s="2">
        <v>708</v>
      </c>
      <c r="P3" s="2">
        <v>304</v>
      </c>
      <c r="Q3" s="2">
        <v>529</v>
      </c>
      <c r="R3" s="2">
        <v>24</v>
      </c>
      <c r="S3" s="2">
        <v>29</v>
      </c>
      <c r="T3" s="2">
        <v>0.89</v>
      </c>
      <c r="U3" s="2">
        <v>29</v>
      </c>
      <c r="V3" s="2">
        <v>4.42</v>
      </c>
    </row>
    <row r="4" spans="1:22" x14ac:dyDescent="0.25">
      <c r="A4" t="s">
        <v>59</v>
      </c>
      <c r="B4" t="s">
        <v>56</v>
      </c>
      <c r="C4" t="s">
        <v>23</v>
      </c>
      <c r="D4" t="s">
        <v>57</v>
      </c>
      <c r="E4" t="s">
        <v>60</v>
      </c>
      <c r="F4" t="s">
        <v>58</v>
      </c>
      <c r="G4" s="1">
        <v>2.9000000000000001E-2</v>
      </c>
      <c r="H4" s="3">
        <f>34705*G4</f>
        <v>1006.4450000000001</v>
      </c>
      <c r="I4" s="3">
        <f>72828*G4</f>
        <v>2112.0120000000002</v>
      </c>
      <c r="J4" s="3">
        <f>44*G4</f>
        <v>1.276</v>
      </c>
      <c r="K4" s="3">
        <f>249*G4</f>
        <v>7.2210000000000001</v>
      </c>
      <c r="L4" s="3">
        <f>183*G4</f>
        <v>5.3070000000000004</v>
      </c>
      <c r="M4" s="3">
        <f>44*G4</f>
        <v>1.276</v>
      </c>
      <c r="N4" s="3">
        <f>17327*G4</f>
        <v>502.483</v>
      </c>
      <c r="O4" s="3">
        <f>27088*G4</f>
        <v>785.55200000000002</v>
      </c>
      <c r="P4" s="3">
        <f>7906*G4</f>
        <v>229.274</v>
      </c>
      <c r="Q4" s="3">
        <f>15270*G4</f>
        <v>442.83000000000004</v>
      </c>
      <c r="R4" s="3">
        <f>412*G4</f>
        <v>11.948</v>
      </c>
      <c r="S4" s="3">
        <f>633*G4</f>
        <v>18.356999999999999</v>
      </c>
      <c r="T4" s="3">
        <f>32*G4</f>
        <v>0.92800000000000005</v>
      </c>
      <c r="U4" s="3">
        <f>1507*G4</f>
        <v>43.703000000000003</v>
      </c>
      <c r="V4" s="3">
        <f>123*G4</f>
        <v>3.5670000000000002</v>
      </c>
    </row>
    <row r="5" spans="1:22" x14ac:dyDescent="0.25">
      <c r="A5" t="s">
        <v>440</v>
      </c>
      <c r="B5" t="s">
        <v>441</v>
      </c>
      <c r="C5" t="s">
        <v>405</v>
      </c>
      <c r="D5" t="s">
        <v>253</v>
      </c>
      <c r="E5" t="s">
        <v>253</v>
      </c>
      <c r="F5" t="s">
        <v>442</v>
      </c>
      <c r="G5" s="1">
        <v>2.7380000000000002E-2</v>
      </c>
      <c r="H5" s="2">
        <v>797</v>
      </c>
      <c r="I5" s="2">
        <v>1576</v>
      </c>
      <c r="J5" s="2">
        <v>1.37</v>
      </c>
      <c r="K5" s="2">
        <v>4.38</v>
      </c>
      <c r="L5" s="2">
        <v>8</v>
      </c>
      <c r="M5" s="2">
        <v>1.1000000000000001</v>
      </c>
      <c r="N5" s="2">
        <v>274</v>
      </c>
      <c r="O5" s="2">
        <v>821</v>
      </c>
      <c r="P5" s="2">
        <v>110</v>
      </c>
      <c r="Q5" s="2">
        <v>219</v>
      </c>
      <c r="R5" s="2">
        <v>11</v>
      </c>
      <c r="S5" s="2">
        <v>40</v>
      </c>
      <c r="T5" s="2">
        <v>0.64</v>
      </c>
      <c r="U5" s="2">
        <v>12</v>
      </c>
      <c r="V5" s="2">
        <v>1.51</v>
      </c>
    </row>
    <row r="6" spans="1:22" x14ac:dyDescent="0.25">
      <c r="A6" t="s">
        <v>25</v>
      </c>
      <c r="B6" t="s">
        <v>17</v>
      </c>
      <c r="C6" t="s">
        <v>23</v>
      </c>
      <c r="D6" t="s">
        <v>24</v>
      </c>
      <c r="E6" t="s">
        <v>24</v>
      </c>
      <c r="F6" t="s">
        <v>18</v>
      </c>
      <c r="G6" s="1">
        <v>9.7000000000000003E-3</v>
      </c>
      <c r="H6" s="2">
        <f>54961*G6</f>
        <v>533.12170000000003</v>
      </c>
      <c r="I6" s="2">
        <f>+G6*149198</f>
        <v>1447.2206000000001</v>
      </c>
      <c r="J6" s="2">
        <f>143*G6</f>
        <v>1.3871</v>
      </c>
      <c r="K6" s="2">
        <f>+G6*363</f>
        <v>3.5211000000000001</v>
      </c>
      <c r="L6" s="2">
        <f>+G6*208</f>
        <v>2.0175999999999998</v>
      </c>
      <c r="M6" s="2">
        <f>98*G6</f>
        <v>0.9506</v>
      </c>
      <c r="N6" s="2">
        <f>+G6*23251</f>
        <v>225.53470000000002</v>
      </c>
      <c r="O6" s="2">
        <f>+G6*26754</f>
        <v>259.5138</v>
      </c>
      <c r="P6" s="2">
        <f>+G6*10000</f>
        <v>97</v>
      </c>
      <c r="Q6" s="2">
        <f>12000*G6</f>
        <v>116.4</v>
      </c>
      <c r="R6" s="2">
        <f>+G6*2907</f>
        <v>28.197900000000001</v>
      </c>
      <c r="S6" s="2">
        <f>+G6*1800</f>
        <v>17.46</v>
      </c>
      <c r="T6" s="2">
        <f>100*G6</f>
        <v>0.97</v>
      </c>
      <c r="U6" s="2">
        <f>1000*G6</f>
        <v>9.7000000000000011</v>
      </c>
      <c r="V6" s="2">
        <f>210*G6</f>
        <v>2.0369999999999999</v>
      </c>
    </row>
    <row r="7" spans="1:22" x14ac:dyDescent="0.25">
      <c r="A7" t="s">
        <v>167</v>
      </c>
      <c r="B7" t="s">
        <v>168</v>
      </c>
      <c r="C7" t="s">
        <v>23</v>
      </c>
      <c r="D7" t="s">
        <v>169</v>
      </c>
      <c r="E7" t="s">
        <v>30</v>
      </c>
      <c r="F7" t="s">
        <v>170</v>
      </c>
      <c r="G7" s="1">
        <v>4.4099999999999999E-3</v>
      </c>
      <c r="H7" s="2">
        <v>936</v>
      </c>
      <c r="I7" s="2">
        <v>1751</v>
      </c>
      <c r="J7" s="2">
        <v>1.42</v>
      </c>
      <c r="K7" s="2">
        <v>5.18</v>
      </c>
      <c r="L7" s="2">
        <v>7</v>
      </c>
      <c r="M7" s="2">
        <v>0.97</v>
      </c>
      <c r="N7" s="2">
        <v>493</v>
      </c>
      <c r="O7" s="2">
        <v>805</v>
      </c>
      <c r="P7" s="2">
        <v>330</v>
      </c>
      <c r="Q7" s="2">
        <v>530</v>
      </c>
      <c r="R7" s="2">
        <v>16</v>
      </c>
      <c r="S7" s="2">
        <v>14</v>
      </c>
      <c r="T7" s="2">
        <v>1.2</v>
      </c>
      <c r="U7" s="2">
        <v>12</v>
      </c>
      <c r="V7" s="2">
        <v>0.97</v>
      </c>
    </row>
    <row r="8" spans="1:22" x14ac:dyDescent="0.25">
      <c r="A8" t="s">
        <v>560</v>
      </c>
      <c r="B8" t="s">
        <v>561</v>
      </c>
      <c r="C8" t="s">
        <v>522</v>
      </c>
      <c r="D8" t="s">
        <v>67</v>
      </c>
      <c r="E8" t="s">
        <v>250</v>
      </c>
      <c r="F8" t="s">
        <v>562</v>
      </c>
      <c r="G8" s="1">
        <v>0.20877999999999999</v>
      </c>
      <c r="H8" s="2">
        <v>425</v>
      </c>
      <c r="I8" s="2">
        <v>925</v>
      </c>
      <c r="J8" s="2">
        <v>1.47</v>
      </c>
      <c r="K8" s="2">
        <v>1.38</v>
      </c>
      <c r="L8" s="2">
        <v>3.76</v>
      </c>
      <c r="M8" s="2">
        <v>0.63</v>
      </c>
      <c r="N8" s="2">
        <v>161</v>
      </c>
      <c r="O8" s="2">
        <v>362</v>
      </c>
      <c r="P8" s="2">
        <v>106</v>
      </c>
      <c r="Q8" s="2">
        <v>159</v>
      </c>
      <c r="R8" s="2">
        <v>6</v>
      </c>
      <c r="S8" s="2">
        <v>17</v>
      </c>
      <c r="T8" s="2">
        <v>0.43</v>
      </c>
      <c r="U8" s="2">
        <v>11</v>
      </c>
      <c r="V8" s="2">
        <v>0.91</v>
      </c>
    </row>
    <row r="9" spans="1:22" x14ac:dyDescent="0.25">
      <c r="A9" t="s">
        <v>483</v>
      </c>
      <c r="B9" t="s">
        <v>481</v>
      </c>
      <c r="C9" t="s">
        <v>405</v>
      </c>
      <c r="D9" t="s">
        <v>253</v>
      </c>
      <c r="E9" t="s">
        <v>456</v>
      </c>
      <c r="F9" t="s">
        <v>482</v>
      </c>
      <c r="G9" s="1">
        <v>0.26382</v>
      </c>
      <c r="H9" s="2">
        <v>823</v>
      </c>
      <c r="I9" s="2">
        <v>1806</v>
      </c>
      <c r="J9" s="2">
        <v>1.5</v>
      </c>
      <c r="K9" s="2">
        <v>4.5999999999999996</v>
      </c>
      <c r="L9" s="2">
        <v>8</v>
      </c>
      <c r="M9" s="2">
        <v>2.12</v>
      </c>
      <c r="N9" s="2">
        <v>380</v>
      </c>
      <c r="O9" s="2">
        <v>606</v>
      </c>
      <c r="P9" s="2">
        <v>222</v>
      </c>
      <c r="Q9" s="2">
        <v>394</v>
      </c>
      <c r="R9" s="2">
        <v>16</v>
      </c>
      <c r="S9" s="2">
        <v>19</v>
      </c>
      <c r="T9" s="2">
        <v>0.84</v>
      </c>
      <c r="U9" s="2">
        <v>14</v>
      </c>
      <c r="V9" s="2">
        <v>2.65</v>
      </c>
    </row>
    <row r="10" spans="1:22" x14ac:dyDescent="0.25">
      <c r="A10" t="s">
        <v>50</v>
      </c>
      <c r="B10" t="s">
        <v>37</v>
      </c>
      <c r="C10" t="s">
        <v>23</v>
      </c>
      <c r="D10" t="s">
        <v>38</v>
      </c>
      <c r="E10" t="s">
        <v>38</v>
      </c>
      <c r="F10" t="s">
        <v>40</v>
      </c>
      <c r="G10" s="1">
        <v>4.1999999999999998E-5</v>
      </c>
      <c r="H10" s="2">
        <f>31347628*G10</f>
        <v>1316.6003759999999</v>
      </c>
      <c r="I10" s="2">
        <f>58580581*G10</f>
        <v>2460.3844019999997</v>
      </c>
      <c r="J10" s="2">
        <f>36320*G10</f>
        <v>1.5254399999999999</v>
      </c>
      <c r="K10" s="2">
        <f>94999*G10</f>
        <v>3.9899579999999997</v>
      </c>
      <c r="L10" s="2">
        <f>95079*G10</f>
        <v>3.9933179999999999</v>
      </c>
      <c r="M10" s="2">
        <f>21871*G10</f>
        <v>0.9185819999999999</v>
      </c>
      <c r="N10" s="2">
        <f>18058500*G10</f>
        <v>758.45699999999999</v>
      </c>
      <c r="O10" s="2">
        <f>26336800*G10</f>
        <v>1106.1455999999998</v>
      </c>
      <c r="P10" s="2">
        <f>9450820*G10</f>
        <v>396.93444</v>
      </c>
      <c r="Q10" s="2">
        <f>13634400*G10</f>
        <v>572.64479999999992</v>
      </c>
      <c r="R10" s="2">
        <f>192746*G10</f>
        <v>8.0953319999999991</v>
      </c>
      <c r="S10" s="2">
        <v>33</v>
      </c>
      <c r="T10" s="2">
        <f>22043*G10</f>
        <v>0.92580599999999991</v>
      </c>
      <c r="U10" s="2">
        <f>174561*G10</f>
        <v>7.3315619999999999</v>
      </c>
      <c r="V10" s="2">
        <f>29578*G10</f>
        <v>1.2422759999999999</v>
      </c>
    </row>
    <row r="11" spans="1:22" x14ac:dyDescent="0.25">
      <c r="A11" t="s">
        <v>127</v>
      </c>
      <c r="B11" t="s">
        <v>128</v>
      </c>
      <c r="C11" t="s">
        <v>23</v>
      </c>
      <c r="D11" t="s">
        <v>129</v>
      </c>
      <c r="E11" t="s">
        <v>42</v>
      </c>
      <c r="F11" t="s">
        <v>130</v>
      </c>
      <c r="G11" s="1">
        <v>6.0000000000000002E-5</v>
      </c>
      <c r="H11" s="2">
        <v>701</v>
      </c>
      <c r="I11" s="2">
        <v>1657</v>
      </c>
      <c r="J11" s="2">
        <v>1.53</v>
      </c>
      <c r="K11" s="2">
        <v>2.77</v>
      </c>
      <c r="L11" s="2">
        <v>3.05</v>
      </c>
      <c r="M11" s="2">
        <v>1.2</v>
      </c>
      <c r="N11" s="2">
        <v>276</v>
      </c>
      <c r="O11" s="2">
        <v>502</v>
      </c>
      <c r="P11" s="2">
        <v>175</v>
      </c>
      <c r="Q11" s="2">
        <v>329</v>
      </c>
      <c r="R11" s="2">
        <v>20</v>
      </c>
      <c r="S11" s="2">
        <v>9</v>
      </c>
      <c r="T11" s="2">
        <v>0.53</v>
      </c>
      <c r="U11" s="2">
        <v>23</v>
      </c>
      <c r="V11" s="2">
        <v>1.52</v>
      </c>
    </row>
    <row r="12" spans="1:22" x14ac:dyDescent="0.25">
      <c r="A12" t="s">
        <v>190</v>
      </c>
      <c r="B12" t="s">
        <v>192</v>
      </c>
      <c r="C12" t="s">
        <v>23</v>
      </c>
      <c r="D12" t="s">
        <v>191</v>
      </c>
      <c r="E12" t="s">
        <v>74</v>
      </c>
      <c r="F12" t="s">
        <v>193</v>
      </c>
      <c r="G12" s="1">
        <v>9.0000000000000006E-5</v>
      </c>
      <c r="H12" s="2">
        <v>736</v>
      </c>
      <c r="I12" s="2">
        <v>1510</v>
      </c>
      <c r="J12" s="2">
        <v>1.58</v>
      </c>
      <c r="K12" s="2">
        <v>3.28</v>
      </c>
      <c r="L12" s="2">
        <v>7</v>
      </c>
      <c r="M12" s="2">
        <v>1.23</v>
      </c>
      <c r="N12" s="2">
        <v>378</v>
      </c>
      <c r="O12" s="2">
        <v>566</v>
      </c>
      <c r="P12" s="2">
        <v>293</v>
      </c>
      <c r="Q12" s="2">
        <v>436</v>
      </c>
      <c r="R12" s="2">
        <v>9</v>
      </c>
      <c r="S12" s="2">
        <v>9</v>
      </c>
      <c r="T12" s="2">
        <v>0.63</v>
      </c>
      <c r="U12" s="2">
        <v>8</v>
      </c>
      <c r="V12" s="2">
        <v>1.94</v>
      </c>
    </row>
    <row r="13" spans="1:22" x14ac:dyDescent="0.25">
      <c r="A13" t="s">
        <v>449</v>
      </c>
      <c r="B13" t="s">
        <v>447</v>
      </c>
      <c r="C13" t="s">
        <v>405</v>
      </c>
      <c r="D13" t="s">
        <v>253</v>
      </c>
      <c r="E13" t="s">
        <v>253</v>
      </c>
      <c r="F13" t="s">
        <v>448</v>
      </c>
      <c r="G13" s="1">
        <v>5.5399999999999998E-3</v>
      </c>
      <c r="H13" s="2">
        <v>582</v>
      </c>
      <c r="I13" s="2">
        <v>1454</v>
      </c>
      <c r="J13" s="2">
        <v>1.59</v>
      </c>
      <c r="K13" s="2">
        <v>5.08</v>
      </c>
      <c r="L13" s="2">
        <v>7</v>
      </c>
      <c r="M13" s="2">
        <v>1.4</v>
      </c>
      <c r="N13" s="2">
        <v>238</v>
      </c>
      <c r="O13" s="2">
        <v>362</v>
      </c>
      <c r="P13" s="2">
        <v>148</v>
      </c>
      <c r="Q13" s="2">
        <v>230</v>
      </c>
      <c r="R13" s="2">
        <v>11</v>
      </c>
      <c r="S13" s="2">
        <v>13</v>
      </c>
      <c r="T13" s="2">
        <v>0.8</v>
      </c>
      <c r="U13" s="2">
        <v>16</v>
      </c>
      <c r="V13" s="2">
        <v>1.75</v>
      </c>
    </row>
    <row r="14" spans="1:22" x14ac:dyDescent="0.25">
      <c r="A14" t="s">
        <v>173</v>
      </c>
      <c r="B14" t="s">
        <v>168</v>
      </c>
      <c r="C14" t="s">
        <v>23</v>
      </c>
      <c r="D14" t="s">
        <v>169</v>
      </c>
      <c r="E14" t="s">
        <v>30</v>
      </c>
      <c r="F14" t="s">
        <v>170</v>
      </c>
      <c r="G14" s="1">
        <v>4.4099999999999999E-3</v>
      </c>
      <c r="H14" s="2">
        <v>503</v>
      </c>
      <c r="I14" s="2">
        <v>1324</v>
      </c>
      <c r="J14" s="2">
        <v>1.61</v>
      </c>
      <c r="K14" s="2">
        <v>2.76</v>
      </c>
      <c r="L14" s="2">
        <v>2.1</v>
      </c>
      <c r="M14" s="2">
        <v>0.98</v>
      </c>
      <c r="N14" s="2">
        <v>199</v>
      </c>
      <c r="O14" s="2">
        <v>203</v>
      </c>
      <c r="P14" s="2">
        <v>184</v>
      </c>
      <c r="Q14" s="2">
        <v>295</v>
      </c>
      <c r="R14" s="2">
        <v>8</v>
      </c>
      <c r="S14" s="2">
        <v>8</v>
      </c>
      <c r="T14" s="2">
        <v>1</v>
      </c>
      <c r="U14" s="2">
        <v>31</v>
      </c>
      <c r="V14" s="2">
        <v>5.38</v>
      </c>
    </row>
    <row r="15" spans="1:22" x14ac:dyDescent="0.25">
      <c r="A15" t="s">
        <v>144</v>
      </c>
      <c r="B15" t="s">
        <v>145</v>
      </c>
      <c r="C15" t="s">
        <v>23</v>
      </c>
      <c r="D15" t="s">
        <v>143</v>
      </c>
      <c r="E15" t="s">
        <v>74</v>
      </c>
      <c r="F15" t="s">
        <v>146</v>
      </c>
      <c r="G15" s="1">
        <v>1.167E-2</v>
      </c>
      <c r="H15" s="2">
        <v>713</v>
      </c>
      <c r="I15" s="2">
        <v>1430</v>
      </c>
      <c r="J15" s="2">
        <v>1.61</v>
      </c>
      <c r="K15" s="2">
        <v>2.6</v>
      </c>
      <c r="L15" s="2">
        <v>4.04</v>
      </c>
      <c r="M15" s="2">
        <v>0.83</v>
      </c>
      <c r="N15" s="2">
        <v>355</v>
      </c>
      <c r="O15" s="2">
        <v>589</v>
      </c>
      <c r="P15" s="2">
        <v>355</v>
      </c>
      <c r="Q15" s="2">
        <v>188</v>
      </c>
      <c r="R15" s="2">
        <v>12</v>
      </c>
      <c r="S15" s="2">
        <v>14</v>
      </c>
      <c r="T15" s="2">
        <v>0.56000000000000005</v>
      </c>
      <c r="U15" s="2">
        <v>8</v>
      </c>
      <c r="V15" s="2">
        <v>1.18</v>
      </c>
    </row>
    <row r="16" spans="1:22" x14ac:dyDescent="0.25">
      <c r="A16" t="s">
        <v>34</v>
      </c>
      <c r="B16" t="s">
        <v>27</v>
      </c>
      <c r="C16" t="s">
        <v>23</v>
      </c>
      <c r="D16" t="s">
        <v>30</v>
      </c>
      <c r="E16" t="s">
        <v>24</v>
      </c>
      <c r="F16" t="s">
        <v>31</v>
      </c>
      <c r="G16" s="1">
        <v>1.2E-2</v>
      </c>
      <c r="H16" s="2">
        <f>43512*G16</f>
        <v>522.14400000000001</v>
      </c>
      <c r="I16" s="2">
        <f>112183*G16</f>
        <v>1346.1960000000001</v>
      </c>
      <c r="J16" s="2">
        <f>+G16*144</f>
        <v>1.728</v>
      </c>
      <c r="K16" s="2">
        <f>+G16*361</f>
        <v>4.3319999999999999</v>
      </c>
      <c r="L16" s="2">
        <f>516*G16</f>
        <v>6.1920000000000002</v>
      </c>
      <c r="M16" s="2">
        <f>85*G16</f>
        <v>1.02</v>
      </c>
      <c r="N16" s="2">
        <f>+G16*13257</f>
        <v>159.084</v>
      </c>
      <c r="O16" s="2">
        <f>+G16*29215</f>
        <v>350.58</v>
      </c>
      <c r="P16" s="2">
        <f>11244*G16</f>
        <v>134.928</v>
      </c>
      <c r="Q16" s="2">
        <f>+G16*27660</f>
        <v>331.92</v>
      </c>
      <c r="R16" s="2">
        <f>483*G16</f>
        <v>5.7960000000000003</v>
      </c>
      <c r="S16" s="2">
        <f>+G16*729</f>
        <v>8.7479999999999993</v>
      </c>
      <c r="T16" s="2">
        <f>105*G16</f>
        <v>1.26</v>
      </c>
      <c r="U16" s="2">
        <f>914*G16</f>
        <v>10.968</v>
      </c>
      <c r="V16" s="2">
        <f>198*G16</f>
        <v>2.3759999999999999</v>
      </c>
    </row>
    <row r="17" spans="1:22" x14ac:dyDescent="0.25">
      <c r="A17" t="s">
        <v>484</v>
      </c>
      <c r="B17" t="s">
        <v>485</v>
      </c>
      <c r="C17" t="s">
        <v>405</v>
      </c>
      <c r="D17" t="s">
        <v>220</v>
      </c>
      <c r="E17" t="s">
        <v>220</v>
      </c>
      <c r="F17" t="s">
        <v>486</v>
      </c>
      <c r="G17" s="1">
        <v>0.31619999999999998</v>
      </c>
      <c r="H17" s="2">
        <v>530</v>
      </c>
      <c r="I17" s="2">
        <v>1291</v>
      </c>
      <c r="J17" s="2">
        <v>1.76</v>
      </c>
      <c r="K17" s="2">
        <v>4.4400000000000004</v>
      </c>
      <c r="L17" s="2">
        <v>4.51</v>
      </c>
      <c r="M17" s="2">
        <v>1.1499999999999999</v>
      </c>
      <c r="N17" s="2">
        <v>261</v>
      </c>
      <c r="O17" s="2">
        <v>310</v>
      </c>
      <c r="P17" s="2">
        <v>130</v>
      </c>
      <c r="Q17" s="2">
        <v>224</v>
      </c>
      <c r="R17" s="2">
        <v>13</v>
      </c>
      <c r="S17" s="2">
        <v>8</v>
      </c>
      <c r="T17" s="2">
        <v>0.7</v>
      </c>
      <c r="U17" s="2">
        <v>4.8499999999999996</v>
      </c>
      <c r="V17" s="2">
        <v>0.77</v>
      </c>
    </row>
    <row r="18" spans="1:22" x14ac:dyDescent="0.25">
      <c r="A18" t="s">
        <v>477</v>
      </c>
      <c r="B18" t="s">
        <v>478</v>
      </c>
      <c r="C18" t="s">
        <v>405</v>
      </c>
      <c r="D18" t="s">
        <v>253</v>
      </c>
      <c r="E18" t="s">
        <v>479</v>
      </c>
      <c r="F18" t="s">
        <v>479</v>
      </c>
      <c r="G18" s="1">
        <v>1.3999999999999999E-4</v>
      </c>
      <c r="H18" s="2">
        <v>847</v>
      </c>
      <c r="I18" s="2">
        <v>1819</v>
      </c>
      <c r="J18" s="2">
        <v>1.77</v>
      </c>
      <c r="K18" s="2">
        <v>4.3499999999999996</v>
      </c>
      <c r="L18" s="2">
        <v>7</v>
      </c>
      <c r="M18" s="2">
        <v>1.56</v>
      </c>
      <c r="N18" s="2">
        <v>334</v>
      </c>
      <c r="O18" s="2">
        <v>690</v>
      </c>
      <c r="P18" s="2">
        <v>494</v>
      </c>
      <c r="Q18" s="2">
        <v>273</v>
      </c>
      <c r="R18" s="2">
        <v>13</v>
      </c>
      <c r="S18" s="2">
        <v>15</v>
      </c>
      <c r="T18" s="2">
        <v>1.19</v>
      </c>
      <c r="U18" s="2">
        <v>24</v>
      </c>
      <c r="V18" s="2">
        <v>1.33</v>
      </c>
    </row>
    <row r="19" spans="1:22" x14ac:dyDescent="0.25">
      <c r="A19" t="s">
        <v>16</v>
      </c>
      <c r="B19" t="s">
        <v>17</v>
      </c>
      <c r="C19" t="s">
        <v>23</v>
      </c>
      <c r="D19" t="s">
        <v>24</v>
      </c>
      <c r="E19" t="s">
        <v>24</v>
      </c>
      <c r="F19" t="s">
        <v>18</v>
      </c>
      <c r="G19" s="1">
        <v>9.7000000000000003E-3</v>
      </c>
      <c r="H19" s="2">
        <f>62595*G19</f>
        <v>607.17150000000004</v>
      </c>
      <c r="I19" s="2">
        <f>+G19*174234</f>
        <v>1690.0698</v>
      </c>
      <c r="J19" s="2">
        <f>+G19*183</f>
        <v>1.7751000000000001</v>
      </c>
      <c r="K19" s="2">
        <f>498*G19</f>
        <v>4.8306000000000004</v>
      </c>
      <c r="L19" s="2">
        <f>351*G19</f>
        <v>3.4047000000000001</v>
      </c>
      <c r="M19" s="2">
        <f>112*G19</f>
        <v>1.0864</v>
      </c>
      <c r="N19" s="2">
        <f>+G19*20037</f>
        <v>194.35890000000001</v>
      </c>
      <c r="O19" s="2">
        <f>35222*G19</f>
        <v>341.65340000000003</v>
      </c>
      <c r="P19" s="2">
        <f>+G19*16302</f>
        <v>158.1294</v>
      </c>
      <c r="Q19" s="2">
        <f>+G19*17374</f>
        <v>168.52780000000001</v>
      </c>
      <c r="R19" s="2">
        <f>1400*G19</f>
        <v>13.58</v>
      </c>
      <c r="S19" s="2">
        <f>+G19*2000</f>
        <v>19.400000000000002</v>
      </c>
      <c r="T19" s="2">
        <f>+G19*105</f>
        <v>1.0185</v>
      </c>
      <c r="U19" s="2">
        <f>G19*1326</f>
        <v>12.8622</v>
      </c>
      <c r="V19" s="2">
        <f>280*G19</f>
        <v>2.7160000000000002</v>
      </c>
    </row>
    <row r="20" spans="1:22" x14ac:dyDescent="0.25">
      <c r="A20" t="s">
        <v>105</v>
      </c>
      <c r="B20" t="s">
        <v>95</v>
      </c>
      <c r="C20" t="s">
        <v>23</v>
      </c>
      <c r="D20" t="s">
        <v>106</v>
      </c>
      <c r="E20" t="s">
        <v>39</v>
      </c>
      <c r="F20" t="s">
        <v>97</v>
      </c>
      <c r="G20" s="1">
        <v>0.14545</v>
      </c>
      <c r="H20" s="2">
        <v>830</v>
      </c>
      <c r="I20" s="2">
        <v>1901</v>
      </c>
      <c r="J20" s="2">
        <v>1.78</v>
      </c>
      <c r="K20" s="2">
        <v>4.55</v>
      </c>
      <c r="L20" s="2">
        <v>3.26</v>
      </c>
      <c r="M20" s="2">
        <v>0.92</v>
      </c>
      <c r="N20" s="2">
        <v>389</v>
      </c>
      <c r="O20" s="2">
        <v>583</v>
      </c>
      <c r="P20" s="2">
        <v>209</v>
      </c>
      <c r="Q20" s="2">
        <v>383</v>
      </c>
      <c r="R20" s="2">
        <v>14</v>
      </c>
      <c r="S20" s="2">
        <v>29</v>
      </c>
      <c r="T20" s="2">
        <v>1.05</v>
      </c>
      <c r="U20" s="2">
        <v>17</v>
      </c>
      <c r="V20" s="2">
        <v>2.9</v>
      </c>
    </row>
    <row r="21" spans="1:22" x14ac:dyDescent="0.25">
      <c r="A21" t="s">
        <v>103</v>
      </c>
      <c r="B21" t="s">
        <v>95</v>
      </c>
      <c r="C21" t="s">
        <v>23</v>
      </c>
      <c r="D21" t="s">
        <v>104</v>
      </c>
      <c r="E21" t="s">
        <v>39</v>
      </c>
      <c r="F21" t="s">
        <v>97</v>
      </c>
      <c r="G21" s="1">
        <v>0.14545</v>
      </c>
      <c r="H21" s="2">
        <v>1050</v>
      </c>
      <c r="I21" s="2">
        <v>2269</v>
      </c>
      <c r="J21" s="2">
        <v>1.81</v>
      </c>
      <c r="K21" s="2">
        <v>6</v>
      </c>
      <c r="L21" s="2">
        <v>4.49</v>
      </c>
      <c r="M21" s="2">
        <v>1.0900000000000001</v>
      </c>
      <c r="N21" s="2">
        <v>493</v>
      </c>
      <c r="O21" s="2">
        <v>782</v>
      </c>
      <c r="P21" s="2">
        <v>405</v>
      </c>
      <c r="Q21" s="2">
        <v>610</v>
      </c>
      <c r="R21" s="2">
        <v>15</v>
      </c>
      <c r="S21" s="2">
        <v>30</v>
      </c>
      <c r="T21" s="2">
        <v>0.95</v>
      </c>
      <c r="U21" s="2">
        <v>20</v>
      </c>
      <c r="V21" s="2">
        <v>3.91</v>
      </c>
    </row>
    <row r="22" spans="1:22" x14ac:dyDescent="0.25">
      <c r="A22" t="s">
        <v>177</v>
      </c>
      <c r="B22" t="s">
        <v>178</v>
      </c>
      <c r="C22" t="s">
        <v>23</v>
      </c>
      <c r="D22" t="s">
        <v>179</v>
      </c>
      <c r="E22" t="s">
        <v>74</v>
      </c>
      <c r="F22" t="s">
        <v>180</v>
      </c>
      <c r="G22" s="1">
        <v>9.7949999999999995E-2</v>
      </c>
      <c r="H22" s="2">
        <v>714</v>
      </c>
      <c r="I22" s="2">
        <v>1435</v>
      </c>
      <c r="J22" s="2">
        <v>1.83</v>
      </c>
      <c r="K22" s="2">
        <v>2.5499999999999998</v>
      </c>
      <c r="L22" s="2">
        <v>3.42</v>
      </c>
      <c r="M22" s="2">
        <v>0.85</v>
      </c>
      <c r="N22" s="2">
        <v>373</v>
      </c>
      <c r="O22" s="2">
        <v>563</v>
      </c>
      <c r="P22" s="2">
        <v>228</v>
      </c>
      <c r="Q22" s="2">
        <v>320</v>
      </c>
      <c r="R22" s="2">
        <v>24</v>
      </c>
      <c r="S22" s="2">
        <v>40</v>
      </c>
      <c r="T22" s="2">
        <v>0.65</v>
      </c>
      <c r="U22" s="2">
        <v>11</v>
      </c>
      <c r="V22" s="2">
        <v>1.78</v>
      </c>
    </row>
    <row r="23" spans="1:22" x14ac:dyDescent="0.25">
      <c r="A23" t="s">
        <v>131</v>
      </c>
      <c r="B23" t="s">
        <v>128</v>
      </c>
      <c r="C23" t="s">
        <v>23</v>
      </c>
      <c r="D23" t="s">
        <v>129</v>
      </c>
      <c r="E23" t="s">
        <v>132</v>
      </c>
      <c r="F23" t="s">
        <v>130</v>
      </c>
      <c r="G23" s="1">
        <v>6.0000000000000002E-5</v>
      </c>
      <c r="H23" s="2">
        <v>1292</v>
      </c>
      <c r="I23" s="2">
        <v>2366</v>
      </c>
      <c r="J23" s="2">
        <v>1.84</v>
      </c>
      <c r="K23" s="2">
        <v>3.3</v>
      </c>
      <c r="L23" s="2">
        <v>2.85</v>
      </c>
      <c r="M23" s="2">
        <v>1.28</v>
      </c>
      <c r="N23" s="2">
        <v>662</v>
      </c>
      <c r="O23" s="2">
        <v>1182</v>
      </c>
      <c r="P23" s="2">
        <v>255</v>
      </c>
      <c r="Q23" s="2">
        <v>543</v>
      </c>
      <c r="R23" s="2">
        <v>28</v>
      </c>
      <c r="S23" s="2">
        <v>19</v>
      </c>
      <c r="T23" s="2">
        <v>0.76</v>
      </c>
      <c r="U23" s="2">
        <v>3.29</v>
      </c>
      <c r="V23" s="2">
        <v>1.85</v>
      </c>
    </row>
    <row r="24" spans="1:22" x14ac:dyDescent="0.25">
      <c r="A24" t="s">
        <v>46</v>
      </c>
      <c r="B24" t="s">
        <v>45</v>
      </c>
      <c r="C24" t="s">
        <v>23</v>
      </c>
      <c r="D24" t="s">
        <v>42</v>
      </c>
      <c r="E24" t="s">
        <v>42</v>
      </c>
      <c r="F24" t="s">
        <v>47</v>
      </c>
      <c r="G24" s="1">
        <v>0.23</v>
      </c>
      <c r="H24" s="2">
        <f>4580*G24</f>
        <v>1053.4000000000001</v>
      </c>
      <c r="I24" s="2">
        <f>9571*G24</f>
        <v>2201.33</v>
      </c>
      <c r="J24" s="2">
        <f>8*G24</f>
        <v>1.84</v>
      </c>
      <c r="K24" s="2">
        <f>17*G24</f>
        <v>3.91</v>
      </c>
      <c r="L24" s="2">
        <f>14*G24</f>
        <v>3.22</v>
      </c>
      <c r="M24" s="2">
        <f>5.12*G24</f>
        <v>1.1776</v>
      </c>
      <c r="N24" s="2">
        <f>2275*G24</f>
        <v>523.25</v>
      </c>
      <c r="O24" s="2">
        <f>3547*G24</f>
        <v>815.81000000000006</v>
      </c>
      <c r="P24" s="2">
        <f>1258*G24</f>
        <v>289.34000000000003</v>
      </c>
      <c r="Q24" s="2">
        <f>1938*G24</f>
        <v>445.74</v>
      </c>
      <c r="R24" s="2">
        <f>108*G24</f>
        <v>24.84</v>
      </c>
      <c r="S24" s="2">
        <f>69*G24</f>
        <v>15.870000000000001</v>
      </c>
      <c r="T24" s="2">
        <f>2.14*G24</f>
        <v>0.49220000000000003</v>
      </c>
      <c r="U24" s="2">
        <f>93*G24</f>
        <v>21.39</v>
      </c>
      <c r="V24" s="2">
        <f>19*G24</f>
        <v>4.37</v>
      </c>
    </row>
    <row r="25" spans="1:22" x14ac:dyDescent="0.25">
      <c r="A25" t="s">
        <v>139</v>
      </c>
      <c r="B25" t="s">
        <v>140</v>
      </c>
      <c r="C25" t="s">
        <v>23</v>
      </c>
      <c r="D25" t="s">
        <v>141</v>
      </c>
      <c r="E25" t="s">
        <v>74</v>
      </c>
      <c r="F25" t="s">
        <v>142</v>
      </c>
      <c r="G25" s="1">
        <v>2.15E-3</v>
      </c>
      <c r="H25" s="2">
        <v>764</v>
      </c>
      <c r="I25" s="2">
        <v>1622</v>
      </c>
      <c r="J25" s="2">
        <v>1.84</v>
      </c>
      <c r="K25" s="2">
        <v>3.71</v>
      </c>
      <c r="L25" s="2">
        <v>4.8600000000000003</v>
      </c>
      <c r="M25" s="2">
        <v>1.0900000000000001</v>
      </c>
      <c r="N25" s="2">
        <v>400</v>
      </c>
      <c r="O25" s="2">
        <v>557</v>
      </c>
      <c r="P25" s="2">
        <v>238</v>
      </c>
      <c r="Q25" s="2">
        <v>329</v>
      </c>
      <c r="R25" s="2">
        <v>9</v>
      </c>
      <c r="S25" s="2">
        <v>11</v>
      </c>
      <c r="T25" s="2">
        <v>0.36</v>
      </c>
      <c r="U25" s="2">
        <v>18</v>
      </c>
      <c r="V25" s="2">
        <v>1.1599999999999999</v>
      </c>
    </row>
    <row r="26" spans="1:22" x14ac:dyDescent="0.25">
      <c r="A26" t="s">
        <v>472</v>
      </c>
      <c r="B26" t="s">
        <v>470</v>
      </c>
      <c r="C26" t="s">
        <v>405</v>
      </c>
      <c r="D26" t="s">
        <v>253</v>
      </c>
      <c r="E26" t="s">
        <v>253</v>
      </c>
      <c r="F26" t="s">
        <v>471</v>
      </c>
      <c r="G26" s="1">
        <v>2.1000000000000001E-4</v>
      </c>
      <c r="H26" s="2">
        <v>650</v>
      </c>
      <c r="I26" s="2">
        <v>1524</v>
      </c>
      <c r="J26" s="2">
        <v>1.84</v>
      </c>
      <c r="K26" s="2">
        <v>4.9400000000000004</v>
      </c>
      <c r="L26" s="2">
        <v>7</v>
      </c>
      <c r="M26" s="2">
        <v>1.18</v>
      </c>
      <c r="N26" s="2">
        <v>231</v>
      </c>
      <c r="O26" s="2">
        <v>502</v>
      </c>
      <c r="P26" s="2">
        <v>152</v>
      </c>
      <c r="Q26" s="2">
        <v>321</v>
      </c>
      <c r="R26" s="2">
        <v>17</v>
      </c>
      <c r="S26" s="2">
        <v>20</v>
      </c>
      <c r="T26" s="2">
        <v>0.74</v>
      </c>
      <c r="U26" s="2">
        <v>29</v>
      </c>
      <c r="V26" s="2">
        <v>1.79</v>
      </c>
    </row>
    <row r="27" spans="1:22" x14ac:dyDescent="0.25">
      <c r="A27" t="s">
        <v>100</v>
      </c>
      <c r="B27" t="s">
        <v>95</v>
      </c>
      <c r="C27" t="s">
        <v>23</v>
      </c>
      <c r="D27" t="s">
        <v>39</v>
      </c>
      <c r="E27" t="s">
        <v>30</v>
      </c>
      <c r="F27" t="s">
        <v>97</v>
      </c>
      <c r="G27" s="1">
        <v>0.14545</v>
      </c>
      <c r="H27" s="2">
        <v>2385</v>
      </c>
      <c r="I27" s="2">
        <v>3697</v>
      </c>
      <c r="J27" s="2">
        <v>1.86</v>
      </c>
      <c r="K27" s="2">
        <v>5.43</v>
      </c>
      <c r="L27" s="2">
        <v>6</v>
      </c>
      <c r="M27" s="2">
        <v>1.25</v>
      </c>
      <c r="N27" s="2">
        <v>1372</v>
      </c>
      <c r="O27" s="2">
        <v>2432</v>
      </c>
      <c r="P27" s="2">
        <v>661</v>
      </c>
      <c r="Q27" s="2">
        <v>1207</v>
      </c>
      <c r="R27" s="2">
        <v>21</v>
      </c>
      <c r="S27" s="2">
        <v>41</v>
      </c>
      <c r="T27" s="2">
        <v>1.1299999999999999</v>
      </c>
      <c r="U27" s="2">
        <v>29</v>
      </c>
      <c r="V27" s="2">
        <v>2.8</v>
      </c>
    </row>
    <row r="28" spans="1:22" x14ac:dyDescent="0.25">
      <c r="A28" t="s">
        <v>455</v>
      </c>
      <c r="B28" t="s">
        <v>452</v>
      </c>
      <c r="C28" t="s">
        <v>405</v>
      </c>
      <c r="D28" t="s">
        <v>253</v>
      </c>
      <c r="E28" t="s">
        <v>456</v>
      </c>
      <c r="F28" t="s">
        <v>454</v>
      </c>
      <c r="G28" s="1">
        <v>0.14463999999999999</v>
      </c>
      <c r="H28" s="2">
        <v>915</v>
      </c>
      <c r="I28" s="2">
        <v>1984</v>
      </c>
      <c r="J28" s="2">
        <v>1.92</v>
      </c>
      <c r="K28" s="2">
        <v>7</v>
      </c>
      <c r="L28" s="2">
        <v>9</v>
      </c>
      <c r="M28" s="2">
        <v>1.7</v>
      </c>
      <c r="N28" s="2">
        <v>401</v>
      </c>
      <c r="O28" s="2">
        <v>714</v>
      </c>
      <c r="P28" s="2">
        <v>301</v>
      </c>
      <c r="Q28" s="2">
        <v>463</v>
      </c>
      <c r="R28" s="2">
        <v>25</v>
      </c>
      <c r="S28" s="2">
        <v>28</v>
      </c>
      <c r="T28" s="2">
        <v>0.54</v>
      </c>
      <c r="U28" s="2">
        <v>24</v>
      </c>
      <c r="V28" s="2">
        <v>2.41</v>
      </c>
    </row>
    <row r="29" spans="1:22" x14ac:dyDescent="0.25">
      <c r="A29" t="s">
        <v>462</v>
      </c>
      <c r="B29" t="s">
        <v>458</v>
      </c>
      <c r="C29" t="s">
        <v>405</v>
      </c>
      <c r="D29" t="s">
        <v>183</v>
      </c>
      <c r="E29" t="s">
        <v>183</v>
      </c>
      <c r="F29" t="s">
        <v>459</v>
      </c>
      <c r="G29" s="1">
        <v>0.19228999999999999</v>
      </c>
      <c r="H29" s="2">
        <v>1014</v>
      </c>
      <c r="I29" s="2">
        <v>2327</v>
      </c>
      <c r="J29" s="2">
        <v>1.93</v>
      </c>
      <c r="K29" s="2">
        <v>7</v>
      </c>
      <c r="L29" s="2">
        <v>7</v>
      </c>
      <c r="M29" s="2">
        <v>1.64</v>
      </c>
      <c r="N29" s="2">
        <v>474</v>
      </c>
      <c r="O29" s="2">
        <v>671</v>
      </c>
      <c r="P29" s="2">
        <v>323</v>
      </c>
      <c r="Q29" s="2">
        <v>443</v>
      </c>
      <c r="R29" s="2">
        <v>19</v>
      </c>
      <c r="S29" s="2">
        <v>51</v>
      </c>
      <c r="T29" s="2">
        <v>1.24</v>
      </c>
      <c r="U29" s="2">
        <v>37</v>
      </c>
      <c r="V29" s="2">
        <v>2.2799999999999998</v>
      </c>
    </row>
    <row r="30" spans="1:22" x14ac:dyDescent="0.25">
      <c r="A30" t="s">
        <v>26</v>
      </c>
      <c r="B30" t="s">
        <v>27</v>
      </c>
      <c r="C30" t="s">
        <v>23</v>
      </c>
      <c r="D30" t="s">
        <v>29</v>
      </c>
      <c r="E30" t="s">
        <v>30</v>
      </c>
      <c r="F30" t="s">
        <v>31</v>
      </c>
      <c r="G30" s="1">
        <v>1.2E-2</v>
      </c>
      <c r="H30" s="2">
        <f>+G30*61242</f>
        <v>734.904</v>
      </c>
      <c r="I30" s="2">
        <f>+G30*133354</f>
        <v>1600.248</v>
      </c>
      <c r="J30" s="2">
        <f>161*G30</f>
        <v>1.9319999999999999</v>
      </c>
      <c r="K30" s="2">
        <f>311*G30</f>
        <v>3.7320000000000002</v>
      </c>
      <c r="L30" s="2">
        <f>398*G30</f>
        <v>4.7759999999999998</v>
      </c>
      <c r="M30" s="2">
        <f>93*G30</f>
        <v>1.1160000000000001</v>
      </c>
      <c r="N30" s="2">
        <f>+G30*25764</f>
        <v>309.16800000000001</v>
      </c>
      <c r="O30" s="2">
        <f>+G30*49914</f>
        <v>598.96799999999996</v>
      </c>
      <c r="P30" s="2">
        <f>11384*G30</f>
        <v>136.608</v>
      </c>
      <c r="Q30" s="2">
        <f>+G30*22273</f>
        <v>267.27600000000001</v>
      </c>
      <c r="R30" s="2">
        <f>662*G30</f>
        <v>7.944</v>
      </c>
      <c r="S30" s="2">
        <f>G30*1038</f>
        <v>12.456</v>
      </c>
      <c r="T30" s="2">
        <f>103*G30</f>
        <v>1.236</v>
      </c>
      <c r="U30" s="2">
        <f>857*G30</f>
        <v>10.284000000000001</v>
      </c>
      <c r="V30" s="2">
        <f>283*G30</f>
        <v>3.3959999999999999</v>
      </c>
    </row>
    <row r="31" spans="1:22" x14ac:dyDescent="0.25">
      <c r="A31" t="s">
        <v>156</v>
      </c>
      <c r="B31" t="s">
        <v>157</v>
      </c>
      <c r="C31" t="s">
        <v>23</v>
      </c>
      <c r="D31" t="s">
        <v>158</v>
      </c>
      <c r="E31" t="s">
        <v>158</v>
      </c>
      <c r="F31" t="s">
        <v>159</v>
      </c>
      <c r="G31" s="1">
        <v>2.9E-4</v>
      </c>
      <c r="H31" s="2">
        <v>764</v>
      </c>
      <c r="I31" s="2">
        <v>1554</v>
      </c>
      <c r="J31" s="2">
        <v>2.0099999999999998</v>
      </c>
      <c r="K31" s="2">
        <v>3.65</v>
      </c>
      <c r="L31" s="2">
        <v>3.67</v>
      </c>
      <c r="M31" s="2">
        <v>0.93</v>
      </c>
      <c r="N31" s="2">
        <v>362</v>
      </c>
      <c r="O31" s="2">
        <v>646</v>
      </c>
      <c r="P31" s="2">
        <v>174</v>
      </c>
      <c r="Q31" s="2">
        <v>339</v>
      </c>
      <c r="R31" s="2">
        <v>12</v>
      </c>
      <c r="S31" s="2">
        <v>11</v>
      </c>
      <c r="T31" s="2">
        <v>0.66</v>
      </c>
      <c r="U31" s="2">
        <v>8</v>
      </c>
      <c r="V31" s="2">
        <v>1.45</v>
      </c>
    </row>
    <row r="32" spans="1:22" x14ac:dyDescent="0.25">
      <c r="A32" t="s">
        <v>35</v>
      </c>
      <c r="B32" t="s">
        <v>27</v>
      </c>
      <c r="C32" t="s">
        <v>23</v>
      </c>
      <c r="D32" t="s">
        <v>29</v>
      </c>
      <c r="E32" t="s">
        <v>30</v>
      </c>
      <c r="F32" t="s">
        <v>31</v>
      </c>
      <c r="G32" s="1">
        <v>1.2E-2</v>
      </c>
      <c r="H32" s="2">
        <f>+G32*61407</f>
        <v>736.88400000000001</v>
      </c>
      <c r="I32" s="2">
        <f>134181*G32</f>
        <v>1610.172</v>
      </c>
      <c r="J32" s="2">
        <f>169*G32</f>
        <v>2.028</v>
      </c>
      <c r="K32" s="2">
        <f>319*G32</f>
        <v>3.8280000000000003</v>
      </c>
      <c r="L32" s="2">
        <f>+G32*358</f>
        <v>4.2960000000000003</v>
      </c>
      <c r="M32" s="2">
        <f>88*G32</f>
        <v>1.056</v>
      </c>
      <c r="N32" s="2">
        <f>26837*G32</f>
        <v>322.04399999999998</v>
      </c>
      <c r="O32" s="2">
        <f>+G32*47734</f>
        <v>572.80799999999999</v>
      </c>
      <c r="P32" s="2">
        <f>14238*G32</f>
        <v>170.85599999999999</v>
      </c>
      <c r="Q32" s="2">
        <f>24182*G32</f>
        <v>290.18400000000003</v>
      </c>
      <c r="R32" s="2">
        <f>+G32*642</f>
        <v>7.7039999999999997</v>
      </c>
      <c r="S32" s="2">
        <f>1511*G32</f>
        <v>18.132000000000001</v>
      </c>
      <c r="T32" s="2">
        <f>107*G32</f>
        <v>1.284</v>
      </c>
      <c r="U32" s="2">
        <f>1090*G32</f>
        <v>13.08</v>
      </c>
      <c r="V32" s="2">
        <f>237*G32</f>
        <v>2.8439999999999999</v>
      </c>
    </row>
    <row r="33" spans="1:22" x14ac:dyDescent="0.25">
      <c r="A33" t="s">
        <v>76</v>
      </c>
      <c r="B33" t="s">
        <v>77</v>
      </c>
      <c r="C33" t="s">
        <v>23</v>
      </c>
      <c r="D33" t="s">
        <v>78</v>
      </c>
      <c r="E33" t="s">
        <v>74</v>
      </c>
      <c r="F33" t="s">
        <v>79</v>
      </c>
      <c r="G33" s="1">
        <v>0.58699999999999997</v>
      </c>
      <c r="H33" s="2">
        <v>650</v>
      </c>
      <c r="I33" s="2">
        <v>1596</v>
      </c>
      <c r="J33" s="2">
        <v>2.04</v>
      </c>
      <c r="K33" s="2">
        <v>4.99</v>
      </c>
      <c r="L33" s="2">
        <v>5.94</v>
      </c>
      <c r="M33" s="2">
        <v>1.06</v>
      </c>
      <c r="N33" s="2">
        <v>328</v>
      </c>
      <c r="O33" s="2">
        <v>352</v>
      </c>
      <c r="P33" s="2">
        <v>230</v>
      </c>
      <c r="Q33" s="2">
        <v>345</v>
      </c>
      <c r="R33" s="2">
        <v>11</v>
      </c>
      <c r="S33" s="2">
        <v>24</v>
      </c>
      <c r="T33" s="2">
        <v>0.57999999999999996</v>
      </c>
      <c r="U33" s="2">
        <v>12</v>
      </c>
      <c r="V33" s="2">
        <v>4.3499999999999996</v>
      </c>
    </row>
    <row r="34" spans="1:22" x14ac:dyDescent="0.25">
      <c r="A34" t="s">
        <v>49</v>
      </c>
      <c r="B34" t="s">
        <v>45</v>
      </c>
      <c r="C34" t="s">
        <v>23</v>
      </c>
      <c r="D34" t="s">
        <v>42</v>
      </c>
      <c r="E34" t="s">
        <v>30</v>
      </c>
      <c r="F34" t="s">
        <v>47</v>
      </c>
      <c r="G34" s="1">
        <v>0.23</v>
      </c>
      <c r="H34" s="2">
        <f>3953*G34</f>
        <v>909.19</v>
      </c>
      <c r="I34" s="2">
        <f>+G34*8876</f>
        <v>2041.48</v>
      </c>
      <c r="J34" s="2">
        <f>9*G34</f>
        <v>2.0700000000000003</v>
      </c>
      <c r="K34" s="2">
        <f>+G34*14</f>
        <v>3.22</v>
      </c>
      <c r="L34" s="2">
        <f>+G34*15</f>
        <v>3.45</v>
      </c>
      <c r="M34" s="2">
        <f>4.36*G34</f>
        <v>1.0028000000000001</v>
      </c>
      <c r="N34" s="2">
        <f>1651*G34</f>
        <v>379.73</v>
      </c>
      <c r="O34" s="2">
        <f>+G34*3045</f>
        <v>700.35</v>
      </c>
      <c r="P34" s="2">
        <f>+G34*918</f>
        <v>211.14000000000001</v>
      </c>
      <c r="Q34" s="2">
        <f>1361*G34</f>
        <v>313.03000000000003</v>
      </c>
      <c r="R34" s="2">
        <f>129*G34</f>
        <v>29.67</v>
      </c>
      <c r="S34" s="2">
        <f>+G34*93</f>
        <v>21.39</v>
      </c>
      <c r="T34" s="2">
        <f>2.18*G34</f>
        <v>0.50140000000000007</v>
      </c>
      <c r="U34" s="2">
        <f>107*G34</f>
        <v>24.61</v>
      </c>
      <c r="V34" s="2">
        <f>+G34*17</f>
        <v>3.91</v>
      </c>
    </row>
    <row r="35" spans="1:22" x14ac:dyDescent="0.25">
      <c r="A35" t="s">
        <v>55</v>
      </c>
      <c r="B35" t="s">
        <v>56</v>
      </c>
      <c r="C35" t="s">
        <v>23</v>
      </c>
      <c r="D35" t="s">
        <v>57</v>
      </c>
      <c r="E35" t="s">
        <v>30</v>
      </c>
      <c r="F35" t="s">
        <v>58</v>
      </c>
      <c r="G35" s="1">
        <v>2.9000000000000001E-2</v>
      </c>
      <c r="H35" s="2">
        <f>60492*G35</f>
        <v>1754.268</v>
      </c>
      <c r="I35" s="2">
        <f>110644*G35</f>
        <v>3208.6760000000004</v>
      </c>
      <c r="J35" s="2">
        <f>72*G35</f>
        <v>2.0880000000000001</v>
      </c>
      <c r="K35" s="2">
        <f>228*G35</f>
        <v>6.6120000000000001</v>
      </c>
      <c r="L35" s="2">
        <f>238*G35</f>
        <v>6.9020000000000001</v>
      </c>
      <c r="M35" s="2">
        <f>49*G35</f>
        <v>1.421</v>
      </c>
      <c r="N35" s="2">
        <f>35572*G35</f>
        <v>1031.588</v>
      </c>
      <c r="O35" s="2">
        <f>53773*G35</f>
        <v>1559.4170000000001</v>
      </c>
      <c r="P35" s="2">
        <f>14819*G35</f>
        <v>429.75100000000003</v>
      </c>
      <c r="Q35" s="2">
        <f>33039*G35</f>
        <v>958.13100000000009</v>
      </c>
      <c r="R35" s="2">
        <f>586*G35</f>
        <v>16.994</v>
      </c>
      <c r="S35" s="2">
        <f>1228*G35</f>
        <v>35.612000000000002</v>
      </c>
      <c r="T35" s="2">
        <f>40*G35</f>
        <v>1.1600000000000001</v>
      </c>
      <c r="U35" s="2">
        <f>+G35*2257</f>
        <v>65.453000000000003</v>
      </c>
      <c r="V35" s="2">
        <f>137*G35</f>
        <v>3.9730000000000003</v>
      </c>
    </row>
    <row r="36" spans="1:22" x14ac:dyDescent="0.25">
      <c r="A36" t="s">
        <v>538</v>
      </c>
      <c r="B36" t="s">
        <v>539</v>
      </c>
      <c r="C36" t="s">
        <v>522</v>
      </c>
      <c r="D36" t="s">
        <v>67</v>
      </c>
      <c r="E36" t="s">
        <v>540</v>
      </c>
      <c r="F36" t="s">
        <v>541</v>
      </c>
      <c r="G36" s="1">
        <v>3.3680000000000002E-2</v>
      </c>
      <c r="H36" s="2">
        <v>373</v>
      </c>
      <c r="I36" s="2">
        <v>918</v>
      </c>
      <c r="J36" s="2">
        <v>2.09</v>
      </c>
      <c r="K36" s="2">
        <v>3.17</v>
      </c>
      <c r="L36" s="2">
        <v>4.76</v>
      </c>
      <c r="M36" s="2">
        <v>0.51</v>
      </c>
      <c r="N36" s="2">
        <v>126</v>
      </c>
      <c r="O36" s="2">
        <v>273</v>
      </c>
      <c r="P36" s="2">
        <v>74</v>
      </c>
      <c r="Q36" s="2">
        <v>131</v>
      </c>
      <c r="R36" s="2">
        <v>5.62</v>
      </c>
      <c r="S36" s="2">
        <v>6</v>
      </c>
      <c r="T36" s="2">
        <v>0.28999999999999998</v>
      </c>
      <c r="U36" s="2">
        <v>5.51</v>
      </c>
      <c r="V36" s="2">
        <v>1.55</v>
      </c>
    </row>
    <row r="37" spans="1:22" x14ac:dyDescent="0.25">
      <c r="A37" t="s">
        <v>61</v>
      </c>
      <c r="B37" t="s">
        <v>62</v>
      </c>
      <c r="C37" t="s">
        <v>23</v>
      </c>
      <c r="D37" t="s">
        <v>63</v>
      </c>
      <c r="E37" t="s">
        <v>30</v>
      </c>
      <c r="F37" t="s">
        <v>64</v>
      </c>
      <c r="G37" s="1">
        <v>1.7999999999999999E-2</v>
      </c>
      <c r="H37" s="3">
        <f>83951*Tabla1[[#This Row],[Dollar]]</f>
        <v>1511.1179999999999</v>
      </c>
      <c r="I37" s="3">
        <f>152712*Tabla1[[#This Row],[Dollar]]</f>
        <v>2748.8159999999998</v>
      </c>
      <c r="J37" s="3">
        <f>+G37*117</f>
        <v>2.1059999999999999</v>
      </c>
      <c r="K37" s="3">
        <f>174*G37</f>
        <v>3.1319999999999997</v>
      </c>
      <c r="L37" s="3">
        <f>255*G37</f>
        <v>4.59</v>
      </c>
      <c r="M37" s="3">
        <f>89*G37</f>
        <v>1.6019999999999999</v>
      </c>
      <c r="N37" s="3">
        <f>40308*G37</f>
        <v>725.54399999999998</v>
      </c>
      <c r="O37" s="3">
        <f>82322*G37</f>
        <v>1481.7959999999998</v>
      </c>
      <c r="P37" s="3">
        <f>16351*G37</f>
        <v>294.31799999999998</v>
      </c>
      <c r="Q37" s="3">
        <f>32616*G37</f>
        <v>587.08799999999997</v>
      </c>
      <c r="R37" s="3">
        <f>1847*G37</f>
        <v>33.245999999999995</v>
      </c>
      <c r="S37" s="3">
        <f>683*G37</f>
        <v>12.293999999999999</v>
      </c>
      <c r="T37" s="3">
        <f>70*G37</f>
        <v>1.26</v>
      </c>
      <c r="U37" s="3">
        <f>+G37*2058</f>
        <v>37.043999999999997</v>
      </c>
      <c r="V37" s="3">
        <f>142*G37</f>
        <v>2.5559999999999996</v>
      </c>
    </row>
    <row r="38" spans="1:22" x14ac:dyDescent="0.25">
      <c r="A38" t="s">
        <v>542</v>
      </c>
      <c r="B38" t="s">
        <v>539</v>
      </c>
      <c r="C38" t="s">
        <v>522</v>
      </c>
      <c r="D38" t="s">
        <v>67</v>
      </c>
      <c r="E38" t="s">
        <v>30</v>
      </c>
      <c r="F38" t="s">
        <v>541</v>
      </c>
      <c r="G38" s="1">
        <v>3.3680000000000002E-2</v>
      </c>
      <c r="H38" s="2">
        <v>523</v>
      </c>
      <c r="I38" s="2">
        <v>1387</v>
      </c>
      <c r="J38" s="2">
        <v>2.14</v>
      </c>
      <c r="K38" s="2">
        <v>4.4400000000000004</v>
      </c>
      <c r="L38" s="2">
        <v>8</v>
      </c>
      <c r="M38" s="2">
        <v>0.72</v>
      </c>
      <c r="N38" s="2">
        <v>167</v>
      </c>
      <c r="O38" s="2">
        <v>322</v>
      </c>
      <c r="P38" s="2">
        <v>124</v>
      </c>
      <c r="Q38" s="2">
        <v>286</v>
      </c>
      <c r="R38" s="2">
        <v>5.95</v>
      </c>
      <c r="S38" s="2">
        <v>12</v>
      </c>
      <c r="T38" s="2">
        <v>0.33</v>
      </c>
      <c r="U38" s="2">
        <v>29</v>
      </c>
      <c r="V38" s="2">
        <v>1.66</v>
      </c>
    </row>
    <row r="39" spans="1:22" x14ac:dyDescent="0.25">
      <c r="A39" t="s">
        <v>32</v>
      </c>
      <c r="B39" t="s">
        <v>27</v>
      </c>
      <c r="C39" t="s">
        <v>23</v>
      </c>
      <c r="D39" t="s">
        <v>33</v>
      </c>
      <c r="E39" t="s">
        <v>30</v>
      </c>
      <c r="F39" t="s">
        <v>31</v>
      </c>
      <c r="G39" s="1">
        <v>1.2E-2</v>
      </c>
      <c r="H39" s="2">
        <f>+G39*104477</f>
        <v>1253.7239999999999</v>
      </c>
      <c r="I39" s="2">
        <f>+G39*178402</f>
        <v>2140.8240000000001</v>
      </c>
      <c r="J39" s="2">
        <f>179*G39</f>
        <v>2.1480000000000001</v>
      </c>
      <c r="K39" s="2">
        <f>298*G39</f>
        <v>3.5760000000000001</v>
      </c>
      <c r="L39" s="2">
        <f>371*G39</f>
        <v>4.452</v>
      </c>
      <c r="M39" s="2">
        <f>+G39*75</f>
        <v>0.9</v>
      </c>
      <c r="N39" s="2">
        <f>51609*G39</f>
        <v>619.30799999999999</v>
      </c>
      <c r="O39" s="2">
        <f>106912*G39</f>
        <v>1282.944</v>
      </c>
      <c r="P39" s="2">
        <f>24064*G39</f>
        <v>288.76800000000003</v>
      </c>
      <c r="Q39" s="2">
        <f>43093*G39</f>
        <v>517.11599999999999</v>
      </c>
      <c r="R39" s="2">
        <f>668*G39</f>
        <v>8.016</v>
      </c>
      <c r="S39" s="2">
        <f>1142*G39</f>
        <v>13.704000000000001</v>
      </c>
      <c r="T39" s="2">
        <f>113*G39</f>
        <v>1.3560000000000001</v>
      </c>
      <c r="U39" s="2">
        <f>1111*G39</f>
        <v>13.332000000000001</v>
      </c>
      <c r="V39" s="2">
        <f>289*G39</f>
        <v>3.468</v>
      </c>
    </row>
    <row r="40" spans="1:22" x14ac:dyDescent="0.25">
      <c r="A40" t="s">
        <v>354</v>
      </c>
      <c r="B40" t="s">
        <v>317</v>
      </c>
      <c r="C40" t="s">
        <v>196</v>
      </c>
      <c r="D40" t="s">
        <v>316</v>
      </c>
      <c r="E40" t="s">
        <v>318</v>
      </c>
      <c r="F40" t="s">
        <v>319</v>
      </c>
      <c r="G40" s="1">
        <v>5.1950000000000003E-2</v>
      </c>
      <c r="H40" s="2">
        <v>709</v>
      </c>
      <c r="I40" s="2">
        <v>1733</v>
      </c>
      <c r="J40" s="2">
        <v>2.15</v>
      </c>
      <c r="K40" s="2">
        <v>3.34</v>
      </c>
      <c r="L40" s="2">
        <v>5.55</v>
      </c>
      <c r="M40" s="2">
        <v>1.32</v>
      </c>
      <c r="N40" s="2">
        <v>307</v>
      </c>
      <c r="O40" s="2">
        <v>448</v>
      </c>
      <c r="P40" s="2">
        <v>200</v>
      </c>
      <c r="Q40" s="2">
        <v>315</v>
      </c>
      <c r="R40" s="2">
        <v>7</v>
      </c>
      <c r="S40" s="2">
        <v>16</v>
      </c>
      <c r="T40" s="2">
        <v>1.43</v>
      </c>
      <c r="U40" s="2">
        <v>10</v>
      </c>
      <c r="V40" s="2">
        <v>2.0699999999999998</v>
      </c>
    </row>
    <row r="41" spans="1:22" x14ac:dyDescent="0.25">
      <c r="A41" t="s">
        <v>431</v>
      </c>
      <c r="B41" t="s">
        <v>432</v>
      </c>
      <c r="C41" t="s">
        <v>405</v>
      </c>
      <c r="D41" t="s">
        <v>253</v>
      </c>
      <c r="E41" t="s">
        <v>253</v>
      </c>
      <c r="F41" t="s">
        <v>4</v>
      </c>
      <c r="G41" s="1">
        <v>1</v>
      </c>
      <c r="H41" s="3">
        <v>1353</v>
      </c>
      <c r="I41" s="3">
        <v>2766</v>
      </c>
      <c r="J41" s="3">
        <v>2.15</v>
      </c>
      <c r="K41" s="3">
        <v>7</v>
      </c>
      <c r="L41" s="3">
        <v>11</v>
      </c>
      <c r="M41" s="3">
        <v>2</v>
      </c>
      <c r="N41" s="3">
        <v>628</v>
      </c>
      <c r="O41" s="3">
        <v>1143</v>
      </c>
      <c r="P41" s="3">
        <v>379</v>
      </c>
      <c r="Q41" s="3">
        <v>567</v>
      </c>
      <c r="R41" s="3">
        <v>46</v>
      </c>
      <c r="S41" s="3">
        <v>30</v>
      </c>
      <c r="T41" s="3">
        <v>1.2</v>
      </c>
      <c r="U41" s="3">
        <v>29</v>
      </c>
      <c r="V41" s="3">
        <v>3.62</v>
      </c>
    </row>
    <row r="42" spans="1:22" x14ac:dyDescent="0.25">
      <c r="A42" t="s">
        <v>333</v>
      </c>
      <c r="B42" t="s">
        <v>330</v>
      </c>
      <c r="C42" t="s">
        <v>196</v>
      </c>
      <c r="D42" t="s">
        <v>331</v>
      </c>
      <c r="E42" t="s">
        <v>201</v>
      </c>
      <c r="F42" t="s">
        <v>332</v>
      </c>
      <c r="G42" s="1">
        <v>0.22658</v>
      </c>
      <c r="H42" s="2">
        <v>1122</v>
      </c>
      <c r="I42" s="2">
        <v>2458</v>
      </c>
      <c r="J42" s="2">
        <v>2.16</v>
      </c>
      <c r="K42" s="2">
        <v>5.37</v>
      </c>
      <c r="L42" s="2">
        <v>7</v>
      </c>
      <c r="M42" s="2">
        <v>6</v>
      </c>
      <c r="N42" s="2">
        <v>633</v>
      </c>
      <c r="O42" s="2">
        <v>820</v>
      </c>
      <c r="P42" s="2">
        <v>459</v>
      </c>
      <c r="Q42" s="2">
        <v>590</v>
      </c>
      <c r="R42" s="2">
        <v>9</v>
      </c>
      <c r="S42" s="2">
        <v>8</v>
      </c>
      <c r="T42" s="2">
        <v>1.49</v>
      </c>
      <c r="U42" s="2">
        <v>28</v>
      </c>
      <c r="V42" s="2">
        <v>3.79</v>
      </c>
    </row>
    <row r="43" spans="1:22" x14ac:dyDescent="0.25">
      <c r="A43" t="s">
        <v>461</v>
      </c>
      <c r="B43" t="s">
        <v>458</v>
      </c>
      <c r="C43" t="s">
        <v>405</v>
      </c>
      <c r="D43" t="s">
        <v>183</v>
      </c>
      <c r="E43" t="s">
        <v>30</v>
      </c>
      <c r="F43" t="s">
        <v>459</v>
      </c>
      <c r="G43" s="1">
        <v>0.19228999999999999</v>
      </c>
      <c r="H43" s="2">
        <v>1130</v>
      </c>
      <c r="I43" s="2">
        <v>2645</v>
      </c>
      <c r="J43" s="2">
        <v>2.17</v>
      </c>
      <c r="K43" s="2">
        <v>7</v>
      </c>
      <c r="L43" s="2">
        <v>7</v>
      </c>
      <c r="M43" s="2">
        <v>1.49</v>
      </c>
      <c r="N43" s="2">
        <v>541</v>
      </c>
      <c r="O43" s="2">
        <v>759</v>
      </c>
      <c r="P43" s="2">
        <v>365</v>
      </c>
      <c r="Q43" s="2">
        <v>569</v>
      </c>
      <c r="R43" s="2">
        <v>15</v>
      </c>
      <c r="S43" s="2">
        <v>60</v>
      </c>
      <c r="T43" s="2">
        <v>1.1100000000000001</v>
      </c>
      <c r="U43" s="2">
        <v>51</v>
      </c>
      <c r="V43" s="2">
        <v>2.21</v>
      </c>
    </row>
    <row r="44" spans="1:22" x14ac:dyDescent="0.25">
      <c r="A44" t="s">
        <v>469</v>
      </c>
      <c r="B44" t="s">
        <v>470</v>
      </c>
      <c r="C44" t="s">
        <v>405</v>
      </c>
      <c r="D44" t="s">
        <v>253</v>
      </c>
      <c r="E44" t="s">
        <v>253</v>
      </c>
      <c r="F44" t="s">
        <v>471</v>
      </c>
      <c r="G44" s="1">
        <v>2.1000000000000001E-4</v>
      </c>
      <c r="H44" s="2">
        <v>381</v>
      </c>
      <c r="I44" s="2">
        <v>1736</v>
      </c>
      <c r="J44" s="2">
        <v>2.17</v>
      </c>
      <c r="K44" s="2">
        <v>4.9800000000000004</v>
      </c>
      <c r="L44" s="2">
        <v>7</v>
      </c>
      <c r="M44" s="2">
        <v>1.2</v>
      </c>
      <c r="N44" s="2">
        <v>393</v>
      </c>
      <c r="O44" s="2">
        <v>658</v>
      </c>
      <c r="P44" s="2">
        <v>251</v>
      </c>
      <c r="Q44" s="2">
        <v>439</v>
      </c>
      <c r="R44" s="2">
        <v>14</v>
      </c>
      <c r="S44" s="2">
        <v>20</v>
      </c>
      <c r="T44" s="2">
        <v>0.68</v>
      </c>
      <c r="U44" s="2">
        <v>30</v>
      </c>
      <c r="V44" s="2">
        <v>1.77</v>
      </c>
    </row>
    <row r="45" spans="1:22" x14ac:dyDescent="0.25">
      <c r="A45" t="s">
        <v>224</v>
      </c>
      <c r="B45" t="s">
        <v>225</v>
      </c>
      <c r="C45" t="s">
        <v>196</v>
      </c>
      <c r="D45" t="s">
        <v>226</v>
      </c>
      <c r="E45" t="s">
        <v>74</v>
      </c>
      <c r="F45" t="s">
        <v>227</v>
      </c>
      <c r="G45" s="1">
        <v>0.39299000000000001</v>
      </c>
      <c r="H45" s="2">
        <v>1001</v>
      </c>
      <c r="I45" s="2">
        <v>2083</v>
      </c>
      <c r="J45" s="2">
        <v>2.2200000000000002</v>
      </c>
      <c r="K45" s="2">
        <v>4.26</v>
      </c>
      <c r="L45" s="2">
        <v>8</v>
      </c>
      <c r="M45" s="2">
        <v>1.47</v>
      </c>
      <c r="N45" s="2">
        <v>510</v>
      </c>
      <c r="O45" s="2">
        <v>771</v>
      </c>
      <c r="P45" s="2">
        <v>333</v>
      </c>
      <c r="Q45" s="2">
        <v>460</v>
      </c>
      <c r="R45" s="2">
        <v>10</v>
      </c>
      <c r="S45" s="2">
        <v>14</v>
      </c>
      <c r="T45" s="2">
        <v>0.9</v>
      </c>
      <c r="U45" s="2">
        <v>19</v>
      </c>
      <c r="V45" s="2">
        <v>2</v>
      </c>
    </row>
    <row r="46" spans="1:22" x14ac:dyDescent="0.25">
      <c r="A46" t="s">
        <v>160</v>
      </c>
      <c r="B46" t="s">
        <v>161</v>
      </c>
      <c r="C46" t="s">
        <v>23</v>
      </c>
      <c r="D46" t="s">
        <v>162</v>
      </c>
      <c r="E46" t="s">
        <v>162</v>
      </c>
      <c r="F46" t="s">
        <v>163</v>
      </c>
      <c r="G46" s="1">
        <v>7.5500000000000003E-3</v>
      </c>
      <c r="H46" s="2">
        <v>584</v>
      </c>
      <c r="I46" s="2">
        <v>1491</v>
      </c>
      <c r="J46" s="2">
        <v>2.23</v>
      </c>
      <c r="K46" s="2">
        <v>4.3600000000000003</v>
      </c>
      <c r="L46" s="2">
        <v>3.86</v>
      </c>
      <c r="M46" s="2">
        <v>1.72</v>
      </c>
      <c r="N46" s="2">
        <v>175</v>
      </c>
      <c r="O46" s="2">
        <v>292</v>
      </c>
      <c r="P46" s="2">
        <v>238</v>
      </c>
      <c r="Q46" s="2">
        <v>363</v>
      </c>
      <c r="R46" s="2">
        <v>7</v>
      </c>
      <c r="S46" s="2">
        <v>16</v>
      </c>
      <c r="T46" s="2">
        <v>1.04</v>
      </c>
      <c r="U46" s="2">
        <v>10</v>
      </c>
      <c r="V46" s="2">
        <v>2.29</v>
      </c>
    </row>
    <row r="47" spans="1:22" x14ac:dyDescent="0.25">
      <c r="A47" t="s">
        <v>438</v>
      </c>
      <c r="B47" t="s">
        <v>437</v>
      </c>
      <c r="C47" t="s">
        <v>405</v>
      </c>
      <c r="D47" t="s">
        <v>253</v>
      </c>
      <c r="E47" t="s">
        <v>253</v>
      </c>
      <c r="F47" t="s">
        <v>439</v>
      </c>
      <c r="G47" s="1">
        <v>4.0570000000000002E-2</v>
      </c>
      <c r="H47" s="2">
        <v>994</v>
      </c>
      <c r="I47" s="2">
        <v>2367</v>
      </c>
      <c r="J47" s="2">
        <v>2.23</v>
      </c>
      <c r="K47" s="2">
        <v>7</v>
      </c>
      <c r="L47" s="2">
        <v>11</v>
      </c>
      <c r="M47" s="2">
        <v>1.81</v>
      </c>
      <c r="N47" s="2">
        <v>386</v>
      </c>
      <c r="O47" s="2">
        <v>714</v>
      </c>
      <c r="P47" s="2">
        <v>220</v>
      </c>
      <c r="Q47" s="2">
        <v>422</v>
      </c>
      <c r="R47" s="2">
        <v>28</v>
      </c>
      <c r="S47" s="2">
        <v>42</v>
      </c>
      <c r="T47" s="2">
        <v>1.1499999999999999</v>
      </c>
      <c r="U47" s="2">
        <v>26</v>
      </c>
      <c r="V47" s="2">
        <v>3.34</v>
      </c>
    </row>
    <row r="48" spans="1:22" x14ac:dyDescent="0.25">
      <c r="A48" t="s">
        <v>582</v>
      </c>
      <c r="B48" t="s">
        <v>588</v>
      </c>
      <c r="C48" t="s">
        <v>522</v>
      </c>
      <c r="D48" t="s">
        <v>583</v>
      </c>
      <c r="E48" t="s">
        <v>30</v>
      </c>
      <c r="F48" t="s">
        <v>584</v>
      </c>
      <c r="G48" s="1">
        <v>5.9908000000000003E-2</v>
      </c>
      <c r="H48" s="2">
        <v>1480</v>
      </c>
      <c r="I48" s="2">
        <v>2638</v>
      </c>
      <c r="J48" s="2">
        <v>2.25</v>
      </c>
      <c r="K48" s="2">
        <v>3.88</v>
      </c>
      <c r="L48" s="2">
        <v>9</v>
      </c>
      <c r="M48" s="2">
        <v>1.38</v>
      </c>
      <c r="N48" s="2">
        <v>869</v>
      </c>
      <c r="O48" s="2">
        <v>1279</v>
      </c>
      <c r="P48" s="2">
        <v>465</v>
      </c>
      <c r="Q48" s="2">
        <v>699</v>
      </c>
      <c r="R48" s="2">
        <v>44</v>
      </c>
      <c r="S48" s="2">
        <v>24</v>
      </c>
      <c r="T48" s="2">
        <v>1.26</v>
      </c>
      <c r="U48" s="2">
        <v>28</v>
      </c>
      <c r="V48" s="2">
        <v>2.67</v>
      </c>
    </row>
    <row r="49" spans="1:22" x14ac:dyDescent="0.25">
      <c r="A49" t="s">
        <v>101</v>
      </c>
      <c r="B49" t="s">
        <v>95</v>
      </c>
      <c r="C49" t="s">
        <v>23</v>
      </c>
      <c r="D49" t="s">
        <v>102</v>
      </c>
      <c r="E49" t="s">
        <v>39</v>
      </c>
      <c r="F49" t="s">
        <v>97</v>
      </c>
      <c r="G49" s="1">
        <v>0.14545</v>
      </c>
      <c r="H49" s="2">
        <v>2697</v>
      </c>
      <c r="I49" s="2">
        <v>4345</v>
      </c>
      <c r="J49" s="2">
        <v>2.25</v>
      </c>
      <c r="K49" s="2">
        <v>5.92</v>
      </c>
      <c r="L49" s="2">
        <v>12</v>
      </c>
      <c r="M49" s="2">
        <v>1.86</v>
      </c>
      <c r="N49" s="2">
        <v>1558</v>
      </c>
      <c r="O49" s="2">
        <v>2651</v>
      </c>
      <c r="P49" s="2">
        <v>855</v>
      </c>
      <c r="Q49" s="2">
        <v>1329</v>
      </c>
      <c r="R49" s="2">
        <v>20</v>
      </c>
      <c r="S49" s="2">
        <v>124</v>
      </c>
      <c r="T49" s="2">
        <v>1.23</v>
      </c>
      <c r="U49" s="2">
        <v>28</v>
      </c>
      <c r="V49" s="2">
        <v>3.82</v>
      </c>
    </row>
    <row r="50" spans="1:22" x14ac:dyDescent="0.25">
      <c r="A50" t="s">
        <v>450</v>
      </c>
      <c r="B50" t="s">
        <v>447</v>
      </c>
      <c r="C50" t="s">
        <v>405</v>
      </c>
      <c r="D50" t="s">
        <v>253</v>
      </c>
      <c r="E50" t="s">
        <v>253</v>
      </c>
      <c r="F50" t="s">
        <v>448</v>
      </c>
      <c r="G50" s="1">
        <v>5.5399999999999998E-3</v>
      </c>
      <c r="H50" s="3">
        <v>1086</v>
      </c>
      <c r="I50" s="3">
        <v>2521</v>
      </c>
      <c r="J50" s="3">
        <v>2.2599999999999998</v>
      </c>
      <c r="K50" s="3">
        <v>7</v>
      </c>
      <c r="L50" s="3">
        <v>27</v>
      </c>
      <c r="M50" s="3">
        <v>2.2000000000000002</v>
      </c>
      <c r="N50" s="3">
        <v>473</v>
      </c>
      <c r="O50" s="3">
        <v>753</v>
      </c>
      <c r="P50" s="3">
        <v>343</v>
      </c>
      <c r="Q50" s="3">
        <v>557</v>
      </c>
      <c r="R50" s="3">
        <v>16</v>
      </c>
      <c r="S50" s="3">
        <v>13</v>
      </c>
      <c r="T50" s="3">
        <v>0.87</v>
      </c>
      <c r="U50" s="3">
        <v>9</v>
      </c>
      <c r="V50" s="3">
        <v>1.8</v>
      </c>
    </row>
    <row r="51" spans="1:22" x14ac:dyDescent="0.25">
      <c r="A51" t="s">
        <v>460</v>
      </c>
      <c r="B51" t="s">
        <v>458</v>
      </c>
      <c r="C51" t="s">
        <v>405</v>
      </c>
      <c r="D51" t="s">
        <v>183</v>
      </c>
      <c r="E51" t="s">
        <v>30</v>
      </c>
      <c r="F51" t="s">
        <v>459</v>
      </c>
      <c r="G51" s="1">
        <v>0.19228999999999999</v>
      </c>
      <c r="H51" s="2">
        <v>1166</v>
      </c>
      <c r="I51" s="2">
        <v>2510</v>
      </c>
      <c r="J51" s="2">
        <v>2.2999999999999998</v>
      </c>
      <c r="K51" s="2">
        <v>6</v>
      </c>
      <c r="L51" s="2">
        <v>7</v>
      </c>
      <c r="M51" s="2">
        <v>1.56</v>
      </c>
      <c r="N51" s="2">
        <v>572</v>
      </c>
      <c r="O51" s="2">
        <v>830</v>
      </c>
      <c r="P51" s="2">
        <v>422</v>
      </c>
      <c r="Q51" s="2">
        <v>705</v>
      </c>
      <c r="R51" s="2">
        <v>16</v>
      </c>
      <c r="S51" s="2">
        <v>44</v>
      </c>
      <c r="T51" s="2">
        <v>1.3</v>
      </c>
      <c r="U51" s="2">
        <v>44</v>
      </c>
      <c r="V51" s="2">
        <v>2.0699999999999998</v>
      </c>
    </row>
    <row r="52" spans="1:22" x14ac:dyDescent="0.25">
      <c r="A52" t="s">
        <v>362</v>
      </c>
      <c r="B52" t="s">
        <v>360</v>
      </c>
      <c r="C52" t="s">
        <v>196</v>
      </c>
      <c r="D52" t="s">
        <v>74</v>
      </c>
      <c r="E52" t="s">
        <v>74</v>
      </c>
      <c r="F52" t="s">
        <v>361</v>
      </c>
      <c r="G52" s="1">
        <v>1.379E-2</v>
      </c>
      <c r="H52" s="2">
        <v>1136</v>
      </c>
      <c r="I52" s="2">
        <v>2455</v>
      </c>
      <c r="J52" s="2">
        <v>2.31</v>
      </c>
      <c r="K52" s="2">
        <v>4.92</v>
      </c>
      <c r="L52" s="2">
        <v>5.13</v>
      </c>
      <c r="M52" s="2">
        <v>2.0499999999999998</v>
      </c>
      <c r="N52" s="2">
        <v>514</v>
      </c>
      <c r="O52" s="2">
        <v>931</v>
      </c>
      <c r="P52" s="2">
        <v>524</v>
      </c>
      <c r="Q52" s="2">
        <v>520</v>
      </c>
      <c r="R52" s="2">
        <v>7</v>
      </c>
      <c r="S52" s="2">
        <v>17</v>
      </c>
      <c r="T52" s="2">
        <v>0.7</v>
      </c>
      <c r="U52" s="2">
        <v>22</v>
      </c>
      <c r="V52" s="2">
        <v>1.8</v>
      </c>
    </row>
    <row r="53" spans="1:22" x14ac:dyDescent="0.25">
      <c r="A53" t="s">
        <v>94</v>
      </c>
      <c r="B53" t="s">
        <v>95</v>
      </c>
      <c r="C53" t="s">
        <v>23</v>
      </c>
      <c r="D53" t="s">
        <v>96</v>
      </c>
      <c r="E53" t="s">
        <v>39</v>
      </c>
      <c r="F53" t="s">
        <v>97</v>
      </c>
      <c r="G53" s="1">
        <v>0.14545</v>
      </c>
      <c r="H53" s="2">
        <v>958</v>
      </c>
      <c r="I53" s="2">
        <v>2214</v>
      </c>
      <c r="J53" s="2">
        <v>2.34</v>
      </c>
      <c r="K53" s="2">
        <v>4.5999999999999996</v>
      </c>
      <c r="L53" s="2">
        <v>3.75</v>
      </c>
      <c r="M53" s="2">
        <v>1.27</v>
      </c>
      <c r="N53" s="2">
        <v>406</v>
      </c>
      <c r="O53" s="2">
        <v>687</v>
      </c>
      <c r="P53" s="2">
        <v>268</v>
      </c>
      <c r="Q53" s="2">
        <v>448</v>
      </c>
      <c r="R53" s="2">
        <v>14</v>
      </c>
      <c r="S53" s="2">
        <v>23</v>
      </c>
      <c r="T53" s="2">
        <v>1.17</v>
      </c>
      <c r="U53" s="2">
        <v>23</v>
      </c>
      <c r="V53" s="2">
        <v>3.01</v>
      </c>
    </row>
    <row r="54" spans="1:22" x14ac:dyDescent="0.25">
      <c r="A54" t="s">
        <v>422</v>
      </c>
      <c r="B54" t="s">
        <v>423</v>
      </c>
      <c r="C54" t="s">
        <v>405</v>
      </c>
      <c r="D54" t="s">
        <v>253</v>
      </c>
      <c r="E54" t="s">
        <v>253</v>
      </c>
      <c r="F54" t="s">
        <v>424</v>
      </c>
      <c r="G54" s="1">
        <v>5.2260000000000001E-2</v>
      </c>
      <c r="H54" s="2">
        <v>906</v>
      </c>
      <c r="I54" s="2">
        <v>2153</v>
      </c>
      <c r="J54" s="2">
        <v>2.34</v>
      </c>
      <c r="K54" s="2">
        <v>8</v>
      </c>
      <c r="L54" s="2">
        <v>17</v>
      </c>
      <c r="M54" s="2">
        <v>1.62</v>
      </c>
      <c r="N54" s="2">
        <v>300</v>
      </c>
      <c r="O54" s="2">
        <v>691</v>
      </c>
      <c r="P54" s="2">
        <v>214</v>
      </c>
      <c r="Q54" s="2">
        <v>469</v>
      </c>
      <c r="R54" s="2">
        <v>18</v>
      </c>
      <c r="S54" s="2">
        <v>35</v>
      </c>
      <c r="T54" s="2">
        <v>1.1599999999999999</v>
      </c>
      <c r="U54" s="2">
        <v>22</v>
      </c>
      <c r="V54" s="2">
        <v>3.74</v>
      </c>
    </row>
    <row r="55" spans="1:22" x14ac:dyDescent="0.25">
      <c r="A55" t="s">
        <v>329</v>
      </c>
      <c r="B55" t="s">
        <v>330</v>
      </c>
      <c r="C55" t="s">
        <v>196</v>
      </c>
      <c r="D55" t="s">
        <v>331</v>
      </c>
      <c r="E55" t="s">
        <v>135</v>
      </c>
      <c r="F55" t="s">
        <v>332</v>
      </c>
      <c r="G55" s="1">
        <v>0.22658</v>
      </c>
      <c r="H55" s="2">
        <v>1255</v>
      </c>
      <c r="I55" s="2">
        <v>2452</v>
      </c>
      <c r="J55" s="2">
        <v>2.38</v>
      </c>
      <c r="K55" s="2">
        <v>5.91</v>
      </c>
      <c r="L55" s="2">
        <v>8</v>
      </c>
      <c r="M55" s="2">
        <v>1.73</v>
      </c>
      <c r="N55" s="2">
        <v>717</v>
      </c>
      <c r="O55" s="2">
        <v>995</v>
      </c>
      <c r="P55" s="2">
        <v>471</v>
      </c>
      <c r="Q55" s="2">
        <v>635</v>
      </c>
      <c r="R55" s="2">
        <v>10</v>
      </c>
      <c r="S55" s="2">
        <v>31</v>
      </c>
      <c r="T55" s="2">
        <v>1.48</v>
      </c>
      <c r="U55" s="2">
        <v>32</v>
      </c>
      <c r="V55" s="2">
        <v>3.56</v>
      </c>
    </row>
    <row r="56" spans="1:22" x14ac:dyDescent="0.25">
      <c r="A56" t="s">
        <v>457</v>
      </c>
      <c r="B56" t="s">
        <v>458</v>
      </c>
      <c r="C56" t="s">
        <v>405</v>
      </c>
      <c r="D56" t="s">
        <v>183</v>
      </c>
      <c r="E56" t="s">
        <v>151</v>
      </c>
      <c r="F56" t="s">
        <v>459</v>
      </c>
      <c r="G56" s="1">
        <v>0.19228999999999999</v>
      </c>
      <c r="H56" s="2">
        <v>1315</v>
      </c>
      <c r="I56" s="2">
        <v>2790</v>
      </c>
      <c r="J56" s="2">
        <v>2.38</v>
      </c>
      <c r="K56" s="2">
        <v>6</v>
      </c>
      <c r="L56" s="2">
        <v>8</v>
      </c>
      <c r="M56" s="2">
        <v>1.77</v>
      </c>
      <c r="N56" s="2">
        <v>678</v>
      </c>
      <c r="O56" s="2">
        <v>943</v>
      </c>
      <c r="P56" s="2">
        <v>445</v>
      </c>
      <c r="Q56" s="2">
        <v>716</v>
      </c>
      <c r="R56" s="2">
        <v>16</v>
      </c>
      <c r="S56" s="2">
        <v>61</v>
      </c>
      <c r="T56" s="2">
        <v>1.1399999999999999</v>
      </c>
      <c r="U56" s="2">
        <v>54</v>
      </c>
      <c r="V56" s="2">
        <v>2.13</v>
      </c>
    </row>
    <row r="57" spans="1:22" x14ac:dyDescent="0.25">
      <c r="A57" t="s">
        <v>86</v>
      </c>
      <c r="B57" t="s">
        <v>87</v>
      </c>
      <c r="C57" t="s">
        <v>23</v>
      </c>
      <c r="D57" t="s">
        <v>88</v>
      </c>
      <c r="E57" t="s">
        <v>89</v>
      </c>
      <c r="F57" t="s">
        <v>90</v>
      </c>
      <c r="G57" s="1">
        <v>1.208E-2</v>
      </c>
      <c r="H57" s="2">
        <v>679</v>
      </c>
      <c r="I57" s="2">
        <v>1640</v>
      </c>
      <c r="J57" s="2">
        <v>2.4</v>
      </c>
      <c r="K57" s="2">
        <v>5.09</v>
      </c>
      <c r="L57" s="2">
        <v>6</v>
      </c>
      <c r="M57" s="2">
        <v>1</v>
      </c>
      <c r="N57" s="2">
        <v>250</v>
      </c>
      <c r="O57" s="2">
        <v>468</v>
      </c>
      <c r="P57" s="2">
        <v>238</v>
      </c>
      <c r="Q57" s="2">
        <v>389</v>
      </c>
      <c r="R57" s="2">
        <v>12</v>
      </c>
      <c r="S57" s="2">
        <v>30</v>
      </c>
      <c r="T57" s="2">
        <v>0.76</v>
      </c>
      <c r="U57" s="2">
        <v>28</v>
      </c>
      <c r="V57" s="2">
        <v>4</v>
      </c>
    </row>
    <row r="58" spans="1:22" x14ac:dyDescent="0.25">
      <c r="A58" t="s">
        <v>480</v>
      </c>
      <c r="B58" t="s">
        <v>481</v>
      </c>
      <c r="C58" t="s">
        <v>405</v>
      </c>
      <c r="D58" t="s">
        <v>253</v>
      </c>
      <c r="E58" t="s">
        <v>456</v>
      </c>
      <c r="F58" t="s">
        <v>482</v>
      </c>
      <c r="G58" s="1">
        <v>0.26382</v>
      </c>
      <c r="H58" s="2">
        <v>1059</v>
      </c>
      <c r="I58" s="2">
        <v>2360</v>
      </c>
      <c r="J58" s="2">
        <v>2.4</v>
      </c>
      <c r="K58" s="2">
        <v>5.35</v>
      </c>
      <c r="L58" s="2">
        <v>8</v>
      </c>
      <c r="M58" s="2">
        <v>2.23</v>
      </c>
      <c r="N58" s="2">
        <v>420</v>
      </c>
      <c r="O58" s="2">
        <v>833</v>
      </c>
      <c r="P58" s="2">
        <v>304</v>
      </c>
      <c r="Q58" s="2">
        <v>571</v>
      </c>
      <c r="R58" s="2">
        <v>15</v>
      </c>
      <c r="S58" s="2">
        <v>29</v>
      </c>
      <c r="T58" s="2">
        <v>1.64</v>
      </c>
      <c r="U58" s="2">
        <v>34</v>
      </c>
      <c r="V58" s="2">
        <v>4.91</v>
      </c>
    </row>
    <row r="59" spans="1:22" x14ac:dyDescent="0.25">
      <c r="A59" t="s">
        <v>451</v>
      </c>
      <c r="B59" t="s">
        <v>452</v>
      </c>
      <c r="C59" t="s">
        <v>405</v>
      </c>
      <c r="D59" t="s">
        <v>253</v>
      </c>
      <c r="E59" t="s">
        <v>453</v>
      </c>
      <c r="F59" t="s">
        <v>454</v>
      </c>
      <c r="G59" s="1">
        <v>0.14463999999999999</v>
      </c>
      <c r="H59" s="2">
        <v>791</v>
      </c>
      <c r="I59" s="2">
        <v>1877</v>
      </c>
      <c r="J59" s="2">
        <v>2.4300000000000002</v>
      </c>
      <c r="K59" s="2">
        <v>7</v>
      </c>
      <c r="L59" s="2">
        <v>8</v>
      </c>
      <c r="M59" s="2">
        <v>1.43</v>
      </c>
      <c r="N59" s="2">
        <v>361</v>
      </c>
      <c r="O59" s="2">
        <v>518</v>
      </c>
      <c r="P59" s="2">
        <v>252</v>
      </c>
      <c r="Q59" s="2">
        <v>331</v>
      </c>
      <c r="R59" s="2">
        <v>21</v>
      </c>
      <c r="S59" s="2">
        <v>32</v>
      </c>
      <c r="T59" s="2">
        <v>0.56000000000000005</v>
      </c>
      <c r="U59" s="2">
        <v>31</v>
      </c>
      <c r="V59" s="2">
        <v>2.27</v>
      </c>
    </row>
    <row r="60" spans="1:22" x14ac:dyDescent="0.25">
      <c r="A60" t="s">
        <v>467</v>
      </c>
      <c r="B60" t="s">
        <v>464</v>
      </c>
      <c r="C60" t="s">
        <v>405</v>
      </c>
      <c r="D60" t="s">
        <v>253</v>
      </c>
      <c r="E60" t="s">
        <v>253</v>
      </c>
      <c r="F60" t="s">
        <v>466</v>
      </c>
      <c r="G60" s="1">
        <v>1.2099999999999999E-3</v>
      </c>
      <c r="H60" s="2">
        <v>1013</v>
      </c>
      <c r="I60" s="2">
        <v>2299</v>
      </c>
      <c r="J60" s="2">
        <v>2.4500000000000002</v>
      </c>
      <c r="K60" s="2">
        <v>6</v>
      </c>
      <c r="L60" s="2">
        <v>14</v>
      </c>
      <c r="M60" s="2">
        <v>2.06</v>
      </c>
      <c r="N60" s="2">
        <v>494</v>
      </c>
      <c r="O60" s="2">
        <v>690</v>
      </c>
      <c r="P60" s="2">
        <v>290</v>
      </c>
      <c r="Q60" s="2">
        <v>540</v>
      </c>
      <c r="R60" s="2">
        <v>21</v>
      </c>
      <c r="S60" s="2">
        <v>33</v>
      </c>
      <c r="T60" s="2">
        <v>1.46</v>
      </c>
      <c r="U60" s="2">
        <v>33</v>
      </c>
      <c r="V60" s="2">
        <v>5.23</v>
      </c>
    </row>
    <row r="61" spans="1:22" x14ac:dyDescent="0.25">
      <c r="A61" t="s">
        <v>525</v>
      </c>
      <c r="B61" t="s">
        <v>526</v>
      </c>
      <c r="C61" t="s">
        <v>522</v>
      </c>
      <c r="D61" t="s">
        <v>67</v>
      </c>
      <c r="E61" t="s">
        <v>527</v>
      </c>
      <c r="F61" t="s">
        <v>528</v>
      </c>
      <c r="G61" s="1">
        <v>7.3200000000000001E-3</v>
      </c>
      <c r="H61" s="2">
        <v>916</v>
      </c>
      <c r="I61" s="2">
        <v>2013</v>
      </c>
      <c r="J61" s="2">
        <v>2.4900000000000002</v>
      </c>
      <c r="K61" s="2">
        <v>4.83</v>
      </c>
      <c r="L61" s="2">
        <v>11</v>
      </c>
      <c r="M61" s="2">
        <v>1.1299999999999999</v>
      </c>
      <c r="N61" s="2">
        <v>414</v>
      </c>
      <c r="O61" s="2">
        <v>691</v>
      </c>
      <c r="P61" s="2">
        <v>264</v>
      </c>
      <c r="Q61" s="2">
        <v>475</v>
      </c>
      <c r="R61" s="2">
        <v>17</v>
      </c>
      <c r="S61" s="2">
        <v>14</v>
      </c>
      <c r="T61" s="2">
        <v>0.32</v>
      </c>
      <c r="U61" s="2">
        <v>11</v>
      </c>
      <c r="V61" s="2">
        <v>2.39</v>
      </c>
    </row>
    <row r="62" spans="1:22" x14ac:dyDescent="0.25">
      <c r="A62" t="s">
        <v>585</v>
      </c>
      <c r="B62" t="s">
        <v>588</v>
      </c>
      <c r="C62" t="s">
        <v>522</v>
      </c>
      <c r="D62" t="s">
        <v>586</v>
      </c>
      <c r="E62" t="s">
        <v>583</v>
      </c>
      <c r="F62" t="s">
        <v>584</v>
      </c>
      <c r="G62" s="1">
        <v>5.9908000000000003E-2</v>
      </c>
      <c r="H62" s="2">
        <v>1147</v>
      </c>
      <c r="I62" s="2">
        <v>2365</v>
      </c>
      <c r="J62" s="2">
        <v>2.5099999999999998</v>
      </c>
      <c r="K62" s="2">
        <v>4.2</v>
      </c>
      <c r="L62" s="2">
        <v>8</v>
      </c>
      <c r="M62" s="2">
        <v>1.33</v>
      </c>
      <c r="N62" s="2">
        <v>673</v>
      </c>
      <c r="O62" s="2">
        <v>814</v>
      </c>
      <c r="P62" s="2">
        <v>357</v>
      </c>
      <c r="Q62" s="2">
        <v>424</v>
      </c>
      <c r="R62" s="2">
        <v>42</v>
      </c>
      <c r="S62" s="2">
        <v>36</v>
      </c>
      <c r="T62" s="2">
        <v>1.35</v>
      </c>
      <c r="U62" s="2">
        <v>30</v>
      </c>
      <c r="V62" s="2">
        <v>2.61</v>
      </c>
    </row>
    <row r="63" spans="1:22" x14ac:dyDescent="0.25">
      <c r="A63" t="s">
        <v>355</v>
      </c>
      <c r="B63" t="s">
        <v>356</v>
      </c>
      <c r="C63" t="s">
        <v>196</v>
      </c>
      <c r="D63" t="s">
        <v>316</v>
      </c>
      <c r="E63" t="s">
        <v>316</v>
      </c>
      <c r="F63" t="s">
        <v>357</v>
      </c>
      <c r="G63" s="1">
        <v>0.25119999999999998</v>
      </c>
      <c r="H63" s="2">
        <v>745</v>
      </c>
      <c r="I63" s="2">
        <v>1846</v>
      </c>
      <c r="J63" s="2">
        <v>2.52</v>
      </c>
      <c r="K63" s="2">
        <v>4.57</v>
      </c>
      <c r="L63" s="2">
        <v>8</v>
      </c>
      <c r="M63" s="2">
        <v>1.18</v>
      </c>
      <c r="N63" s="2">
        <v>323</v>
      </c>
      <c r="O63" s="2">
        <v>459</v>
      </c>
      <c r="P63" s="2">
        <v>221</v>
      </c>
      <c r="Q63" s="2">
        <v>295</v>
      </c>
      <c r="R63" s="2">
        <v>6</v>
      </c>
      <c r="S63" s="2">
        <v>20</v>
      </c>
      <c r="T63" s="2">
        <v>1.59</v>
      </c>
      <c r="U63" s="2">
        <v>18</v>
      </c>
      <c r="V63" s="2">
        <v>4.3899999999999997</v>
      </c>
    </row>
    <row r="64" spans="1:22" x14ac:dyDescent="0.25">
      <c r="A64" t="s">
        <v>277</v>
      </c>
      <c r="B64" t="s">
        <v>278</v>
      </c>
      <c r="C64" t="s">
        <v>196</v>
      </c>
      <c r="D64" t="s">
        <v>214</v>
      </c>
      <c r="E64" t="s">
        <v>214</v>
      </c>
      <c r="F64" t="s">
        <v>279</v>
      </c>
      <c r="G64" s="1">
        <v>2.7000000000000001E-3</v>
      </c>
      <c r="H64" s="2">
        <v>1511</v>
      </c>
      <c r="I64" s="2">
        <v>3048</v>
      </c>
      <c r="J64" s="2">
        <v>2.5299999999999998</v>
      </c>
      <c r="K64" s="2">
        <v>8</v>
      </c>
      <c r="L64" s="2">
        <v>9</v>
      </c>
      <c r="M64" s="2">
        <v>1.53</v>
      </c>
      <c r="N64" s="2">
        <v>707</v>
      </c>
      <c r="O64" s="2">
        <v>1259</v>
      </c>
      <c r="P64" s="2">
        <v>515</v>
      </c>
      <c r="Q64" s="2">
        <v>823</v>
      </c>
      <c r="R64" s="2">
        <v>15</v>
      </c>
      <c r="S64" s="2">
        <v>62</v>
      </c>
      <c r="T64" s="2">
        <v>1.74</v>
      </c>
      <c r="U64" s="2">
        <v>26</v>
      </c>
      <c r="V64" s="2">
        <v>5.5</v>
      </c>
    </row>
    <row r="65" spans="1:22" x14ac:dyDescent="0.25">
      <c r="A65" t="s">
        <v>48</v>
      </c>
      <c r="B65" t="s">
        <v>45</v>
      </c>
      <c r="C65" t="s">
        <v>23</v>
      </c>
      <c r="D65" t="s">
        <v>42</v>
      </c>
      <c r="E65" t="s">
        <v>30</v>
      </c>
      <c r="F65" t="s">
        <v>47</v>
      </c>
      <c r="G65" s="1">
        <v>0.23</v>
      </c>
      <c r="H65" s="2">
        <f>3766*G65</f>
        <v>866.18000000000006</v>
      </c>
      <c r="I65" s="2">
        <f>8904*G65</f>
        <v>2047.92</v>
      </c>
      <c r="J65" s="2">
        <f>11*G65</f>
        <v>2.5300000000000002</v>
      </c>
      <c r="K65" s="2">
        <f>16*G65</f>
        <v>3.68</v>
      </c>
      <c r="L65" s="2">
        <f>17*G65</f>
        <v>3.91</v>
      </c>
      <c r="M65" s="2">
        <f>4.55*G65</f>
        <v>1.0465</v>
      </c>
      <c r="N65" s="2">
        <f>1405*G65</f>
        <v>323.15000000000003</v>
      </c>
      <c r="O65" s="2">
        <f>2774*G65</f>
        <v>638.02</v>
      </c>
      <c r="P65" s="2">
        <f>902*G65</f>
        <v>207.46</v>
      </c>
      <c r="Q65" s="2">
        <f>1411*G65</f>
        <v>324.53000000000003</v>
      </c>
      <c r="R65" s="2">
        <f>125*G65</f>
        <v>28.75</v>
      </c>
      <c r="S65" s="2">
        <f>79*G65</f>
        <v>18.170000000000002</v>
      </c>
      <c r="T65" s="2">
        <f>2.52*G65</f>
        <v>0.5796</v>
      </c>
      <c r="U65" s="2">
        <f>117*G65</f>
        <v>26.91</v>
      </c>
      <c r="V65" s="2">
        <f>17*G65</f>
        <v>3.91</v>
      </c>
    </row>
    <row r="66" spans="1:22" x14ac:dyDescent="0.25">
      <c r="A66" t="s">
        <v>256</v>
      </c>
      <c r="B66" t="s">
        <v>252</v>
      </c>
      <c r="C66" t="s">
        <v>196</v>
      </c>
      <c r="D66" t="s">
        <v>253</v>
      </c>
      <c r="E66" t="s">
        <v>253</v>
      </c>
      <c r="F66" t="s">
        <v>111</v>
      </c>
      <c r="G66" s="1">
        <v>1.0620000000000001</v>
      </c>
      <c r="H66" s="2">
        <v>1295</v>
      </c>
      <c r="I66" s="2">
        <v>2837</v>
      </c>
      <c r="J66" s="2">
        <v>2.58</v>
      </c>
      <c r="K66" s="2">
        <v>8</v>
      </c>
      <c r="L66" s="2">
        <v>17</v>
      </c>
      <c r="M66" s="2">
        <v>1.79</v>
      </c>
      <c r="N66" s="2">
        <v>547</v>
      </c>
      <c r="O66" s="2">
        <v>1038</v>
      </c>
      <c r="P66" s="2">
        <v>422</v>
      </c>
      <c r="Q66" s="2">
        <v>592</v>
      </c>
      <c r="R66" s="2">
        <v>24</v>
      </c>
      <c r="S66" s="2">
        <v>53</v>
      </c>
      <c r="T66" s="2">
        <v>1.64</v>
      </c>
      <c r="U66" s="2">
        <v>34</v>
      </c>
      <c r="V66" s="2">
        <v>5.15</v>
      </c>
    </row>
    <row r="67" spans="1:22" x14ac:dyDescent="0.25">
      <c r="A67" t="s">
        <v>587</v>
      </c>
      <c r="B67" t="s">
        <v>588</v>
      </c>
      <c r="C67" t="s">
        <v>522</v>
      </c>
      <c r="D67" t="s">
        <v>583</v>
      </c>
      <c r="E67" t="s">
        <v>30</v>
      </c>
      <c r="F67" t="s">
        <v>584</v>
      </c>
      <c r="G67" s="1">
        <v>5.9908000000000003E-2</v>
      </c>
      <c r="H67" s="2">
        <v>1030</v>
      </c>
      <c r="I67" s="2">
        <v>2310</v>
      </c>
      <c r="J67" s="2">
        <v>2.61</v>
      </c>
      <c r="K67" s="2">
        <v>4.46</v>
      </c>
      <c r="L67" s="2">
        <v>7</v>
      </c>
      <c r="M67" s="2">
        <v>1.29</v>
      </c>
      <c r="N67" s="2">
        <v>571</v>
      </c>
      <c r="O67" s="2">
        <v>654</v>
      </c>
      <c r="P67" s="2">
        <v>350</v>
      </c>
      <c r="Q67" s="2">
        <v>413</v>
      </c>
      <c r="R67" s="2">
        <v>25</v>
      </c>
      <c r="S67" s="2">
        <v>27</v>
      </c>
      <c r="T67" s="2">
        <v>1.27</v>
      </c>
      <c r="U67" s="2">
        <v>59</v>
      </c>
      <c r="V67" s="2">
        <v>2.8</v>
      </c>
    </row>
    <row r="68" spans="1:22" x14ac:dyDescent="0.25">
      <c r="A68" t="s">
        <v>468</v>
      </c>
      <c r="B68" t="s">
        <v>464</v>
      </c>
      <c r="C68" t="s">
        <v>405</v>
      </c>
      <c r="D68" t="s">
        <v>253</v>
      </c>
      <c r="E68" t="s">
        <v>253</v>
      </c>
      <c r="F68" t="s">
        <v>466</v>
      </c>
      <c r="G68" s="1">
        <v>1.2099999999999999E-3</v>
      </c>
      <c r="H68" s="2">
        <v>1530</v>
      </c>
      <c r="I68" s="2">
        <v>3201</v>
      </c>
      <c r="J68" s="2">
        <v>2.62</v>
      </c>
      <c r="K68" s="2">
        <v>8</v>
      </c>
      <c r="L68" s="2">
        <v>21</v>
      </c>
      <c r="M68" s="2">
        <v>2.29</v>
      </c>
      <c r="N68" s="2">
        <v>778</v>
      </c>
      <c r="O68" s="2">
        <v>1166</v>
      </c>
      <c r="P68" s="2">
        <v>750</v>
      </c>
      <c r="Q68" s="2">
        <v>522</v>
      </c>
      <c r="R68" s="2">
        <v>22</v>
      </c>
      <c r="S68" s="2">
        <v>44</v>
      </c>
      <c r="T68" s="2">
        <v>1.42</v>
      </c>
      <c r="U68" s="2">
        <v>47</v>
      </c>
      <c r="V68" s="2">
        <v>5.14</v>
      </c>
    </row>
    <row r="69" spans="1:22" x14ac:dyDescent="0.25">
      <c r="A69" t="s">
        <v>592</v>
      </c>
      <c r="B69" t="s">
        <v>593</v>
      </c>
      <c r="C69" t="s">
        <v>522</v>
      </c>
      <c r="D69" t="s">
        <v>67</v>
      </c>
      <c r="E69" t="s">
        <v>211</v>
      </c>
      <c r="F69" t="s">
        <v>594</v>
      </c>
      <c r="G69" s="1">
        <v>0.32600000000000001</v>
      </c>
      <c r="H69" s="2">
        <v>865</v>
      </c>
      <c r="I69" s="2">
        <v>1916</v>
      </c>
      <c r="J69" s="2">
        <v>2.63</v>
      </c>
      <c r="K69" s="2">
        <v>4.07</v>
      </c>
      <c r="L69" s="2">
        <v>7</v>
      </c>
      <c r="M69" s="2">
        <v>0.94</v>
      </c>
      <c r="N69" s="2">
        <v>348</v>
      </c>
      <c r="O69" s="2">
        <v>674</v>
      </c>
      <c r="P69" s="2">
        <v>425</v>
      </c>
      <c r="Q69" s="2">
        <v>222</v>
      </c>
      <c r="R69" s="2">
        <v>11</v>
      </c>
      <c r="S69" s="2">
        <v>18</v>
      </c>
      <c r="T69" s="2">
        <v>0.74</v>
      </c>
      <c r="U69" s="2">
        <v>13</v>
      </c>
      <c r="V69" s="2">
        <v>3.12</v>
      </c>
    </row>
    <row r="70" spans="1:22" x14ac:dyDescent="0.25">
      <c r="A70" t="s">
        <v>71</v>
      </c>
      <c r="B70" t="s">
        <v>72</v>
      </c>
      <c r="C70" t="s">
        <v>23</v>
      </c>
      <c r="D70" t="s">
        <v>73</v>
      </c>
      <c r="E70" t="s">
        <v>74</v>
      </c>
      <c r="F70" t="s">
        <v>75</v>
      </c>
      <c r="G70" s="1">
        <v>2.5300000000000001E-3</v>
      </c>
      <c r="H70" s="2">
        <v>1229</v>
      </c>
      <c r="I70" s="2">
        <v>2941</v>
      </c>
      <c r="J70" s="2">
        <v>2.64</v>
      </c>
      <c r="K70" s="2">
        <v>5.46</v>
      </c>
      <c r="L70" s="2">
        <v>6</v>
      </c>
      <c r="M70" s="2">
        <v>1.17</v>
      </c>
      <c r="N70" s="2">
        <v>598</v>
      </c>
      <c r="O70" s="2">
        <v>1022</v>
      </c>
      <c r="P70" s="2">
        <v>347</v>
      </c>
      <c r="Q70" s="2">
        <v>586</v>
      </c>
      <c r="R70" s="2">
        <v>14</v>
      </c>
      <c r="S70" s="2">
        <v>23</v>
      </c>
      <c r="T70" s="2">
        <v>1.21</v>
      </c>
      <c r="U70" s="2">
        <v>17</v>
      </c>
      <c r="V70" s="2">
        <v>1.99</v>
      </c>
    </row>
    <row r="71" spans="1:22" x14ac:dyDescent="0.25">
      <c r="A71" t="s">
        <v>566</v>
      </c>
      <c r="B71" t="s">
        <v>564</v>
      </c>
      <c r="C71" t="s">
        <v>522</v>
      </c>
      <c r="D71" t="s">
        <v>67</v>
      </c>
      <c r="E71" t="s">
        <v>211</v>
      </c>
      <c r="F71" t="s">
        <v>565</v>
      </c>
      <c r="G71" s="1">
        <v>9.7949999999999995E-2</v>
      </c>
      <c r="H71" s="2">
        <v>1332</v>
      </c>
      <c r="I71" s="2">
        <v>2640</v>
      </c>
      <c r="J71" s="2">
        <v>2.64</v>
      </c>
      <c r="K71" s="2">
        <v>6</v>
      </c>
      <c r="L71" s="2">
        <v>7</v>
      </c>
      <c r="M71" s="2">
        <v>1.37</v>
      </c>
      <c r="N71" s="2">
        <v>728</v>
      </c>
      <c r="O71" s="2">
        <v>1043</v>
      </c>
      <c r="P71" s="2">
        <v>443</v>
      </c>
      <c r="Q71" s="2">
        <v>689</v>
      </c>
      <c r="R71" s="2">
        <v>24</v>
      </c>
      <c r="S71" s="2">
        <v>24</v>
      </c>
      <c r="T71" s="2">
        <v>1.4</v>
      </c>
      <c r="U71" s="2">
        <v>24</v>
      </c>
      <c r="V71" s="2">
        <v>3.31</v>
      </c>
    </row>
    <row r="72" spans="1:22" x14ac:dyDescent="0.25">
      <c r="A72" t="s">
        <v>228</v>
      </c>
      <c r="B72" t="s">
        <v>229</v>
      </c>
      <c r="C72" t="s">
        <v>196</v>
      </c>
      <c r="D72" t="s">
        <v>230</v>
      </c>
      <c r="E72" t="s">
        <v>231</v>
      </c>
      <c r="F72" t="s">
        <v>232</v>
      </c>
      <c r="G72" s="1">
        <v>0.53800000000000003</v>
      </c>
      <c r="H72" s="2">
        <v>838</v>
      </c>
      <c r="I72" s="2">
        <v>2092</v>
      </c>
      <c r="J72" s="2">
        <v>2.66</v>
      </c>
      <c r="K72" s="2">
        <v>5.03</v>
      </c>
      <c r="L72" s="2">
        <v>11</v>
      </c>
      <c r="M72" s="2">
        <v>1.39</v>
      </c>
      <c r="N72" s="2">
        <v>314</v>
      </c>
      <c r="O72" s="2">
        <v>579</v>
      </c>
      <c r="P72" s="2">
        <v>182</v>
      </c>
      <c r="Q72" s="2">
        <v>276</v>
      </c>
      <c r="R72" s="2">
        <v>12</v>
      </c>
      <c r="S72" s="2">
        <v>23</v>
      </c>
      <c r="T72" s="2">
        <v>1.6</v>
      </c>
      <c r="U72" s="2">
        <v>24</v>
      </c>
      <c r="V72" s="2">
        <v>3.29</v>
      </c>
    </row>
    <row r="73" spans="1:22" x14ac:dyDescent="0.25">
      <c r="A73" t="s">
        <v>513</v>
      </c>
      <c r="B73" t="s">
        <v>514</v>
      </c>
      <c r="C73" t="s">
        <v>405</v>
      </c>
      <c r="D73" t="s">
        <v>253</v>
      </c>
      <c r="E73" t="s">
        <v>253</v>
      </c>
      <c r="F73" t="s">
        <v>515</v>
      </c>
      <c r="G73" s="1">
        <v>1.7670000000000002E-2</v>
      </c>
      <c r="H73" s="2">
        <v>1016</v>
      </c>
      <c r="I73" s="2">
        <v>2379</v>
      </c>
      <c r="J73" s="2">
        <v>2.69</v>
      </c>
      <c r="K73" s="2">
        <v>6</v>
      </c>
      <c r="L73" s="2">
        <v>10</v>
      </c>
      <c r="M73" s="2">
        <v>1.26</v>
      </c>
      <c r="N73" s="2">
        <v>385</v>
      </c>
      <c r="O73" s="2">
        <v>779</v>
      </c>
      <c r="P73" s="2">
        <v>286</v>
      </c>
      <c r="Q73" s="2">
        <v>420</v>
      </c>
      <c r="R73" s="2">
        <v>23</v>
      </c>
      <c r="S73" s="2">
        <v>33</v>
      </c>
      <c r="T73" s="2">
        <v>1.82</v>
      </c>
      <c r="U73" s="2">
        <v>35</v>
      </c>
      <c r="V73" s="2">
        <v>3.95</v>
      </c>
    </row>
    <row r="74" spans="1:22" x14ac:dyDescent="0.25">
      <c r="A74" t="s">
        <v>598</v>
      </c>
      <c r="B74" t="s">
        <v>599</v>
      </c>
      <c r="C74" t="s">
        <v>522</v>
      </c>
      <c r="D74" t="s">
        <v>30</v>
      </c>
      <c r="E74" t="s">
        <v>600</v>
      </c>
      <c r="F74" t="s">
        <v>601</v>
      </c>
      <c r="G74" s="1">
        <v>5.4420000000000003E-2</v>
      </c>
      <c r="H74" s="2">
        <v>984</v>
      </c>
      <c r="I74" s="2">
        <v>1876</v>
      </c>
      <c r="J74" s="2">
        <v>2.7</v>
      </c>
      <c r="K74" s="2">
        <v>3.68</v>
      </c>
      <c r="L74" s="2">
        <v>7</v>
      </c>
      <c r="M74" s="2">
        <v>1.1399999999999999</v>
      </c>
      <c r="N74" s="2">
        <v>537</v>
      </c>
      <c r="O74" s="2">
        <v>721</v>
      </c>
      <c r="P74" s="2">
        <v>323</v>
      </c>
      <c r="Q74" s="2">
        <v>517</v>
      </c>
      <c r="R74" s="2">
        <v>21</v>
      </c>
      <c r="S74" s="2">
        <v>17</v>
      </c>
      <c r="T74" s="2">
        <v>1.19</v>
      </c>
      <c r="U74" s="2">
        <v>23</v>
      </c>
      <c r="V74" s="2">
        <v>1.76</v>
      </c>
    </row>
    <row r="75" spans="1:22" x14ac:dyDescent="0.25">
      <c r="A75" t="s">
        <v>36</v>
      </c>
      <c r="B75" t="s">
        <v>37</v>
      </c>
      <c r="C75" t="s">
        <v>23</v>
      </c>
      <c r="D75" t="s">
        <v>38</v>
      </c>
      <c r="E75" t="s">
        <v>39</v>
      </c>
      <c r="F75" t="s">
        <v>40</v>
      </c>
      <c r="G75" s="1">
        <v>4.1999999999999998E-5</v>
      </c>
      <c r="H75" s="2">
        <f>22972227*G75</f>
        <v>964.83353399999999</v>
      </c>
      <c r="I75" s="2">
        <f>48335062*G75</f>
        <v>2030.072604</v>
      </c>
      <c r="J75" s="2">
        <f>64459*G75</f>
        <v>2.7072779999999996</v>
      </c>
      <c r="K75" s="2">
        <f>91595*G75</f>
        <v>3.8469899999999999</v>
      </c>
      <c r="L75" s="2">
        <f>+G75*56795</f>
        <v>2.3853899999999997</v>
      </c>
      <c r="M75" s="2">
        <f>22927*G75</f>
        <v>0.96293399999999996</v>
      </c>
      <c r="N75" s="2">
        <f>11410900*G75</f>
        <v>479.25779999999997</v>
      </c>
      <c r="O75" s="2">
        <f>17928900*G75</f>
        <v>753.01379999999995</v>
      </c>
      <c r="P75" s="2">
        <f>6692080*G75</f>
        <v>281.06736000000001</v>
      </c>
      <c r="Q75" s="2">
        <f>11600000*G75</f>
        <v>487.2</v>
      </c>
      <c r="R75" s="2">
        <f>214582*G75</f>
        <v>9.0124440000000003</v>
      </c>
      <c r="S75" s="2">
        <f>+G75*837601</f>
        <v>35.179241999999995</v>
      </c>
      <c r="T75" s="2">
        <f>19501*G75</f>
        <v>0.81904199999999994</v>
      </c>
      <c r="U75" s="2">
        <f>219300*G75</f>
        <v>9.2105999999999995</v>
      </c>
      <c r="V75" s="2">
        <f>34500*G75</f>
        <v>1.4489999999999998</v>
      </c>
    </row>
    <row r="76" spans="1:22" x14ac:dyDescent="0.25">
      <c r="A76" t="s">
        <v>185</v>
      </c>
      <c r="B76" t="s">
        <v>186</v>
      </c>
      <c r="C76" t="s">
        <v>23</v>
      </c>
      <c r="D76" t="s">
        <v>110</v>
      </c>
      <c r="E76" t="s">
        <v>187</v>
      </c>
      <c r="F76" t="s">
        <v>188</v>
      </c>
      <c r="G76" s="1">
        <v>5.3289999999999997E-2</v>
      </c>
      <c r="H76" s="2">
        <v>838</v>
      </c>
      <c r="I76" s="2">
        <v>1968</v>
      </c>
      <c r="J76" s="2">
        <v>2.71</v>
      </c>
      <c r="K76" s="2">
        <v>4.1500000000000004</v>
      </c>
      <c r="L76" s="2">
        <v>13</v>
      </c>
      <c r="M76" s="2">
        <v>1.07</v>
      </c>
      <c r="N76" s="2">
        <v>388</v>
      </c>
      <c r="O76" s="2">
        <v>522</v>
      </c>
      <c r="P76" s="2">
        <v>255</v>
      </c>
      <c r="Q76" s="2">
        <v>445</v>
      </c>
      <c r="R76" s="2">
        <v>7</v>
      </c>
      <c r="S76" s="2">
        <v>53</v>
      </c>
      <c r="T76" s="2">
        <v>1.05</v>
      </c>
      <c r="U76" s="2">
        <v>9</v>
      </c>
      <c r="V76" s="2">
        <v>1.67</v>
      </c>
    </row>
    <row r="77" spans="1:22" x14ac:dyDescent="0.25">
      <c r="A77" t="s">
        <v>189</v>
      </c>
      <c r="B77" t="s">
        <v>186</v>
      </c>
      <c r="C77" t="s">
        <v>23</v>
      </c>
      <c r="D77" t="s">
        <v>110</v>
      </c>
      <c r="E77" t="s">
        <v>30</v>
      </c>
      <c r="F77" t="s">
        <v>188</v>
      </c>
      <c r="G77" s="1">
        <v>5.3289999999999997E-2</v>
      </c>
      <c r="H77" s="2">
        <v>1339</v>
      </c>
      <c r="I77" s="2">
        <v>2677</v>
      </c>
      <c r="J77" s="2">
        <v>2.72</v>
      </c>
      <c r="K77" s="2">
        <v>4.79</v>
      </c>
      <c r="L77" s="2">
        <v>7</v>
      </c>
      <c r="M77" s="2">
        <v>1.58</v>
      </c>
      <c r="N77" s="2">
        <v>592</v>
      </c>
      <c r="O77" s="2">
        <v>1167</v>
      </c>
      <c r="P77" s="2">
        <v>381</v>
      </c>
      <c r="Q77" s="2">
        <v>728</v>
      </c>
      <c r="R77" s="2">
        <v>8</v>
      </c>
      <c r="S77" s="2">
        <v>51</v>
      </c>
      <c r="T77" s="2">
        <v>1.27</v>
      </c>
      <c r="U77" s="2">
        <v>31</v>
      </c>
      <c r="V77" s="2">
        <v>1.8</v>
      </c>
    </row>
    <row r="78" spans="1:22" x14ac:dyDescent="0.25">
      <c r="A78" t="s">
        <v>567</v>
      </c>
      <c r="B78" t="s">
        <v>564</v>
      </c>
      <c r="C78" t="s">
        <v>522</v>
      </c>
      <c r="D78" t="s">
        <v>67</v>
      </c>
      <c r="E78" t="s">
        <v>527</v>
      </c>
      <c r="F78" t="s">
        <v>565</v>
      </c>
      <c r="G78" s="1">
        <v>9.7949999999999995E-2</v>
      </c>
      <c r="H78" s="2">
        <v>877</v>
      </c>
      <c r="I78" s="2">
        <v>1966</v>
      </c>
      <c r="J78" s="2">
        <v>2.74</v>
      </c>
      <c r="K78" s="2">
        <v>5.04</v>
      </c>
      <c r="L78" s="2">
        <v>5.3</v>
      </c>
      <c r="M78" s="2">
        <v>1.0900000000000001</v>
      </c>
      <c r="N78" s="2">
        <v>387</v>
      </c>
      <c r="O78" s="2">
        <v>600</v>
      </c>
      <c r="P78" s="2">
        <v>518</v>
      </c>
      <c r="Q78" s="2">
        <v>527</v>
      </c>
      <c r="R78" s="2">
        <v>23</v>
      </c>
      <c r="S78" s="2">
        <v>18</v>
      </c>
      <c r="T78" s="2">
        <v>1.04</v>
      </c>
      <c r="U78" s="2">
        <v>16</v>
      </c>
      <c r="V78" s="2">
        <v>3.51</v>
      </c>
    </row>
    <row r="79" spans="1:22" x14ac:dyDescent="0.25">
      <c r="A79" t="s">
        <v>473</v>
      </c>
      <c r="B79" t="s">
        <v>474</v>
      </c>
      <c r="C79" t="s">
        <v>405</v>
      </c>
      <c r="D79" t="s">
        <v>253</v>
      </c>
      <c r="E79" t="s">
        <v>456</v>
      </c>
      <c r="F79" t="s">
        <v>4</v>
      </c>
      <c r="G79" s="1">
        <v>1</v>
      </c>
      <c r="H79" s="2">
        <v>987</v>
      </c>
      <c r="I79" s="2">
        <v>2478</v>
      </c>
      <c r="J79" s="2">
        <v>2.74</v>
      </c>
      <c r="K79" s="2">
        <v>7</v>
      </c>
      <c r="L79" s="2">
        <v>11</v>
      </c>
      <c r="M79" s="2">
        <v>2.0699999999999998</v>
      </c>
      <c r="N79" s="2">
        <v>372</v>
      </c>
      <c r="O79" s="2">
        <v>633</v>
      </c>
      <c r="P79" s="2">
        <v>306</v>
      </c>
      <c r="Q79" s="2">
        <v>453</v>
      </c>
      <c r="R79" s="2">
        <v>27</v>
      </c>
      <c r="S79" s="2">
        <v>38</v>
      </c>
      <c r="T79" s="2">
        <v>0.98</v>
      </c>
      <c r="U79" s="2">
        <v>25</v>
      </c>
      <c r="V79" s="2">
        <v>5.36</v>
      </c>
    </row>
    <row r="80" spans="1:22" x14ac:dyDescent="0.25">
      <c r="A80" t="s">
        <v>563</v>
      </c>
      <c r="B80" t="s">
        <v>564</v>
      </c>
      <c r="C80" t="s">
        <v>522</v>
      </c>
      <c r="D80" t="s">
        <v>67</v>
      </c>
      <c r="E80" t="s">
        <v>527</v>
      </c>
      <c r="F80" t="s">
        <v>565</v>
      </c>
      <c r="G80" s="1">
        <v>9.7949999999999995E-2</v>
      </c>
      <c r="H80" s="2">
        <v>1012</v>
      </c>
      <c r="I80" s="2">
        <v>2306</v>
      </c>
      <c r="J80" s="2">
        <v>2.76</v>
      </c>
      <c r="K80" s="2">
        <v>6</v>
      </c>
      <c r="L80" s="2">
        <v>9</v>
      </c>
      <c r="M80" s="2">
        <v>1.1299999999999999</v>
      </c>
      <c r="N80" s="2">
        <v>488</v>
      </c>
      <c r="O80" s="2">
        <v>905</v>
      </c>
      <c r="P80" s="2">
        <v>336</v>
      </c>
      <c r="Q80" s="2">
        <v>524</v>
      </c>
      <c r="R80" s="2">
        <v>24</v>
      </c>
      <c r="S80" s="2">
        <v>24</v>
      </c>
      <c r="T80" s="2">
        <v>1.42</v>
      </c>
      <c r="U80" s="2">
        <v>20</v>
      </c>
      <c r="V80" s="2">
        <v>3.48</v>
      </c>
    </row>
    <row r="81" spans="1:22" x14ac:dyDescent="0.25">
      <c r="A81" t="s">
        <v>123</v>
      </c>
      <c r="B81" t="s">
        <v>124</v>
      </c>
      <c r="C81" t="s">
        <v>23</v>
      </c>
      <c r="D81" t="s">
        <v>125</v>
      </c>
      <c r="E81" t="s">
        <v>74</v>
      </c>
      <c r="F81" t="s">
        <v>126</v>
      </c>
      <c r="G81" s="1">
        <v>0.37243999999999999</v>
      </c>
      <c r="H81" s="2">
        <v>1387</v>
      </c>
      <c r="I81" s="2">
        <v>2664</v>
      </c>
      <c r="J81" s="2">
        <v>2.76</v>
      </c>
      <c r="K81" s="2">
        <v>8</v>
      </c>
      <c r="L81" s="2">
        <v>10</v>
      </c>
      <c r="M81" s="2">
        <v>1.72</v>
      </c>
      <c r="N81" s="2">
        <v>678</v>
      </c>
      <c r="O81" s="2">
        <v>1186</v>
      </c>
      <c r="P81" s="2">
        <v>375</v>
      </c>
      <c r="Q81" s="2">
        <v>764</v>
      </c>
      <c r="R81" s="2">
        <v>11</v>
      </c>
      <c r="S81" s="2">
        <v>23</v>
      </c>
      <c r="T81" s="2">
        <v>1.28</v>
      </c>
      <c r="U81" s="2">
        <v>17</v>
      </c>
      <c r="V81" s="2">
        <v>2.62</v>
      </c>
    </row>
    <row r="82" spans="1:22" x14ac:dyDescent="0.25">
      <c r="A82" t="s">
        <v>529</v>
      </c>
      <c r="B82" t="s">
        <v>526</v>
      </c>
      <c r="C82" t="s">
        <v>522</v>
      </c>
      <c r="D82" t="s">
        <v>67</v>
      </c>
      <c r="E82" t="s">
        <v>211</v>
      </c>
      <c r="F82" t="s">
        <v>528</v>
      </c>
      <c r="G82" s="1">
        <v>7.3200000000000001E-3</v>
      </c>
      <c r="H82" s="2">
        <v>715</v>
      </c>
      <c r="I82" s="2">
        <v>1649</v>
      </c>
      <c r="J82" s="2">
        <v>2.78</v>
      </c>
      <c r="K82" s="2">
        <v>5.29</v>
      </c>
      <c r="L82" s="2">
        <v>13</v>
      </c>
      <c r="M82" s="2">
        <v>1</v>
      </c>
      <c r="N82" s="2">
        <v>305</v>
      </c>
      <c r="O82" s="2">
        <v>502</v>
      </c>
      <c r="P82" s="2">
        <v>186</v>
      </c>
      <c r="Q82" s="2">
        <v>336</v>
      </c>
      <c r="R82" s="2">
        <v>25</v>
      </c>
      <c r="S82" s="2">
        <v>13</v>
      </c>
      <c r="T82" s="2">
        <v>0.23</v>
      </c>
      <c r="U82" s="2">
        <v>15</v>
      </c>
      <c r="V82" s="2">
        <v>1.65</v>
      </c>
    </row>
    <row r="83" spans="1:22" x14ac:dyDescent="0.25">
      <c r="A83" t="s">
        <v>51</v>
      </c>
      <c r="B83" t="s">
        <v>52</v>
      </c>
      <c r="C83" t="s">
        <v>23</v>
      </c>
      <c r="D83" t="s">
        <v>53</v>
      </c>
      <c r="E83" t="s">
        <v>30</v>
      </c>
      <c r="F83" t="s">
        <v>54</v>
      </c>
      <c r="G83" s="1">
        <v>2.4000000000000001E-4</v>
      </c>
      <c r="H83" s="2">
        <f>5242556*G83</f>
        <v>1258.21344</v>
      </c>
      <c r="I83" s="2">
        <f>10270084*G83</f>
        <v>2464.8201600000002</v>
      </c>
      <c r="J83" s="2">
        <f>11642*G83</f>
        <v>2.7940800000000001</v>
      </c>
      <c r="K83" s="2">
        <f>24907*G83</f>
        <v>5.9776800000000003</v>
      </c>
      <c r="L83" s="2">
        <f>20043*G83</f>
        <v>4.8103199999999999</v>
      </c>
      <c r="M83" s="2">
        <f>6105*G83</f>
        <v>1.4652000000000001</v>
      </c>
      <c r="N83" s="2">
        <f>+G83*2427400</f>
        <v>582.57600000000002</v>
      </c>
      <c r="O83" s="2">
        <f>4759820*G83</f>
        <v>1142.3568</v>
      </c>
      <c r="P83" s="2">
        <f>1387150*G83</f>
        <v>332.916</v>
      </c>
      <c r="Q83" s="2">
        <f>2383570*G83</f>
        <v>572.05680000000007</v>
      </c>
      <c r="R83" s="2">
        <f>57807*G83</f>
        <v>13.87368</v>
      </c>
      <c r="S83" s="2">
        <f>110158*G83</f>
        <v>26.437920000000002</v>
      </c>
      <c r="T83" s="2">
        <f>4063*G83</f>
        <v>0.97511999999999999</v>
      </c>
      <c r="U83" s="2">
        <f>58412*G83</f>
        <v>14.018880000000001</v>
      </c>
      <c r="V83" s="2">
        <f>6611*G83</f>
        <v>1.5866400000000001</v>
      </c>
    </row>
    <row r="84" spans="1:22" x14ac:dyDescent="0.25">
      <c r="A84" t="s">
        <v>259</v>
      </c>
      <c r="B84" t="s">
        <v>260</v>
      </c>
      <c r="C84" t="s">
        <v>196</v>
      </c>
      <c r="D84" t="s">
        <v>261</v>
      </c>
      <c r="E84" t="s">
        <v>261</v>
      </c>
      <c r="F84" t="s">
        <v>111</v>
      </c>
      <c r="G84" s="1">
        <v>1.0620000000000001</v>
      </c>
      <c r="H84" s="2">
        <v>1481</v>
      </c>
      <c r="I84" s="2">
        <v>3163</v>
      </c>
      <c r="J84" s="2">
        <v>2.85</v>
      </c>
      <c r="K84" s="2">
        <v>8</v>
      </c>
      <c r="L84" s="2">
        <v>10</v>
      </c>
      <c r="M84" s="2">
        <v>1.97</v>
      </c>
      <c r="N84" s="2">
        <v>744</v>
      </c>
      <c r="O84" s="2">
        <v>1141</v>
      </c>
      <c r="P84" s="2">
        <v>483</v>
      </c>
      <c r="Q84" s="2">
        <v>697</v>
      </c>
      <c r="R84" s="2">
        <v>20</v>
      </c>
      <c r="S84" s="2">
        <v>49</v>
      </c>
      <c r="T84" s="2">
        <v>2</v>
      </c>
      <c r="U84" s="2">
        <v>32</v>
      </c>
      <c r="V84" s="2">
        <v>5.37</v>
      </c>
    </row>
    <row r="85" spans="1:22" x14ac:dyDescent="0.25">
      <c r="A85" t="s">
        <v>83</v>
      </c>
      <c r="B85" t="s">
        <v>84</v>
      </c>
      <c r="C85" t="s">
        <v>23</v>
      </c>
      <c r="D85" t="s">
        <v>42</v>
      </c>
      <c r="E85" t="s">
        <v>39</v>
      </c>
      <c r="F85" t="s">
        <v>85</v>
      </c>
      <c r="G85" s="1">
        <v>0.746</v>
      </c>
      <c r="H85" s="2">
        <v>1590</v>
      </c>
      <c r="I85" s="2">
        <v>3134</v>
      </c>
      <c r="J85" s="2">
        <v>2.87</v>
      </c>
      <c r="K85" s="2">
        <v>5.05</v>
      </c>
      <c r="L85" s="2">
        <v>5.8</v>
      </c>
      <c r="M85" s="2">
        <v>1.52</v>
      </c>
      <c r="N85" s="2">
        <v>1047</v>
      </c>
      <c r="O85" s="2">
        <v>1754</v>
      </c>
      <c r="P85" s="2">
        <v>521</v>
      </c>
      <c r="Q85" s="2">
        <v>928</v>
      </c>
      <c r="R85" s="2">
        <v>45</v>
      </c>
      <c r="S85" s="2">
        <v>33</v>
      </c>
      <c r="T85" s="2">
        <v>0.4</v>
      </c>
      <c r="U85" s="2">
        <v>42</v>
      </c>
      <c r="V85" s="2">
        <v>5.71</v>
      </c>
    </row>
    <row r="86" spans="1:22" x14ac:dyDescent="0.25">
      <c r="A86" t="s">
        <v>147</v>
      </c>
      <c r="B86" t="s">
        <v>147</v>
      </c>
      <c r="C86" t="s">
        <v>23</v>
      </c>
      <c r="D86" t="s">
        <v>67</v>
      </c>
      <c r="E86" t="s">
        <v>30</v>
      </c>
      <c r="F86" t="s">
        <v>148</v>
      </c>
      <c r="G86" s="1">
        <v>3.2610000000000001</v>
      </c>
      <c r="H86" s="2">
        <v>2288</v>
      </c>
      <c r="I86" s="2">
        <v>3925</v>
      </c>
      <c r="J86" s="2">
        <v>2.88</v>
      </c>
      <c r="K86" s="2">
        <v>9</v>
      </c>
      <c r="L86" s="2">
        <v>19</v>
      </c>
      <c r="M86" s="2">
        <v>3.26</v>
      </c>
      <c r="N86" s="2">
        <v>1247</v>
      </c>
      <c r="O86" s="2">
        <v>2094</v>
      </c>
      <c r="P86" s="2">
        <v>1013</v>
      </c>
      <c r="Q86" s="2">
        <v>1582</v>
      </c>
      <c r="R86" s="2">
        <v>29</v>
      </c>
      <c r="S86" s="2">
        <v>83</v>
      </c>
      <c r="T86" s="2">
        <v>0.32</v>
      </c>
      <c r="U86" s="2">
        <v>35</v>
      </c>
      <c r="V86" s="2">
        <v>3.35</v>
      </c>
    </row>
    <row r="87" spans="1:22" x14ac:dyDescent="0.25">
      <c r="A87" t="s">
        <v>595</v>
      </c>
      <c r="B87" t="s">
        <v>596</v>
      </c>
      <c r="C87" t="s">
        <v>522</v>
      </c>
      <c r="D87" t="s">
        <v>30</v>
      </c>
      <c r="E87" t="s">
        <v>558</v>
      </c>
      <c r="F87" t="s">
        <v>597</v>
      </c>
      <c r="G87" s="1">
        <v>2.7E-4</v>
      </c>
      <c r="H87" s="2">
        <v>1197</v>
      </c>
      <c r="I87" s="2">
        <v>2454</v>
      </c>
      <c r="J87" s="2">
        <v>2.96</v>
      </c>
      <c r="K87" s="2">
        <v>7</v>
      </c>
      <c r="L87" s="2">
        <v>4.47</v>
      </c>
      <c r="M87" s="2">
        <v>1.29</v>
      </c>
      <c r="N87" s="2">
        <v>389</v>
      </c>
      <c r="O87" s="2">
        <v>1166</v>
      </c>
      <c r="P87" s="2">
        <v>211</v>
      </c>
      <c r="Q87" s="2">
        <v>523</v>
      </c>
      <c r="R87" s="2">
        <v>39</v>
      </c>
      <c r="S87" s="2">
        <v>14</v>
      </c>
      <c r="T87" s="2">
        <v>1.3</v>
      </c>
      <c r="U87" s="2">
        <v>30</v>
      </c>
      <c r="V87" s="2">
        <v>4.32</v>
      </c>
    </row>
    <row r="88" spans="1:22" x14ac:dyDescent="0.25">
      <c r="A88" t="s">
        <v>506</v>
      </c>
      <c r="B88" t="s">
        <v>507</v>
      </c>
      <c r="C88" t="s">
        <v>405</v>
      </c>
      <c r="D88" t="s">
        <v>30</v>
      </c>
      <c r="E88" t="s">
        <v>489</v>
      </c>
      <c r="F88" t="s">
        <v>508</v>
      </c>
      <c r="G88" s="1">
        <v>4.7800000000000004E-3</v>
      </c>
      <c r="H88" s="2">
        <v>1183</v>
      </c>
      <c r="I88" s="2">
        <v>2560</v>
      </c>
      <c r="J88" s="2">
        <v>2.97</v>
      </c>
      <c r="K88" s="2">
        <v>6</v>
      </c>
      <c r="L88" s="2">
        <v>6</v>
      </c>
      <c r="M88" s="2">
        <v>2.09</v>
      </c>
      <c r="N88" s="2">
        <v>463</v>
      </c>
      <c r="O88" s="2">
        <v>997</v>
      </c>
      <c r="P88" s="2">
        <v>325</v>
      </c>
      <c r="Q88" s="2">
        <v>498</v>
      </c>
      <c r="R88" s="2">
        <v>51</v>
      </c>
      <c r="S88" s="2">
        <v>20</v>
      </c>
      <c r="T88" s="2">
        <v>1.08</v>
      </c>
      <c r="U88" s="2">
        <v>40</v>
      </c>
      <c r="V88" s="2">
        <v>2.96</v>
      </c>
    </row>
    <row r="89" spans="1:22" x14ac:dyDescent="0.25">
      <c r="A89" t="s">
        <v>262</v>
      </c>
      <c r="B89" t="s">
        <v>260</v>
      </c>
      <c r="C89" t="s">
        <v>196</v>
      </c>
      <c r="D89" t="s">
        <v>261</v>
      </c>
      <c r="E89" t="s">
        <v>74</v>
      </c>
      <c r="F89" t="s">
        <v>111</v>
      </c>
      <c r="G89" s="1">
        <v>1.0620000000000001</v>
      </c>
      <c r="H89" s="2">
        <v>1132</v>
      </c>
      <c r="I89" s="2">
        <v>2538</v>
      </c>
      <c r="J89" s="2">
        <v>2.98</v>
      </c>
      <c r="K89" s="2">
        <v>5.54</v>
      </c>
      <c r="L89" s="2">
        <v>7</v>
      </c>
      <c r="M89" s="2">
        <v>1.88</v>
      </c>
      <c r="N89" s="2">
        <v>494</v>
      </c>
      <c r="O89" s="2">
        <v>830</v>
      </c>
      <c r="P89" s="2">
        <v>353</v>
      </c>
      <c r="Q89" s="2">
        <v>526</v>
      </c>
      <c r="R89" s="2">
        <v>18</v>
      </c>
      <c r="S89" s="2">
        <v>35</v>
      </c>
      <c r="T89" s="2">
        <v>1.66</v>
      </c>
      <c r="U89" s="2">
        <v>18</v>
      </c>
      <c r="V89" s="2">
        <v>4.34</v>
      </c>
    </row>
    <row r="90" spans="1:22" x14ac:dyDescent="0.25">
      <c r="A90" t="s">
        <v>98</v>
      </c>
      <c r="B90" t="s">
        <v>95</v>
      </c>
      <c r="C90" t="s">
        <v>23</v>
      </c>
      <c r="D90" t="s">
        <v>99</v>
      </c>
      <c r="E90" t="s">
        <v>96</v>
      </c>
      <c r="F90" t="s">
        <v>97</v>
      </c>
      <c r="G90" s="1">
        <v>0.14545</v>
      </c>
      <c r="H90" s="2">
        <v>888</v>
      </c>
      <c r="I90" s="2">
        <v>2116</v>
      </c>
      <c r="J90" s="2">
        <v>3</v>
      </c>
      <c r="K90" s="2">
        <v>4.45</v>
      </c>
      <c r="L90" s="2">
        <v>9</v>
      </c>
      <c r="M90" s="2">
        <v>1.1399999999999999</v>
      </c>
      <c r="N90" s="2">
        <v>396</v>
      </c>
      <c r="O90" s="2">
        <v>584</v>
      </c>
      <c r="P90" s="2">
        <v>199</v>
      </c>
      <c r="Q90" s="2">
        <v>354</v>
      </c>
      <c r="R90" s="2">
        <v>13</v>
      </c>
      <c r="S90" s="2">
        <v>60</v>
      </c>
      <c r="T90" s="2">
        <v>0.96</v>
      </c>
      <c r="U90" s="2">
        <v>18</v>
      </c>
      <c r="V90" s="2">
        <v>4.0199999999999996</v>
      </c>
    </row>
    <row r="91" spans="1:22" x14ac:dyDescent="0.25">
      <c r="A91" t="s">
        <v>363</v>
      </c>
      <c r="B91" t="s">
        <v>360</v>
      </c>
      <c r="C91" t="s">
        <v>196</v>
      </c>
      <c r="D91" t="s">
        <v>74</v>
      </c>
      <c r="E91" t="s">
        <v>74</v>
      </c>
      <c r="F91" t="s">
        <v>361</v>
      </c>
      <c r="G91" s="1">
        <v>1.379E-2</v>
      </c>
      <c r="H91" s="2">
        <v>1583</v>
      </c>
      <c r="I91" s="2">
        <v>3192</v>
      </c>
      <c r="J91" s="2">
        <v>3.03</v>
      </c>
      <c r="K91" s="2">
        <v>5.21</v>
      </c>
      <c r="L91" s="2">
        <v>6</v>
      </c>
      <c r="M91" s="2">
        <v>2.15</v>
      </c>
      <c r="N91" s="2">
        <v>783</v>
      </c>
      <c r="O91" s="2">
        <v>1323</v>
      </c>
      <c r="P91" s="2">
        <v>384</v>
      </c>
      <c r="Q91" s="2">
        <v>600</v>
      </c>
      <c r="R91" s="2">
        <v>6</v>
      </c>
      <c r="S91" s="2">
        <v>28</v>
      </c>
      <c r="T91" s="2">
        <v>0.71</v>
      </c>
      <c r="U91" s="2">
        <v>40</v>
      </c>
      <c r="V91" s="2">
        <v>3.15</v>
      </c>
    </row>
    <row r="92" spans="1:22" x14ac:dyDescent="0.25">
      <c r="A92" t="s">
        <v>309</v>
      </c>
      <c r="B92" t="s">
        <v>310</v>
      </c>
      <c r="C92" t="s">
        <v>196</v>
      </c>
      <c r="D92" t="s">
        <v>311</v>
      </c>
      <c r="E92" t="s">
        <v>197</v>
      </c>
      <c r="F92" t="s">
        <v>312</v>
      </c>
      <c r="G92" s="1">
        <v>1.702E-2</v>
      </c>
      <c r="H92" s="2">
        <v>797</v>
      </c>
      <c r="I92" s="2">
        <v>1982</v>
      </c>
      <c r="J92" s="2">
        <v>3.04</v>
      </c>
      <c r="K92" s="2">
        <v>4.9400000000000004</v>
      </c>
      <c r="L92" s="2">
        <v>7</v>
      </c>
      <c r="M92" s="2">
        <v>1.35</v>
      </c>
      <c r="N92" s="2">
        <v>364</v>
      </c>
      <c r="O92" s="2">
        <v>476</v>
      </c>
      <c r="P92" s="2">
        <v>213</v>
      </c>
      <c r="Q92" s="2">
        <v>308</v>
      </c>
      <c r="R92" s="2">
        <v>14</v>
      </c>
      <c r="S92" s="2">
        <v>18</v>
      </c>
      <c r="T92" s="2">
        <v>1.32</v>
      </c>
      <c r="U92" s="2">
        <v>24</v>
      </c>
      <c r="V92" s="2">
        <v>2.66</v>
      </c>
    </row>
    <row r="93" spans="1:22" x14ac:dyDescent="0.25">
      <c r="A93" t="s">
        <v>334</v>
      </c>
      <c r="B93" t="s">
        <v>330</v>
      </c>
      <c r="C93" t="s">
        <v>196</v>
      </c>
      <c r="D93" t="s">
        <v>331</v>
      </c>
      <c r="E93" t="s">
        <v>331</v>
      </c>
      <c r="F93" t="s">
        <v>332</v>
      </c>
      <c r="G93" s="1">
        <v>0.22658</v>
      </c>
      <c r="H93" s="2">
        <v>1794</v>
      </c>
      <c r="I93" s="2">
        <v>3113</v>
      </c>
      <c r="J93" s="2">
        <v>3.07</v>
      </c>
      <c r="K93" s="2">
        <v>5.7</v>
      </c>
      <c r="L93" s="2">
        <v>8</v>
      </c>
      <c r="M93" s="2">
        <v>1.9</v>
      </c>
      <c r="N93" s="2">
        <v>992</v>
      </c>
      <c r="O93" s="2">
        <v>1696</v>
      </c>
      <c r="P93" s="2">
        <v>639</v>
      </c>
      <c r="Q93" s="2">
        <v>811</v>
      </c>
      <c r="R93" s="2">
        <v>11</v>
      </c>
      <c r="S93" s="2">
        <v>31</v>
      </c>
      <c r="T93" s="2">
        <v>1.61</v>
      </c>
      <c r="U93" s="2">
        <v>25</v>
      </c>
      <c r="V93" s="2">
        <v>3.89</v>
      </c>
    </row>
    <row r="94" spans="1:22" x14ac:dyDescent="0.25">
      <c r="A94" t="s">
        <v>602</v>
      </c>
      <c r="B94" t="s">
        <v>603</v>
      </c>
      <c r="C94" t="s">
        <v>522</v>
      </c>
      <c r="D94" t="s">
        <v>604</v>
      </c>
      <c r="E94" t="s">
        <v>30</v>
      </c>
      <c r="F94" t="s">
        <v>4</v>
      </c>
      <c r="G94" s="1">
        <v>1</v>
      </c>
      <c r="H94" s="2">
        <v>1948</v>
      </c>
      <c r="I94" s="2">
        <v>3750</v>
      </c>
      <c r="J94" s="2">
        <v>3.07</v>
      </c>
      <c r="K94" s="2">
        <v>11</v>
      </c>
      <c r="L94" s="2">
        <v>12</v>
      </c>
      <c r="M94" s="2">
        <v>2.48</v>
      </c>
      <c r="N94" s="2">
        <v>1147</v>
      </c>
      <c r="O94" s="2">
        <v>1573</v>
      </c>
      <c r="P94" s="2">
        <v>547</v>
      </c>
      <c r="Q94" s="2">
        <v>617</v>
      </c>
      <c r="R94" s="2">
        <v>60</v>
      </c>
      <c r="S94" s="2">
        <v>37</v>
      </c>
      <c r="T94" s="2">
        <v>1.38</v>
      </c>
      <c r="U94" s="2">
        <v>54</v>
      </c>
      <c r="V94" s="2">
        <v>2.15</v>
      </c>
    </row>
    <row r="95" spans="1:22" x14ac:dyDescent="0.25">
      <c r="A95" t="s">
        <v>416</v>
      </c>
      <c r="B95" t="s">
        <v>401</v>
      </c>
      <c r="C95" t="s">
        <v>405</v>
      </c>
      <c r="D95" t="s">
        <v>30</v>
      </c>
      <c r="E95" t="s">
        <v>253</v>
      </c>
      <c r="F95" t="s">
        <v>4</v>
      </c>
      <c r="G95" s="1">
        <v>1</v>
      </c>
      <c r="H95" s="2">
        <v>1857</v>
      </c>
      <c r="I95" s="2">
        <v>3487</v>
      </c>
      <c r="J95" s="2">
        <v>3.1</v>
      </c>
      <c r="K95" s="2">
        <v>6</v>
      </c>
      <c r="L95" s="2">
        <v>13</v>
      </c>
      <c r="M95" s="2">
        <v>1.64</v>
      </c>
      <c r="N95" s="2">
        <v>1035</v>
      </c>
      <c r="O95" s="2">
        <v>1565</v>
      </c>
      <c r="P95" s="2">
        <v>621</v>
      </c>
      <c r="Q95" s="2">
        <v>876</v>
      </c>
      <c r="R95" s="2">
        <v>44</v>
      </c>
      <c r="S95" s="2">
        <v>50</v>
      </c>
      <c r="T95" s="2">
        <v>0.88</v>
      </c>
      <c r="U95" s="2">
        <v>34</v>
      </c>
      <c r="V95" s="2">
        <v>5.64</v>
      </c>
    </row>
    <row r="96" spans="1:22" x14ac:dyDescent="0.25">
      <c r="A96" t="s">
        <v>194</v>
      </c>
      <c r="B96" t="s">
        <v>195</v>
      </c>
      <c r="C96" t="s">
        <v>196</v>
      </c>
      <c r="D96" t="s">
        <v>197</v>
      </c>
      <c r="E96" t="s">
        <v>197</v>
      </c>
      <c r="F96" t="s">
        <v>198</v>
      </c>
      <c r="G96" s="1">
        <v>8.94E-3</v>
      </c>
      <c r="H96" s="2">
        <v>1011</v>
      </c>
      <c r="I96" s="2">
        <v>2396</v>
      </c>
      <c r="J96" s="2">
        <v>3.17</v>
      </c>
      <c r="K96" s="2">
        <v>5.75</v>
      </c>
      <c r="L96" s="2">
        <v>9</v>
      </c>
      <c r="M96" s="2">
        <v>1.54</v>
      </c>
      <c r="N96" s="2">
        <v>388</v>
      </c>
      <c r="O96" s="2">
        <v>690</v>
      </c>
      <c r="P96" s="2">
        <v>327</v>
      </c>
      <c r="Q96" s="2">
        <v>533</v>
      </c>
      <c r="R96" s="2">
        <v>15</v>
      </c>
      <c r="S96" s="2">
        <v>29</v>
      </c>
      <c r="T96" s="2">
        <v>1.96</v>
      </c>
      <c r="U96" s="2">
        <v>14</v>
      </c>
      <c r="V96" s="2">
        <v>3.07</v>
      </c>
    </row>
    <row r="97" spans="1:22" x14ac:dyDescent="0.25">
      <c r="A97" t="s">
        <v>70</v>
      </c>
      <c r="B97" t="s">
        <v>66</v>
      </c>
      <c r="C97" t="s">
        <v>23</v>
      </c>
      <c r="D97" t="s">
        <v>67</v>
      </c>
      <c r="E97" t="s">
        <v>30</v>
      </c>
      <c r="F97" t="s">
        <v>68</v>
      </c>
      <c r="G97" s="1">
        <v>0.26850000000000002</v>
      </c>
      <c r="H97" s="2">
        <v>1343</v>
      </c>
      <c r="I97" s="2">
        <v>3069</v>
      </c>
      <c r="J97" s="2">
        <v>3.19</v>
      </c>
      <c r="K97" s="2">
        <v>4.96</v>
      </c>
      <c r="L97" s="2">
        <v>7</v>
      </c>
      <c r="M97" s="2">
        <v>1.37</v>
      </c>
      <c r="N97" s="2">
        <v>452</v>
      </c>
      <c r="O97" s="2">
        <v>1124</v>
      </c>
      <c r="P97" s="2">
        <v>292</v>
      </c>
      <c r="Q97" s="2">
        <v>438</v>
      </c>
      <c r="R97" s="2">
        <v>77</v>
      </c>
      <c r="S97" s="2">
        <v>26</v>
      </c>
      <c r="T97" s="2">
        <v>0.26</v>
      </c>
      <c r="U97" s="2">
        <v>100</v>
      </c>
      <c r="V97" s="2">
        <v>3.4</v>
      </c>
    </row>
    <row r="98" spans="1:22" x14ac:dyDescent="0.25">
      <c r="A98" t="s">
        <v>153</v>
      </c>
      <c r="B98" t="s">
        <v>150</v>
      </c>
      <c r="C98" t="s">
        <v>23</v>
      </c>
      <c r="D98" t="s">
        <v>151</v>
      </c>
      <c r="E98" t="s">
        <v>30</v>
      </c>
      <c r="F98" t="s">
        <v>152</v>
      </c>
      <c r="G98" s="1">
        <v>7.5300000000000002E-3</v>
      </c>
      <c r="H98" s="2">
        <v>1812</v>
      </c>
      <c r="I98" s="2">
        <v>3657</v>
      </c>
      <c r="J98" s="2">
        <v>3.19</v>
      </c>
      <c r="K98" s="2">
        <v>5.34</v>
      </c>
      <c r="L98" s="2">
        <v>8</v>
      </c>
      <c r="M98" s="2">
        <v>1.54</v>
      </c>
      <c r="N98" s="2">
        <v>974</v>
      </c>
      <c r="O98" s="2">
        <v>1441</v>
      </c>
      <c r="P98" s="2">
        <v>414</v>
      </c>
      <c r="Q98" s="2">
        <v>742</v>
      </c>
      <c r="R98" s="2">
        <v>29</v>
      </c>
      <c r="S98" s="2">
        <v>32</v>
      </c>
      <c r="T98" s="2">
        <v>1.1100000000000001</v>
      </c>
      <c r="U98" s="2">
        <v>85</v>
      </c>
      <c r="V98" s="2">
        <v>3.51</v>
      </c>
    </row>
    <row r="99" spans="1:22" x14ac:dyDescent="0.25">
      <c r="A99" t="s">
        <v>359</v>
      </c>
      <c r="B99" t="s">
        <v>360</v>
      </c>
      <c r="C99" t="s">
        <v>196</v>
      </c>
      <c r="D99" t="s">
        <v>74</v>
      </c>
      <c r="E99" t="s">
        <v>74</v>
      </c>
      <c r="F99" t="s">
        <v>361</v>
      </c>
      <c r="G99" s="1">
        <v>1.379E-2</v>
      </c>
      <c r="H99" s="2">
        <v>1936</v>
      </c>
      <c r="I99" s="2">
        <v>3559</v>
      </c>
      <c r="J99" s="2">
        <v>3.19</v>
      </c>
      <c r="K99" s="2">
        <v>5.14</v>
      </c>
      <c r="L99" s="2">
        <v>8</v>
      </c>
      <c r="M99" s="2">
        <v>2.06</v>
      </c>
      <c r="N99" s="2">
        <v>1033</v>
      </c>
      <c r="O99" s="2">
        <v>1671</v>
      </c>
      <c r="P99" s="2">
        <v>673</v>
      </c>
      <c r="Q99" s="2">
        <v>1115</v>
      </c>
      <c r="R99" s="2">
        <v>7</v>
      </c>
      <c r="S99" s="2">
        <v>29</v>
      </c>
      <c r="T99" s="2">
        <v>0.7</v>
      </c>
      <c r="U99" s="2">
        <v>35</v>
      </c>
      <c r="V99" s="2">
        <v>2.52</v>
      </c>
    </row>
    <row r="100" spans="1:22" x14ac:dyDescent="0.25">
      <c r="A100" t="s">
        <v>446</v>
      </c>
      <c r="B100" t="s">
        <v>447</v>
      </c>
      <c r="C100" t="s">
        <v>405</v>
      </c>
      <c r="D100" t="s">
        <v>253</v>
      </c>
      <c r="E100" t="s">
        <v>183</v>
      </c>
      <c r="F100" t="s">
        <v>448</v>
      </c>
      <c r="G100" s="1">
        <v>5.5399999999999998E-3</v>
      </c>
      <c r="H100" s="2">
        <v>1212</v>
      </c>
      <c r="I100" s="2">
        <v>2878</v>
      </c>
      <c r="J100" s="2">
        <v>3.21</v>
      </c>
      <c r="K100" s="2">
        <v>9</v>
      </c>
      <c r="L100" s="2">
        <v>22</v>
      </c>
      <c r="M100" s="2">
        <v>2.36</v>
      </c>
      <c r="N100" s="2">
        <v>521</v>
      </c>
      <c r="O100" s="2">
        <v>818</v>
      </c>
      <c r="P100" s="2">
        <v>363</v>
      </c>
      <c r="Q100" s="2">
        <v>474</v>
      </c>
      <c r="R100" s="2">
        <v>20</v>
      </c>
      <c r="S100" s="2">
        <v>20</v>
      </c>
      <c r="T100" s="2">
        <v>1</v>
      </c>
      <c r="U100" s="2">
        <v>14</v>
      </c>
      <c r="V100" s="2">
        <v>3.06</v>
      </c>
    </row>
    <row r="101" spans="1:22" x14ac:dyDescent="0.25">
      <c r="A101" t="s">
        <v>497</v>
      </c>
      <c r="B101" t="s">
        <v>496</v>
      </c>
      <c r="C101" t="s">
        <v>405</v>
      </c>
      <c r="D101" t="s">
        <v>253</v>
      </c>
      <c r="E101" t="s">
        <v>30</v>
      </c>
      <c r="F101" t="s">
        <v>4</v>
      </c>
      <c r="G101" s="1">
        <v>1</v>
      </c>
      <c r="H101" s="2">
        <v>1185</v>
      </c>
      <c r="I101" s="2">
        <v>2404</v>
      </c>
      <c r="J101" s="2">
        <v>3.25</v>
      </c>
      <c r="K101" s="2">
        <v>8</v>
      </c>
      <c r="L101" s="2">
        <v>15</v>
      </c>
      <c r="M101" s="2">
        <v>3.33</v>
      </c>
      <c r="N101" s="2">
        <v>300</v>
      </c>
      <c r="O101" s="2">
        <v>1276</v>
      </c>
      <c r="P101" s="2">
        <v>300</v>
      </c>
      <c r="Q101" s="2">
        <v>374</v>
      </c>
      <c r="R101" s="2">
        <v>37</v>
      </c>
      <c r="S101" s="2">
        <v>36</v>
      </c>
      <c r="T101" s="2">
        <v>0.7</v>
      </c>
      <c r="U101" s="2">
        <v>31</v>
      </c>
      <c r="V101" s="2">
        <v>5.77</v>
      </c>
    </row>
    <row r="102" spans="1:22" x14ac:dyDescent="0.25">
      <c r="A102" t="s">
        <v>495</v>
      </c>
      <c r="B102" t="s">
        <v>496</v>
      </c>
      <c r="C102" t="s">
        <v>405</v>
      </c>
      <c r="D102" t="s">
        <v>253</v>
      </c>
      <c r="E102" t="s">
        <v>253</v>
      </c>
      <c r="F102" t="s">
        <v>4</v>
      </c>
      <c r="G102" s="1">
        <v>1</v>
      </c>
      <c r="H102" s="2">
        <v>1129</v>
      </c>
      <c r="I102" s="2">
        <v>2608</v>
      </c>
      <c r="J102" s="2">
        <v>3.25</v>
      </c>
      <c r="K102" s="2">
        <v>11</v>
      </c>
      <c r="L102" s="2">
        <v>16</v>
      </c>
      <c r="M102" s="2">
        <v>2.4</v>
      </c>
      <c r="N102" s="2">
        <v>450</v>
      </c>
      <c r="O102" s="2">
        <v>847</v>
      </c>
      <c r="P102" s="2">
        <v>298</v>
      </c>
      <c r="Q102" s="2">
        <v>497</v>
      </c>
      <c r="R102" s="2">
        <v>41</v>
      </c>
      <c r="S102" s="2">
        <v>36</v>
      </c>
      <c r="T102" s="2">
        <v>0.5</v>
      </c>
      <c r="U102" s="2">
        <v>29</v>
      </c>
      <c r="V102" s="2">
        <v>3.29</v>
      </c>
    </row>
    <row r="103" spans="1:22" x14ac:dyDescent="0.25">
      <c r="A103" t="s">
        <v>589</v>
      </c>
      <c r="B103" t="s">
        <v>590</v>
      </c>
      <c r="C103" t="s">
        <v>522</v>
      </c>
      <c r="D103" t="s">
        <v>558</v>
      </c>
      <c r="E103" t="s">
        <v>30</v>
      </c>
      <c r="F103" t="s">
        <v>591</v>
      </c>
      <c r="G103" s="1">
        <v>4.2999999999999999E-4</v>
      </c>
      <c r="H103" s="2">
        <v>1257</v>
      </c>
      <c r="I103" s="2">
        <v>2318</v>
      </c>
      <c r="J103" s="2">
        <v>3.26</v>
      </c>
      <c r="K103" s="2">
        <v>7</v>
      </c>
      <c r="L103" s="2">
        <v>7</v>
      </c>
      <c r="M103" s="2">
        <v>1.27</v>
      </c>
      <c r="N103" s="2">
        <v>754</v>
      </c>
      <c r="O103" s="2">
        <v>971</v>
      </c>
      <c r="P103" s="2">
        <v>821</v>
      </c>
      <c r="Q103" s="2">
        <v>899</v>
      </c>
      <c r="R103" s="2">
        <v>27</v>
      </c>
      <c r="S103" s="2">
        <v>19</v>
      </c>
      <c r="T103" s="2">
        <v>1.1000000000000001</v>
      </c>
      <c r="U103" s="2">
        <v>18</v>
      </c>
      <c r="V103" s="2">
        <v>2.2200000000000002</v>
      </c>
    </row>
    <row r="104" spans="1:22" x14ac:dyDescent="0.25">
      <c r="A104" t="s">
        <v>433</v>
      </c>
      <c r="B104" t="s">
        <v>434</v>
      </c>
      <c r="C104" t="s">
        <v>405</v>
      </c>
      <c r="D104" t="s">
        <v>253</v>
      </c>
      <c r="E104" t="s">
        <v>435</v>
      </c>
      <c r="F104" t="s">
        <v>436</v>
      </c>
      <c r="G104" s="1">
        <v>0.12471</v>
      </c>
      <c r="H104" s="2">
        <v>1253</v>
      </c>
      <c r="I104" s="2">
        <v>2719</v>
      </c>
      <c r="J104" s="2">
        <v>3.3</v>
      </c>
      <c r="K104" s="2">
        <v>6</v>
      </c>
      <c r="L104" s="2">
        <v>12</v>
      </c>
      <c r="M104" s="2">
        <v>2.13</v>
      </c>
      <c r="N104" s="2">
        <v>594</v>
      </c>
      <c r="O104" s="2">
        <v>929</v>
      </c>
      <c r="P104" s="2">
        <v>340</v>
      </c>
      <c r="Q104" s="2">
        <v>658</v>
      </c>
      <c r="R104" s="2">
        <v>26</v>
      </c>
      <c r="S104" s="2">
        <v>43</v>
      </c>
      <c r="T104" s="2">
        <v>1.25</v>
      </c>
      <c r="U104" s="2">
        <v>41</v>
      </c>
      <c r="V104" s="2">
        <v>3.37</v>
      </c>
    </row>
    <row r="105" spans="1:22" x14ac:dyDescent="0.25">
      <c r="A105" t="s">
        <v>358</v>
      </c>
      <c r="B105" t="s">
        <v>356</v>
      </c>
      <c r="C105" t="s">
        <v>196</v>
      </c>
      <c r="D105" t="s">
        <v>316</v>
      </c>
      <c r="E105" t="s">
        <v>316</v>
      </c>
      <c r="F105" t="s">
        <v>357</v>
      </c>
      <c r="G105" s="1">
        <v>0.25119999999999998</v>
      </c>
      <c r="H105" s="2">
        <v>1180</v>
      </c>
      <c r="I105" s="2">
        <v>2557</v>
      </c>
      <c r="J105" s="2">
        <v>3.31</v>
      </c>
      <c r="K105" s="2">
        <v>5.26</v>
      </c>
      <c r="L105" s="2">
        <v>10</v>
      </c>
      <c r="M105" s="2">
        <v>1.43</v>
      </c>
      <c r="N105" s="2">
        <v>559</v>
      </c>
      <c r="O105" s="2">
        <v>905</v>
      </c>
      <c r="P105" s="2">
        <v>325</v>
      </c>
      <c r="Q105" s="2">
        <v>450</v>
      </c>
      <c r="R105" s="2">
        <v>8</v>
      </c>
      <c r="S105" s="2">
        <v>46</v>
      </c>
      <c r="T105" s="2">
        <v>1.7</v>
      </c>
      <c r="U105" s="2">
        <v>18</v>
      </c>
      <c r="V105" s="2">
        <v>4.67</v>
      </c>
    </row>
    <row r="106" spans="1:22" x14ac:dyDescent="0.25">
      <c r="A106" t="s">
        <v>494</v>
      </c>
      <c r="B106" t="s">
        <v>492</v>
      </c>
      <c r="C106" t="s">
        <v>405</v>
      </c>
      <c r="D106" t="s">
        <v>253</v>
      </c>
      <c r="E106" t="s">
        <v>253</v>
      </c>
      <c r="F106" t="s">
        <v>493</v>
      </c>
      <c r="G106" s="1">
        <v>2.5059999999999999E-2</v>
      </c>
      <c r="H106" s="2">
        <v>1042</v>
      </c>
      <c r="I106" s="2">
        <v>2491</v>
      </c>
      <c r="J106" s="2">
        <v>3.32</v>
      </c>
      <c r="K106" s="2">
        <v>15</v>
      </c>
      <c r="L106" s="2">
        <v>18</v>
      </c>
      <c r="M106" s="2">
        <v>2.06</v>
      </c>
      <c r="N106" s="2">
        <v>301</v>
      </c>
      <c r="O106" s="2">
        <v>842</v>
      </c>
      <c r="P106" s="2">
        <v>251</v>
      </c>
      <c r="Q106" s="2">
        <v>482</v>
      </c>
      <c r="R106" s="2">
        <v>50</v>
      </c>
      <c r="S106" s="2">
        <v>25</v>
      </c>
      <c r="T106" s="2">
        <v>0.18</v>
      </c>
      <c r="U106" s="2">
        <v>40</v>
      </c>
      <c r="V106" s="2">
        <v>4.01</v>
      </c>
    </row>
    <row r="107" spans="1:22" x14ac:dyDescent="0.25">
      <c r="A107" t="s">
        <v>530</v>
      </c>
      <c r="B107" t="s">
        <v>531</v>
      </c>
      <c r="C107" t="s">
        <v>522</v>
      </c>
      <c r="D107" t="s">
        <v>183</v>
      </c>
      <c r="E107" t="s">
        <v>532</v>
      </c>
      <c r="F107" t="s">
        <v>533</v>
      </c>
      <c r="G107" s="1">
        <v>9.7000000000000003E-3</v>
      </c>
      <c r="H107" s="2">
        <v>954</v>
      </c>
      <c r="I107" s="2">
        <v>2290</v>
      </c>
      <c r="J107" s="2">
        <v>3.33</v>
      </c>
      <c r="K107" s="2">
        <v>4.2</v>
      </c>
      <c r="L107" s="2">
        <v>6</v>
      </c>
      <c r="M107" s="2">
        <v>1.74</v>
      </c>
      <c r="N107" s="2">
        <v>419</v>
      </c>
      <c r="O107" s="2">
        <v>644</v>
      </c>
      <c r="P107" s="2">
        <v>354</v>
      </c>
      <c r="Q107" s="2">
        <v>521</v>
      </c>
      <c r="R107" s="2">
        <v>30</v>
      </c>
      <c r="S107" s="2">
        <v>25</v>
      </c>
      <c r="T107" s="2">
        <v>1.49</v>
      </c>
      <c r="U107" s="2">
        <v>27</v>
      </c>
      <c r="V107" s="2">
        <v>2.67</v>
      </c>
    </row>
    <row r="108" spans="1:22" x14ac:dyDescent="0.25">
      <c r="A108" t="s">
        <v>80</v>
      </c>
      <c r="B108" t="s">
        <v>81</v>
      </c>
      <c r="C108" t="s">
        <v>23</v>
      </c>
      <c r="D108" t="s">
        <v>67</v>
      </c>
      <c r="E108" t="s">
        <v>30</v>
      </c>
      <c r="F108" t="s">
        <v>82</v>
      </c>
      <c r="G108" s="1">
        <v>2.6520000000000001</v>
      </c>
      <c r="H108" s="2">
        <v>1517</v>
      </c>
      <c r="I108" s="2">
        <v>3044</v>
      </c>
      <c r="J108" s="2">
        <v>3.33</v>
      </c>
      <c r="K108" s="2">
        <v>7</v>
      </c>
      <c r="L108" s="2">
        <v>11</v>
      </c>
      <c r="M108" s="2">
        <v>2.36</v>
      </c>
      <c r="N108" s="2">
        <v>910</v>
      </c>
      <c r="O108" s="2">
        <v>1096</v>
      </c>
      <c r="P108" s="2">
        <v>605</v>
      </c>
      <c r="Q108" s="2">
        <v>929</v>
      </c>
      <c r="R108" s="2">
        <v>37</v>
      </c>
      <c r="S108" s="2">
        <v>39</v>
      </c>
      <c r="T108" s="2">
        <v>0.52</v>
      </c>
      <c r="U108" s="2">
        <v>30</v>
      </c>
      <c r="V108" s="2">
        <v>4.25</v>
      </c>
    </row>
    <row r="109" spans="1:22" x14ac:dyDescent="0.25">
      <c r="A109" t="s">
        <v>149</v>
      </c>
      <c r="B109" t="s">
        <v>150</v>
      </c>
      <c r="C109" t="s">
        <v>23</v>
      </c>
      <c r="D109" t="s">
        <v>151</v>
      </c>
      <c r="E109" t="s">
        <v>39</v>
      </c>
      <c r="F109" t="s">
        <v>152</v>
      </c>
      <c r="G109" s="1">
        <v>7.5300000000000002E-3</v>
      </c>
      <c r="H109" s="2">
        <v>1798</v>
      </c>
      <c r="I109" s="2">
        <v>3591</v>
      </c>
      <c r="J109" s="2">
        <v>3.37</v>
      </c>
      <c r="K109" s="2">
        <v>5.07</v>
      </c>
      <c r="L109" s="2">
        <v>7</v>
      </c>
      <c r="M109" s="2">
        <v>1.6</v>
      </c>
      <c r="N109" s="2">
        <v>1010</v>
      </c>
      <c r="O109" s="2">
        <v>1401</v>
      </c>
      <c r="P109" s="2">
        <v>509</v>
      </c>
      <c r="Q109" s="2">
        <v>740</v>
      </c>
      <c r="R109" s="2">
        <v>38</v>
      </c>
      <c r="S109" s="2">
        <v>18</v>
      </c>
      <c r="T109" s="2">
        <v>1.0900000000000001</v>
      </c>
      <c r="U109" s="2">
        <v>75</v>
      </c>
      <c r="V109" s="2">
        <v>3.69</v>
      </c>
    </row>
    <row r="110" spans="1:22" x14ac:dyDescent="0.25">
      <c r="A110" t="s">
        <v>487</v>
      </c>
      <c r="B110" t="s">
        <v>488</v>
      </c>
      <c r="C110" t="s">
        <v>405</v>
      </c>
      <c r="D110" t="s">
        <v>30</v>
      </c>
      <c r="E110" t="s">
        <v>489</v>
      </c>
      <c r="F110" t="s">
        <v>490</v>
      </c>
      <c r="G110" s="1">
        <v>0.14724999999999999</v>
      </c>
      <c r="H110" s="2">
        <v>1626</v>
      </c>
      <c r="I110" s="2">
        <v>3449</v>
      </c>
      <c r="J110" s="2">
        <v>3.38</v>
      </c>
      <c r="K110" s="2">
        <v>7</v>
      </c>
      <c r="L110" s="2">
        <v>8</v>
      </c>
      <c r="M110" s="2">
        <v>2.08</v>
      </c>
      <c r="N110" s="2">
        <v>769</v>
      </c>
      <c r="O110" s="2">
        <v>1269</v>
      </c>
      <c r="P110" s="2">
        <v>495</v>
      </c>
      <c r="Q110" s="2">
        <v>797</v>
      </c>
      <c r="R110" s="2">
        <v>36</v>
      </c>
      <c r="S110" s="2">
        <v>44</v>
      </c>
      <c r="T110" s="2">
        <v>0.86</v>
      </c>
      <c r="U110" s="2">
        <v>65</v>
      </c>
      <c r="V110" s="2">
        <v>4.79</v>
      </c>
    </row>
    <row r="111" spans="1:22" x14ac:dyDescent="0.25">
      <c r="A111" t="s">
        <v>353</v>
      </c>
      <c r="B111" t="s">
        <v>350</v>
      </c>
      <c r="C111" t="s">
        <v>196</v>
      </c>
      <c r="D111" t="s">
        <v>351</v>
      </c>
      <c r="E111" t="s">
        <v>201</v>
      </c>
      <c r="F111" t="s">
        <v>352</v>
      </c>
      <c r="G111" s="1">
        <v>4.428E-2</v>
      </c>
      <c r="H111" s="2">
        <v>1004</v>
      </c>
      <c r="I111" s="2">
        <v>2268</v>
      </c>
      <c r="J111" s="2">
        <v>3.39</v>
      </c>
      <c r="K111" s="2">
        <v>5.83</v>
      </c>
      <c r="L111" s="2">
        <v>7</v>
      </c>
      <c r="M111" s="2">
        <v>1.52</v>
      </c>
      <c r="N111" s="2">
        <v>570</v>
      </c>
      <c r="O111" s="2">
        <v>587</v>
      </c>
      <c r="P111" s="2">
        <v>542</v>
      </c>
      <c r="Q111" s="2">
        <v>420</v>
      </c>
      <c r="R111" s="2">
        <v>14</v>
      </c>
      <c r="S111" s="2">
        <v>22</v>
      </c>
      <c r="T111" s="2">
        <v>1.53</v>
      </c>
      <c r="U111" s="2">
        <v>18</v>
      </c>
      <c r="V111" s="2">
        <v>4.42</v>
      </c>
    </row>
    <row r="112" spans="1:22" x14ac:dyDescent="0.25">
      <c r="A112" t="s">
        <v>335</v>
      </c>
      <c r="B112" t="s">
        <v>336</v>
      </c>
      <c r="C112" t="s">
        <v>196</v>
      </c>
      <c r="D112" t="s">
        <v>183</v>
      </c>
      <c r="E112" t="s">
        <v>183</v>
      </c>
      <c r="F112" t="s">
        <v>111</v>
      </c>
      <c r="G112" s="1">
        <v>1.0620000000000001</v>
      </c>
      <c r="H112" s="2">
        <v>1242</v>
      </c>
      <c r="I112" s="2">
        <v>2789</v>
      </c>
      <c r="J112" s="2">
        <v>3.41</v>
      </c>
      <c r="K112" s="2">
        <v>7</v>
      </c>
      <c r="L112" s="2">
        <v>9</v>
      </c>
      <c r="M112" s="2">
        <v>2.11</v>
      </c>
      <c r="N112" s="2">
        <v>632</v>
      </c>
      <c r="O112" s="2">
        <v>797</v>
      </c>
      <c r="P112" s="2">
        <v>550</v>
      </c>
      <c r="Q112" s="2">
        <v>642</v>
      </c>
      <c r="R112" s="2">
        <v>29</v>
      </c>
      <c r="S112" s="2">
        <v>69</v>
      </c>
      <c r="T112" s="2">
        <v>1.88</v>
      </c>
      <c r="U112" s="2">
        <v>32</v>
      </c>
      <c r="V112" s="2">
        <v>5.37</v>
      </c>
    </row>
    <row r="113" spans="1:22" x14ac:dyDescent="0.25">
      <c r="A113" t="s">
        <v>298</v>
      </c>
      <c r="B113" t="s">
        <v>297</v>
      </c>
      <c r="C113" t="s">
        <v>196</v>
      </c>
      <c r="D113" t="s">
        <v>299</v>
      </c>
      <c r="E113" t="s">
        <v>300</v>
      </c>
      <c r="F113" t="s">
        <v>111</v>
      </c>
      <c r="G113" s="1">
        <v>1.0620000000000001</v>
      </c>
      <c r="H113" s="2">
        <v>1275</v>
      </c>
      <c r="I113" s="2">
        <v>2870</v>
      </c>
      <c r="J113" s="2">
        <v>3.47</v>
      </c>
      <c r="K113" s="2">
        <v>7</v>
      </c>
      <c r="L113" s="2">
        <v>9</v>
      </c>
      <c r="M113" s="2">
        <v>2.08</v>
      </c>
      <c r="N113" s="2">
        <v>528</v>
      </c>
      <c r="O113" s="2">
        <v>960</v>
      </c>
      <c r="P113" s="2">
        <v>458</v>
      </c>
      <c r="Q113" s="2">
        <v>671</v>
      </c>
      <c r="R113" s="2">
        <v>13</v>
      </c>
      <c r="S113" s="2">
        <v>46</v>
      </c>
      <c r="T113" s="2">
        <v>1.91</v>
      </c>
      <c r="U113" s="2">
        <v>48</v>
      </c>
      <c r="V113" s="2">
        <v>4.6900000000000004</v>
      </c>
    </row>
    <row r="114" spans="1:22" x14ac:dyDescent="0.25">
      <c r="A114" t="s">
        <v>426</v>
      </c>
      <c r="B114" t="s">
        <v>423</v>
      </c>
      <c r="C114" t="s">
        <v>405</v>
      </c>
      <c r="D114" t="s">
        <v>253</v>
      </c>
      <c r="E114" t="s">
        <v>253</v>
      </c>
      <c r="F114" t="s">
        <v>424</v>
      </c>
      <c r="G114" s="1">
        <v>5.2260000000000001E-2</v>
      </c>
      <c r="H114" s="2">
        <v>1486</v>
      </c>
      <c r="I114" s="2">
        <v>2811</v>
      </c>
      <c r="J114" s="2">
        <v>3.5</v>
      </c>
      <c r="K114" s="2">
        <v>7</v>
      </c>
      <c r="L114" s="2">
        <v>11</v>
      </c>
      <c r="M114" s="2">
        <v>1.68</v>
      </c>
      <c r="N114" s="2">
        <v>752</v>
      </c>
      <c r="O114" s="2">
        <v>1290</v>
      </c>
      <c r="P114" s="2">
        <v>488</v>
      </c>
      <c r="Q114" s="2">
        <v>926</v>
      </c>
      <c r="R114" s="2">
        <v>20</v>
      </c>
      <c r="S114" s="2">
        <v>30</v>
      </c>
      <c r="T114" s="2">
        <v>1.21</v>
      </c>
      <c r="U114" s="2">
        <v>19</v>
      </c>
      <c r="V114" s="2">
        <v>3.64</v>
      </c>
    </row>
    <row r="115" spans="1:22" x14ac:dyDescent="0.25">
      <c r="A115" t="s">
        <v>364</v>
      </c>
      <c r="B115" t="s">
        <v>365</v>
      </c>
      <c r="C115" t="s">
        <v>196</v>
      </c>
      <c r="D115" t="s">
        <v>231</v>
      </c>
      <c r="E115" t="s">
        <v>231</v>
      </c>
      <c r="F115" t="s">
        <v>366</v>
      </c>
      <c r="G115" s="1">
        <v>9.0699999999999999E-3</v>
      </c>
      <c r="H115" s="2">
        <v>1217</v>
      </c>
      <c r="I115" s="2">
        <v>2554</v>
      </c>
      <c r="J115" s="2">
        <v>3.51</v>
      </c>
      <c r="K115" s="2">
        <v>7</v>
      </c>
      <c r="L115" s="2">
        <v>11</v>
      </c>
      <c r="M115" s="2">
        <v>1.2</v>
      </c>
      <c r="N115" s="2">
        <v>681</v>
      </c>
      <c r="O115" s="2">
        <v>865</v>
      </c>
      <c r="P115" s="2">
        <v>433</v>
      </c>
      <c r="Q115" s="2">
        <v>490</v>
      </c>
      <c r="R115" s="2">
        <v>16</v>
      </c>
      <c r="S115" s="2">
        <v>23</v>
      </c>
      <c r="T115" s="2">
        <v>1.65</v>
      </c>
      <c r="U115" s="2">
        <v>29</v>
      </c>
      <c r="V115" s="2">
        <v>3.67</v>
      </c>
    </row>
    <row r="116" spans="1:22" x14ac:dyDescent="0.25">
      <c r="A116" t="s">
        <v>337</v>
      </c>
      <c r="B116" t="s">
        <v>336</v>
      </c>
      <c r="C116" t="s">
        <v>196</v>
      </c>
      <c r="D116" t="s">
        <v>183</v>
      </c>
      <c r="E116" t="s">
        <v>183</v>
      </c>
      <c r="F116" t="s">
        <v>111</v>
      </c>
      <c r="G116" s="1">
        <v>1.0620000000000001</v>
      </c>
      <c r="H116" s="2">
        <v>1938</v>
      </c>
      <c r="I116" s="2">
        <v>3697</v>
      </c>
      <c r="J116" s="2">
        <v>3.55</v>
      </c>
      <c r="K116" s="2">
        <v>7</v>
      </c>
      <c r="L116" s="2">
        <v>12</v>
      </c>
      <c r="M116" s="2">
        <v>2.4500000000000002</v>
      </c>
      <c r="N116" s="2">
        <v>1075</v>
      </c>
      <c r="O116" s="2">
        <v>1563</v>
      </c>
      <c r="P116" s="2">
        <v>771</v>
      </c>
      <c r="Q116" s="2">
        <v>1167</v>
      </c>
      <c r="R116" s="2">
        <v>28</v>
      </c>
      <c r="S116" s="2">
        <v>81</v>
      </c>
      <c r="T116" s="2">
        <v>2.06</v>
      </c>
      <c r="U116" s="2">
        <v>40</v>
      </c>
      <c r="V116" s="2">
        <v>5.54</v>
      </c>
    </row>
    <row r="117" spans="1:22" x14ac:dyDescent="0.25">
      <c r="A117" t="s">
        <v>181</v>
      </c>
      <c r="B117" t="s">
        <v>182</v>
      </c>
      <c r="C117" t="s">
        <v>23</v>
      </c>
      <c r="D117" t="s">
        <v>183</v>
      </c>
      <c r="E117" t="s">
        <v>184</v>
      </c>
      <c r="F117" t="s">
        <v>4</v>
      </c>
      <c r="G117" s="1">
        <v>1</v>
      </c>
      <c r="H117" s="2">
        <v>2631</v>
      </c>
      <c r="I117" s="2">
        <v>4390</v>
      </c>
      <c r="J117" s="2">
        <v>3.58</v>
      </c>
      <c r="K117" s="2">
        <v>8</v>
      </c>
      <c r="L117" s="2">
        <v>8</v>
      </c>
      <c r="M117" s="2">
        <v>2.4900000000000002</v>
      </c>
      <c r="N117" s="2">
        <v>1420</v>
      </c>
      <c r="O117" s="2">
        <v>2563</v>
      </c>
      <c r="P117" s="2">
        <v>893</v>
      </c>
      <c r="Q117" s="2">
        <v>1563</v>
      </c>
      <c r="R117" s="2">
        <v>98</v>
      </c>
      <c r="S117" s="2">
        <v>67</v>
      </c>
      <c r="T117" s="2">
        <v>1.39</v>
      </c>
      <c r="U117" s="2">
        <v>24</v>
      </c>
      <c r="V117" s="2">
        <v>1.65</v>
      </c>
    </row>
    <row r="118" spans="1:22" x14ac:dyDescent="0.25">
      <c r="A118" t="s">
        <v>245</v>
      </c>
      <c r="B118" t="s">
        <v>246</v>
      </c>
      <c r="C118" t="s">
        <v>196</v>
      </c>
      <c r="D118" t="s">
        <v>247</v>
      </c>
      <c r="E118" t="s">
        <v>247</v>
      </c>
      <c r="F118" t="s">
        <v>111</v>
      </c>
      <c r="G118" s="1">
        <v>1.0620000000000001</v>
      </c>
      <c r="H118" s="2">
        <v>1364</v>
      </c>
      <c r="I118" s="2">
        <v>2779</v>
      </c>
      <c r="J118" s="2">
        <v>3.58</v>
      </c>
      <c r="K118" s="2">
        <v>7</v>
      </c>
      <c r="L118" s="2">
        <v>10</v>
      </c>
      <c r="M118" s="2">
        <v>1.61</v>
      </c>
      <c r="N118" s="2">
        <v>733</v>
      </c>
      <c r="O118" s="2">
        <v>1041</v>
      </c>
      <c r="P118" s="2">
        <v>510</v>
      </c>
      <c r="Q118" s="2">
        <v>701</v>
      </c>
      <c r="R118" s="2">
        <v>11</v>
      </c>
      <c r="S118" s="2">
        <v>34</v>
      </c>
      <c r="T118" s="2">
        <v>1.67</v>
      </c>
      <c r="U118" s="2">
        <v>32</v>
      </c>
      <c r="V118" s="2">
        <v>5.44</v>
      </c>
    </row>
    <row r="119" spans="1:22" x14ac:dyDescent="0.25">
      <c r="A119" t="s">
        <v>556</v>
      </c>
      <c r="B119" t="s">
        <v>557</v>
      </c>
      <c r="C119" t="s">
        <v>522</v>
      </c>
      <c r="D119" t="s">
        <v>558</v>
      </c>
      <c r="E119" t="s">
        <v>30</v>
      </c>
      <c r="F119" t="s">
        <v>559</v>
      </c>
      <c r="G119" s="1">
        <v>8.0800000000000004E-3</v>
      </c>
      <c r="H119" s="2">
        <v>1421</v>
      </c>
      <c r="I119" s="2">
        <v>2586</v>
      </c>
      <c r="J119" s="2">
        <v>3.59</v>
      </c>
      <c r="K119" s="2">
        <v>5.58</v>
      </c>
      <c r="L119" s="2">
        <v>5.52</v>
      </c>
      <c r="M119" s="2">
        <v>1.39</v>
      </c>
      <c r="N119" s="2">
        <v>708</v>
      </c>
      <c r="O119" s="2">
        <v>1328</v>
      </c>
      <c r="P119" s="2">
        <v>413</v>
      </c>
      <c r="Q119" s="2">
        <v>719</v>
      </c>
      <c r="R119" s="2">
        <v>28</v>
      </c>
      <c r="S119" s="2">
        <v>23</v>
      </c>
      <c r="T119" s="2">
        <v>1.36</v>
      </c>
      <c r="U119" s="2">
        <v>41</v>
      </c>
      <c r="V119" s="2">
        <v>2.5499999999999998</v>
      </c>
    </row>
    <row r="120" spans="1:22" x14ac:dyDescent="0.25">
      <c r="A120" t="s">
        <v>443</v>
      </c>
      <c r="B120" t="s">
        <v>444</v>
      </c>
      <c r="C120" t="s">
        <v>405</v>
      </c>
      <c r="D120" t="s">
        <v>253</v>
      </c>
      <c r="E120" t="s">
        <v>253</v>
      </c>
      <c r="F120" t="s">
        <v>445</v>
      </c>
      <c r="G120" s="1">
        <v>0.99</v>
      </c>
      <c r="H120" s="2">
        <v>1703</v>
      </c>
      <c r="I120" s="2">
        <v>3466</v>
      </c>
      <c r="J120" s="2">
        <v>3.59</v>
      </c>
      <c r="K120" s="2">
        <v>8</v>
      </c>
      <c r="L120" s="2">
        <v>15</v>
      </c>
      <c r="M120" s="2">
        <v>2.4500000000000002</v>
      </c>
      <c r="N120" s="2">
        <v>1297</v>
      </c>
      <c r="O120" s="2">
        <v>905</v>
      </c>
      <c r="P120" s="2">
        <v>611</v>
      </c>
      <c r="Q120" s="2">
        <v>974</v>
      </c>
      <c r="R120" s="2">
        <v>48</v>
      </c>
      <c r="S120" s="2">
        <v>69</v>
      </c>
      <c r="T120" s="2">
        <v>1.32</v>
      </c>
      <c r="U120" s="2">
        <v>42</v>
      </c>
      <c r="V120" s="2">
        <v>7</v>
      </c>
    </row>
    <row r="121" spans="1:22" x14ac:dyDescent="0.25">
      <c r="A121" t="s">
        <v>568</v>
      </c>
      <c r="B121" t="s">
        <v>569</v>
      </c>
      <c r="C121" t="s">
        <v>522</v>
      </c>
      <c r="D121" t="s">
        <v>183</v>
      </c>
      <c r="E121" t="s">
        <v>558</v>
      </c>
      <c r="F121" t="s">
        <v>570</v>
      </c>
      <c r="G121" s="1">
        <v>1.567E-2</v>
      </c>
      <c r="H121" s="2">
        <v>1650</v>
      </c>
      <c r="I121" s="2">
        <v>2899</v>
      </c>
      <c r="J121" s="2">
        <v>3.63</v>
      </c>
      <c r="K121" s="2">
        <v>5.61</v>
      </c>
      <c r="L121" s="2">
        <v>12</v>
      </c>
      <c r="M121" s="2">
        <v>1.3</v>
      </c>
      <c r="N121" s="2">
        <v>716</v>
      </c>
      <c r="O121" s="2">
        <v>1697</v>
      </c>
      <c r="P121" s="2">
        <v>493</v>
      </c>
      <c r="Q121" s="2">
        <v>1017</v>
      </c>
      <c r="R121" s="2">
        <v>66</v>
      </c>
      <c r="S121" s="2">
        <v>40</v>
      </c>
      <c r="T121" s="2">
        <v>1.17</v>
      </c>
      <c r="U121" s="2">
        <v>14</v>
      </c>
      <c r="V121" s="2">
        <v>1.82</v>
      </c>
    </row>
    <row r="122" spans="1:22" x14ac:dyDescent="0.25">
      <c r="A122" t="s">
        <v>463</v>
      </c>
      <c r="B122" t="s">
        <v>464</v>
      </c>
      <c r="C122" t="s">
        <v>405</v>
      </c>
      <c r="D122" t="s">
        <v>253</v>
      </c>
      <c r="E122" t="s">
        <v>465</v>
      </c>
      <c r="F122" t="s">
        <v>466</v>
      </c>
      <c r="G122" s="1">
        <v>1.2099999999999999E-3</v>
      </c>
      <c r="H122" s="2">
        <v>1439</v>
      </c>
      <c r="I122" s="2">
        <v>3030</v>
      </c>
      <c r="J122" s="2">
        <v>3.68</v>
      </c>
      <c r="K122" s="2">
        <v>8</v>
      </c>
      <c r="L122" s="2">
        <v>16</v>
      </c>
      <c r="M122" s="2">
        <v>2.23</v>
      </c>
      <c r="N122" s="2">
        <v>705</v>
      </c>
      <c r="O122" s="2">
        <v>1114</v>
      </c>
      <c r="P122" s="2">
        <v>441</v>
      </c>
      <c r="Q122" s="2">
        <v>685</v>
      </c>
      <c r="R122" s="2">
        <v>18</v>
      </c>
      <c r="S122" s="2">
        <v>40</v>
      </c>
      <c r="T122" s="2">
        <v>1.46</v>
      </c>
      <c r="U122" s="2">
        <v>55</v>
      </c>
      <c r="V122" s="2">
        <v>5.24</v>
      </c>
    </row>
    <row r="123" spans="1:22" x14ac:dyDescent="0.25">
      <c r="A123" t="s">
        <v>65</v>
      </c>
      <c r="B123" t="s">
        <v>66</v>
      </c>
      <c r="C123" t="s">
        <v>23</v>
      </c>
      <c r="D123" t="s">
        <v>67</v>
      </c>
      <c r="E123" t="s">
        <v>67</v>
      </c>
      <c r="F123" t="s">
        <v>68</v>
      </c>
      <c r="G123" s="1">
        <v>0.26850000000000002</v>
      </c>
      <c r="H123" s="2">
        <f>5481*Tabla1[[#This Row],[Dollar]]</f>
        <v>1471.6485</v>
      </c>
      <c r="I123" s="2">
        <f>11518*Tabla1[[#This Row],[Dollar]]</f>
        <v>3092.5830000000001</v>
      </c>
      <c r="J123" s="2">
        <v>3.69</v>
      </c>
      <c r="K123" s="2">
        <v>7</v>
      </c>
      <c r="L123" s="2">
        <v>8</v>
      </c>
      <c r="M123" s="2">
        <v>2.2799999999999998</v>
      </c>
      <c r="N123" s="2">
        <v>803</v>
      </c>
      <c r="O123" s="2">
        <v>1038</v>
      </c>
      <c r="P123" s="2">
        <v>441</v>
      </c>
      <c r="Q123" s="2">
        <v>690</v>
      </c>
      <c r="R123" s="2">
        <v>66</v>
      </c>
      <c r="S123" s="2">
        <v>39</v>
      </c>
      <c r="T123" s="2">
        <v>0.6</v>
      </c>
      <c r="U123" s="2">
        <v>37</v>
      </c>
      <c r="V123" s="2">
        <v>6</v>
      </c>
    </row>
    <row r="124" spans="1:22" x14ac:dyDescent="0.25">
      <c r="A124" t="s">
        <v>258</v>
      </c>
      <c r="B124" t="s">
        <v>252</v>
      </c>
      <c r="C124" t="s">
        <v>196</v>
      </c>
      <c r="D124" t="s">
        <v>253</v>
      </c>
      <c r="E124" t="s">
        <v>253</v>
      </c>
      <c r="F124" t="s">
        <v>111</v>
      </c>
      <c r="G124" s="1">
        <v>1.0620000000000001</v>
      </c>
      <c r="H124" s="2">
        <v>1368</v>
      </c>
      <c r="I124" s="2">
        <v>3032</v>
      </c>
      <c r="J124" s="2">
        <v>3.72</v>
      </c>
      <c r="K124" s="2">
        <v>8</v>
      </c>
      <c r="L124" s="2">
        <v>17</v>
      </c>
      <c r="M124" s="2">
        <v>1.69</v>
      </c>
      <c r="N124" s="2">
        <v>635</v>
      </c>
      <c r="O124" s="2">
        <v>997</v>
      </c>
      <c r="P124" s="2">
        <v>489</v>
      </c>
      <c r="Q124" s="2">
        <v>656</v>
      </c>
      <c r="R124" s="2">
        <v>32</v>
      </c>
      <c r="S124" s="2">
        <v>77</v>
      </c>
      <c r="T124" s="2">
        <v>1.61</v>
      </c>
      <c r="U124" s="2">
        <v>31</v>
      </c>
      <c r="V124" s="2">
        <v>5.33</v>
      </c>
    </row>
    <row r="125" spans="1:22" x14ac:dyDescent="0.25">
      <c r="A125" t="s">
        <v>221</v>
      </c>
      <c r="B125" t="s">
        <v>219</v>
      </c>
      <c r="C125" t="s">
        <v>196</v>
      </c>
      <c r="D125" t="s">
        <v>220</v>
      </c>
      <c r="E125" t="s">
        <v>211</v>
      </c>
      <c r="F125" t="s">
        <v>111</v>
      </c>
      <c r="G125" s="1">
        <v>1.0620000000000001</v>
      </c>
      <c r="H125" s="2">
        <v>1599</v>
      </c>
      <c r="I125" s="2">
        <v>3383</v>
      </c>
      <c r="J125" s="2">
        <v>3.73</v>
      </c>
      <c r="K125" s="2">
        <v>9</v>
      </c>
      <c r="L125" s="2">
        <v>17</v>
      </c>
      <c r="M125" s="2">
        <v>2.52</v>
      </c>
      <c r="N125" s="2">
        <v>874</v>
      </c>
      <c r="O125" s="2">
        <v>1106</v>
      </c>
      <c r="P125" s="2">
        <v>576</v>
      </c>
      <c r="Q125" s="2">
        <v>825</v>
      </c>
      <c r="R125" s="2">
        <v>30</v>
      </c>
      <c r="S125" s="2">
        <v>28</v>
      </c>
      <c r="T125" s="2">
        <v>1.53</v>
      </c>
      <c r="U125" s="2">
        <v>52</v>
      </c>
      <c r="V125" s="2">
        <v>7</v>
      </c>
    </row>
    <row r="126" spans="1:22" x14ac:dyDescent="0.25">
      <c r="A126" t="s">
        <v>203</v>
      </c>
      <c r="B126" t="s">
        <v>200</v>
      </c>
      <c r="C126" t="s">
        <v>196</v>
      </c>
      <c r="D126" t="s">
        <v>201</v>
      </c>
      <c r="E126" t="s">
        <v>201</v>
      </c>
      <c r="F126" t="s">
        <v>111</v>
      </c>
      <c r="G126" s="1">
        <v>1.0620000000000001</v>
      </c>
      <c r="H126" s="2">
        <v>2473</v>
      </c>
      <c r="I126" s="2">
        <v>4431</v>
      </c>
      <c r="J126" s="2">
        <v>3.74</v>
      </c>
      <c r="K126" s="2">
        <v>9</v>
      </c>
      <c r="L126" s="2">
        <v>12</v>
      </c>
      <c r="M126" s="2">
        <v>1.81</v>
      </c>
      <c r="N126" s="2">
        <v>1502</v>
      </c>
      <c r="O126" s="2">
        <v>1990</v>
      </c>
      <c r="P126" s="2">
        <v>928</v>
      </c>
      <c r="Q126" s="2">
        <v>1244</v>
      </c>
      <c r="R126" s="2">
        <v>31</v>
      </c>
      <c r="S126" s="2">
        <v>53</v>
      </c>
      <c r="T126" s="2">
        <v>1.94</v>
      </c>
      <c r="U126" s="2">
        <v>97</v>
      </c>
      <c r="V126" s="2">
        <v>7</v>
      </c>
    </row>
    <row r="127" spans="1:22" x14ac:dyDescent="0.25">
      <c r="A127" t="s">
        <v>571</v>
      </c>
      <c r="B127" t="s">
        <v>572</v>
      </c>
      <c r="C127" t="s">
        <v>522</v>
      </c>
      <c r="D127" t="s">
        <v>573</v>
      </c>
      <c r="E127" t="s">
        <v>201</v>
      </c>
      <c r="F127" t="s">
        <v>574</v>
      </c>
      <c r="G127" s="1">
        <v>5.8819999999999997E-2</v>
      </c>
      <c r="H127" s="2">
        <v>1525</v>
      </c>
      <c r="I127" s="2">
        <v>3010</v>
      </c>
      <c r="J127" s="2">
        <v>3.79</v>
      </c>
      <c r="K127" s="2">
        <v>4.53</v>
      </c>
      <c r="L127" s="2">
        <v>9</v>
      </c>
      <c r="M127" s="2">
        <v>1.28</v>
      </c>
      <c r="N127" s="2">
        <v>1004</v>
      </c>
      <c r="O127" s="2">
        <v>1097</v>
      </c>
      <c r="P127" s="2">
        <v>655</v>
      </c>
      <c r="Q127" s="2">
        <v>856</v>
      </c>
      <c r="R127" s="2">
        <v>60</v>
      </c>
      <c r="S127" s="2">
        <v>29</v>
      </c>
      <c r="T127" s="2">
        <v>0.92</v>
      </c>
      <c r="U127" s="2">
        <v>30</v>
      </c>
      <c r="V127" s="2">
        <v>2.97</v>
      </c>
    </row>
    <row r="128" spans="1:22" x14ac:dyDescent="0.25">
      <c r="A128" t="s">
        <v>338</v>
      </c>
      <c r="B128" t="s">
        <v>336</v>
      </c>
      <c r="C128" t="s">
        <v>196</v>
      </c>
      <c r="D128" t="s">
        <v>183</v>
      </c>
      <c r="E128" t="s">
        <v>183</v>
      </c>
      <c r="F128" t="s">
        <v>111</v>
      </c>
      <c r="G128" s="1">
        <v>1.0620000000000001</v>
      </c>
      <c r="H128" s="2">
        <v>1515</v>
      </c>
      <c r="I128" s="2">
        <v>3128</v>
      </c>
      <c r="J128" s="2">
        <v>3.79</v>
      </c>
      <c r="K128" s="2">
        <v>8</v>
      </c>
      <c r="L128" s="2">
        <v>10</v>
      </c>
      <c r="M128" s="2">
        <v>2.3199999999999998</v>
      </c>
      <c r="N128" s="2">
        <v>785</v>
      </c>
      <c r="O128" s="2">
        <v>977</v>
      </c>
      <c r="P128" s="2">
        <v>595</v>
      </c>
      <c r="Q128" s="2">
        <v>743</v>
      </c>
      <c r="R128" s="2">
        <v>28</v>
      </c>
      <c r="S128" s="2">
        <v>59</v>
      </c>
      <c r="T128" s="2">
        <v>1.95</v>
      </c>
      <c r="U128" s="2">
        <v>39</v>
      </c>
      <c r="V128" s="2">
        <v>5.83</v>
      </c>
    </row>
    <row r="129" spans="1:22" x14ac:dyDescent="0.25">
      <c r="A129" t="s">
        <v>509</v>
      </c>
      <c r="B129" t="s">
        <v>510</v>
      </c>
      <c r="C129" t="s">
        <v>405</v>
      </c>
      <c r="D129" t="s">
        <v>30</v>
      </c>
      <c r="E129" t="s">
        <v>511</v>
      </c>
      <c r="F129" t="s">
        <v>512</v>
      </c>
      <c r="G129" s="1">
        <v>6.5399999999999998E-3</v>
      </c>
      <c r="H129" s="2">
        <v>2989</v>
      </c>
      <c r="I129" s="2">
        <v>1346</v>
      </c>
      <c r="J129" s="2">
        <v>3.85</v>
      </c>
      <c r="K129" s="2">
        <v>6</v>
      </c>
      <c r="L129" s="2">
        <v>8</v>
      </c>
      <c r="M129" s="2">
        <v>1.37</v>
      </c>
      <c r="N129" s="2">
        <v>710</v>
      </c>
      <c r="O129" s="2">
        <v>906</v>
      </c>
      <c r="P129" s="2">
        <v>360</v>
      </c>
      <c r="Q129" s="2">
        <v>628</v>
      </c>
      <c r="R129" s="2">
        <v>44</v>
      </c>
      <c r="S129" s="2">
        <v>27</v>
      </c>
      <c r="T129" s="2">
        <v>1.1000000000000001</v>
      </c>
      <c r="U129" s="2">
        <v>40</v>
      </c>
      <c r="V129" s="2">
        <v>5.95</v>
      </c>
    </row>
    <row r="130" spans="1:22" x14ac:dyDescent="0.25">
      <c r="A130" t="s">
        <v>209</v>
      </c>
      <c r="B130" t="s">
        <v>208</v>
      </c>
      <c r="C130" t="s">
        <v>196</v>
      </c>
      <c r="D130" t="s">
        <v>210</v>
      </c>
      <c r="E130" t="s">
        <v>211</v>
      </c>
      <c r="F130" t="s">
        <v>111</v>
      </c>
      <c r="G130" s="1">
        <v>1.0620000000000001</v>
      </c>
      <c r="H130" s="2">
        <v>1629</v>
      </c>
      <c r="I130" s="2">
        <v>3363</v>
      </c>
      <c r="J130" s="2">
        <v>3.85</v>
      </c>
      <c r="K130" s="2">
        <v>9</v>
      </c>
      <c r="L130" s="2">
        <v>14</v>
      </c>
      <c r="M130" s="2">
        <v>2.0099999999999998</v>
      </c>
      <c r="N130" s="2">
        <v>902</v>
      </c>
      <c r="O130" s="2">
        <v>1201</v>
      </c>
      <c r="P130" s="2">
        <v>476</v>
      </c>
      <c r="Q130" s="2">
        <v>762</v>
      </c>
      <c r="R130" s="2">
        <v>43</v>
      </c>
      <c r="S130" s="2">
        <v>32</v>
      </c>
      <c r="T130" s="2">
        <v>1.33</v>
      </c>
      <c r="U130" s="2">
        <v>59</v>
      </c>
      <c r="V130" s="2">
        <v>3.64</v>
      </c>
    </row>
    <row r="131" spans="1:22" x14ac:dyDescent="0.25">
      <c r="A131" t="s">
        <v>379</v>
      </c>
      <c r="B131" t="s">
        <v>375</v>
      </c>
      <c r="C131" t="s">
        <v>376</v>
      </c>
      <c r="D131" t="s">
        <v>30</v>
      </c>
      <c r="E131" t="s">
        <v>30</v>
      </c>
      <c r="F131" t="s">
        <v>377</v>
      </c>
      <c r="G131" s="1">
        <v>0.68799999999999994</v>
      </c>
      <c r="H131" s="2">
        <v>2131</v>
      </c>
      <c r="I131" s="2">
        <v>4181</v>
      </c>
      <c r="J131" s="2">
        <v>3.87</v>
      </c>
      <c r="K131" s="2">
        <v>8</v>
      </c>
      <c r="L131" s="2">
        <v>12</v>
      </c>
      <c r="M131" s="2">
        <v>2.42</v>
      </c>
      <c r="N131" s="2">
        <v>1086</v>
      </c>
      <c r="O131" s="2">
        <v>1757</v>
      </c>
      <c r="P131" s="2">
        <v>788</v>
      </c>
      <c r="Q131" s="2">
        <v>1011</v>
      </c>
      <c r="R131" s="2">
        <v>44</v>
      </c>
      <c r="S131" s="2">
        <v>48</v>
      </c>
      <c r="T131" s="2">
        <v>1.19</v>
      </c>
      <c r="U131" s="2">
        <v>75</v>
      </c>
      <c r="V131" s="2">
        <v>19</v>
      </c>
    </row>
    <row r="132" spans="1:22" x14ac:dyDescent="0.25">
      <c r="A132" t="s">
        <v>344</v>
      </c>
      <c r="B132" t="s">
        <v>340</v>
      </c>
      <c r="C132" t="s">
        <v>196</v>
      </c>
      <c r="D132" t="s">
        <v>30</v>
      </c>
      <c r="E132" t="s">
        <v>343</v>
      </c>
      <c r="F132" t="s">
        <v>341</v>
      </c>
      <c r="G132" s="1">
        <v>1.2090000000000001</v>
      </c>
      <c r="H132" s="2">
        <v>2182</v>
      </c>
      <c r="I132" s="2">
        <v>3735</v>
      </c>
      <c r="J132" s="2">
        <v>3.88</v>
      </c>
      <c r="K132" s="2">
        <v>7</v>
      </c>
      <c r="L132" s="2">
        <v>14</v>
      </c>
      <c r="M132" s="2">
        <v>1.95</v>
      </c>
      <c r="N132" s="2">
        <v>1718</v>
      </c>
      <c r="O132" s="2">
        <v>2209</v>
      </c>
      <c r="P132" s="2">
        <v>1120</v>
      </c>
      <c r="Q132" s="2">
        <v>1388</v>
      </c>
      <c r="R132" s="2">
        <v>26</v>
      </c>
      <c r="S132" s="2">
        <v>125</v>
      </c>
      <c r="T132" s="2">
        <v>1.84</v>
      </c>
      <c r="U132" s="2">
        <v>67</v>
      </c>
      <c r="V132" s="2">
        <v>12</v>
      </c>
    </row>
    <row r="133" spans="1:22" x14ac:dyDescent="0.25">
      <c r="A133" t="s">
        <v>339</v>
      </c>
      <c r="B133" t="s">
        <v>340</v>
      </c>
      <c r="C133" t="s">
        <v>196</v>
      </c>
      <c r="D133" t="s">
        <v>30</v>
      </c>
      <c r="E133" t="s">
        <v>30</v>
      </c>
      <c r="F133" t="s">
        <v>341</v>
      </c>
      <c r="G133" s="1">
        <v>1.2090000000000001</v>
      </c>
      <c r="H133" s="2">
        <v>3948</v>
      </c>
      <c r="I133" s="2">
        <v>6407</v>
      </c>
      <c r="J133" s="2">
        <v>3.88</v>
      </c>
      <c r="K133" s="2">
        <v>8</v>
      </c>
      <c r="L133" s="2">
        <v>18</v>
      </c>
      <c r="M133" s="2">
        <v>2.37</v>
      </c>
      <c r="N133" s="2">
        <v>2432</v>
      </c>
      <c r="O133" s="2">
        <v>3640</v>
      </c>
      <c r="P133" s="2">
        <v>1544</v>
      </c>
      <c r="Q133" s="2">
        <v>2170</v>
      </c>
      <c r="R133" s="2">
        <v>34</v>
      </c>
      <c r="S133" s="2">
        <v>127</v>
      </c>
      <c r="T133" s="2">
        <v>2.0499999999999998</v>
      </c>
      <c r="U133" s="2">
        <v>187</v>
      </c>
      <c r="V133" s="2">
        <v>16</v>
      </c>
    </row>
    <row r="134" spans="1:22" x14ac:dyDescent="0.25">
      <c r="A134" t="s">
        <v>256</v>
      </c>
      <c r="B134" t="s">
        <v>447</v>
      </c>
      <c r="C134" t="s">
        <v>405</v>
      </c>
      <c r="D134" t="s">
        <v>253</v>
      </c>
      <c r="E134" t="s">
        <v>183</v>
      </c>
      <c r="F134" t="s">
        <v>448</v>
      </c>
      <c r="G134" s="1">
        <v>5.5399999999999998E-3</v>
      </c>
      <c r="H134" s="2">
        <v>954</v>
      </c>
      <c r="I134" s="2">
        <v>2590</v>
      </c>
      <c r="J134" s="2">
        <v>3.91</v>
      </c>
      <c r="K134" s="2">
        <v>11</v>
      </c>
      <c r="L134" s="2">
        <v>11</v>
      </c>
      <c r="M134" s="2">
        <v>2.14</v>
      </c>
      <c r="N134" s="2">
        <v>295</v>
      </c>
      <c r="O134" s="2">
        <v>582</v>
      </c>
      <c r="P134" s="2">
        <v>209</v>
      </c>
      <c r="Q134" s="2">
        <v>293</v>
      </c>
      <c r="R134" s="2">
        <v>14</v>
      </c>
      <c r="S134" s="2">
        <v>13</v>
      </c>
      <c r="T134" s="2">
        <v>0.92</v>
      </c>
      <c r="U134" s="2">
        <v>106</v>
      </c>
      <c r="V134" s="2">
        <v>2.96</v>
      </c>
    </row>
    <row r="135" spans="1:22" x14ac:dyDescent="0.25">
      <c r="A135" t="s">
        <v>154</v>
      </c>
      <c r="B135" t="s">
        <v>150</v>
      </c>
      <c r="C135" t="s">
        <v>23</v>
      </c>
      <c r="D135" t="s">
        <v>151</v>
      </c>
      <c r="E135" t="s">
        <v>151</v>
      </c>
      <c r="F135" t="s">
        <v>152</v>
      </c>
      <c r="G135" s="1">
        <v>7.5300000000000002E-3</v>
      </c>
      <c r="H135" s="2">
        <v>1796</v>
      </c>
      <c r="I135" s="2">
        <v>3679</v>
      </c>
      <c r="J135" s="2">
        <v>3.93</v>
      </c>
      <c r="K135" s="2">
        <v>5.24</v>
      </c>
      <c r="L135" s="2">
        <v>8</v>
      </c>
      <c r="M135" s="2">
        <v>1.8</v>
      </c>
      <c r="N135" s="2">
        <v>1014</v>
      </c>
      <c r="O135" s="2">
        <v>1304</v>
      </c>
      <c r="P135" s="2">
        <v>586</v>
      </c>
      <c r="Q135" s="2">
        <v>907</v>
      </c>
      <c r="R135" s="2">
        <v>33</v>
      </c>
      <c r="S135" s="2">
        <v>43</v>
      </c>
      <c r="T135" s="2">
        <v>1.04</v>
      </c>
      <c r="U135" s="2">
        <v>90</v>
      </c>
      <c r="V135" s="2">
        <v>3.53</v>
      </c>
    </row>
    <row r="136" spans="1:22" x14ac:dyDescent="0.25">
      <c r="A136" t="s">
        <v>304</v>
      </c>
      <c r="B136" t="s">
        <v>305</v>
      </c>
      <c r="C136" t="s">
        <v>196</v>
      </c>
      <c r="D136" t="s">
        <v>306</v>
      </c>
      <c r="E136" t="s">
        <v>306</v>
      </c>
      <c r="F136" t="s">
        <v>111</v>
      </c>
      <c r="G136" s="1">
        <v>1.0620000000000001</v>
      </c>
      <c r="H136" s="2">
        <v>1675</v>
      </c>
      <c r="I136" s="2">
        <v>3208</v>
      </c>
      <c r="J136" s="2">
        <v>3.93</v>
      </c>
      <c r="K136" s="2">
        <v>5.66</v>
      </c>
      <c r="L136" s="2">
        <v>10</v>
      </c>
      <c r="M136" s="2">
        <v>2.0099999999999998</v>
      </c>
      <c r="N136" s="2">
        <v>801</v>
      </c>
      <c r="O136" s="2">
        <v>1495</v>
      </c>
      <c r="P136" s="2">
        <v>466</v>
      </c>
      <c r="Q136" s="2">
        <v>845</v>
      </c>
      <c r="R136" s="2">
        <v>24</v>
      </c>
      <c r="S136" s="2">
        <v>45</v>
      </c>
      <c r="T136" s="2">
        <v>1.81</v>
      </c>
      <c r="U136" s="2">
        <v>29</v>
      </c>
      <c r="V136" s="2">
        <v>4.3099999999999996</v>
      </c>
    </row>
    <row r="137" spans="1:22" x14ac:dyDescent="0.25">
      <c r="A137" t="s">
        <v>257</v>
      </c>
      <c r="B137" t="s">
        <v>252</v>
      </c>
      <c r="C137" t="s">
        <v>196</v>
      </c>
      <c r="D137" t="s">
        <v>253</v>
      </c>
      <c r="E137" t="s">
        <v>253</v>
      </c>
      <c r="F137" t="s">
        <v>111</v>
      </c>
      <c r="G137" s="1">
        <v>1.0620000000000001</v>
      </c>
      <c r="H137" s="2">
        <v>1917</v>
      </c>
      <c r="I137" s="2">
        <v>3732</v>
      </c>
      <c r="J137" s="2">
        <v>3.94</v>
      </c>
      <c r="K137" s="2">
        <v>9</v>
      </c>
      <c r="L137" s="2">
        <v>19</v>
      </c>
      <c r="M137" s="2">
        <v>1.95</v>
      </c>
      <c r="N137" s="2">
        <v>1042</v>
      </c>
      <c r="O137" s="2">
        <v>1523</v>
      </c>
      <c r="P137" s="2">
        <v>739</v>
      </c>
      <c r="Q137" s="2">
        <v>993</v>
      </c>
      <c r="R137" s="2">
        <v>33</v>
      </c>
      <c r="S137" s="2">
        <v>56</v>
      </c>
      <c r="T137" s="2">
        <v>1.91</v>
      </c>
      <c r="U137" s="2">
        <v>51</v>
      </c>
      <c r="V137" s="2">
        <v>6</v>
      </c>
    </row>
    <row r="138" spans="1:22" x14ac:dyDescent="0.25">
      <c r="A138" t="s">
        <v>575</v>
      </c>
      <c r="B138" t="s">
        <v>576</v>
      </c>
      <c r="C138" t="s">
        <v>522</v>
      </c>
      <c r="D138" t="s">
        <v>577</v>
      </c>
      <c r="E138" t="s">
        <v>211</v>
      </c>
      <c r="F138" t="s">
        <v>578</v>
      </c>
      <c r="G138" s="1">
        <v>9.3000000000000005E-4</v>
      </c>
      <c r="H138" s="2">
        <v>1044</v>
      </c>
      <c r="I138" s="2">
        <v>2068</v>
      </c>
      <c r="J138" s="2">
        <v>3.95</v>
      </c>
      <c r="K138" s="2">
        <v>4.49</v>
      </c>
      <c r="L138" s="2">
        <v>5.22</v>
      </c>
      <c r="M138" s="2">
        <v>1.88</v>
      </c>
      <c r="N138" s="2">
        <v>487</v>
      </c>
      <c r="O138" s="2">
        <v>915</v>
      </c>
      <c r="P138" s="2">
        <v>269</v>
      </c>
      <c r="Q138" s="2">
        <v>536</v>
      </c>
      <c r="R138" s="2">
        <v>29</v>
      </c>
      <c r="S138" s="2">
        <v>20</v>
      </c>
      <c r="T138" s="2">
        <v>1.1299999999999999</v>
      </c>
      <c r="U138" s="2">
        <v>21</v>
      </c>
      <c r="V138" s="2">
        <v>1.83</v>
      </c>
    </row>
    <row r="139" spans="1:22" x14ac:dyDescent="0.25">
      <c r="A139" t="s">
        <v>378</v>
      </c>
      <c r="B139" t="s">
        <v>375</v>
      </c>
      <c r="C139" t="s">
        <v>376</v>
      </c>
      <c r="D139" t="s">
        <v>30</v>
      </c>
      <c r="E139" t="s">
        <v>30</v>
      </c>
      <c r="F139" t="s">
        <v>377</v>
      </c>
      <c r="G139" s="1">
        <v>0.68799999999999994</v>
      </c>
      <c r="H139" s="2">
        <v>2555</v>
      </c>
      <c r="I139" s="2">
        <v>4873</v>
      </c>
      <c r="J139" s="2">
        <v>3.95</v>
      </c>
      <c r="K139" s="2">
        <v>9</v>
      </c>
      <c r="L139" s="2">
        <v>15</v>
      </c>
      <c r="M139" s="2">
        <v>2.23</v>
      </c>
      <c r="N139" s="2">
        <v>1457</v>
      </c>
      <c r="O139" s="2">
        <v>2014</v>
      </c>
      <c r="P139" s="2">
        <v>1092</v>
      </c>
      <c r="Q139" s="2">
        <v>1374</v>
      </c>
      <c r="R139" s="2">
        <v>49</v>
      </c>
      <c r="S139" s="2">
        <v>54</v>
      </c>
      <c r="T139" s="2">
        <v>1.37</v>
      </c>
      <c r="U139" s="2">
        <v>128</v>
      </c>
      <c r="V139" s="2">
        <v>31</v>
      </c>
    </row>
    <row r="140" spans="1:22" x14ac:dyDescent="0.25">
      <c r="A140" t="s">
        <v>348</v>
      </c>
      <c r="B140" t="s">
        <v>340</v>
      </c>
      <c r="C140" t="s">
        <v>196</v>
      </c>
      <c r="D140" t="s">
        <v>30</v>
      </c>
      <c r="E140" t="s">
        <v>30</v>
      </c>
      <c r="F140" t="s">
        <v>341</v>
      </c>
      <c r="G140" s="1">
        <v>1.2090000000000001</v>
      </c>
      <c r="H140" s="2">
        <v>2236</v>
      </c>
      <c r="I140" s="2">
        <v>4234</v>
      </c>
      <c r="J140" s="2">
        <v>3.96</v>
      </c>
      <c r="K140" s="2">
        <v>7</v>
      </c>
      <c r="L140" s="2">
        <v>14</v>
      </c>
      <c r="M140" s="2">
        <v>2.4</v>
      </c>
      <c r="N140" s="2">
        <v>1226</v>
      </c>
      <c r="O140" s="2">
        <v>1925</v>
      </c>
      <c r="P140" s="2">
        <v>955</v>
      </c>
      <c r="Q140" s="2">
        <v>1030</v>
      </c>
      <c r="R140" s="2">
        <v>32</v>
      </c>
      <c r="S140" s="2">
        <v>121</v>
      </c>
      <c r="T140" s="2">
        <v>1.91</v>
      </c>
      <c r="U140" s="2">
        <v>72</v>
      </c>
      <c r="V140" s="2">
        <v>14</v>
      </c>
    </row>
    <row r="141" spans="1:22" x14ac:dyDescent="0.25">
      <c r="A141" t="s">
        <v>425</v>
      </c>
      <c r="B141" t="s">
        <v>423</v>
      </c>
      <c r="C141" t="s">
        <v>405</v>
      </c>
      <c r="D141" t="s">
        <v>253</v>
      </c>
      <c r="E141" t="s">
        <v>253</v>
      </c>
      <c r="F141" t="s">
        <v>424</v>
      </c>
      <c r="G141" s="1">
        <v>5.2260000000000001E-2</v>
      </c>
      <c r="H141" s="2">
        <v>1203</v>
      </c>
      <c r="I141" s="2">
        <v>2487</v>
      </c>
      <c r="J141" s="2">
        <v>3.97</v>
      </c>
      <c r="K141" s="2">
        <v>10</v>
      </c>
      <c r="L141" s="2">
        <v>16</v>
      </c>
      <c r="M141" s="2">
        <v>1.74</v>
      </c>
      <c r="N141" s="2">
        <v>484</v>
      </c>
      <c r="O141" s="2">
        <v>1054</v>
      </c>
      <c r="P141" s="2">
        <v>358</v>
      </c>
      <c r="Q141" s="2">
        <v>723</v>
      </c>
      <c r="R141" s="2">
        <v>21</v>
      </c>
      <c r="S141" s="2">
        <v>30</v>
      </c>
      <c r="T141" s="2">
        <v>1.17</v>
      </c>
      <c r="U141" s="2">
        <v>26</v>
      </c>
      <c r="V141" s="2">
        <v>3.65</v>
      </c>
    </row>
    <row r="142" spans="1:22" x14ac:dyDescent="0.25">
      <c r="A142" t="s">
        <v>155</v>
      </c>
      <c r="B142" t="s">
        <v>150</v>
      </c>
      <c r="C142" t="s">
        <v>23</v>
      </c>
      <c r="D142" t="s">
        <v>151</v>
      </c>
      <c r="E142" t="s">
        <v>151</v>
      </c>
      <c r="F142" t="s">
        <v>152</v>
      </c>
      <c r="G142" s="1">
        <v>7.5300000000000002E-3</v>
      </c>
      <c r="H142" s="2">
        <v>2755</v>
      </c>
      <c r="I142" s="2">
        <v>4688</v>
      </c>
      <c r="J142" s="2">
        <v>4.0199999999999996</v>
      </c>
      <c r="K142" s="2">
        <v>5.25</v>
      </c>
      <c r="L142" s="2">
        <v>8</v>
      </c>
      <c r="M142" s="2">
        <v>1.63</v>
      </c>
      <c r="N142" s="2">
        <v>1461</v>
      </c>
      <c r="O142" s="2">
        <v>2698</v>
      </c>
      <c r="P142" s="2">
        <v>762</v>
      </c>
      <c r="Q142" s="2">
        <v>1379</v>
      </c>
      <c r="R142" s="2">
        <v>32</v>
      </c>
      <c r="S142" s="2">
        <v>35</v>
      </c>
      <c r="T142" s="2">
        <v>1.22</v>
      </c>
      <c r="U142" s="2">
        <v>89</v>
      </c>
      <c r="V142" s="2">
        <v>4.29</v>
      </c>
    </row>
    <row r="143" spans="1:22" x14ac:dyDescent="0.25">
      <c r="A143" t="s">
        <v>122</v>
      </c>
      <c r="B143" t="s">
        <v>120</v>
      </c>
      <c r="C143" t="s">
        <v>23</v>
      </c>
      <c r="D143" t="s">
        <v>67</v>
      </c>
      <c r="E143" t="s">
        <v>30</v>
      </c>
      <c r="F143" t="s">
        <v>121</v>
      </c>
      <c r="G143" s="1">
        <v>0.27224999999999999</v>
      </c>
      <c r="H143" s="2">
        <v>4972</v>
      </c>
      <c r="I143" s="2">
        <v>2912</v>
      </c>
      <c r="J143" s="2">
        <v>4.03</v>
      </c>
      <c r="K143" s="2">
        <v>8</v>
      </c>
      <c r="L143" s="2">
        <v>14</v>
      </c>
      <c r="M143" s="2">
        <v>2.3199999999999998</v>
      </c>
      <c r="N143" s="2">
        <v>1789</v>
      </c>
      <c r="O143" s="2">
        <v>2541</v>
      </c>
      <c r="P143" s="2">
        <v>872</v>
      </c>
      <c r="Q143" s="2">
        <v>1520</v>
      </c>
      <c r="R143" s="2">
        <v>98</v>
      </c>
      <c r="S143" s="2">
        <v>65</v>
      </c>
      <c r="T143" s="2">
        <v>0.95</v>
      </c>
      <c r="U143" s="2">
        <v>80</v>
      </c>
      <c r="V143" s="2">
        <v>5.2</v>
      </c>
    </row>
    <row r="144" spans="1:22" x14ac:dyDescent="0.25">
      <c r="A144" t="s">
        <v>254</v>
      </c>
      <c r="B144" t="s">
        <v>252</v>
      </c>
      <c r="C144" t="s">
        <v>196</v>
      </c>
      <c r="D144" t="s">
        <v>253</v>
      </c>
      <c r="E144" t="s">
        <v>255</v>
      </c>
      <c r="F144" t="s">
        <v>111</v>
      </c>
      <c r="G144" s="1">
        <v>1.0620000000000001</v>
      </c>
      <c r="H144" s="2">
        <v>1686</v>
      </c>
      <c r="I144" s="2">
        <v>3407</v>
      </c>
      <c r="J144" s="2">
        <v>4.07</v>
      </c>
      <c r="K144" s="2">
        <v>8</v>
      </c>
      <c r="L144" s="2">
        <v>16</v>
      </c>
      <c r="M144" s="2">
        <v>2.06</v>
      </c>
      <c r="N144" s="2">
        <v>867</v>
      </c>
      <c r="O144" s="2">
        <v>1327</v>
      </c>
      <c r="P144" s="2">
        <v>645</v>
      </c>
      <c r="Q144" s="2">
        <v>868</v>
      </c>
      <c r="R144" s="2">
        <v>34</v>
      </c>
      <c r="S144" s="2">
        <v>58</v>
      </c>
      <c r="T144" s="2">
        <v>1.99</v>
      </c>
      <c r="U144" s="2">
        <v>44</v>
      </c>
      <c r="V144" s="2">
        <v>5.18</v>
      </c>
    </row>
    <row r="145" spans="1:22" x14ac:dyDescent="0.25">
      <c r="A145" t="s">
        <v>207</v>
      </c>
      <c r="B145" t="s">
        <v>200</v>
      </c>
      <c r="C145" t="s">
        <v>196</v>
      </c>
      <c r="D145" t="s">
        <v>201</v>
      </c>
      <c r="E145" t="s">
        <v>201</v>
      </c>
      <c r="F145" t="s">
        <v>111</v>
      </c>
      <c r="G145" s="1">
        <v>1.0620000000000001</v>
      </c>
      <c r="H145" s="2">
        <v>1886</v>
      </c>
      <c r="I145" s="2">
        <v>3747</v>
      </c>
      <c r="J145" s="2">
        <v>4.08</v>
      </c>
      <c r="K145" s="2">
        <v>9</v>
      </c>
      <c r="L145" s="2">
        <v>14</v>
      </c>
      <c r="M145" s="2">
        <v>1.62</v>
      </c>
      <c r="N145" s="2">
        <v>1802</v>
      </c>
      <c r="O145" s="2">
        <v>1404</v>
      </c>
      <c r="P145" s="2">
        <v>820</v>
      </c>
      <c r="Q145" s="2">
        <v>995</v>
      </c>
      <c r="R145" s="2">
        <v>26</v>
      </c>
      <c r="S145" s="2">
        <v>50</v>
      </c>
      <c r="T145" s="2">
        <v>1.93</v>
      </c>
      <c r="U145" s="2">
        <v>73</v>
      </c>
      <c r="V145" s="2">
        <v>7</v>
      </c>
    </row>
    <row r="146" spans="1:22" x14ac:dyDescent="0.25">
      <c r="A146" t="s">
        <v>328</v>
      </c>
      <c r="B146" t="s">
        <v>326</v>
      </c>
      <c r="C146" t="s">
        <v>196</v>
      </c>
      <c r="D146" t="s">
        <v>220</v>
      </c>
      <c r="E146" t="s">
        <v>30</v>
      </c>
      <c r="F146" t="s">
        <v>111</v>
      </c>
      <c r="G146" s="1">
        <v>1.0620000000000001</v>
      </c>
      <c r="H146" s="2">
        <v>3080</v>
      </c>
      <c r="I146" s="2">
        <v>5380</v>
      </c>
      <c r="J146" s="2">
        <v>4.0999999999999996</v>
      </c>
      <c r="K146" s="2">
        <v>10</v>
      </c>
      <c r="L146" s="2">
        <v>16</v>
      </c>
      <c r="M146" s="2">
        <v>2.85</v>
      </c>
      <c r="N146" s="2">
        <v>2048</v>
      </c>
      <c r="O146" s="2">
        <v>2480</v>
      </c>
      <c r="P146" s="2">
        <v>1422</v>
      </c>
      <c r="Q146" s="2">
        <v>1602</v>
      </c>
      <c r="R146" s="2">
        <v>42</v>
      </c>
      <c r="S146" s="2">
        <v>37</v>
      </c>
      <c r="T146" s="2">
        <v>2.29</v>
      </c>
      <c r="U146" s="2">
        <v>97</v>
      </c>
      <c r="V146" s="2">
        <v>8</v>
      </c>
    </row>
    <row r="147" spans="1:22" x14ac:dyDescent="0.25">
      <c r="A147" t="s">
        <v>381</v>
      </c>
      <c r="B147" t="s">
        <v>375</v>
      </c>
      <c r="C147" t="s">
        <v>376</v>
      </c>
      <c r="D147" t="s">
        <v>30</v>
      </c>
      <c r="E147" t="s">
        <v>30</v>
      </c>
      <c r="F147" t="s">
        <v>377</v>
      </c>
      <c r="G147" s="1">
        <v>0.68799999999999994</v>
      </c>
      <c r="H147" s="2">
        <v>2283</v>
      </c>
      <c r="I147" s="2">
        <v>4183</v>
      </c>
      <c r="J147" s="2">
        <v>4.12</v>
      </c>
      <c r="K147" s="2">
        <v>8</v>
      </c>
      <c r="L147" s="2">
        <v>13</v>
      </c>
      <c r="M147" s="2">
        <v>2</v>
      </c>
      <c r="N147" s="2">
        <v>1374</v>
      </c>
      <c r="O147" s="2">
        <v>1937</v>
      </c>
      <c r="P147" s="2">
        <v>940</v>
      </c>
      <c r="Q147" s="2">
        <v>1395</v>
      </c>
      <c r="R147" s="2">
        <v>47</v>
      </c>
      <c r="S147" s="2">
        <v>50</v>
      </c>
      <c r="T147" s="2">
        <v>1.22</v>
      </c>
      <c r="U147" s="2">
        <v>63</v>
      </c>
      <c r="V147" s="2">
        <v>25</v>
      </c>
    </row>
    <row r="148" spans="1:22" x14ac:dyDescent="0.25">
      <c r="A148" t="s">
        <v>420</v>
      </c>
      <c r="B148" t="s">
        <v>401</v>
      </c>
      <c r="C148" t="s">
        <v>405</v>
      </c>
      <c r="D148" t="s">
        <v>30</v>
      </c>
      <c r="E148" t="s">
        <v>30</v>
      </c>
      <c r="F148" t="s">
        <v>4</v>
      </c>
      <c r="G148" s="1">
        <v>1</v>
      </c>
      <c r="H148" s="2">
        <v>2395</v>
      </c>
      <c r="I148" s="2">
        <v>4429</v>
      </c>
      <c r="J148" s="2">
        <v>4.12</v>
      </c>
      <c r="K148" s="2">
        <v>8</v>
      </c>
      <c r="L148" s="2">
        <v>16</v>
      </c>
      <c r="M148" s="2">
        <v>2.25</v>
      </c>
      <c r="N148" s="2">
        <v>1331</v>
      </c>
      <c r="O148" s="2">
        <v>2088</v>
      </c>
      <c r="P148" s="2">
        <v>847</v>
      </c>
      <c r="Q148" s="2">
        <v>1280</v>
      </c>
      <c r="R148" s="2">
        <v>48</v>
      </c>
      <c r="S148" s="2">
        <v>93</v>
      </c>
      <c r="T148" s="2">
        <v>0.97</v>
      </c>
      <c r="U148" s="2">
        <v>73</v>
      </c>
      <c r="V148" s="2">
        <v>7</v>
      </c>
    </row>
    <row r="149" spans="1:22" x14ac:dyDescent="0.25">
      <c r="A149" t="s">
        <v>393</v>
      </c>
      <c r="B149" t="s">
        <v>394</v>
      </c>
      <c r="C149" t="s">
        <v>376</v>
      </c>
      <c r="D149" t="s">
        <v>30</v>
      </c>
      <c r="E149" t="s">
        <v>395</v>
      </c>
      <c r="F149" t="s">
        <v>396</v>
      </c>
      <c r="G149" s="1">
        <v>0.28409000000000001</v>
      </c>
      <c r="H149" s="2">
        <v>5360</v>
      </c>
      <c r="I149" s="2">
        <v>3611</v>
      </c>
      <c r="J149" s="2">
        <v>4.1900000000000004</v>
      </c>
      <c r="K149" s="2">
        <v>7</v>
      </c>
      <c r="L149" s="2">
        <v>7</v>
      </c>
      <c r="M149" s="2">
        <v>2.5099999999999998</v>
      </c>
      <c r="N149" s="2">
        <v>2294</v>
      </c>
      <c r="O149" s="2">
        <v>3519</v>
      </c>
      <c r="P149" s="2">
        <v>1591</v>
      </c>
      <c r="Q149" s="2">
        <v>2498</v>
      </c>
      <c r="R149" s="2">
        <v>82</v>
      </c>
      <c r="S149" s="2">
        <v>42</v>
      </c>
      <c r="T149" s="2">
        <v>0.98</v>
      </c>
      <c r="U149" s="2">
        <v>30</v>
      </c>
      <c r="V149" s="2">
        <v>7</v>
      </c>
    </row>
    <row r="150" spans="1:22" x14ac:dyDescent="0.25">
      <c r="A150" t="s">
        <v>164</v>
      </c>
      <c r="B150" t="s">
        <v>165</v>
      </c>
      <c r="C150" t="s">
        <v>23</v>
      </c>
      <c r="D150" t="s">
        <v>67</v>
      </c>
      <c r="E150" t="s">
        <v>30</v>
      </c>
      <c r="F150" t="s">
        <v>166</v>
      </c>
      <c r="G150" s="1">
        <v>2.597</v>
      </c>
      <c r="H150" s="2">
        <v>1870</v>
      </c>
      <c r="I150" s="2">
        <v>3556</v>
      </c>
      <c r="J150" s="2">
        <v>4.2</v>
      </c>
      <c r="K150" s="2">
        <v>7</v>
      </c>
      <c r="L150" s="2">
        <v>8</v>
      </c>
      <c r="M150" s="2">
        <v>3.07</v>
      </c>
      <c r="N150" s="2">
        <v>993</v>
      </c>
      <c r="O150" s="2">
        <v>1582</v>
      </c>
      <c r="P150" s="2">
        <v>798</v>
      </c>
      <c r="Q150" s="2">
        <v>1166</v>
      </c>
      <c r="R150" s="2">
        <v>62</v>
      </c>
      <c r="S150" s="2">
        <v>28</v>
      </c>
      <c r="T150" s="2">
        <v>0.56000000000000005</v>
      </c>
      <c r="U150" s="2">
        <v>35</v>
      </c>
      <c r="V150" s="2">
        <v>4.3600000000000003</v>
      </c>
    </row>
    <row r="151" spans="1:22" x14ac:dyDescent="0.25">
      <c r="A151" t="s">
        <v>202</v>
      </c>
      <c r="B151" t="s">
        <v>200</v>
      </c>
      <c r="C151" t="s">
        <v>196</v>
      </c>
      <c r="D151" t="s">
        <v>201</v>
      </c>
      <c r="E151" t="s">
        <v>30</v>
      </c>
      <c r="F151" t="s">
        <v>111</v>
      </c>
      <c r="G151" s="1">
        <v>1.0620000000000001</v>
      </c>
      <c r="H151" s="2">
        <v>1502</v>
      </c>
      <c r="I151" s="2">
        <v>3236</v>
      </c>
      <c r="J151" s="2">
        <v>4.2</v>
      </c>
      <c r="K151" s="2">
        <v>7</v>
      </c>
      <c r="L151" s="2">
        <v>11</v>
      </c>
      <c r="M151" s="2">
        <v>2.2799999999999998</v>
      </c>
      <c r="N151" s="2">
        <v>742</v>
      </c>
      <c r="O151" s="2">
        <v>1124</v>
      </c>
      <c r="P151" s="2">
        <v>447</v>
      </c>
      <c r="Q151" s="2">
        <v>548</v>
      </c>
      <c r="R151" s="2">
        <v>23</v>
      </c>
      <c r="S151" s="2">
        <v>47</v>
      </c>
      <c r="T151" s="2">
        <v>1.59</v>
      </c>
      <c r="U151" s="2">
        <v>74</v>
      </c>
      <c r="V151" s="2">
        <v>6</v>
      </c>
    </row>
    <row r="152" spans="1:22" x14ac:dyDescent="0.25">
      <c r="A152" t="s">
        <v>427</v>
      </c>
      <c r="B152" t="s">
        <v>423</v>
      </c>
      <c r="C152" t="s">
        <v>405</v>
      </c>
      <c r="D152" t="s">
        <v>253</v>
      </c>
      <c r="E152" t="s">
        <v>253</v>
      </c>
      <c r="F152" t="s">
        <v>424</v>
      </c>
      <c r="G152" s="1">
        <v>5.2260000000000001E-2</v>
      </c>
      <c r="H152" s="2">
        <v>1351</v>
      </c>
      <c r="I152" s="2">
        <v>2783</v>
      </c>
      <c r="J152" s="2">
        <v>4.2</v>
      </c>
      <c r="K152" s="2">
        <v>8</v>
      </c>
      <c r="L152" s="2">
        <v>15</v>
      </c>
      <c r="M152" s="2">
        <v>2.0699999999999998</v>
      </c>
      <c r="N152" s="2">
        <v>502</v>
      </c>
      <c r="O152" s="2">
        <v>1214</v>
      </c>
      <c r="P152" s="2">
        <v>342</v>
      </c>
      <c r="Q152" s="2">
        <v>919</v>
      </c>
      <c r="R152" s="2">
        <v>24</v>
      </c>
      <c r="S152" s="2">
        <v>25</v>
      </c>
      <c r="T152" s="2">
        <v>1.26</v>
      </c>
      <c r="U152" s="2">
        <v>43</v>
      </c>
      <c r="V152" s="2">
        <v>3.66</v>
      </c>
    </row>
    <row r="153" spans="1:22" x14ac:dyDescent="0.25">
      <c r="A153" t="s">
        <v>342</v>
      </c>
      <c r="B153" t="s">
        <v>340</v>
      </c>
      <c r="C153" t="s">
        <v>196</v>
      </c>
      <c r="D153" t="s">
        <v>343</v>
      </c>
      <c r="E153" t="s">
        <v>30</v>
      </c>
      <c r="F153" t="s">
        <v>341</v>
      </c>
      <c r="G153" s="1">
        <v>1.2090000000000001</v>
      </c>
      <c r="H153" s="2">
        <v>2497</v>
      </c>
      <c r="I153" s="2">
        <v>4590</v>
      </c>
      <c r="J153" s="2">
        <v>4.24</v>
      </c>
      <c r="K153" s="2">
        <v>7</v>
      </c>
      <c r="L153" s="2">
        <v>18</v>
      </c>
      <c r="M153" s="2">
        <v>2.36</v>
      </c>
      <c r="N153" s="2">
        <v>1596</v>
      </c>
      <c r="O153" s="2">
        <v>1965</v>
      </c>
      <c r="P153" s="2">
        <v>957</v>
      </c>
      <c r="Q153" s="2">
        <v>1097</v>
      </c>
      <c r="R153" s="2">
        <v>27</v>
      </c>
      <c r="S153" s="2">
        <v>108</v>
      </c>
      <c r="T153" s="2">
        <v>2.12</v>
      </c>
      <c r="U153" s="2">
        <v>73</v>
      </c>
      <c r="V153" s="2">
        <v>15</v>
      </c>
    </row>
    <row r="154" spans="1:22" x14ac:dyDescent="0.25">
      <c r="A154" t="s">
        <v>428</v>
      </c>
      <c r="B154" t="s">
        <v>429</v>
      </c>
      <c r="C154" t="s">
        <v>405</v>
      </c>
      <c r="D154" t="s">
        <v>253</v>
      </c>
      <c r="E154" t="s">
        <v>253</v>
      </c>
      <c r="F154" t="s">
        <v>430</v>
      </c>
      <c r="G154" s="1">
        <v>1.6999999999999999E-3</v>
      </c>
      <c r="H154" s="2">
        <v>1381</v>
      </c>
      <c r="I154" s="2">
        <v>3116</v>
      </c>
      <c r="J154" s="2">
        <v>4.25</v>
      </c>
      <c r="K154" s="2">
        <v>8</v>
      </c>
      <c r="L154" s="2">
        <v>11</v>
      </c>
      <c r="M154" s="2">
        <v>2.94</v>
      </c>
      <c r="N154" s="2">
        <v>518</v>
      </c>
      <c r="O154" s="2">
        <v>1088</v>
      </c>
      <c r="P154" s="2">
        <v>386</v>
      </c>
      <c r="Q154" s="2">
        <v>724</v>
      </c>
      <c r="R154" s="2">
        <v>31</v>
      </c>
      <c r="S154" s="2">
        <v>62</v>
      </c>
      <c r="T154" s="2">
        <v>1.55</v>
      </c>
      <c r="U154" s="2">
        <v>57</v>
      </c>
      <c r="V154" s="2">
        <v>4.25</v>
      </c>
    </row>
    <row r="155" spans="1:22" x14ac:dyDescent="0.25">
      <c r="A155" t="s">
        <v>251</v>
      </c>
      <c r="B155" t="s">
        <v>252</v>
      </c>
      <c r="C155" t="s">
        <v>196</v>
      </c>
      <c r="D155" t="s">
        <v>253</v>
      </c>
      <c r="E155" t="s">
        <v>210</v>
      </c>
      <c r="F155" t="s">
        <v>111</v>
      </c>
      <c r="G155" s="1">
        <v>1.0620000000000001</v>
      </c>
      <c r="H155" s="2">
        <v>2024</v>
      </c>
      <c r="I155" s="2">
        <v>3851</v>
      </c>
      <c r="J155" s="2">
        <v>4.25</v>
      </c>
      <c r="K155" s="2">
        <v>10</v>
      </c>
      <c r="L155" s="2">
        <v>19</v>
      </c>
      <c r="M155" s="2">
        <v>2.0699999999999998</v>
      </c>
      <c r="N155" s="2">
        <v>1158</v>
      </c>
      <c r="O155" s="2">
        <v>1625</v>
      </c>
      <c r="P155" s="2">
        <v>790</v>
      </c>
      <c r="Q155" s="2">
        <v>1053</v>
      </c>
      <c r="R155" s="2">
        <v>32</v>
      </c>
      <c r="S155" s="2">
        <v>59</v>
      </c>
      <c r="T155" s="2">
        <v>1.97</v>
      </c>
      <c r="U155" s="2">
        <v>39</v>
      </c>
      <c r="V155" s="2">
        <v>5.31</v>
      </c>
    </row>
    <row r="156" spans="1:22" x14ac:dyDescent="0.25">
      <c r="A156" t="s">
        <v>199</v>
      </c>
      <c r="B156" t="s">
        <v>200</v>
      </c>
      <c r="C156" t="s">
        <v>196</v>
      </c>
      <c r="D156" t="s">
        <v>201</v>
      </c>
      <c r="E156" t="s">
        <v>201</v>
      </c>
      <c r="F156" t="s">
        <v>111</v>
      </c>
      <c r="G156" s="1">
        <v>1.0620000000000001</v>
      </c>
      <c r="H156" s="2">
        <v>2247</v>
      </c>
      <c r="I156" s="2">
        <v>4206</v>
      </c>
      <c r="J156" s="2">
        <v>4.26</v>
      </c>
      <c r="K156" s="2">
        <v>16</v>
      </c>
      <c r="L156" s="2">
        <v>9</v>
      </c>
      <c r="M156" s="2">
        <v>1.74</v>
      </c>
      <c r="N156" s="2">
        <v>1328</v>
      </c>
      <c r="O156" s="2">
        <v>1821</v>
      </c>
      <c r="P156" s="2">
        <v>741</v>
      </c>
      <c r="Q156" s="2">
        <v>1114</v>
      </c>
      <c r="R156" s="2">
        <v>26</v>
      </c>
      <c r="S156" s="2">
        <v>49</v>
      </c>
      <c r="T156" s="2">
        <v>1.82</v>
      </c>
      <c r="U156" s="2">
        <v>99</v>
      </c>
      <c r="V156" s="2">
        <v>7</v>
      </c>
    </row>
    <row r="157" spans="1:22" x14ac:dyDescent="0.25">
      <c r="A157" t="s">
        <v>325</v>
      </c>
      <c r="B157" t="s">
        <v>326</v>
      </c>
      <c r="C157" t="s">
        <v>196</v>
      </c>
      <c r="D157" t="s">
        <v>220</v>
      </c>
      <c r="E157" t="s">
        <v>220</v>
      </c>
      <c r="F157" t="s">
        <v>111</v>
      </c>
      <c r="G157" s="1">
        <v>1.0620000000000001</v>
      </c>
      <c r="H157" s="2">
        <v>2150</v>
      </c>
      <c r="I157" s="2">
        <v>4141</v>
      </c>
      <c r="J157" s="2">
        <v>4.3</v>
      </c>
      <c r="K157" s="2">
        <v>9</v>
      </c>
      <c r="L157" s="2">
        <v>17</v>
      </c>
      <c r="M157" s="2">
        <v>2.29</v>
      </c>
      <c r="N157" s="2">
        <v>1263</v>
      </c>
      <c r="O157" s="2">
        <v>1650</v>
      </c>
      <c r="P157" s="2">
        <v>854</v>
      </c>
      <c r="Q157" s="2">
        <v>1039</v>
      </c>
      <c r="R157" s="2">
        <v>24</v>
      </c>
      <c r="S157" s="2">
        <v>38</v>
      </c>
      <c r="T157" s="2">
        <v>2.21</v>
      </c>
      <c r="U157" s="2">
        <v>86</v>
      </c>
      <c r="V157" s="2">
        <v>8</v>
      </c>
    </row>
    <row r="158" spans="1:22" x14ac:dyDescent="0.25">
      <c r="A158" t="s">
        <v>411</v>
      </c>
      <c r="B158" t="s">
        <v>404</v>
      </c>
      <c r="C158" t="s">
        <v>405</v>
      </c>
      <c r="D158" t="s">
        <v>30</v>
      </c>
      <c r="E158" t="s">
        <v>30</v>
      </c>
      <c r="F158" t="s">
        <v>406</v>
      </c>
      <c r="G158" s="1">
        <v>0.747</v>
      </c>
      <c r="H158" s="2">
        <v>1858</v>
      </c>
      <c r="I158" s="2">
        <v>3619</v>
      </c>
      <c r="J158" s="2">
        <v>4.32</v>
      </c>
      <c r="K158" s="2">
        <v>7</v>
      </c>
      <c r="L158" s="2">
        <v>15</v>
      </c>
      <c r="M158" s="2">
        <v>1.85</v>
      </c>
      <c r="N158" s="2">
        <v>939</v>
      </c>
      <c r="O158" s="2">
        <v>1596</v>
      </c>
      <c r="P158" s="2">
        <v>601</v>
      </c>
      <c r="Q158" s="2">
        <v>836</v>
      </c>
      <c r="R158" s="2">
        <v>40</v>
      </c>
      <c r="S158" s="2">
        <v>57</v>
      </c>
      <c r="T158" s="2">
        <v>1.25</v>
      </c>
      <c r="U158" s="2">
        <v>50</v>
      </c>
      <c r="V158" s="2">
        <v>8</v>
      </c>
    </row>
    <row r="159" spans="1:22" x14ac:dyDescent="0.25">
      <c r="A159" t="s">
        <v>410</v>
      </c>
      <c r="B159" t="s">
        <v>404</v>
      </c>
      <c r="C159" t="s">
        <v>405</v>
      </c>
      <c r="D159" t="s">
        <v>211</v>
      </c>
      <c r="E159" t="s">
        <v>30</v>
      </c>
      <c r="F159" t="s">
        <v>406</v>
      </c>
      <c r="G159" s="1">
        <v>0.747</v>
      </c>
      <c r="H159" s="2">
        <v>1670</v>
      </c>
      <c r="I159" s="2">
        <v>3592</v>
      </c>
      <c r="J159" s="2">
        <v>4.33</v>
      </c>
      <c r="K159" s="2">
        <v>9</v>
      </c>
      <c r="L159" s="2">
        <v>12</v>
      </c>
      <c r="M159" s="2">
        <v>1.8</v>
      </c>
      <c r="N159" s="2">
        <v>923</v>
      </c>
      <c r="O159" s="2">
        <v>1169</v>
      </c>
      <c r="P159" s="2">
        <v>663</v>
      </c>
      <c r="Q159" s="2">
        <v>849</v>
      </c>
      <c r="R159" s="2">
        <v>80</v>
      </c>
      <c r="S159" s="2">
        <v>86</v>
      </c>
      <c r="T159" s="2">
        <v>1.37</v>
      </c>
      <c r="U159" s="2">
        <v>66</v>
      </c>
      <c r="V159" s="2">
        <v>11</v>
      </c>
    </row>
    <row r="160" spans="1:22" x14ac:dyDescent="0.25">
      <c r="A160" t="s">
        <v>389</v>
      </c>
      <c r="B160" t="s">
        <v>390</v>
      </c>
      <c r="C160" t="s">
        <v>376</v>
      </c>
      <c r="D160" t="s">
        <v>391</v>
      </c>
      <c r="E160" t="s">
        <v>30</v>
      </c>
      <c r="F160" t="s">
        <v>392</v>
      </c>
      <c r="G160" s="1">
        <v>0.45699000000000001</v>
      </c>
      <c r="H160" s="2">
        <v>1443</v>
      </c>
      <c r="I160" s="2">
        <v>2730</v>
      </c>
      <c r="J160" s="2">
        <v>4.34</v>
      </c>
      <c r="K160" s="2">
        <v>6</v>
      </c>
      <c r="L160" s="2">
        <v>5.91</v>
      </c>
      <c r="M160" s="2">
        <v>1.9</v>
      </c>
      <c r="N160" s="2">
        <v>651</v>
      </c>
      <c r="O160" s="2">
        <v>1350</v>
      </c>
      <c r="P160" s="2">
        <v>456</v>
      </c>
      <c r="Q160" s="2">
        <v>782</v>
      </c>
      <c r="R160" s="2">
        <v>59</v>
      </c>
      <c r="S160" s="2">
        <v>14</v>
      </c>
      <c r="T160" s="2">
        <v>1.17</v>
      </c>
      <c r="U160" s="2">
        <v>24</v>
      </c>
      <c r="V160" s="2">
        <v>4.33</v>
      </c>
    </row>
    <row r="161" spans="1:22" x14ac:dyDescent="0.25">
      <c r="A161" t="s">
        <v>288</v>
      </c>
      <c r="B161" t="s">
        <v>289</v>
      </c>
      <c r="C161" t="s">
        <v>196</v>
      </c>
      <c r="D161" t="s">
        <v>250</v>
      </c>
      <c r="E161" t="s">
        <v>250</v>
      </c>
      <c r="F161" t="s">
        <v>111</v>
      </c>
      <c r="G161" s="1">
        <v>1.0620000000000001</v>
      </c>
      <c r="H161" s="2">
        <v>1409</v>
      </c>
      <c r="I161" s="2">
        <v>3109</v>
      </c>
      <c r="J161" s="2">
        <v>4.34</v>
      </c>
      <c r="K161" s="2">
        <v>8</v>
      </c>
      <c r="L161" s="2">
        <v>12</v>
      </c>
      <c r="M161" s="2">
        <v>1.72</v>
      </c>
      <c r="N161" s="2">
        <v>656</v>
      </c>
      <c r="O161" s="2">
        <v>1058</v>
      </c>
      <c r="P161" s="2">
        <v>442</v>
      </c>
      <c r="Q161" s="2">
        <v>576</v>
      </c>
      <c r="R161" s="2">
        <v>27</v>
      </c>
      <c r="S161" s="2">
        <v>109</v>
      </c>
      <c r="T161" s="2">
        <v>1.76</v>
      </c>
      <c r="U161" s="2">
        <v>38</v>
      </c>
      <c r="V161" s="2">
        <v>5.83</v>
      </c>
    </row>
    <row r="162" spans="1:22" x14ac:dyDescent="0.25">
      <c r="A162" t="s">
        <v>387</v>
      </c>
      <c r="B162" t="s">
        <v>384</v>
      </c>
      <c r="C162" t="s">
        <v>376</v>
      </c>
      <c r="D162" t="s">
        <v>30</v>
      </c>
      <c r="E162" t="s">
        <v>385</v>
      </c>
      <c r="F162" t="s">
        <v>386</v>
      </c>
      <c r="G162" s="1">
        <v>0.63800000000000001</v>
      </c>
      <c r="H162" s="2">
        <v>2127</v>
      </c>
      <c r="I162" s="2">
        <v>4208</v>
      </c>
      <c r="J162" s="2">
        <v>4.34</v>
      </c>
      <c r="K162" s="2">
        <v>9</v>
      </c>
      <c r="L162" s="2">
        <v>13</v>
      </c>
      <c r="M162" s="2">
        <v>2.2000000000000002</v>
      </c>
      <c r="N162" s="2">
        <v>1212</v>
      </c>
      <c r="O162" s="2">
        <v>1608</v>
      </c>
      <c r="P162" s="2">
        <v>865</v>
      </c>
      <c r="Q162" s="2">
        <v>1444</v>
      </c>
      <c r="R162" s="2">
        <v>47</v>
      </c>
      <c r="S162" s="2">
        <v>27</v>
      </c>
      <c r="T162" s="2">
        <v>1.65</v>
      </c>
      <c r="U162" s="2">
        <v>64</v>
      </c>
      <c r="V162" s="2">
        <v>21</v>
      </c>
    </row>
    <row r="163" spans="1:22" x14ac:dyDescent="0.25">
      <c r="A163" t="s">
        <v>346</v>
      </c>
      <c r="B163" t="s">
        <v>340</v>
      </c>
      <c r="C163" t="s">
        <v>196</v>
      </c>
      <c r="D163" t="s">
        <v>30</v>
      </c>
      <c r="E163" t="s">
        <v>30</v>
      </c>
      <c r="F163" t="s">
        <v>341</v>
      </c>
      <c r="G163" s="1">
        <v>1.2090000000000001</v>
      </c>
      <c r="H163" s="2">
        <v>2973</v>
      </c>
      <c r="I163" s="2">
        <v>4936</v>
      </c>
      <c r="J163" s="2">
        <v>4.43</v>
      </c>
      <c r="K163" s="2">
        <v>7</v>
      </c>
      <c r="L163" s="2">
        <v>15</v>
      </c>
      <c r="M163" s="2">
        <v>2.09</v>
      </c>
      <c r="N163" s="2">
        <v>1941</v>
      </c>
      <c r="O163" s="2">
        <v>2636</v>
      </c>
      <c r="P163" s="2">
        <v>1247</v>
      </c>
      <c r="Q163" s="2">
        <v>1329</v>
      </c>
      <c r="R163" s="2">
        <v>29</v>
      </c>
      <c r="S163" s="2">
        <v>77</v>
      </c>
      <c r="T163" s="2">
        <v>1.71</v>
      </c>
      <c r="U163" s="2">
        <v>99</v>
      </c>
      <c r="V163" s="2">
        <v>12</v>
      </c>
    </row>
    <row r="164" spans="1:22" x14ac:dyDescent="0.25">
      <c r="A164" t="s">
        <v>291</v>
      </c>
      <c r="B164" t="s">
        <v>289</v>
      </c>
      <c r="C164" t="s">
        <v>196</v>
      </c>
      <c r="D164" t="s">
        <v>250</v>
      </c>
      <c r="E164" t="s">
        <v>292</v>
      </c>
      <c r="F164" t="s">
        <v>111</v>
      </c>
      <c r="G164" s="1">
        <v>1.0620000000000001</v>
      </c>
      <c r="H164" s="2">
        <v>1996</v>
      </c>
      <c r="I164" s="2">
        <v>3736</v>
      </c>
      <c r="J164" s="2">
        <v>4.43</v>
      </c>
      <c r="K164" s="2">
        <v>9</v>
      </c>
      <c r="L164" s="2">
        <v>18</v>
      </c>
      <c r="M164" s="2">
        <v>2.0099999999999998</v>
      </c>
      <c r="N164" s="2">
        <v>1051</v>
      </c>
      <c r="O164" s="2">
        <v>1751</v>
      </c>
      <c r="P164" s="2">
        <v>595</v>
      </c>
      <c r="Q164" s="2">
        <v>868</v>
      </c>
      <c r="R164" s="2">
        <v>25</v>
      </c>
      <c r="S164" s="2">
        <v>97</v>
      </c>
      <c r="T164" s="2">
        <v>1.57</v>
      </c>
      <c r="U164" s="2">
        <v>38</v>
      </c>
      <c r="V164" s="2">
        <v>5.64</v>
      </c>
    </row>
    <row r="165" spans="1:22" x14ac:dyDescent="0.25">
      <c r="A165" t="s">
        <v>397</v>
      </c>
      <c r="B165" t="s">
        <v>268</v>
      </c>
      <c r="C165" t="s">
        <v>376</v>
      </c>
      <c r="D165" t="s">
        <v>211</v>
      </c>
      <c r="E165" t="s">
        <v>398</v>
      </c>
      <c r="F165" t="s">
        <v>399</v>
      </c>
      <c r="G165" s="1">
        <v>8.8800000000000007E-3</v>
      </c>
      <c r="H165" s="2">
        <v>2183</v>
      </c>
      <c r="I165" s="2">
        <v>4415</v>
      </c>
      <c r="J165" s="2">
        <v>4.4400000000000004</v>
      </c>
      <c r="K165" s="2">
        <v>10</v>
      </c>
      <c r="L165" s="2">
        <v>16</v>
      </c>
      <c r="M165" s="2">
        <v>3.55</v>
      </c>
      <c r="N165" s="2">
        <v>1178</v>
      </c>
      <c r="O165" s="2">
        <v>1711</v>
      </c>
      <c r="P165" s="2">
        <v>645</v>
      </c>
      <c r="Q165" s="2">
        <v>819</v>
      </c>
      <c r="R165" s="2">
        <v>41</v>
      </c>
      <c r="S165" s="2">
        <v>32</v>
      </c>
      <c r="T165" s="2">
        <v>1.35</v>
      </c>
      <c r="U165" s="2">
        <v>71</v>
      </c>
      <c r="V165" s="2">
        <v>11</v>
      </c>
    </row>
    <row r="166" spans="1:22" x14ac:dyDescent="0.25">
      <c r="A166" t="s">
        <v>248</v>
      </c>
      <c r="B166" t="s">
        <v>249</v>
      </c>
      <c r="C166" t="s">
        <v>196</v>
      </c>
      <c r="D166" t="s">
        <v>249</v>
      </c>
      <c r="E166" t="s">
        <v>250</v>
      </c>
      <c r="F166" t="s">
        <v>111</v>
      </c>
      <c r="G166" s="1">
        <v>1.0620000000000001</v>
      </c>
      <c r="H166" s="2">
        <v>1697</v>
      </c>
      <c r="I166" s="2">
        <v>3319</v>
      </c>
      <c r="J166" s="2">
        <v>4.46</v>
      </c>
      <c r="K166" s="2">
        <v>6</v>
      </c>
      <c r="L166" s="2">
        <v>12</v>
      </c>
      <c r="M166" s="2">
        <v>2.04</v>
      </c>
      <c r="N166" s="2">
        <v>944</v>
      </c>
      <c r="O166" s="2">
        <v>1278</v>
      </c>
      <c r="P166" s="2">
        <v>692</v>
      </c>
      <c r="Q166" s="2">
        <v>920</v>
      </c>
      <c r="R166" s="2">
        <v>23</v>
      </c>
      <c r="S166" s="2">
        <v>68</v>
      </c>
      <c r="T166" s="2">
        <v>1.62</v>
      </c>
      <c r="U166" s="2">
        <v>39</v>
      </c>
      <c r="V166" s="2">
        <v>4.46</v>
      </c>
    </row>
    <row r="167" spans="1:22" x14ac:dyDescent="0.25">
      <c r="A167" t="s">
        <v>374</v>
      </c>
      <c r="B167" t="s">
        <v>375</v>
      </c>
      <c r="C167" t="s">
        <v>376</v>
      </c>
      <c r="D167" t="s">
        <v>30</v>
      </c>
      <c r="E167" t="s">
        <v>30</v>
      </c>
      <c r="F167" t="s">
        <v>377</v>
      </c>
      <c r="G167" s="1">
        <v>0.68799999999999994</v>
      </c>
      <c r="H167" s="2">
        <v>2727</v>
      </c>
      <c r="I167" s="2">
        <v>4938</v>
      </c>
      <c r="J167" s="2">
        <v>4.49</v>
      </c>
      <c r="K167" s="2">
        <v>7</v>
      </c>
      <c r="L167" s="2">
        <v>15</v>
      </c>
      <c r="M167" s="2">
        <v>2.0099999999999998</v>
      </c>
      <c r="N167" s="2">
        <v>1623</v>
      </c>
      <c r="O167" s="2">
        <v>2284</v>
      </c>
      <c r="P167" s="2">
        <v>1128</v>
      </c>
      <c r="Q167" s="2">
        <v>1318</v>
      </c>
      <c r="R167" s="2">
        <v>37</v>
      </c>
      <c r="S167" s="2">
        <v>59</v>
      </c>
      <c r="T167" s="2">
        <v>1.36</v>
      </c>
      <c r="U167" s="2">
        <v>91</v>
      </c>
      <c r="V167" s="2">
        <v>24</v>
      </c>
    </row>
    <row r="168" spans="1:22" x14ac:dyDescent="0.25">
      <c r="A168" t="s">
        <v>388</v>
      </c>
      <c r="B168" t="s">
        <v>384</v>
      </c>
      <c r="C168" t="s">
        <v>376</v>
      </c>
      <c r="D168" t="s">
        <v>30</v>
      </c>
      <c r="E168" t="s">
        <v>385</v>
      </c>
      <c r="F168" t="s">
        <v>386</v>
      </c>
      <c r="G168" s="1">
        <v>0.63800000000000001</v>
      </c>
      <c r="H168" s="2">
        <v>2669</v>
      </c>
      <c r="I168" s="2">
        <v>4748</v>
      </c>
      <c r="J168" s="2">
        <v>4.49</v>
      </c>
      <c r="K168" s="2">
        <v>8</v>
      </c>
      <c r="L168" s="2">
        <v>15</v>
      </c>
      <c r="M168" s="2">
        <v>2.23</v>
      </c>
      <c r="N168" s="2">
        <v>1722</v>
      </c>
      <c r="O168" s="2">
        <v>2087</v>
      </c>
      <c r="P168" s="2">
        <v>1256</v>
      </c>
      <c r="Q168" s="2">
        <v>1584</v>
      </c>
      <c r="R168" s="2">
        <v>48</v>
      </c>
      <c r="S168" s="2">
        <v>37</v>
      </c>
      <c r="T168" s="2">
        <v>1.71</v>
      </c>
      <c r="U168" s="2">
        <v>90</v>
      </c>
      <c r="V168" s="2">
        <v>23</v>
      </c>
    </row>
    <row r="169" spans="1:22" x14ac:dyDescent="0.25">
      <c r="A169" t="s">
        <v>117</v>
      </c>
      <c r="B169" t="s">
        <v>114</v>
      </c>
      <c r="C169" t="s">
        <v>23</v>
      </c>
      <c r="D169" t="s">
        <v>116</v>
      </c>
      <c r="E169" t="s">
        <v>30</v>
      </c>
      <c r="F169" t="s">
        <v>115</v>
      </c>
      <c r="G169" s="1">
        <v>7.9000000000000001E-4</v>
      </c>
      <c r="H169" s="2">
        <v>2541</v>
      </c>
      <c r="I169" s="2">
        <v>4378</v>
      </c>
      <c r="J169" s="2">
        <v>4.55</v>
      </c>
      <c r="K169" s="2">
        <v>5.13</v>
      </c>
      <c r="L169" s="2">
        <v>8</v>
      </c>
      <c r="M169" s="2">
        <v>2.4500000000000002</v>
      </c>
      <c r="N169" s="2">
        <v>1286</v>
      </c>
      <c r="O169" s="2">
        <v>2507</v>
      </c>
      <c r="P169" s="2">
        <v>706</v>
      </c>
      <c r="Q169" s="2">
        <v>1553</v>
      </c>
      <c r="R169" s="2">
        <v>22</v>
      </c>
      <c r="S169" s="2">
        <v>23</v>
      </c>
      <c r="T169" s="2">
        <v>1.4</v>
      </c>
      <c r="U169" s="2">
        <v>45</v>
      </c>
      <c r="V169" s="2">
        <v>3.54</v>
      </c>
    </row>
    <row r="170" spans="1:22" x14ac:dyDescent="0.25">
      <c r="A170" t="s">
        <v>233</v>
      </c>
      <c r="B170" t="s">
        <v>234</v>
      </c>
      <c r="C170" t="s">
        <v>196</v>
      </c>
      <c r="D170" t="s">
        <v>235</v>
      </c>
      <c r="E170" t="s">
        <v>235</v>
      </c>
      <c r="F170" t="s">
        <v>236</v>
      </c>
      <c r="G170" s="1">
        <v>0.53800000000000003</v>
      </c>
      <c r="H170" s="2">
        <v>1034</v>
      </c>
      <c r="I170" s="2">
        <v>2500</v>
      </c>
      <c r="J170" s="2">
        <v>4.57</v>
      </c>
      <c r="K170" s="2">
        <v>7</v>
      </c>
      <c r="L170" s="2">
        <v>11</v>
      </c>
      <c r="M170" s="2">
        <v>1.49</v>
      </c>
      <c r="N170" s="2">
        <v>416</v>
      </c>
      <c r="O170" s="2">
        <v>712</v>
      </c>
      <c r="P170" s="2">
        <v>323</v>
      </c>
      <c r="Q170" s="2">
        <v>442</v>
      </c>
      <c r="R170" s="2">
        <v>12</v>
      </c>
      <c r="S170" s="2">
        <v>27</v>
      </c>
      <c r="T170" s="2">
        <v>1.66</v>
      </c>
      <c r="U170" s="2">
        <v>29</v>
      </c>
      <c r="V170" s="2">
        <v>3.45</v>
      </c>
    </row>
    <row r="171" spans="1:22" x14ac:dyDescent="0.25">
      <c r="A171" t="s">
        <v>295</v>
      </c>
      <c r="B171" t="s">
        <v>289</v>
      </c>
      <c r="C171" t="s">
        <v>196</v>
      </c>
      <c r="D171" t="s">
        <v>250</v>
      </c>
      <c r="E171" t="s">
        <v>296</v>
      </c>
      <c r="F171" t="s">
        <v>111</v>
      </c>
      <c r="G171" s="1">
        <v>1.0620000000000001</v>
      </c>
      <c r="H171" s="2">
        <v>1530</v>
      </c>
      <c r="I171" s="2">
        <v>3178</v>
      </c>
      <c r="J171" s="2">
        <v>4.57</v>
      </c>
      <c r="K171" s="2">
        <v>9</v>
      </c>
      <c r="L171" s="2">
        <v>15</v>
      </c>
      <c r="M171" s="2">
        <v>1.79</v>
      </c>
      <c r="N171" s="2">
        <v>766</v>
      </c>
      <c r="O171" s="2">
        <v>1184</v>
      </c>
      <c r="P171" s="2">
        <v>561</v>
      </c>
      <c r="Q171" s="2">
        <v>774</v>
      </c>
      <c r="R171" s="2">
        <v>21</v>
      </c>
      <c r="S171" s="2">
        <v>77</v>
      </c>
      <c r="T171" s="2">
        <v>1.75</v>
      </c>
      <c r="U171" s="2">
        <v>38</v>
      </c>
      <c r="V171" s="2">
        <v>6</v>
      </c>
    </row>
    <row r="172" spans="1:22" x14ac:dyDescent="0.25">
      <c r="A172" t="s">
        <v>327</v>
      </c>
      <c r="B172" t="s">
        <v>326</v>
      </c>
      <c r="C172" t="s">
        <v>196</v>
      </c>
      <c r="D172" t="s">
        <v>220</v>
      </c>
      <c r="E172" t="s">
        <v>220</v>
      </c>
      <c r="F172" t="s">
        <v>111</v>
      </c>
      <c r="G172" s="1">
        <v>1.0620000000000001</v>
      </c>
      <c r="H172" s="2">
        <v>2169</v>
      </c>
      <c r="I172" s="2">
        <v>4181</v>
      </c>
      <c r="J172" s="2">
        <v>4.6100000000000003</v>
      </c>
      <c r="K172" s="2">
        <v>10</v>
      </c>
      <c r="L172" s="2">
        <v>15</v>
      </c>
      <c r="M172" s="2">
        <v>2.63</v>
      </c>
      <c r="N172" s="2">
        <v>1361</v>
      </c>
      <c r="O172" s="2">
        <v>1538</v>
      </c>
      <c r="P172" s="2">
        <v>985</v>
      </c>
      <c r="Q172" s="2">
        <v>1260</v>
      </c>
      <c r="R172" s="2">
        <v>31</v>
      </c>
      <c r="S172" s="2">
        <v>29</v>
      </c>
      <c r="T172" s="2">
        <v>1.88</v>
      </c>
      <c r="U172" s="2">
        <v>88</v>
      </c>
      <c r="V172" s="2">
        <v>8</v>
      </c>
    </row>
    <row r="173" spans="1:22" x14ac:dyDescent="0.25">
      <c r="A173" t="s">
        <v>383</v>
      </c>
      <c r="B173" t="s">
        <v>384</v>
      </c>
      <c r="C173" t="s">
        <v>376</v>
      </c>
      <c r="D173" t="s">
        <v>30</v>
      </c>
      <c r="E173" t="s">
        <v>385</v>
      </c>
      <c r="F173" t="s">
        <v>386</v>
      </c>
      <c r="G173" s="1">
        <v>0.63800000000000001</v>
      </c>
      <c r="H173" s="2">
        <v>2963</v>
      </c>
      <c r="I173" s="2">
        <v>5283</v>
      </c>
      <c r="J173" s="2">
        <v>4.62</v>
      </c>
      <c r="K173" s="2">
        <v>9</v>
      </c>
      <c r="L173" s="2">
        <v>15</v>
      </c>
      <c r="M173" s="2">
        <v>2.4300000000000002</v>
      </c>
      <c r="N173" s="2">
        <v>1934</v>
      </c>
      <c r="O173" s="2">
        <v>2360</v>
      </c>
      <c r="P173" s="2">
        <v>1149</v>
      </c>
      <c r="Q173" s="2">
        <v>1395</v>
      </c>
      <c r="R173" s="2">
        <v>48</v>
      </c>
      <c r="S173" s="2">
        <v>41</v>
      </c>
      <c r="T173" s="2">
        <v>1.88</v>
      </c>
      <c r="U173" s="2">
        <v>123</v>
      </c>
      <c r="V173" s="2">
        <v>23</v>
      </c>
    </row>
    <row r="174" spans="1:22" x14ac:dyDescent="0.25">
      <c r="A174" t="s">
        <v>215</v>
      </c>
      <c r="B174" t="s">
        <v>213</v>
      </c>
      <c r="C174" t="s">
        <v>196</v>
      </c>
      <c r="D174" t="s">
        <v>201</v>
      </c>
      <c r="E174" t="s">
        <v>214</v>
      </c>
      <c r="F174" t="s">
        <v>111</v>
      </c>
      <c r="G174" s="1">
        <v>1.0620000000000001</v>
      </c>
      <c r="H174" s="2">
        <v>1900</v>
      </c>
      <c r="I174" s="2">
        <v>3714</v>
      </c>
      <c r="J174" s="2">
        <v>4.6500000000000004</v>
      </c>
      <c r="K174" s="2">
        <v>8</v>
      </c>
      <c r="L174" s="2">
        <v>13</v>
      </c>
      <c r="M174" s="2">
        <v>2.0299999999999998</v>
      </c>
      <c r="N174" s="2">
        <v>1078</v>
      </c>
      <c r="O174" s="2">
        <v>1518</v>
      </c>
      <c r="P174" s="2">
        <v>663</v>
      </c>
      <c r="Q174" s="2">
        <v>771</v>
      </c>
      <c r="R174" s="2">
        <v>21</v>
      </c>
      <c r="S174" s="2">
        <v>106</v>
      </c>
      <c r="T174" s="2">
        <v>1.42</v>
      </c>
      <c r="U174" s="2">
        <v>52</v>
      </c>
      <c r="V174" s="2">
        <v>4.93</v>
      </c>
    </row>
    <row r="175" spans="1:22" x14ac:dyDescent="0.25">
      <c r="A175" t="s">
        <v>518</v>
      </c>
      <c r="B175" t="s">
        <v>401</v>
      </c>
      <c r="C175" t="s">
        <v>405</v>
      </c>
      <c r="D175" t="s">
        <v>30</v>
      </c>
      <c r="E175" t="s">
        <v>519</v>
      </c>
      <c r="F175" t="s">
        <v>4</v>
      </c>
      <c r="G175" s="1">
        <v>1</v>
      </c>
      <c r="H175" s="2">
        <v>2365</v>
      </c>
      <c r="I175" s="2">
        <v>4790</v>
      </c>
      <c r="J175" s="2">
        <v>4.6500000000000004</v>
      </c>
      <c r="K175" s="2">
        <v>10</v>
      </c>
      <c r="L175" s="2">
        <v>16</v>
      </c>
      <c r="M175" s="2">
        <v>2.81</v>
      </c>
      <c r="N175" s="2">
        <v>1423</v>
      </c>
      <c r="O175" s="2">
        <v>1706</v>
      </c>
      <c r="P175" s="2">
        <v>843</v>
      </c>
      <c r="Q175" s="2">
        <v>1065</v>
      </c>
      <c r="R175" s="2">
        <v>71</v>
      </c>
      <c r="S175" s="2">
        <v>146</v>
      </c>
      <c r="T175" s="2">
        <v>1.2</v>
      </c>
      <c r="U175" s="2">
        <v>88</v>
      </c>
      <c r="V175" s="2">
        <v>10</v>
      </c>
    </row>
    <row r="176" spans="1:22" x14ac:dyDescent="0.25">
      <c r="A176" t="s">
        <v>280</v>
      </c>
      <c r="B176" t="s">
        <v>282</v>
      </c>
      <c r="C176" t="s">
        <v>196</v>
      </c>
      <c r="D176" t="s">
        <v>281</v>
      </c>
      <c r="E176" t="s">
        <v>30</v>
      </c>
      <c r="F176" t="s">
        <v>111</v>
      </c>
      <c r="G176" s="1">
        <v>1.0620000000000001</v>
      </c>
      <c r="H176" s="2">
        <v>2164</v>
      </c>
      <c r="I176" s="2">
        <v>4202</v>
      </c>
      <c r="J176" s="2">
        <v>4.66</v>
      </c>
      <c r="K176" s="2">
        <v>10</v>
      </c>
      <c r="L176" s="2">
        <v>18</v>
      </c>
      <c r="M176" s="2">
        <v>2.74</v>
      </c>
      <c r="N176" s="2">
        <v>1210</v>
      </c>
      <c r="O176" s="2">
        <v>1666</v>
      </c>
      <c r="P176" s="2">
        <v>978</v>
      </c>
      <c r="Q176" s="2">
        <v>1444</v>
      </c>
      <c r="R176" s="2">
        <v>42</v>
      </c>
      <c r="S176" s="2">
        <v>60</v>
      </c>
      <c r="T176" s="2">
        <v>2.02</v>
      </c>
      <c r="U176" s="2">
        <v>67</v>
      </c>
      <c r="V176" s="2">
        <v>15</v>
      </c>
    </row>
    <row r="177" spans="1:22" x14ac:dyDescent="0.25">
      <c r="A177" t="s">
        <v>521</v>
      </c>
      <c r="B177" t="s">
        <v>520</v>
      </c>
      <c r="C177" t="s">
        <v>522</v>
      </c>
      <c r="D177" t="s">
        <v>183</v>
      </c>
      <c r="E177" t="s">
        <v>523</v>
      </c>
      <c r="F177" t="s">
        <v>524</v>
      </c>
      <c r="G177" s="1">
        <v>1.98E-3</v>
      </c>
      <c r="H177" s="2">
        <v>2197</v>
      </c>
      <c r="I177" s="2">
        <v>4370</v>
      </c>
      <c r="J177" s="2">
        <v>4.67</v>
      </c>
      <c r="K177" s="2">
        <v>13</v>
      </c>
      <c r="L177" s="2">
        <v>17</v>
      </c>
      <c r="M177" s="2">
        <v>2.58</v>
      </c>
      <c r="N177" s="2">
        <v>1083</v>
      </c>
      <c r="O177" s="2">
        <v>1889</v>
      </c>
      <c r="P177" s="2">
        <v>460</v>
      </c>
      <c r="Q177" s="2">
        <v>1073</v>
      </c>
      <c r="R177" s="2">
        <v>113</v>
      </c>
      <c r="S177" s="2">
        <v>121</v>
      </c>
      <c r="T177" s="2">
        <v>0.36</v>
      </c>
      <c r="U177" s="2">
        <v>31</v>
      </c>
      <c r="V177" s="2">
        <v>19</v>
      </c>
    </row>
    <row r="178" spans="1:22" x14ac:dyDescent="0.25">
      <c r="A178" t="s">
        <v>274</v>
      </c>
      <c r="B178" t="s">
        <v>275</v>
      </c>
      <c r="C178" t="s">
        <v>196</v>
      </c>
      <c r="D178" t="s">
        <v>109</v>
      </c>
      <c r="E178" t="s">
        <v>109</v>
      </c>
      <c r="F178" t="s">
        <v>111</v>
      </c>
      <c r="G178" s="1">
        <v>1.0620000000000001</v>
      </c>
      <c r="H178" s="2">
        <v>1532</v>
      </c>
      <c r="I178" s="2">
        <v>3443</v>
      </c>
      <c r="J178" s="2">
        <v>4.7300000000000004</v>
      </c>
      <c r="K178" s="2">
        <v>8</v>
      </c>
      <c r="L178" s="2">
        <v>14</v>
      </c>
      <c r="M178" s="2">
        <v>2.66</v>
      </c>
      <c r="N178" s="2">
        <v>829</v>
      </c>
      <c r="O178" s="2">
        <v>1007</v>
      </c>
      <c r="P178" s="2">
        <v>454</v>
      </c>
      <c r="Q178" s="2">
        <v>549</v>
      </c>
      <c r="R178" s="2">
        <v>31</v>
      </c>
      <c r="S178" s="2">
        <v>48</v>
      </c>
      <c r="T178" s="2">
        <v>2.2999999999999998</v>
      </c>
      <c r="U178" s="2">
        <v>32</v>
      </c>
      <c r="V178" s="2">
        <v>5.1100000000000003</v>
      </c>
    </row>
    <row r="179" spans="1:22" x14ac:dyDescent="0.25">
      <c r="A179" t="s">
        <v>118</v>
      </c>
      <c r="B179" t="s">
        <v>114</v>
      </c>
      <c r="C179" t="s">
        <v>23</v>
      </c>
      <c r="D179" t="s">
        <v>116</v>
      </c>
      <c r="E179" t="s">
        <v>39</v>
      </c>
      <c r="F179" t="s">
        <v>115</v>
      </c>
      <c r="G179" s="1">
        <v>7.9000000000000001E-4</v>
      </c>
      <c r="H179" s="2">
        <v>1172</v>
      </c>
      <c r="I179" s="2">
        <v>2712</v>
      </c>
      <c r="J179" s="2">
        <v>4.74</v>
      </c>
      <c r="K179" s="2">
        <v>4.29</v>
      </c>
      <c r="L179" s="2">
        <v>6</v>
      </c>
      <c r="M179" s="2">
        <v>1.63</v>
      </c>
      <c r="N179" s="2">
        <v>538</v>
      </c>
      <c r="O179" s="2">
        <v>817</v>
      </c>
      <c r="P179" s="2">
        <v>310</v>
      </c>
      <c r="Q179" s="2">
        <v>427</v>
      </c>
      <c r="R179" s="2">
        <v>17</v>
      </c>
      <c r="S179" s="2">
        <v>56</v>
      </c>
      <c r="T179" s="2">
        <v>1.24</v>
      </c>
      <c r="U179" s="2">
        <v>41</v>
      </c>
      <c r="V179" s="2">
        <v>2.9</v>
      </c>
    </row>
    <row r="180" spans="1:22" x14ac:dyDescent="0.25">
      <c r="A180" t="s">
        <v>380</v>
      </c>
      <c r="B180" t="s">
        <v>375</v>
      </c>
      <c r="C180" t="s">
        <v>376</v>
      </c>
      <c r="D180" t="s">
        <v>30</v>
      </c>
      <c r="E180" t="s">
        <v>30</v>
      </c>
      <c r="F180" t="s">
        <v>377</v>
      </c>
      <c r="G180" s="1">
        <v>0.68799999999999994</v>
      </c>
      <c r="H180" s="2">
        <v>2572</v>
      </c>
      <c r="I180" s="2">
        <v>4861</v>
      </c>
      <c r="J180" s="2">
        <v>4.7699999999999996</v>
      </c>
      <c r="K180" s="2">
        <v>9</v>
      </c>
      <c r="L180" s="2">
        <v>14</v>
      </c>
      <c r="M180" s="2">
        <v>2.61</v>
      </c>
      <c r="N180" s="2">
        <v>1426</v>
      </c>
      <c r="O180" s="2">
        <v>2122</v>
      </c>
      <c r="P180" s="2">
        <v>983</v>
      </c>
      <c r="Q180" s="2">
        <v>1215</v>
      </c>
      <c r="R180" s="2">
        <v>51</v>
      </c>
      <c r="S180" s="2">
        <v>57</v>
      </c>
      <c r="T180" s="2">
        <v>1.4</v>
      </c>
      <c r="U180" s="2">
        <v>114</v>
      </c>
      <c r="V180" s="2">
        <v>29</v>
      </c>
    </row>
    <row r="181" spans="1:22" x14ac:dyDescent="0.25">
      <c r="A181" t="s">
        <v>349</v>
      </c>
      <c r="B181" t="s">
        <v>350</v>
      </c>
      <c r="C181" t="s">
        <v>196</v>
      </c>
      <c r="D181" t="s">
        <v>351</v>
      </c>
      <c r="E181" t="s">
        <v>351</v>
      </c>
      <c r="F181" t="s">
        <v>352</v>
      </c>
      <c r="G181" s="1">
        <v>4.428E-2</v>
      </c>
      <c r="H181" s="2">
        <v>1736</v>
      </c>
      <c r="I181" s="2">
        <v>3410</v>
      </c>
      <c r="J181" s="2">
        <v>4.79</v>
      </c>
      <c r="K181" s="2">
        <v>7</v>
      </c>
      <c r="L181" s="2">
        <v>9</v>
      </c>
      <c r="M181" s="2">
        <v>1.67</v>
      </c>
      <c r="N181" s="2">
        <v>981</v>
      </c>
      <c r="O181" s="2">
        <v>1634</v>
      </c>
      <c r="P181" s="2">
        <v>734</v>
      </c>
      <c r="Q181" s="2">
        <v>841</v>
      </c>
      <c r="R181" s="2">
        <v>14</v>
      </c>
      <c r="S181" s="2">
        <v>48</v>
      </c>
      <c r="T181" s="2">
        <v>2.0099999999999998</v>
      </c>
      <c r="U181" s="2">
        <v>24</v>
      </c>
      <c r="V181" s="2">
        <v>6</v>
      </c>
    </row>
    <row r="182" spans="1:22" x14ac:dyDescent="0.25">
      <c r="A182" t="s">
        <v>204</v>
      </c>
      <c r="B182" t="s">
        <v>200</v>
      </c>
      <c r="C182" t="s">
        <v>196</v>
      </c>
      <c r="D182" t="s">
        <v>201</v>
      </c>
      <c r="E182" t="s">
        <v>201</v>
      </c>
      <c r="F182" t="s">
        <v>111</v>
      </c>
      <c r="G182" s="1">
        <v>1.0620000000000001</v>
      </c>
      <c r="H182" s="2">
        <v>2697</v>
      </c>
      <c r="I182" s="2">
        <v>4964</v>
      </c>
      <c r="J182" s="2">
        <v>4.79</v>
      </c>
      <c r="K182" s="2">
        <v>10</v>
      </c>
      <c r="L182" s="2">
        <v>15</v>
      </c>
      <c r="M182" s="2">
        <v>2.0099999999999998</v>
      </c>
      <c r="N182" s="2">
        <v>1540</v>
      </c>
      <c r="O182" s="2">
        <v>2258</v>
      </c>
      <c r="P182" s="2">
        <v>870</v>
      </c>
      <c r="Q182" s="2">
        <v>1242</v>
      </c>
      <c r="R182" s="2">
        <v>27</v>
      </c>
      <c r="S182" s="2">
        <v>84</v>
      </c>
      <c r="T182" s="2">
        <v>2.11</v>
      </c>
      <c r="U182" s="2">
        <v>76</v>
      </c>
      <c r="V182" s="2">
        <v>8</v>
      </c>
    </row>
    <row r="183" spans="1:22" x14ac:dyDescent="0.25">
      <c r="A183" t="s">
        <v>382</v>
      </c>
      <c r="B183" t="s">
        <v>375</v>
      </c>
      <c r="C183" t="s">
        <v>376</v>
      </c>
      <c r="D183" t="s">
        <v>30</v>
      </c>
      <c r="E183" t="s">
        <v>30</v>
      </c>
      <c r="F183" t="s">
        <v>377</v>
      </c>
      <c r="G183" s="1">
        <v>0.68799999999999994</v>
      </c>
      <c r="H183" s="2">
        <v>3153</v>
      </c>
      <c r="I183" s="2">
        <v>5425</v>
      </c>
      <c r="J183" s="2">
        <v>4.82</v>
      </c>
      <c r="K183" s="2">
        <v>10</v>
      </c>
      <c r="L183" s="2">
        <v>14</v>
      </c>
      <c r="M183" s="2">
        <v>2.68</v>
      </c>
      <c r="N183" s="2">
        <v>1882</v>
      </c>
      <c r="O183" s="2">
        <v>2758</v>
      </c>
      <c r="P183" s="2">
        <v>1247</v>
      </c>
      <c r="Q183" s="2">
        <v>1798</v>
      </c>
      <c r="R183" s="2">
        <v>43</v>
      </c>
      <c r="S183" s="2">
        <v>45</v>
      </c>
      <c r="T183" s="2">
        <v>1.39</v>
      </c>
      <c r="U183" s="2">
        <v>126</v>
      </c>
      <c r="V183" s="2">
        <v>28</v>
      </c>
    </row>
    <row r="184" spans="1:22" x14ac:dyDescent="0.25">
      <c r="A184" t="s">
        <v>218</v>
      </c>
      <c r="B184" t="s">
        <v>219</v>
      </c>
      <c r="C184" t="s">
        <v>196</v>
      </c>
      <c r="D184" t="s">
        <v>211</v>
      </c>
      <c r="E184" t="s">
        <v>220</v>
      </c>
      <c r="F184" t="s">
        <v>111</v>
      </c>
      <c r="G184" s="1">
        <v>1.0620000000000001</v>
      </c>
      <c r="H184" s="2">
        <v>1801</v>
      </c>
      <c r="I184" s="2">
        <v>3797</v>
      </c>
      <c r="J184" s="2">
        <v>4.92</v>
      </c>
      <c r="K184" s="2">
        <v>9</v>
      </c>
      <c r="L184" s="2">
        <v>17</v>
      </c>
      <c r="M184" s="2">
        <v>2.95</v>
      </c>
      <c r="N184" s="2">
        <v>1110</v>
      </c>
      <c r="O184" s="2">
        <v>1148</v>
      </c>
      <c r="P184" s="2">
        <v>724</v>
      </c>
      <c r="Q184" s="2">
        <v>860</v>
      </c>
      <c r="R184" s="2">
        <v>42</v>
      </c>
      <c r="S184" s="2">
        <v>36</v>
      </c>
      <c r="T184" s="2">
        <v>1.89</v>
      </c>
      <c r="U184" s="2">
        <v>52</v>
      </c>
      <c r="V184" s="2">
        <v>7</v>
      </c>
    </row>
    <row r="185" spans="1:22" x14ac:dyDescent="0.25">
      <c r="A185" t="s">
        <v>205</v>
      </c>
      <c r="B185" t="s">
        <v>200</v>
      </c>
      <c r="C185" t="s">
        <v>196</v>
      </c>
      <c r="D185" t="s">
        <v>201</v>
      </c>
      <c r="E185" t="s">
        <v>201</v>
      </c>
      <c r="F185" t="s">
        <v>111</v>
      </c>
      <c r="G185" s="1">
        <v>1.0620000000000001</v>
      </c>
      <c r="H185" s="2">
        <v>2607</v>
      </c>
      <c r="I185" s="2">
        <v>4682</v>
      </c>
      <c r="J185" s="2">
        <v>4.97</v>
      </c>
      <c r="K185" s="2">
        <v>9</v>
      </c>
      <c r="L185" s="2">
        <v>15</v>
      </c>
      <c r="M185" s="2">
        <v>2.0699999999999998</v>
      </c>
      <c r="N185" s="2">
        <v>1676</v>
      </c>
      <c r="O185" s="2">
        <v>2096</v>
      </c>
      <c r="P185" s="2">
        <v>1047</v>
      </c>
      <c r="Q185" s="2">
        <v>1170</v>
      </c>
      <c r="R185" s="2">
        <v>25</v>
      </c>
      <c r="S185" s="2">
        <v>50</v>
      </c>
      <c r="T185" s="2">
        <v>2.06</v>
      </c>
      <c r="U185" s="2">
        <v>88</v>
      </c>
      <c r="V185" s="2">
        <v>8</v>
      </c>
    </row>
    <row r="186" spans="1:22" x14ac:dyDescent="0.25">
      <c r="A186" t="s">
        <v>290</v>
      </c>
      <c r="B186" t="s">
        <v>289</v>
      </c>
      <c r="C186" t="s">
        <v>196</v>
      </c>
      <c r="D186" t="s">
        <v>250</v>
      </c>
      <c r="E186" t="s">
        <v>250</v>
      </c>
      <c r="F186" t="s">
        <v>111</v>
      </c>
      <c r="G186" s="1">
        <v>1.0620000000000001</v>
      </c>
      <c r="H186" s="2">
        <v>2359</v>
      </c>
      <c r="I186" s="2">
        <v>4329</v>
      </c>
      <c r="J186" s="2">
        <v>5.1100000000000003</v>
      </c>
      <c r="K186" s="2">
        <v>10</v>
      </c>
      <c r="L186" s="2">
        <v>19</v>
      </c>
      <c r="M186" s="2">
        <v>2.02</v>
      </c>
      <c r="N186" s="2">
        <v>1289</v>
      </c>
      <c r="O186" s="2">
        <v>2129</v>
      </c>
      <c r="P186" s="2">
        <v>748</v>
      </c>
      <c r="Q186" s="2">
        <v>1101</v>
      </c>
      <c r="R186" s="2">
        <v>30</v>
      </c>
      <c r="S186" s="2">
        <v>101</v>
      </c>
      <c r="T186" s="2">
        <v>1.81</v>
      </c>
      <c r="U186" s="2">
        <v>37</v>
      </c>
      <c r="V186" s="2">
        <v>5.93</v>
      </c>
    </row>
    <row r="187" spans="1:22" x14ac:dyDescent="0.25">
      <c r="A187" t="s">
        <v>403</v>
      </c>
      <c r="B187" t="s">
        <v>404</v>
      </c>
      <c r="C187" t="s">
        <v>405</v>
      </c>
      <c r="D187" t="s">
        <v>211</v>
      </c>
      <c r="E187" t="s">
        <v>30</v>
      </c>
      <c r="F187" t="s">
        <v>406</v>
      </c>
      <c r="G187" s="1">
        <v>0.747</v>
      </c>
      <c r="H187" s="2">
        <v>1523</v>
      </c>
      <c r="I187" s="2">
        <v>3333</v>
      </c>
      <c r="J187" s="2">
        <v>5.12</v>
      </c>
      <c r="K187" s="2">
        <v>9</v>
      </c>
      <c r="L187" s="2">
        <v>14</v>
      </c>
      <c r="M187" s="2">
        <v>1.93</v>
      </c>
      <c r="N187" s="2">
        <v>723</v>
      </c>
      <c r="O187" s="2">
        <v>1143</v>
      </c>
      <c r="P187" s="2">
        <v>429</v>
      </c>
      <c r="Q187" s="2">
        <v>619</v>
      </c>
      <c r="R187" s="2">
        <v>37</v>
      </c>
      <c r="S187" s="2">
        <v>85</v>
      </c>
      <c r="T187" s="2">
        <v>1.4</v>
      </c>
      <c r="U187" s="2">
        <v>64</v>
      </c>
      <c r="V187" s="2">
        <v>8</v>
      </c>
    </row>
    <row r="188" spans="1:22" x14ac:dyDescent="0.25">
      <c r="A188" t="s">
        <v>137</v>
      </c>
      <c r="B188" t="s">
        <v>134</v>
      </c>
      <c r="C188" t="s">
        <v>23</v>
      </c>
      <c r="D188" t="s">
        <v>135</v>
      </c>
      <c r="E188" t="s">
        <v>67</v>
      </c>
      <c r="F188" t="s">
        <v>136</v>
      </c>
      <c r="G188" s="1">
        <v>0.28397</v>
      </c>
      <c r="H188" s="2">
        <v>2405</v>
      </c>
      <c r="I188" s="2">
        <v>4614</v>
      </c>
      <c r="J188" s="2">
        <v>5.14</v>
      </c>
      <c r="K188" s="2">
        <v>16</v>
      </c>
      <c r="L188" s="2">
        <v>17</v>
      </c>
      <c r="M188" s="2">
        <v>2.65</v>
      </c>
      <c r="N188" s="2">
        <v>1472</v>
      </c>
      <c r="O188" s="2">
        <v>1793</v>
      </c>
      <c r="P188" s="2">
        <v>955</v>
      </c>
      <c r="Q188" s="2">
        <v>1260</v>
      </c>
      <c r="R188" s="2">
        <v>20</v>
      </c>
      <c r="S188" s="2">
        <v>105</v>
      </c>
      <c r="T188" s="2">
        <v>2.12</v>
      </c>
      <c r="U188" s="2">
        <v>65</v>
      </c>
      <c r="V188" s="2">
        <v>10</v>
      </c>
    </row>
    <row r="189" spans="1:22" x14ac:dyDescent="0.25">
      <c r="A189" t="s">
        <v>502</v>
      </c>
      <c r="B189" t="s">
        <v>503</v>
      </c>
      <c r="C189" t="s">
        <v>405</v>
      </c>
      <c r="D189" t="s">
        <v>30</v>
      </c>
      <c r="E189" t="s">
        <v>30</v>
      </c>
      <c r="F189" t="s">
        <v>501</v>
      </c>
      <c r="G189" s="1">
        <v>0.49502000000000002</v>
      </c>
      <c r="H189" s="2">
        <v>2088</v>
      </c>
      <c r="I189" s="2">
        <v>4327</v>
      </c>
      <c r="J189" s="2">
        <v>5.17</v>
      </c>
      <c r="K189" s="2">
        <v>8</v>
      </c>
      <c r="L189" s="2">
        <v>10</v>
      </c>
      <c r="M189" s="2">
        <v>3.01</v>
      </c>
      <c r="N189" s="2">
        <v>706</v>
      </c>
      <c r="O189" s="2">
        <v>2000</v>
      </c>
      <c r="P189" s="2">
        <v>470</v>
      </c>
      <c r="Q189" s="2">
        <v>962</v>
      </c>
      <c r="R189" s="2">
        <v>51</v>
      </c>
      <c r="S189" s="2">
        <v>52</v>
      </c>
      <c r="T189" s="2">
        <v>1.9</v>
      </c>
      <c r="U189" s="2">
        <v>56</v>
      </c>
      <c r="V189" s="2">
        <v>8</v>
      </c>
    </row>
    <row r="190" spans="1:22" x14ac:dyDescent="0.25">
      <c r="A190" t="s">
        <v>112</v>
      </c>
      <c r="B190" t="s">
        <v>108</v>
      </c>
      <c r="C190" t="s">
        <v>23</v>
      </c>
      <c r="D190" t="s">
        <v>109</v>
      </c>
      <c r="E190" t="s">
        <v>110</v>
      </c>
      <c r="F190" t="s">
        <v>111</v>
      </c>
      <c r="G190" s="1">
        <v>1.0620000000000001</v>
      </c>
      <c r="H190" s="2">
        <v>2153</v>
      </c>
      <c r="I190" s="2">
        <v>3894</v>
      </c>
      <c r="J190" s="2">
        <v>5.19</v>
      </c>
      <c r="K190" s="2">
        <v>7</v>
      </c>
      <c r="L190" s="2">
        <v>16</v>
      </c>
      <c r="M190" s="2">
        <v>2.4300000000000002</v>
      </c>
      <c r="N190" s="2">
        <v>1226</v>
      </c>
      <c r="O190" s="2">
        <v>1906</v>
      </c>
      <c r="P190" s="2">
        <v>576</v>
      </c>
      <c r="Q190" s="2">
        <v>832</v>
      </c>
      <c r="R190" s="2">
        <v>26</v>
      </c>
      <c r="S190" s="2">
        <v>53</v>
      </c>
      <c r="T190" s="2">
        <v>1.66</v>
      </c>
      <c r="U190" s="2">
        <v>47</v>
      </c>
      <c r="V190" s="2">
        <v>5</v>
      </c>
    </row>
    <row r="191" spans="1:22" x14ac:dyDescent="0.25">
      <c r="A191" t="s">
        <v>579</v>
      </c>
      <c r="B191" t="s">
        <v>580</v>
      </c>
      <c r="C191" t="s">
        <v>522</v>
      </c>
      <c r="D191" t="s">
        <v>211</v>
      </c>
      <c r="E191" t="s">
        <v>581</v>
      </c>
      <c r="F191" t="s">
        <v>537</v>
      </c>
      <c r="G191" s="1">
        <v>1.64E-3</v>
      </c>
      <c r="H191" s="2">
        <v>1849</v>
      </c>
      <c r="I191" s="2">
        <v>3387</v>
      </c>
      <c r="J191" s="2">
        <v>5.2</v>
      </c>
      <c r="K191" s="2">
        <v>8</v>
      </c>
      <c r="L191" s="2">
        <v>11</v>
      </c>
      <c r="M191" s="2">
        <v>2.1800000000000002</v>
      </c>
      <c r="N191" s="2">
        <v>915</v>
      </c>
      <c r="O191" s="2">
        <v>1790</v>
      </c>
      <c r="P191" s="2">
        <v>674</v>
      </c>
      <c r="Q191" s="2">
        <v>422</v>
      </c>
      <c r="R191" s="2">
        <v>37</v>
      </c>
      <c r="S191" s="2">
        <v>40</v>
      </c>
      <c r="T191" s="2">
        <v>1.21</v>
      </c>
      <c r="U191" s="2">
        <v>26</v>
      </c>
      <c r="V191" s="2">
        <v>1.31</v>
      </c>
    </row>
    <row r="192" spans="1:22" x14ac:dyDescent="0.25">
      <c r="A192" t="s">
        <v>294</v>
      </c>
      <c r="B192" t="s">
        <v>289</v>
      </c>
      <c r="C192" t="s">
        <v>196</v>
      </c>
      <c r="D192" t="s">
        <v>250</v>
      </c>
      <c r="E192" t="s">
        <v>250</v>
      </c>
      <c r="F192" t="s">
        <v>111</v>
      </c>
      <c r="G192" s="1">
        <v>1.0620000000000001</v>
      </c>
      <c r="H192" s="2">
        <v>1954</v>
      </c>
      <c r="I192" s="2">
        <v>3823</v>
      </c>
      <c r="J192" s="2">
        <v>5.23</v>
      </c>
      <c r="K192" s="2">
        <v>9</v>
      </c>
      <c r="L192" s="2">
        <v>16</v>
      </c>
      <c r="M192" s="2">
        <v>1.93</v>
      </c>
      <c r="N192" s="2">
        <v>1130</v>
      </c>
      <c r="O192" s="2">
        <v>1511</v>
      </c>
      <c r="P192" s="2">
        <v>723</v>
      </c>
      <c r="Q192" s="2">
        <v>937</v>
      </c>
      <c r="R192" s="2">
        <v>28</v>
      </c>
      <c r="S192" s="2">
        <v>74</v>
      </c>
      <c r="T192" s="2">
        <v>1.8</v>
      </c>
      <c r="U192" s="2">
        <v>43</v>
      </c>
      <c r="V192" s="2">
        <v>5.64</v>
      </c>
    </row>
    <row r="193" spans="1:22" x14ac:dyDescent="0.25">
      <c r="A193" t="s">
        <v>284</v>
      </c>
      <c r="B193" t="s">
        <v>282</v>
      </c>
      <c r="C193" t="s">
        <v>196</v>
      </c>
      <c r="D193" t="s">
        <v>281</v>
      </c>
      <c r="E193" t="s">
        <v>30</v>
      </c>
      <c r="F193" t="s">
        <v>111</v>
      </c>
      <c r="G193" s="1">
        <v>1.0620000000000001</v>
      </c>
      <c r="H193" s="2">
        <v>1900</v>
      </c>
      <c r="I193" s="2">
        <v>3899</v>
      </c>
      <c r="J193" s="2">
        <v>5.26</v>
      </c>
      <c r="K193" s="2">
        <v>8</v>
      </c>
      <c r="L193" s="2">
        <v>15</v>
      </c>
      <c r="M193" s="2">
        <v>2.39</v>
      </c>
      <c r="N193" s="2">
        <v>1137</v>
      </c>
      <c r="O193" s="2">
        <v>1325</v>
      </c>
      <c r="P193" s="2">
        <v>692</v>
      </c>
      <c r="Q193" s="2">
        <v>908</v>
      </c>
      <c r="R193" s="2">
        <v>40</v>
      </c>
      <c r="S193" s="2">
        <v>56</v>
      </c>
      <c r="T193" s="2">
        <v>1.85</v>
      </c>
      <c r="U193" s="2">
        <v>75</v>
      </c>
      <c r="V193" s="2">
        <v>12</v>
      </c>
    </row>
    <row r="194" spans="1:22" x14ac:dyDescent="0.25">
      <c r="A194" t="s">
        <v>345</v>
      </c>
      <c r="B194" t="s">
        <v>340</v>
      </c>
      <c r="C194" t="s">
        <v>196</v>
      </c>
      <c r="D194" t="s">
        <v>30</v>
      </c>
      <c r="E194" t="s">
        <v>30</v>
      </c>
      <c r="F194" t="s">
        <v>341</v>
      </c>
      <c r="G194" s="1">
        <v>1.2090000000000001</v>
      </c>
      <c r="H194" s="2">
        <v>2122</v>
      </c>
      <c r="I194" s="2">
        <v>4113</v>
      </c>
      <c r="J194" s="2">
        <v>5.28</v>
      </c>
      <c r="K194" s="2">
        <v>8</v>
      </c>
      <c r="L194" s="2">
        <v>13</v>
      </c>
      <c r="M194" s="2">
        <v>2.4500000000000002</v>
      </c>
      <c r="N194" s="2">
        <v>1423</v>
      </c>
      <c r="O194" s="2">
        <v>1440</v>
      </c>
      <c r="P194" s="2">
        <v>997</v>
      </c>
      <c r="Q194" s="2">
        <v>770</v>
      </c>
      <c r="R194" s="2">
        <v>21</v>
      </c>
      <c r="S194" s="2">
        <v>83</v>
      </c>
      <c r="T194" s="2">
        <v>1.82</v>
      </c>
      <c r="U194" s="2">
        <v>115</v>
      </c>
      <c r="V194" s="2">
        <v>13</v>
      </c>
    </row>
    <row r="195" spans="1:22" x14ac:dyDescent="0.25">
      <c r="A195" t="s">
        <v>547</v>
      </c>
      <c r="B195" t="s">
        <v>548</v>
      </c>
      <c r="C195" t="s">
        <v>522</v>
      </c>
      <c r="D195" t="s">
        <v>549</v>
      </c>
      <c r="E195" t="s">
        <v>550</v>
      </c>
      <c r="F195" t="s">
        <v>551</v>
      </c>
      <c r="G195" s="1">
        <v>1.865E-2</v>
      </c>
      <c r="H195" s="2">
        <v>1232</v>
      </c>
      <c r="I195" s="2">
        <v>2177</v>
      </c>
      <c r="J195" s="2">
        <v>5.31</v>
      </c>
      <c r="K195" s="2">
        <v>5.3</v>
      </c>
      <c r="L195" s="2">
        <v>6</v>
      </c>
      <c r="M195" s="2">
        <v>1.04</v>
      </c>
      <c r="N195" s="2">
        <v>715</v>
      </c>
      <c r="O195" s="2">
        <v>1080</v>
      </c>
      <c r="P195" s="2">
        <v>458</v>
      </c>
      <c r="Q195" s="2">
        <v>637</v>
      </c>
      <c r="R195" s="2">
        <v>15</v>
      </c>
      <c r="S195" s="2">
        <v>11</v>
      </c>
      <c r="T195" s="2">
        <v>0.75</v>
      </c>
      <c r="U195" s="2">
        <v>14</v>
      </c>
      <c r="V195" s="2">
        <v>4.29</v>
      </c>
    </row>
    <row r="196" spans="1:22" x14ac:dyDescent="0.25">
      <c r="A196" t="s">
        <v>133</v>
      </c>
      <c r="B196" t="s">
        <v>134</v>
      </c>
      <c r="C196" t="s">
        <v>23</v>
      </c>
      <c r="D196" t="s">
        <v>135</v>
      </c>
      <c r="E196" t="s">
        <v>67</v>
      </c>
      <c r="F196" t="s">
        <v>136</v>
      </c>
      <c r="G196" s="1">
        <v>0.28397</v>
      </c>
      <c r="H196" s="2">
        <v>1895</v>
      </c>
      <c r="I196" s="2">
        <v>4198</v>
      </c>
      <c r="J196" s="2">
        <v>5.32</v>
      </c>
      <c r="K196" s="2">
        <v>12</v>
      </c>
      <c r="L196" s="2">
        <v>16</v>
      </c>
      <c r="M196" s="2">
        <v>2.92</v>
      </c>
      <c r="N196" s="2">
        <v>991</v>
      </c>
      <c r="O196" s="2">
        <v>1290</v>
      </c>
      <c r="P196" s="2">
        <v>631</v>
      </c>
      <c r="Q196" s="2">
        <v>878</v>
      </c>
      <c r="R196" s="2">
        <v>26</v>
      </c>
      <c r="S196" s="2">
        <v>134</v>
      </c>
      <c r="T196" s="2">
        <v>1.87</v>
      </c>
      <c r="U196" s="2">
        <v>66</v>
      </c>
      <c r="V196" s="2">
        <v>10</v>
      </c>
    </row>
    <row r="197" spans="1:22" x14ac:dyDescent="0.25">
      <c r="A197" t="s">
        <v>113</v>
      </c>
      <c r="B197" t="s">
        <v>114</v>
      </c>
      <c r="C197" t="s">
        <v>23</v>
      </c>
      <c r="D197" t="s">
        <v>116</v>
      </c>
      <c r="E197" t="s">
        <v>39</v>
      </c>
      <c r="F197" t="s">
        <v>115</v>
      </c>
      <c r="G197" s="1">
        <v>7.9000000000000001E-4</v>
      </c>
      <c r="H197" s="2">
        <v>1326</v>
      </c>
      <c r="I197" s="2">
        <v>3101</v>
      </c>
      <c r="J197" s="2">
        <v>5.33</v>
      </c>
      <c r="K197" s="2">
        <v>5.2</v>
      </c>
      <c r="L197" s="2">
        <v>6</v>
      </c>
      <c r="M197" s="2">
        <v>2.14</v>
      </c>
      <c r="N197" s="2">
        <v>633</v>
      </c>
      <c r="O197" s="2">
        <v>886</v>
      </c>
      <c r="P197" s="2">
        <v>344</v>
      </c>
      <c r="Q197" s="2">
        <v>482</v>
      </c>
      <c r="R197" s="2">
        <v>20</v>
      </c>
      <c r="S197" s="2">
        <v>29</v>
      </c>
      <c r="T197" s="2">
        <v>1.26</v>
      </c>
      <c r="U197" s="2">
        <v>45</v>
      </c>
      <c r="V197" s="2">
        <v>3.06</v>
      </c>
    </row>
    <row r="198" spans="1:22" x14ac:dyDescent="0.25">
      <c r="A198" t="s">
        <v>347</v>
      </c>
      <c r="B198" t="s">
        <v>340</v>
      </c>
      <c r="C198" t="s">
        <v>196</v>
      </c>
      <c r="D198" t="s">
        <v>30</v>
      </c>
      <c r="E198" t="s">
        <v>30</v>
      </c>
      <c r="F198" t="s">
        <v>341</v>
      </c>
      <c r="G198" s="1">
        <v>1.2090000000000001</v>
      </c>
      <c r="H198" s="2">
        <v>1951</v>
      </c>
      <c r="I198" s="2">
        <v>3739</v>
      </c>
      <c r="J198" s="2">
        <v>5.34</v>
      </c>
      <c r="K198" s="2">
        <v>7</v>
      </c>
      <c r="L198" s="2">
        <v>13</v>
      </c>
      <c r="M198" s="2">
        <v>2.3199999999999998</v>
      </c>
      <c r="N198" s="2">
        <v>1212</v>
      </c>
      <c r="O198" s="2">
        <v>1369</v>
      </c>
      <c r="P198" s="2">
        <v>878</v>
      </c>
      <c r="Q198" s="2">
        <v>1671</v>
      </c>
      <c r="R198" s="2">
        <v>27</v>
      </c>
      <c r="S198" s="2">
        <v>72</v>
      </c>
      <c r="T198" s="2">
        <v>1.43</v>
      </c>
      <c r="U198" s="2">
        <v>68</v>
      </c>
      <c r="V198" s="2">
        <v>13</v>
      </c>
    </row>
    <row r="199" spans="1:22" x14ac:dyDescent="0.25">
      <c r="A199" t="s">
        <v>516</v>
      </c>
      <c r="B199" t="s">
        <v>517</v>
      </c>
      <c r="C199" t="s">
        <v>405</v>
      </c>
      <c r="D199" t="s">
        <v>253</v>
      </c>
      <c r="E199" t="s">
        <v>30</v>
      </c>
      <c r="F199" t="s">
        <v>4</v>
      </c>
      <c r="G199" s="1">
        <v>1</v>
      </c>
      <c r="H199" s="2">
        <v>3133</v>
      </c>
      <c r="I199" s="2">
        <v>5371</v>
      </c>
      <c r="J199" s="2">
        <v>5.37</v>
      </c>
      <c r="K199" s="2">
        <v>9</v>
      </c>
      <c r="L199" s="2">
        <v>20</v>
      </c>
      <c r="M199" s="2">
        <v>1.59</v>
      </c>
      <c r="N199" s="2">
        <v>1658</v>
      </c>
      <c r="O199" s="2">
        <v>3045</v>
      </c>
      <c r="P199" s="2">
        <v>860</v>
      </c>
      <c r="Q199" s="2">
        <v>1341</v>
      </c>
      <c r="R199" s="2">
        <v>44</v>
      </c>
      <c r="S199" s="2">
        <v>46</v>
      </c>
      <c r="T199" s="2">
        <v>1.07</v>
      </c>
      <c r="U199" s="2">
        <v>35</v>
      </c>
      <c r="V199" s="2">
        <v>8</v>
      </c>
    </row>
    <row r="200" spans="1:22" x14ac:dyDescent="0.25">
      <c r="A200" t="s">
        <v>217</v>
      </c>
      <c r="B200" t="s">
        <v>213</v>
      </c>
      <c r="C200" t="s">
        <v>196</v>
      </c>
      <c r="D200" t="s">
        <v>201</v>
      </c>
      <c r="E200" t="s">
        <v>201</v>
      </c>
      <c r="F200" t="s">
        <v>111</v>
      </c>
      <c r="G200" s="1">
        <v>1.0620000000000001</v>
      </c>
      <c r="H200" s="2">
        <v>1923</v>
      </c>
      <c r="I200" s="2">
        <v>3782</v>
      </c>
      <c r="J200" s="2">
        <v>5.4</v>
      </c>
      <c r="K200" s="2">
        <v>8</v>
      </c>
      <c r="L200" s="2">
        <v>13</v>
      </c>
      <c r="M200" s="2">
        <v>2.2599999999999998</v>
      </c>
      <c r="N200" s="2">
        <v>1178</v>
      </c>
      <c r="O200" s="2">
        <v>1432</v>
      </c>
      <c r="P200" s="2">
        <v>616</v>
      </c>
      <c r="Q200" s="2">
        <v>769</v>
      </c>
      <c r="R200" s="2">
        <v>21</v>
      </c>
      <c r="S200" s="2">
        <v>76</v>
      </c>
      <c r="T200" s="2">
        <v>1.31</v>
      </c>
      <c r="U200" s="2">
        <v>53</v>
      </c>
      <c r="V200" s="2">
        <v>5.38</v>
      </c>
    </row>
    <row r="201" spans="1:22" x14ac:dyDescent="0.25">
      <c r="A201" t="s">
        <v>491</v>
      </c>
      <c r="B201" t="s">
        <v>492</v>
      </c>
      <c r="C201" t="s">
        <v>405</v>
      </c>
      <c r="D201" t="s">
        <v>253</v>
      </c>
      <c r="E201" t="s">
        <v>253</v>
      </c>
      <c r="F201" t="s">
        <v>493</v>
      </c>
      <c r="G201" s="1">
        <v>2.5059999999999999E-2</v>
      </c>
      <c r="H201" s="2">
        <v>1588</v>
      </c>
      <c r="I201" s="2">
        <v>3647</v>
      </c>
      <c r="J201" s="2">
        <v>5.42</v>
      </c>
      <c r="K201" s="2">
        <v>11</v>
      </c>
      <c r="L201" s="2">
        <v>19</v>
      </c>
      <c r="M201" s="2">
        <v>3.35</v>
      </c>
      <c r="N201" s="2">
        <v>668</v>
      </c>
      <c r="O201" s="2">
        <v>1165</v>
      </c>
      <c r="P201" s="2">
        <v>482</v>
      </c>
      <c r="Q201" s="2">
        <v>691</v>
      </c>
      <c r="R201" s="2">
        <v>40</v>
      </c>
      <c r="S201" s="2">
        <v>38</v>
      </c>
      <c r="T201" s="2">
        <v>1.89</v>
      </c>
      <c r="U201" s="2">
        <v>60</v>
      </c>
      <c r="V201" s="2">
        <v>4.9000000000000004</v>
      </c>
    </row>
    <row r="202" spans="1:22" x14ac:dyDescent="0.25">
      <c r="A202" t="s">
        <v>222</v>
      </c>
      <c r="B202" t="s">
        <v>219</v>
      </c>
      <c r="C202" t="s">
        <v>196</v>
      </c>
      <c r="D202" t="s">
        <v>223</v>
      </c>
      <c r="E202" t="s">
        <v>220</v>
      </c>
      <c r="F202" t="s">
        <v>111</v>
      </c>
      <c r="G202" s="1">
        <v>1.0620000000000001</v>
      </c>
      <c r="H202" s="2">
        <v>1392</v>
      </c>
      <c r="I202" s="2">
        <v>3211</v>
      </c>
      <c r="J202" s="2">
        <v>5.46</v>
      </c>
      <c r="K202" s="2">
        <v>9</v>
      </c>
      <c r="L202" s="2">
        <v>19</v>
      </c>
      <c r="M202" s="2">
        <v>2.2200000000000002</v>
      </c>
      <c r="N202" s="2">
        <v>659</v>
      </c>
      <c r="O202" s="2">
        <v>887</v>
      </c>
      <c r="P202" s="2">
        <v>455</v>
      </c>
      <c r="Q202" s="2">
        <v>573</v>
      </c>
      <c r="R202" s="2">
        <v>38</v>
      </c>
      <c r="S202" s="2">
        <v>28</v>
      </c>
      <c r="T202" s="2">
        <v>1.55</v>
      </c>
      <c r="U202" s="2">
        <v>38</v>
      </c>
      <c r="V202" s="2">
        <v>6</v>
      </c>
    </row>
    <row r="203" spans="1:22" x14ac:dyDescent="0.25">
      <c r="A203" t="s">
        <v>206</v>
      </c>
      <c r="B203" t="s">
        <v>200</v>
      </c>
      <c r="C203" t="s">
        <v>196</v>
      </c>
      <c r="D203" t="s">
        <v>201</v>
      </c>
      <c r="E203" t="s">
        <v>201</v>
      </c>
      <c r="F203" t="s">
        <v>111</v>
      </c>
      <c r="G203" s="1">
        <v>1.0620000000000001</v>
      </c>
      <c r="H203" s="2">
        <v>2897</v>
      </c>
      <c r="I203" s="2">
        <v>5020</v>
      </c>
      <c r="J203" s="2">
        <v>5.48</v>
      </c>
      <c r="K203" s="2">
        <v>10</v>
      </c>
      <c r="L203" s="2">
        <v>16</v>
      </c>
      <c r="M203" s="2">
        <v>1.66</v>
      </c>
      <c r="N203" s="2">
        <v>1947</v>
      </c>
      <c r="O203" s="2">
        <v>2578</v>
      </c>
      <c r="P203" s="2">
        <v>1102</v>
      </c>
      <c r="Q203" s="2">
        <v>1472</v>
      </c>
      <c r="R203" s="2">
        <v>38</v>
      </c>
      <c r="S203" s="2">
        <v>66</v>
      </c>
      <c r="T203" s="2">
        <v>2.17</v>
      </c>
      <c r="U203" s="2">
        <v>63</v>
      </c>
      <c r="V203" s="2">
        <v>6</v>
      </c>
    </row>
    <row r="204" spans="1:22" x14ac:dyDescent="0.25">
      <c r="A204" t="s">
        <v>369</v>
      </c>
      <c r="B204" t="s">
        <v>368</v>
      </c>
      <c r="C204" t="s">
        <v>196</v>
      </c>
      <c r="D204" t="s">
        <v>266</v>
      </c>
      <c r="E204" t="s">
        <v>265</v>
      </c>
      <c r="F204" t="s">
        <v>287</v>
      </c>
      <c r="G204" s="1">
        <v>9.4950000000000007E-2</v>
      </c>
      <c r="H204" s="2">
        <v>1793</v>
      </c>
      <c r="I204" s="2">
        <v>3591</v>
      </c>
      <c r="J204" s="2">
        <v>5.53</v>
      </c>
      <c r="K204" s="2">
        <v>8</v>
      </c>
      <c r="L204" s="2">
        <v>10</v>
      </c>
      <c r="M204" s="2">
        <v>2.02</v>
      </c>
      <c r="N204" s="2">
        <v>1002</v>
      </c>
      <c r="O204" s="2">
        <v>1388</v>
      </c>
      <c r="P204" s="2">
        <v>632</v>
      </c>
      <c r="Q204" s="2">
        <v>893</v>
      </c>
      <c r="R204" s="2">
        <v>30</v>
      </c>
      <c r="S204" s="2">
        <v>29</v>
      </c>
      <c r="T204" s="2">
        <v>1.48</v>
      </c>
      <c r="U204" s="2">
        <v>76</v>
      </c>
      <c r="V204" s="2">
        <v>5.86</v>
      </c>
    </row>
    <row r="205" spans="1:22" x14ac:dyDescent="0.25">
      <c r="A205" t="s">
        <v>276</v>
      </c>
      <c r="B205" t="s">
        <v>275</v>
      </c>
      <c r="C205" t="s">
        <v>196</v>
      </c>
      <c r="D205" t="s">
        <v>109</v>
      </c>
      <c r="E205" t="s">
        <v>109</v>
      </c>
      <c r="F205" t="s">
        <v>111</v>
      </c>
      <c r="G205" s="1">
        <v>1.0620000000000001</v>
      </c>
      <c r="H205" s="2">
        <v>1239</v>
      </c>
      <c r="I205" s="2">
        <v>3038</v>
      </c>
      <c r="J205" s="2">
        <v>5.62</v>
      </c>
      <c r="K205" s="2">
        <v>7</v>
      </c>
      <c r="L205" s="2">
        <v>18</v>
      </c>
      <c r="M205" s="2">
        <v>2.2799999999999998</v>
      </c>
      <c r="N205" s="2">
        <v>540</v>
      </c>
      <c r="O205" s="2">
        <v>770</v>
      </c>
      <c r="P205" s="2">
        <v>364</v>
      </c>
      <c r="Q205" s="2">
        <v>522</v>
      </c>
      <c r="R205" s="2">
        <v>19</v>
      </c>
      <c r="S205" s="2">
        <v>36</v>
      </c>
      <c r="T205" s="2">
        <v>2.25</v>
      </c>
      <c r="U205" s="2">
        <v>31</v>
      </c>
      <c r="V205" s="2">
        <v>4.6900000000000004</v>
      </c>
    </row>
    <row r="206" spans="1:22" x14ac:dyDescent="0.25">
      <c r="A206" t="s">
        <v>498</v>
      </c>
      <c r="B206" t="s">
        <v>499</v>
      </c>
      <c r="C206" t="s">
        <v>405</v>
      </c>
      <c r="D206" t="s">
        <v>30</v>
      </c>
      <c r="E206" t="s">
        <v>30</v>
      </c>
      <c r="F206" t="s">
        <v>500</v>
      </c>
      <c r="G206" s="1">
        <v>0.99</v>
      </c>
      <c r="H206" s="2">
        <v>2965</v>
      </c>
      <c r="I206" s="2">
        <v>5724</v>
      </c>
      <c r="J206" s="2">
        <v>5.79</v>
      </c>
      <c r="K206" s="2">
        <v>9</v>
      </c>
      <c r="L206" s="2">
        <v>21</v>
      </c>
      <c r="M206" s="2">
        <v>3.6</v>
      </c>
      <c r="N206" s="2">
        <v>1583</v>
      </c>
      <c r="O206" s="2">
        <v>2741</v>
      </c>
      <c r="P206" s="2">
        <v>788</v>
      </c>
      <c r="Q206" s="2">
        <v>1264</v>
      </c>
      <c r="R206" s="2">
        <v>46</v>
      </c>
      <c r="S206" s="2">
        <v>97</v>
      </c>
      <c r="T206" s="2">
        <v>1.74</v>
      </c>
      <c r="U206" s="2">
        <v>66</v>
      </c>
      <c r="V206" s="2">
        <v>9</v>
      </c>
    </row>
    <row r="207" spans="1:22" x14ac:dyDescent="0.25">
      <c r="A207" t="s">
        <v>534</v>
      </c>
      <c r="B207" t="s">
        <v>535</v>
      </c>
      <c r="C207" t="s">
        <v>522</v>
      </c>
      <c r="D207" t="s">
        <v>211</v>
      </c>
      <c r="E207" t="s">
        <v>536</v>
      </c>
      <c r="F207" t="s">
        <v>537</v>
      </c>
      <c r="G207" s="1">
        <v>1.64E-3</v>
      </c>
      <c r="H207" s="2">
        <v>1836</v>
      </c>
      <c r="I207" s="2">
        <v>3435</v>
      </c>
      <c r="J207" s="2">
        <v>5.8</v>
      </c>
      <c r="K207" s="2">
        <v>8</v>
      </c>
      <c r="L207" s="2">
        <v>10</v>
      </c>
      <c r="M207" s="2">
        <v>2.59</v>
      </c>
      <c r="N207" s="2">
        <v>869</v>
      </c>
      <c r="O207" s="2">
        <v>1733</v>
      </c>
      <c r="P207" s="2">
        <v>381</v>
      </c>
      <c r="Q207" s="2">
        <v>1061</v>
      </c>
      <c r="R207" s="2">
        <v>43</v>
      </c>
      <c r="S207" s="2">
        <v>28</v>
      </c>
      <c r="T207" s="2">
        <v>1.06</v>
      </c>
      <c r="U207" s="2">
        <v>42</v>
      </c>
      <c r="V207" s="2">
        <v>1.42</v>
      </c>
    </row>
    <row r="208" spans="1:22" x14ac:dyDescent="0.25">
      <c r="A208" t="s">
        <v>313</v>
      </c>
      <c r="B208" t="s">
        <v>314</v>
      </c>
      <c r="C208" t="s">
        <v>196</v>
      </c>
      <c r="D208" t="s">
        <v>315</v>
      </c>
      <c r="E208" t="s">
        <v>30</v>
      </c>
      <c r="F208" t="s">
        <v>111</v>
      </c>
      <c r="G208" s="1">
        <v>1.0620000000000001</v>
      </c>
      <c r="H208" s="2">
        <v>2467</v>
      </c>
      <c r="I208" s="2">
        <v>4374</v>
      </c>
      <c r="J208" s="2">
        <v>5.86</v>
      </c>
      <c r="K208" s="2">
        <v>9</v>
      </c>
      <c r="L208" s="2">
        <v>20</v>
      </c>
      <c r="M208" s="2">
        <v>1.85</v>
      </c>
      <c r="N208" s="2">
        <v>1429</v>
      </c>
      <c r="O208" s="2">
        <v>2174</v>
      </c>
      <c r="P208" s="2">
        <v>812</v>
      </c>
      <c r="Q208" s="2">
        <v>1204</v>
      </c>
      <c r="R208" s="2">
        <v>46</v>
      </c>
      <c r="S208" s="2">
        <v>25</v>
      </c>
      <c r="T208" s="2">
        <v>1.48</v>
      </c>
      <c r="U208" s="2">
        <v>31</v>
      </c>
      <c r="V208" s="2">
        <v>5.54</v>
      </c>
    </row>
    <row r="209" spans="1:22" x14ac:dyDescent="0.25">
      <c r="A209" t="s">
        <v>270</v>
      </c>
      <c r="B209" t="s">
        <v>268</v>
      </c>
      <c r="C209" t="s">
        <v>196</v>
      </c>
      <c r="D209" t="s">
        <v>211</v>
      </c>
      <c r="E209" t="s">
        <v>211</v>
      </c>
      <c r="F209" t="s">
        <v>111</v>
      </c>
      <c r="G209" s="1">
        <v>1.0620000000000001</v>
      </c>
      <c r="H209" s="2">
        <v>2037</v>
      </c>
      <c r="I209" s="2">
        <v>3998</v>
      </c>
      <c r="J209" s="2">
        <v>5.87</v>
      </c>
      <c r="K209" s="2">
        <v>11</v>
      </c>
      <c r="L209" s="2">
        <v>18</v>
      </c>
      <c r="M209" s="2">
        <v>2.12</v>
      </c>
      <c r="N209" s="2">
        <v>1204</v>
      </c>
      <c r="O209" s="2">
        <v>1551</v>
      </c>
      <c r="P209" s="2">
        <v>633</v>
      </c>
      <c r="Q209" s="2">
        <v>839</v>
      </c>
      <c r="R209" s="2">
        <v>22</v>
      </c>
      <c r="S209" s="2">
        <v>26</v>
      </c>
      <c r="T209" s="2">
        <v>1.64</v>
      </c>
      <c r="U209" s="2">
        <v>69</v>
      </c>
      <c r="V209" s="2">
        <v>9</v>
      </c>
    </row>
    <row r="210" spans="1:22" x14ac:dyDescent="0.25">
      <c r="A210" t="s">
        <v>238</v>
      </c>
      <c r="B210" t="s">
        <v>237</v>
      </c>
      <c r="C210" t="s">
        <v>196</v>
      </c>
      <c r="D210" t="s">
        <v>239</v>
      </c>
      <c r="E210" t="s">
        <v>239</v>
      </c>
      <c r="F210" t="s">
        <v>240</v>
      </c>
      <c r="G210" s="1">
        <v>0.14199999999999999</v>
      </c>
      <c r="H210" s="2">
        <v>1437</v>
      </c>
      <c r="I210" s="2">
        <v>3084</v>
      </c>
      <c r="J210" s="2">
        <v>5.88</v>
      </c>
      <c r="K210" s="2">
        <v>7</v>
      </c>
      <c r="L210" s="2">
        <v>10</v>
      </c>
      <c r="M210" s="2">
        <v>1.99</v>
      </c>
      <c r="N210" s="2">
        <v>699</v>
      </c>
      <c r="O210" s="2">
        <v>1049</v>
      </c>
      <c r="P210" s="2">
        <v>496</v>
      </c>
      <c r="Q210" s="2">
        <v>596</v>
      </c>
      <c r="R210" s="2">
        <v>18</v>
      </c>
      <c r="S210" s="2">
        <v>34</v>
      </c>
      <c r="T210" s="2">
        <v>1.75</v>
      </c>
      <c r="U210" s="2">
        <v>51</v>
      </c>
      <c r="V210" s="2">
        <v>4.7699999999999996</v>
      </c>
    </row>
    <row r="211" spans="1:22" x14ac:dyDescent="0.25">
      <c r="A211" t="s">
        <v>308</v>
      </c>
      <c r="B211" t="s">
        <v>308</v>
      </c>
      <c r="C211" t="s">
        <v>196</v>
      </c>
      <c r="D211" t="s">
        <v>307</v>
      </c>
      <c r="E211" t="s">
        <v>201</v>
      </c>
      <c r="F211" t="s">
        <v>111</v>
      </c>
      <c r="G211" s="1">
        <v>1.0620000000000001</v>
      </c>
      <c r="H211" s="2">
        <v>2944</v>
      </c>
      <c r="I211" s="2">
        <v>4569</v>
      </c>
      <c r="J211" s="2">
        <v>5.92</v>
      </c>
      <c r="K211" s="2">
        <v>8</v>
      </c>
      <c r="L211" s="2">
        <v>13</v>
      </c>
      <c r="M211" s="2">
        <v>1.57</v>
      </c>
      <c r="N211" s="2">
        <v>1560</v>
      </c>
      <c r="O211" s="2">
        <v>2676</v>
      </c>
      <c r="P211" s="2">
        <v>1283</v>
      </c>
      <c r="Q211" s="2">
        <v>1594</v>
      </c>
      <c r="R211" s="2">
        <v>56</v>
      </c>
      <c r="S211" s="2">
        <v>42</v>
      </c>
      <c r="T211" s="2">
        <v>1.76</v>
      </c>
      <c r="U211" s="2">
        <v>59</v>
      </c>
      <c r="V211" s="2">
        <v>6</v>
      </c>
    </row>
    <row r="212" spans="1:22" x14ac:dyDescent="0.25">
      <c r="A212" t="s">
        <v>119</v>
      </c>
      <c r="B212" t="s">
        <v>120</v>
      </c>
      <c r="C212" t="s">
        <v>23</v>
      </c>
      <c r="D212" t="s">
        <v>67</v>
      </c>
      <c r="E212" t="s">
        <v>30</v>
      </c>
      <c r="F212" t="s">
        <v>121</v>
      </c>
      <c r="G212" s="1">
        <v>0.27224999999999999</v>
      </c>
      <c r="H212" s="2">
        <v>3373</v>
      </c>
      <c r="I212" s="2">
        <v>5441</v>
      </c>
      <c r="J212" s="2">
        <v>5.92</v>
      </c>
      <c r="K212" s="2">
        <v>9</v>
      </c>
      <c r="L212" s="2">
        <v>14</v>
      </c>
      <c r="M212" s="2">
        <v>2.31</v>
      </c>
      <c r="N212" s="2">
        <v>2429</v>
      </c>
      <c r="O212" s="2">
        <v>2771</v>
      </c>
      <c r="P212" s="2">
        <v>1426</v>
      </c>
      <c r="Q212" s="2">
        <v>1945</v>
      </c>
      <c r="R212" s="2">
        <v>59</v>
      </c>
      <c r="S212" s="2">
        <v>81</v>
      </c>
      <c r="T212" s="2">
        <v>0.97</v>
      </c>
      <c r="U212" s="2">
        <v>22</v>
      </c>
      <c r="V212" s="2">
        <v>5.91</v>
      </c>
    </row>
    <row r="213" spans="1:22" x14ac:dyDescent="0.25">
      <c r="A213" t="s">
        <v>409</v>
      </c>
      <c r="B213" t="s">
        <v>404</v>
      </c>
      <c r="C213" t="s">
        <v>405</v>
      </c>
      <c r="D213" t="s">
        <v>30</v>
      </c>
      <c r="E213" t="s">
        <v>30</v>
      </c>
      <c r="F213" t="s">
        <v>406</v>
      </c>
      <c r="G213" s="1">
        <v>0.747</v>
      </c>
      <c r="H213" s="2">
        <v>3392</v>
      </c>
      <c r="I213" s="2">
        <v>5655</v>
      </c>
      <c r="J213" s="2">
        <v>5.98</v>
      </c>
      <c r="K213" s="2">
        <v>9</v>
      </c>
      <c r="L213" s="2">
        <v>18</v>
      </c>
      <c r="M213" s="2">
        <v>2.1</v>
      </c>
      <c r="N213" s="2">
        <v>2130</v>
      </c>
      <c r="O213" s="2">
        <v>3004</v>
      </c>
      <c r="P213" s="2">
        <v>1466</v>
      </c>
      <c r="Q213" s="2">
        <v>1803</v>
      </c>
      <c r="R213" s="2">
        <v>58</v>
      </c>
      <c r="S213" s="2">
        <v>129</v>
      </c>
      <c r="T213" s="2">
        <v>1.49</v>
      </c>
      <c r="U213" s="2">
        <v>96</v>
      </c>
      <c r="V213" s="2">
        <v>11</v>
      </c>
    </row>
    <row r="214" spans="1:22" x14ac:dyDescent="0.25">
      <c r="A214" t="s">
        <v>212</v>
      </c>
      <c r="B214" t="s">
        <v>213</v>
      </c>
      <c r="C214" t="s">
        <v>196</v>
      </c>
      <c r="D214" t="s">
        <v>201</v>
      </c>
      <c r="E214" t="s">
        <v>216</v>
      </c>
      <c r="F214" t="s">
        <v>111</v>
      </c>
      <c r="G214" s="1">
        <v>1.0620000000000001</v>
      </c>
      <c r="H214" s="2">
        <v>2152</v>
      </c>
      <c r="I214" s="2">
        <v>4492</v>
      </c>
      <c r="J214" s="2">
        <v>5.99</v>
      </c>
      <c r="K214" s="2">
        <v>10</v>
      </c>
      <c r="L214" s="2">
        <v>15</v>
      </c>
      <c r="M214" s="2">
        <v>2.2200000000000002</v>
      </c>
      <c r="N214" s="2">
        <v>1081</v>
      </c>
      <c r="O214" s="2">
        <v>1920</v>
      </c>
      <c r="P214" s="2">
        <v>736</v>
      </c>
      <c r="Q214" s="2">
        <v>893</v>
      </c>
      <c r="R214" s="2">
        <v>32</v>
      </c>
      <c r="S214" s="2">
        <v>138</v>
      </c>
      <c r="T214" s="2">
        <v>1.8</v>
      </c>
      <c r="U214" s="2">
        <v>50</v>
      </c>
      <c r="V214" s="2">
        <v>6</v>
      </c>
    </row>
    <row r="215" spans="1:22" x14ac:dyDescent="0.25">
      <c r="A215" t="s">
        <v>91</v>
      </c>
      <c r="B215" t="s">
        <v>92</v>
      </c>
      <c r="C215" t="s">
        <v>23</v>
      </c>
      <c r="D215" t="s">
        <v>67</v>
      </c>
      <c r="E215" t="s">
        <v>30</v>
      </c>
      <c r="F215" t="s">
        <v>93</v>
      </c>
      <c r="G215" s="1">
        <v>0.27465000000000001</v>
      </c>
      <c r="H215" s="2">
        <v>3153</v>
      </c>
      <c r="I215" s="2">
        <v>5039</v>
      </c>
      <c r="J215" s="2">
        <v>6</v>
      </c>
      <c r="K215" s="2">
        <v>11</v>
      </c>
      <c r="L215" s="2">
        <v>7</v>
      </c>
      <c r="M215" s="2">
        <v>2.35</v>
      </c>
      <c r="N215" s="2">
        <v>1876</v>
      </c>
      <c r="O215" s="2">
        <v>2992</v>
      </c>
      <c r="P215" s="2">
        <v>1181</v>
      </c>
      <c r="Q215" s="2">
        <v>2107</v>
      </c>
      <c r="R215" s="2">
        <v>88</v>
      </c>
      <c r="S215" s="2">
        <v>49</v>
      </c>
      <c r="T215" s="2">
        <v>0.59</v>
      </c>
      <c r="U215" s="2">
        <v>47</v>
      </c>
      <c r="V215" s="2">
        <v>5.6</v>
      </c>
    </row>
    <row r="216" spans="1:22" x14ac:dyDescent="0.25">
      <c r="A216" t="s">
        <v>263</v>
      </c>
      <c r="B216" t="s">
        <v>264</v>
      </c>
      <c r="C216" t="s">
        <v>196</v>
      </c>
      <c r="D216" t="s">
        <v>265</v>
      </c>
      <c r="E216" t="s">
        <v>266</v>
      </c>
      <c r="F216" t="s">
        <v>111</v>
      </c>
      <c r="G216" s="1">
        <v>1.0620000000000001</v>
      </c>
      <c r="H216" s="2">
        <v>4724</v>
      </c>
      <c r="I216" s="2">
        <v>2610</v>
      </c>
      <c r="J216" s="2">
        <v>6</v>
      </c>
      <c r="K216" s="2">
        <v>10</v>
      </c>
      <c r="L216" s="2">
        <v>13</v>
      </c>
      <c r="M216" s="2">
        <v>3.09</v>
      </c>
      <c r="N216" s="2">
        <v>1597</v>
      </c>
      <c r="O216" s="2">
        <v>2137</v>
      </c>
      <c r="P216" s="2">
        <v>1222</v>
      </c>
      <c r="Q216" s="2">
        <v>1297</v>
      </c>
      <c r="R216" s="2">
        <v>18</v>
      </c>
      <c r="S216" s="2">
        <v>79</v>
      </c>
      <c r="T216" s="2">
        <v>2.34</v>
      </c>
      <c r="U216" s="2">
        <v>65</v>
      </c>
      <c r="V216" s="2">
        <v>9</v>
      </c>
    </row>
    <row r="217" spans="1:22" x14ac:dyDescent="0.25">
      <c r="A217" t="s">
        <v>269</v>
      </c>
      <c r="B217" t="s">
        <v>268</v>
      </c>
      <c r="C217" t="s">
        <v>196</v>
      </c>
      <c r="D217" t="s">
        <v>211</v>
      </c>
      <c r="E217" t="s">
        <v>211</v>
      </c>
      <c r="F217" t="s">
        <v>111</v>
      </c>
      <c r="G217" s="1">
        <v>1.0620000000000001</v>
      </c>
      <c r="H217" s="2">
        <v>1691</v>
      </c>
      <c r="I217" s="2">
        <v>3507</v>
      </c>
      <c r="J217" s="2">
        <v>6</v>
      </c>
      <c r="K217" s="2">
        <v>8</v>
      </c>
      <c r="L217" s="2">
        <v>16</v>
      </c>
      <c r="M217" s="2">
        <v>2.0499999999999998</v>
      </c>
      <c r="N217" s="2">
        <v>914</v>
      </c>
      <c r="O217" s="2">
        <v>1263</v>
      </c>
      <c r="P217" s="2">
        <v>592</v>
      </c>
      <c r="Q217" s="2">
        <v>699</v>
      </c>
      <c r="R217" s="2">
        <v>30</v>
      </c>
      <c r="S217" s="2">
        <v>26</v>
      </c>
      <c r="T217" s="2">
        <v>1.62</v>
      </c>
      <c r="U217" s="2">
        <v>56</v>
      </c>
      <c r="V217" s="2">
        <v>8</v>
      </c>
    </row>
    <row r="218" spans="1:22" x14ac:dyDescent="0.25">
      <c r="A218" t="s">
        <v>293</v>
      </c>
      <c r="B218" t="s">
        <v>289</v>
      </c>
      <c r="C218" t="s">
        <v>196</v>
      </c>
      <c r="D218" t="s">
        <v>250</v>
      </c>
      <c r="E218" t="s">
        <v>250</v>
      </c>
      <c r="F218" t="s">
        <v>111</v>
      </c>
      <c r="G218" s="1">
        <v>1.0620000000000001</v>
      </c>
      <c r="H218" s="2">
        <v>2372</v>
      </c>
      <c r="I218" s="2">
        <v>4382</v>
      </c>
      <c r="J218" s="2">
        <v>6</v>
      </c>
      <c r="K218" s="2">
        <v>9</v>
      </c>
      <c r="L218" s="2">
        <v>16</v>
      </c>
      <c r="M218" s="2">
        <v>1.91</v>
      </c>
      <c r="N218" s="2">
        <v>1411</v>
      </c>
      <c r="O218" s="2">
        <v>1961</v>
      </c>
      <c r="P218" s="2">
        <v>803</v>
      </c>
      <c r="Q218" s="2">
        <v>1032</v>
      </c>
      <c r="R218" s="2">
        <v>26</v>
      </c>
      <c r="S218" s="2">
        <v>90</v>
      </c>
      <c r="T218" s="2">
        <v>1.92</v>
      </c>
      <c r="U218" s="2">
        <v>38</v>
      </c>
      <c r="V218" s="2">
        <v>6</v>
      </c>
    </row>
    <row r="219" spans="1:22" x14ac:dyDescent="0.25">
      <c r="A219" t="s">
        <v>415</v>
      </c>
      <c r="B219" t="s">
        <v>401</v>
      </c>
      <c r="C219" t="s">
        <v>405</v>
      </c>
      <c r="D219" t="s">
        <v>30</v>
      </c>
      <c r="E219" t="s">
        <v>331</v>
      </c>
      <c r="F219" t="s">
        <v>4</v>
      </c>
      <c r="G219" s="1">
        <v>1</v>
      </c>
      <c r="H219" s="2">
        <v>2903</v>
      </c>
      <c r="I219" s="2">
        <v>5289</v>
      </c>
      <c r="J219" s="2">
        <v>6</v>
      </c>
      <c r="K219" s="2">
        <v>9</v>
      </c>
      <c r="L219" s="2">
        <v>18</v>
      </c>
      <c r="M219" s="2">
        <v>2.2000000000000002</v>
      </c>
      <c r="N219" s="2">
        <v>1673</v>
      </c>
      <c r="O219" s="2">
        <v>2456</v>
      </c>
      <c r="P219" s="2">
        <v>1142</v>
      </c>
      <c r="Q219" s="2">
        <v>1908</v>
      </c>
      <c r="R219" s="2">
        <v>57</v>
      </c>
      <c r="S219" s="2">
        <v>122</v>
      </c>
      <c r="T219" s="2">
        <v>1.32</v>
      </c>
      <c r="U219" s="2">
        <v>75</v>
      </c>
      <c r="V219" s="2">
        <v>16</v>
      </c>
    </row>
    <row r="220" spans="1:22" x14ac:dyDescent="0.25">
      <c r="A220" t="s">
        <v>408</v>
      </c>
      <c r="B220" t="s">
        <v>404</v>
      </c>
      <c r="C220" t="s">
        <v>405</v>
      </c>
      <c r="D220" t="s">
        <v>30</v>
      </c>
      <c r="E220" t="s">
        <v>211</v>
      </c>
      <c r="F220" t="s">
        <v>406</v>
      </c>
      <c r="G220" s="1">
        <v>0.747</v>
      </c>
      <c r="H220" s="2">
        <v>3372</v>
      </c>
      <c r="I220" s="2">
        <v>5563</v>
      </c>
      <c r="J220" s="2">
        <v>6</v>
      </c>
      <c r="K220" s="2">
        <v>10</v>
      </c>
      <c r="L220" s="2">
        <v>18</v>
      </c>
      <c r="M220" s="2">
        <v>2.08</v>
      </c>
      <c r="N220" s="2">
        <v>2216</v>
      </c>
      <c r="O220" s="2">
        <v>2914</v>
      </c>
      <c r="P220" s="2">
        <v>1433</v>
      </c>
      <c r="Q220" s="2">
        <v>1710</v>
      </c>
      <c r="R220" s="2">
        <v>52</v>
      </c>
      <c r="S220" s="2">
        <v>61</v>
      </c>
      <c r="T220" s="2">
        <v>1.39</v>
      </c>
      <c r="U220" s="2">
        <v>116</v>
      </c>
      <c r="V220" s="2">
        <v>12</v>
      </c>
    </row>
    <row r="221" spans="1:22" x14ac:dyDescent="0.25">
      <c r="A221" t="s">
        <v>283</v>
      </c>
      <c r="B221" t="s">
        <v>282</v>
      </c>
      <c r="C221" t="s">
        <v>196</v>
      </c>
      <c r="D221" t="s">
        <v>281</v>
      </c>
      <c r="E221" t="s">
        <v>30</v>
      </c>
      <c r="F221" t="s">
        <v>111</v>
      </c>
      <c r="G221" s="1">
        <v>1.0620000000000001</v>
      </c>
      <c r="H221" s="2">
        <v>3555</v>
      </c>
      <c r="I221" s="2">
        <v>6035</v>
      </c>
      <c r="J221" s="2">
        <v>6</v>
      </c>
      <c r="K221" s="2">
        <v>10</v>
      </c>
      <c r="L221" s="2">
        <v>18</v>
      </c>
      <c r="M221" s="2">
        <v>2.98</v>
      </c>
      <c r="N221" s="2">
        <v>2327</v>
      </c>
      <c r="O221" s="2">
        <v>2949</v>
      </c>
      <c r="P221" s="2">
        <v>1475</v>
      </c>
      <c r="Q221" s="2">
        <v>2108</v>
      </c>
      <c r="R221" s="2">
        <v>49</v>
      </c>
      <c r="S221" s="2">
        <v>66</v>
      </c>
      <c r="T221" s="2">
        <v>2.08</v>
      </c>
      <c r="U221" s="2">
        <v>110</v>
      </c>
      <c r="V221" s="2">
        <v>17</v>
      </c>
    </row>
    <row r="222" spans="1:22" x14ac:dyDescent="0.25">
      <c r="A222" t="s">
        <v>418</v>
      </c>
      <c r="B222" t="s">
        <v>401</v>
      </c>
      <c r="C222" t="s">
        <v>405</v>
      </c>
      <c r="D222" t="s">
        <v>30</v>
      </c>
      <c r="E222" t="s">
        <v>30</v>
      </c>
      <c r="F222" t="s">
        <v>4</v>
      </c>
      <c r="G222" s="1">
        <v>1</v>
      </c>
      <c r="H222" s="2">
        <v>2973</v>
      </c>
      <c r="I222" s="2">
        <v>5394</v>
      </c>
      <c r="J222" s="2">
        <v>6</v>
      </c>
      <c r="K222" s="2">
        <v>10</v>
      </c>
      <c r="L222" s="2">
        <v>19</v>
      </c>
      <c r="M222" s="2">
        <v>2.4300000000000002</v>
      </c>
      <c r="N222" s="2">
        <v>1776</v>
      </c>
      <c r="O222" s="2">
        <v>2441</v>
      </c>
      <c r="P222" s="2">
        <v>1134</v>
      </c>
      <c r="Q222" s="2">
        <v>1639</v>
      </c>
      <c r="R222" s="2">
        <v>43</v>
      </c>
      <c r="S222" s="2">
        <v>164</v>
      </c>
      <c r="T222" s="2">
        <v>1.2</v>
      </c>
      <c r="U222" s="2">
        <v>100</v>
      </c>
      <c r="V222" s="2">
        <v>10</v>
      </c>
    </row>
    <row r="223" spans="1:22" x14ac:dyDescent="0.25">
      <c r="A223" t="s">
        <v>273</v>
      </c>
      <c r="B223" t="s">
        <v>268</v>
      </c>
      <c r="C223" t="s">
        <v>196</v>
      </c>
      <c r="D223" t="s">
        <v>211</v>
      </c>
      <c r="E223" t="s">
        <v>211</v>
      </c>
      <c r="F223" t="s">
        <v>111</v>
      </c>
      <c r="G223" s="1">
        <v>1.0620000000000001</v>
      </c>
      <c r="H223" s="2">
        <v>1758</v>
      </c>
      <c r="I223" s="2">
        <v>3607</v>
      </c>
      <c r="J223" s="2">
        <v>6</v>
      </c>
      <c r="K223" s="2">
        <v>11</v>
      </c>
      <c r="L223" s="2">
        <v>20</v>
      </c>
      <c r="M223" s="2">
        <v>2.15</v>
      </c>
      <c r="N223" s="2">
        <v>1004</v>
      </c>
      <c r="O223" s="2">
        <v>1302</v>
      </c>
      <c r="P223" s="2">
        <v>583</v>
      </c>
      <c r="Q223" s="2">
        <v>782</v>
      </c>
      <c r="R223" s="2">
        <v>20</v>
      </c>
      <c r="S223" s="2">
        <v>26</v>
      </c>
      <c r="T223" s="2">
        <v>1.79</v>
      </c>
      <c r="U223" s="2">
        <v>43</v>
      </c>
      <c r="V223" s="2">
        <v>10</v>
      </c>
    </row>
    <row r="224" spans="1:22" x14ac:dyDescent="0.25">
      <c r="A224" t="s">
        <v>407</v>
      </c>
      <c r="B224" t="s">
        <v>404</v>
      </c>
      <c r="C224" t="s">
        <v>405</v>
      </c>
      <c r="D224" t="s">
        <v>30</v>
      </c>
      <c r="E224" t="s">
        <v>211</v>
      </c>
      <c r="F224" t="s">
        <v>406</v>
      </c>
      <c r="G224" s="1">
        <v>0.747</v>
      </c>
      <c r="H224" s="2">
        <v>2133</v>
      </c>
      <c r="I224" s="2">
        <v>4710</v>
      </c>
      <c r="J224" s="2">
        <v>6.24</v>
      </c>
      <c r="K224" s="2">
        <v>8</v>
      </c>
      <c r="L224" s="2">
        <v>14</v>
      </c>
      <c r="M224" s="2">
        <v>1.7</v>
      </c>
      <c r="N224" s="2">
        <v>1263</v>
      </c>
      <c r="O224" s="2">
        <v>1675</v>
      </c>
      <c r="P224" s="2">
        <v>998</v>
      </c>
      <c r="Q224" s="2">
        <v>1369</v>
      </c>
      <c r="R224" s="2">
        <v>44</v>
      </c>
      <c r="S224" s="2">
        <v>62</v>
      </c>
      <c r="T224" s="2">
        <v>1.39</v>
      </c>
      <c r="U224" s="2">
        <v>93</v>
      </c>
      <c r="V224" s="2">
        <v>12</v>
      </c>
    </row>
    <row r="225" spans="1:22" x14ac:dyDescent="0.25">
      <c r="A225" t="s">
        <v>174</v>
      </c>
      <c r="B225" t="s">
        <v>175</v>
      </c>
      <c r="C225" t="s">
        <v>23</v>
      </c>
      <c r="D225" t="s">
        <v>67</v>
      </c>
      <c r="E225" t="s">
        <v>187</v>
      </c>
      <c r="F225" t="s">
        <v>176</v>
      </c>
      <c r="G225" s="1">
        <v>4.0000000000000002E-4</v>
      </c>
      <c r="H225" s="2">
        <v>1324</v>
      </c>
      <c r="I225" s="2">
        <v>3406</v>
      </c>
      <c r="J225" s="2">
        <v>7</v>
      </c>
      <c r="K225" s="2">
        <v>10</v>
      </c>
      <c r="L225" s="2">
        <v>7</v>
      </c>
      <c r="M225" s="2">
        <v>2.16</v>
      </c>
      <c r="N225" s="2">
        <v>407</v>
      </c>
      <c r="O225" s="2">
        <v>902</v>
      </c>
      <c r="P225" s="2">
        <v>510</v>
      </c>
      <c r="Q225" s="2">
        <v>767</v>
      </c>
      <c r="R225" s="2">
        <v>15</v>
      </c>
      <c r="S225" s="2">
        <v>20</v>
      </c>
      <c r="T225" s="2">
        <v>2.23</v>
      </c>
      <c r="U225" s="2">
        <v>24</v>
      </c>
      <c r="V225" s="2">
        <v>5.22</v>
      </c>
    </row>
    <row r="226" spans="1:22" x14ac:dyDescent="0.25">
      <c r="A226" t="s">
        <v>107</v>
      </c>
      <c r="B226" t="s">
        <v>108</v>
      </c>
      <c r="C226" t="s">
        <v>23</v>
      </c>
      <c r="D226" t="s">
        <v>109</v>
      </c>
      <c r="E226" t="s">
        <v>110</v>
      </c>
      <c r="F226" t="s">
        <v>111</v>
      </c>
      <c r="G226" s="1">
        <v>1.0620000000000001</v>
      </c>
      <c r="H226" s="2">
        <v>1421</v>
      </c>
      <c r="I226" s="2">
        <v>3346</v>
      </c>
      <c r="J226" s="2">
        <v>7</v>
      </c>
      <c r="K226" s="2">
        <v>7</v>
      </c>
      <c r="L226" s="2">
        <v>14</v>
      </c>
      <c r="M226" s="2">
        <v>2.0299999999999998</v>
      </c>
      <c r="N226" s="2">
        <v>663</v>
      </c>
      <c r="O226" s="2">
        <v>936</v>
      </c>
      <c r="P226" s="2">
        <v>587</v>
      </c>
      <c r="Q226" s="2">
        <v>254</v>
      </c>
      <c r="R226" s="2">
        <v>30</v>
      </c>
      <c r="S226" s="2">
        <v>53</v>
      </c>
      <c r="T226" s="2">
        <v>1.51</v>
      </c>
      <c r="U226" s="2">
        <v>40</v>
      </c>
      <c r="V226" s="2">
        <v>4.8099999999999996</v>
      </c>
    </row>
    <row r="227" spans="1:22" x14ac:dyDescent="0.25">
      <c r="A227" t="s">
        <v>367</v>
      </c>
      <c r="B227" t="s">
        <v>368</v>
      </c>
      <c r="C227" t="s">
        <v>196</v>
      </c>
      <c r="D227" t="s">
        <v>266</v>
      </c>
      <c r="E227" t="s">
        <v>323</v>
      </c>
      <c r="F227" t="s">
        <v>287</v>
      </c>
      <c r="G227" s="1">
        <v>9.4950000000000007E-2</v>
      </c>
      <c r="H227" s="2">
        <v>2588</v>
      </c>
      <c r="I227" s="2">
        <v>4598</v>
      </c>
      <c r="J227" s="2">
        <v>7</v>
      </c>
      <c r="K227" s="2">
        <v>8</v>
      </c>
      <c r="L227" s="2">
        <v>14</v>
      </c>
      <c r="M227" s="2">
        <v>2.2200000000000002</v>
      </c>
      <c r="N227" s="2">
        <v>1592</v>
      </c>
      <c r="O227" s="2">
        <v>2197</v>
      </c>
      <c r="P227" s="2">
        <v>847</v>
      </c>
      <c r="Q227" s="2">
        <v>1237</v>
      </c>
      <c r="R227" s="2">
        <v>25</v>
      </c>
      <c r="S227" s="2">
        <v>22</v>
      </c>
      <c r="T227" s="2">
        <v>1.97</v>
      </c>
      <c r="U227" s="2">
        <v>88</v>
      </c>
      <c r="V227" s="2">
        <v>6</v>
      </c>
    </row>
    <row r="228" spans="1:22" x14ac:dyDescent="0.25">
      <c r="A228" t="s">
        <v>241</v>
      </c>
      <c r="B228" t="s">
        <v>242</v>
      </c>
      <c r="C228" t="s">
        <v>196</v>
      </c>
      <c r="D228" t="s">
        <v>243</v>
      </c>
      <c r="E228" t="s">
        <v>201</v>
      </c>
      <c r="F228" t="s">
        <v>244</v>
      </c>
      <c r="G228" s="1">
        <v>0.14133999999999999</v>
      </c>
      <c r="H228" s="2">
        <v>3259</v>
      </c>
      <c r="I228" s="2">
        <v>5848</v>
      </c>
      <c r="J228" s="2">
        <v>7</v>
      </c>
      <c r="K228" s="2">
        <v>12</v>
      </c>
      <c r="L228" s="2">
        <v>19</v>
      </c>
      <c r="M228" s="2">
        <v>2.4</v>
      </c>
      <c r="N228" s="2">
        <v>2020</v>
      </c>
      <c r="O228" s="2">
        <v>2695</v>
      </c>
      <c r="P228" s="2">
        <v>1143</v>
      </c>
      <c r="Q228" s="2">
        <v>1550</v>
      </c>
      <c r="R228" s="2">
        <v>24</v>
      </c>
      <c r="S228" s="2">
        <v>64</v>
      </c>
      <c r="T228" s="2">
        <v>2.14</v>
      </c>
      <c r="U228" s="2">
        <v>106</v>
      </c>
      <c r="V228" s="2">
        <v>8</v>
      </c>
    </row>
    <row r="229" spans="1:22" x14ac:dyDescent="0.25">
      <c r="A229" t="s">
        <v>400</v>
      </c>
      <c r="B229" t="s">
        <v>401</v>
      </c>
      <c r="C229" t="s">
        <v>376</v>
      </c>
      <c r="D229" t="s">
        <v>30</v>
      </c>
      <c r="E229" t="s">
        <v>402</v>
      </c>
      <c r="F229" t="s">
        <v>4</v>
      </c>
      <c r="G229" s="1">
        <v>1</v>
      </c>
      <c r="H229" s="2">
        <v>3461</v>
      </c>
      <c r="I229" s="2">
        <v>6123</v>
      </c>
      <c r="J229" s="2">
        <v>7</v>
      </c>
      <c r="K229" s="2">
        <v>12</v>
      </c>
      <c r="L229" s="2">
        <v>19</v>
      </c>
      <c r="M229" s="2">
        <v>4.03</v>
      </c>
      <c r="N229" s="2">
        <v>2267</v>
      </c>
      <c r="O229" s="2">
        <v>2752</v>
      </c>
      <c r="P229" s="2">
        <v>1700</v>
      </c>
      <c r="Q229" s="2">
        <v>1852</v>
      </c>
      <c r="R229" s="2">
        <v>53</v>
      </c>
      <c r="S229" s="2">
        <v>134</v>
      </c>
      <c r="T229" s="2">
        <v>1.35</v>
      </c>
      <c r="U229" s="2">
        <v>72</v>
      </c>
      <c r="V229" s="2">
        <v>11</v>
      </c>
    </row>
    <row r="230" spans="1:22" x14ac:dyDescent="0.25">
      <c r="A230" t="s">
        <v>267</v>
      </c>
      <c r="B230" t="s">
        <v>268</v>
      </c>
      <c r="C230" t="s">
        <v>196</v>
      </c>
      <c r="D230" t="s">
        <v>211</v>
      </c>
      <c r="E230" t="s">
        <v>211</v>
      </c>
      <c r="F230" t="s">
        <v>111</v>
      </c>
      <c r="G230" s="1">
        <v>1.0620000000000001</v>
      </c>
      <c r="H230" s="2">
        <v>2000</v>
      </c>
      <c r="I230" s="2">
        <v>3899</v>
      </c>
      <c r="J230" s="2">
        <v>7</v>
      </c>
      <c r="K230" s="2">
        <v>9</v>
      </c>
      <c r="L230" s="2">
        <v>19</v>
      </c>
      <c r="M230" s="2">
        <v>2.08</v>
      </c>
      <c r="N230" s="2">
        <v>1165</v>
      </c>
      <c r="O230" s="2">
        <v>1569</v>
      </c>
      <c r="P230" s="2">
        <v>642</v>
      </c>
      <c r="Q230" s="2">
        <v>819</v>
      </c>
      <c r="R230" s="2">
        <v>23</v>
      </c>
      <c r="S230" s="2">
        <v>26</v>
      </c>
      <c r="T230" s="2">
        <v>1.86</v>
      </c>
      <c r="U230" s="2">
        <v>48</v>
      </c>
      <c r="V230" s="2">
        <v>11</v>
      </c>
    </row>
    <row r="231" spans="1:22" x14ac:dyDescent="0.25">
      <c r="A231" t="s">
        <v>417</v>
      </c>
      <c r="B231" t="s">
        <v>401</v>
      </c>
      <c r="C231" t="s">
        <v>405</v>
      </c>
      <c r="D231" t="s">
        <v>30</v>
      </c>
      <c r="E231" t="s">
        <v>253</v>
      </c>
      <c r="F231" t="s">
        <v>4</v>
      </c>
      <c r="G231" s="1">
        <v>1</v>
      </c>
      <c r="H231" s="2">
        <v>4916</v>
      </c>
      <c r="I231" s="2">
        <v>7303</v>
      </c>
      <c r="J231" s="2">
        <v>7</v>
      </c>
      <c r="K231" s="2">
        <v>10</v>
      </c>
      <c r="L231" s="2">
        <v>20</v>
      </c>
      <c r="M231" s="2">
        <v>2.2000000000000002</v>
      </c>
      <c r="N231" s="2">
        <v>3229</v>
      </c>
      <c r="O231" s="2">
        <v>4732</v>
      </c>
      <c r="P231" s="2">
        <v>1989</v>
      </c>
      <c r="Q231" s="2">
        <v>2722</v>
      </c>
      <c r="R231" s="2">
        <v>59</v>
      </c>
      <c r="S231" s="2">
        <v>180</v>
      </c>
      <c r="T231" s="2">
        <v>1.2</v>
      </c>
      <c r="U231" s="2">
        <v>90</v>
      </c>
      <c r="V231" s="2">
        <v>11</v>
      </c>
    </row>
    <row r="232" spans="1:22" x14ac:dyDescent="0.25">
      <c r="A232" t="s">
        <v>271</v>
      </c>
      <c r="B232" t="s">
        <v>268</v>
      </c>
      <c r="C232" t="s">
        <v>196</v>
      </c>
      <c r="D232" t="s">
        <v>211</v>
      </c>
      <c r="E232" t="s">
        <v>211</v>
      </c>
      <c r="F232" t="s">
        <v>111</v>
      </c>
      <c r="G232" s="1">
        <v>1.0620000000000001</v>
      </c>
      <c r="H232" s="2">
        <v>1781</v>
      </c>
      <c r="I232" s="2">
        <v>3730</v>
      </c>
      <c r="J232" s="2">
        <v>7</v>
      </c>
      <c r="K232" s="2">
        <v>10</v>
      </c>
      <c r="L232" s="2">
        <v>20</v>
      </c>
      <c r="M232" s="2">
        <v>2.06</v>
      </c>
      <c r="N232" s="2">
        <v>949</v>
      </c>
      <c r="O232" s="2">
        <v>1331</v>
      </c>
      <c r="P232" s="2">
        <v>550</v>
      </c>
      <c r="Q232" s="2">
        <v>800</v>
      </c>
      <c r="R232" s="2">
        <v>26</v>
      </c>
      <c r="S232" s="2">
        <v>26</v>
      </c>
      <c r="T232" s="2">
        <v>1.61</v>
      </c>
      <c r="U232" s="2">
        <v>44</v>
      </c>
      <c r="V232" s="2">
        <v>8</v>
      </c>
    </row>
    <row r="233" spans="1:22" x14ac:dyDescent="0.25">
      <c r="A233" t="s">
        <v>320</v>
      </c>
      <c r="B233" t="s">
        <v>321</v>
      </c>
      <c r="C233" t="s">
        <v>196</v>
      </c>
      <c r="D233" t="s">
        <v>322</v>
      </c>
      <c r="E233" t="s">
        <v>323</v>
      </c>
      <c r="F233" t="s">
        <v>244</v>
      </c>
      <c r="G233" s="1">
        <v>9.9690000000000001E-2</v>
      </c>
      <c r="H233" s="2">
        <v>2884</v>
      </c>
      <c r="I233" s="2">
        <v>5386</v>
      </c>
      <c r="J233" s="2">
        <v>7</v>
      </c>
      <c r="K233" s="2">
        <v>12</v>
      </c>
      <c r="L233" s="2">
        <v>20</v>
      </c>
      <c r="M233" s="2">
        <v>3.86</v>
      </c>
      <c r="N233" s="2">
        <v>1780</v>
      </c>
      <c r="O233" s="2">
        <v>2266</v>
      </c>
      <c r="P233" s="2">
        <v>1074</v>
      </c>
      <c r="Q233" s="2">
        <v>1382</v>
      </c>
      <c r="R233" s="2">
        <v>45</v>
      </c>
      <c r="S233" s="2">
        <v>95</v>
      </c>
      <c r="T233" s="2">
        <v>2.16</v>
      </c>
      <c r="U233" s="2">
        <v>80</v>
      </c>
      <c r="V233" s="2">
        <v>14</v>
      </c>
    </row>
    <row r="234" spans="1:22" x14ac:dyDescent="0.25">
      <c r="A234" t="s">
        <v>324</v>
      </c>
      <c r="B234" t="s">
        <v>321</v>
      </c>
      <c r="C234" t="s">
        <v>196</v>
      </c>
      <c r="D234" t="s">
        <v>322</v>
      </c>
      <c r="E234" t="s">
        <v>323</v>
      </c>
      <c r="F234" t="s">
        <v>244</v>
      </c>
      <c r="G234" s="1">
        <v>9.9690000000000001E-2</v>
      </c>
      <c r="H234" s="2">
        <v>2382</v>
      </c>
      <c r="I234" s="2">
        <v>4784</v>
      </c>
      <c r="J234" s="2">
        <v>7</v>
      </c>
      <c r="K234" s="2">
        <v>11</v>
      </c>
      <c r="L234" s="2">
        <v>21</v>
      </c>
      <c r="M234" s="2">
        <v>4.24</v>
      </c>
      <c r="N234" s="2">
        <v>1379</v>
      </c>
      <c r="O234" s="2">
        <v>1747</v>
      </c>
      <c r="P234" s="2">
        <v>1238</v>
      </c>
      <c r="Q234" s="2">
        <v>905</v>
      </c>
      <c r="R234" s="2">
        <v>36</v>
      </c>
      <c r="S234" s="2">
        <v>37</v>
      </c>
      <c r="T234" s="2">
        <v>1.61</v>
      </c>
      <c r="U234" s="2">
        <v>85</v>
      </c>
      <c r="V234" s="2">
        <v>10</v>
      </c>
    </row>
    <row r="235" spans="1:22" x14ac:dyDescent="0.25">
      <c r="A235" t="s">
        <v>413</v>
      </c>
      <c r="B235" t="s">
        <v>401</v>
      </c>
      <c r="C235" t="s">
        <v>405</v>
      </c>
      <c r="D235" t="s">
        <v>30</v>
      </c>
      <c r="E235" t="s">
        <v>253</v>
      </c>
      <c r="F235" t="s">
        <v>4</v>
      </c>
      <c r="G235" s="1">
        <v>1</v>
      </c>
      <c r="H235" s="2">
        <v>4097</v>
      </c>
      <c r="I235" s="2">
        <v>6583</v>
      </c>
      <c r="J235" s="2">
        <v>7</v>
      </c>
      <c r="K235" s="2">
        <v>11</v>
      </c>
      <c r="L235" s="2">
        <v>23</v>
      </c>
      <c r="M235" s="2">
        <v>2.99</v>
      </c>
      <c r="N235" s="2">
        <v>2740</v>
      </c>
      <c r="O235" s="2">
        <v>3554</v>
      </c>
      <c r="P235" s="2">
        <v>1869</v>
      </c>
      <c r="Q235" s="2">
        <v>2492</v>
      </c>
      <c r="R235" s="2">
        <v>58</v>
      </c>
      <c r="S235" s="2">
        <v>121</v>
      </c>
      <c r="T235" s="2">
        <v>1.49</v>
      </c>
      <c r="U235" s="2">
        <v>91</v>
      </c>
      <c r="V235" s="2">
        <v>10</v>
      </c>
    </row>
    <row r="236" spans="1:22" x14ac:dyDescent="0.25">
      <c r="A236" t="s">
        <v>69</v>
      </c>
      <c r="B236" t="s">
        <v>66</v>
      </c>
      <c r="C236" t="s">
        <v>23</v>
      </c>
      <c r="D236" t="s">
        <v>67</v>
      </c>
      <c r="E236" t="s">
        <v>30</v>
      </c>
      <c r="F236" t="s">
        <v>68</v>
      </c>
      <c r="G236" s="1">
        <v>0.26850000000000002</v>
      </c>
      <c r="H236" s="2">
        <v>1425</v>
      </c>
      <c r="I236" s="2">
        <v>3450</v>
      </c>
      <c r="J236" s="2">
        <v>8</v>
      </c>
      <c r="K236" s="2">
        <v>9</v>
      </c>
      <c r="L236" s="2">
        <v>16</v>
      </c>
      <c r="M236" s="2">
        <v>2.27</v>
      </c>
      <c r="N236" s="2">
        <v>751</v>
      </c>
      <c r="O236" s="2">
        <v>805</v>
      </c>
      <c r="P236" s="2">
        <v>546</v>
      </c>
      <c r="Q236" s="2">
        <v>760</v>
      </c>
      <c r="R236" s="2">
        <v>46</v>
      </c>
      <c r="S236" s="2">
        <v>45</v>
      </c>
      <c r="T236" s="2">
        <v>0.55000000000000004</v>
      </c>
      <c r="U236" s="2">
        <v>116</v>
      </c>
      <c r="V236" s="2">
        <v>8</v>
      </c>
    </row>
    <row r="237" spans="1:22" x14ac:dyDescent="0.25">
      <c r="A237" t="s">
        <v>414</v>
      </c>
      <c r="B237" t="s">
        <v>401</v>
      </c>
      <c r="C237" t="s">
        <v>405</v>
      </c>
      <c r="D237" t="s">
        <v>30</v>
      </c>
      <c r="E237" t="s">
        <v>253</v>
      </c>
      <c r="F237" t="s">
        <v>4</v>
      </c>
      <c r="G237" s="1">
        <v>1</v>
      </c>
      <c r="H237" s="2">
        <v>3977</v>
      </c>
      <c r="I237" s="2">
        <v>6489</v>
      </c>
      <c r="J237" s="2">
        <v>8</v>
      </c>
      <c r="K237" s="2">
        <v>10</v>
      </c>
      <c r="L237" s="2">
        <v>17</v>
      </c>
      <c r="M237" s="2">
        <v>2.2000000000000002</v>
      </c>
      <c r="N237" s="2">
        <v>2686</v>
      </c>
      <c r="O237" s="2">
        <v>3448</v>
      </c>
      <c r="P237" s="2">
        <v>1678</v>
      </c>
      <c r="Q237" s="2">
        <v>1990</v>
      </c>
      <c r="R237" s="2">
        <v>64</v>
      </c>
      <c r="S237" s="2">
        <v>118</v>
      </c>
      <c r="T237" s="2">
        <v>0.99</v>
      </c>
      <c r="U237" s="2">
        <v>124</v>
      </c>
      <c r="V237" s="2">
        <v>10</v>
      </c>
    </row>
    <row r="238" spans="1:22" x14ac:dyDescent="0.25">
      <c r="A238" t="s">
        <v>419</v>
      </c>
      <c r="B238" t="s">
        <v>401</v>
      </c>
      <c r="C238" t="s">
        <v>405</v>
      </c>
      <c r="D238" t="s">
        <v>30</v>
      </c>
      <c r="E238" t="s">
        <v>253</v>
      </c>
      <c r="F238" t="s">
        <v>4</v>
      </c>
      <c r="G238" s="1">
        <v>1</v>
      </c>
      <c r="H238" s="2">
        <v>3802</v>
      </c>
      <c r="I238" s="2">
        <v>6232</v>
      </c>
      <c r="J238" s="2">
        <v>8</v>
      </c>
      <c r="K238" s="2">
        <v>11</v>
      </c>
      <c r="L238" s="2">
        <v>20</v>
      </c>
      <c r="M238" s="2">
        <v>2.67</v>
      </c>
      <c r="N238" s="2">
        <v>2411</v>
      </c>
      <c r="O238" s="2">
        <v>3387</v>
      </c>
      <c r="P238" s="2">
        <v>1767</v>
      </c>
      <c r="Q238" s="2">
        <v>2242</v>
      </c>
      <c r="R238" s="2">
        <v>38</v>
      </c>
      <c r="S238" s="2">
        <v>163</v>
      </c>
      <c r="T238" s="2">
        <v>1.31</v>
      </c>
      <c r="U238" s="2">
        <v>97</v>
      </c>
      <c r="V238" s="2">
        <v>10</v>
      </c>
    </row>
    <row r="239" spans="1:22" x14ac:dyDescent="0.25">
      <c r="A239" t="s">
        <v>421</v>
      </c>
      <c r="B239" t="s">
        <v>401</v>
      </c>
      <c r="C239" t="s">
        <v>405</v>
      </c>
      <c r="D239" t="s">
        <v>30</v>
      </c>
      <c r="E239" t="s">
        <v>253</v>
      </c>
      <c r="F239" t="s">
        <v>4</v>
      </c>
      <c r="G239" s="1">
        <v>1</v>
      </c>
      <c r="H239" s="2">
        <v>5067</v>
      </c>
      <c r="I239" s="2">
        <v>7569</v>
      </c>
      <c r="J239" s="2">
        <v>8</v>
      </c>
      <c r="K239" s="2">
        <v>14</v>
      </c>
      <c r="L239" s="2">
        <v>20</v>
      </c>
      <c r="M239" s="2">
        <v>2.2599999999999998</v>
      </c>
      <c r="N239" s="2">
        <v>3430</v>
      </c>
      <c r="O239" s="2">
        <v>4630</v>
      </c>
      <c r="P239" s="2">
        <v>2524</v>
      </c>
      <c r="Q239" s="2">
        <v>3705</v>
      </c>
      <c r="R239" s="2">
        <v>52</v>
      </c>
      <c r="S239" s="2">
        <v>132</v>
      </c>
      <c r="T239" s="2">
        <v>1.53</v>
      </c>
      <c r="U239" s="2">
        <v>79</v>
      </c>
      <c r="V239" s="2">
        <v>14</v>
      </c>
    </row>
    <row r="240" spans="1:22" x14ac:dyDescent="0.25">
      <c r="A240" t="s">
        <v>138</v>
      </c>
      <c r="B240" t="s">
        <v>134</v>
      </c>
      <c r="C240" t="s">
        <v>23</v>
      </c>
      <c r="D240" t="s">
        <v>135</v>
      </c>
      <c r="E240" t="s">
        <v>30</v>
      </c>
      <c r="F240" t="s">
        <v>136</v>
      </c>
      <c r="G240" s="1">
        <v>0.28397</v>
      </c>
      <c r="H240" s="2">
        <v>3610</v>
      </c>
      <c r="I240" s="2">
        <v>6083</v>
      </c>
      <c r="J240" s="2">
        <v>8</v>
      </c>
      <c r="K240" s="2">
        <v>16</v>
      </c>
      <c r="L240" s="2">
        <v>20</v>
      </c>
      <c r="M240" s="2">
        <v>3.56</v>
      </c>
      <c r="N240" s="2">
        <v>2244</v>
      </c>
      <c r="O240" s="2">
        <v>3241</v>
      </c>
      <c r="P240" s="2">
        <v>1361</v>
      </c>
      <c r="Q240" s="2">
        <v>1736</v>
      </c>
      <c r="R240" s="2">
        <v>23</v>
      </c>
      <c r="S240" s="2">
        <v>119</v>
      </c>
      <c r="T240" s="2">
        <v>2.0499999999999998</v>
      </c>
      <c r="U240" s="2">
        <v>68</v>
      </c>
      <c r="V240" s="2">
        <v>10</v>
      </c>
    </row>
    <row r="241" spans="1:22" x14ac:dyDescent="0.25">
      <c r="A241" t="s">
        <v>272</v>
      </c>
      <c r="B241" t="s">
        <v>268</v>
      </c>
      <c r="C241" t="s">
        <v>196</v>
      </c>
      <c r="D241" t="s">
        <v>211</v>
      </c>
      <c r="E241" t="s">
        <v>211</v>
      </c>
      <c r="F241" t="s">
        <v>111</v>
      </c>
      <c r="G241" s="1">
        <v>1.0620000000000001</v>
      </c>
      <c r="H241" s="2">
        <v>3346</v>
      </c>
      <c r="I241" s="2">
        <v>5496</v>
      </c>
      <c r="J241" s="2">
        <v>8</v>
      </c>
      <c r="K241" s="2">
        <v>13</v>
      </c>
      <c r="L241" s="2">
        <v>22</v>
      </c>
      <c r="M241" s="2">
        <v>2.2200000000000002</v>
      </c>
      <c r="N241" s="2">
        <v>2310</v>
      </c>
      <c r="O241" s="2">
        <v>2795</v>
      </c>
      <c r="P241" s="2">
        <v>1310</v>
      </c>
      <c r="Q241" s="2">
        <v>1716</v>
      </c>
      <c r="R241" s="2">
        <v>24</v>
      </c>
      <c r="S241" s="2">
        <v>31</v>
      </c>
      <c r="T241" s="2">
        <v>2.09</v>
      </c>
      <c r="U241" s="2">
        <v>80</v>
      </c>
      <c r="V241" s="2">
        <v>10</v>
      </c>
    </row>
    <row r="242" spans="1:22" x14ac:dyDescent="0.25">
      <c r="A242" t="s">
        <v>285</v>
      </c>
      <c r="B242" t="s">
        <v>286</v>
      </c>
      <c r="C242" t="s">
        <v>196</v>
      </c>
      <c r="D242" t="s">
        <v>281</v>
      </c>
      <c r="E242" t="s">
        <v>30</v>
      </c>
      <c r="F242" t="s">
        <v>287</v>
      </c>
      <c r="G242" s="1">
        <v>6.96E-3</v>
      </c>
      <c r="H242" s="2">
        <v>3071</v>
      </c>
      <c r="I242" s="2">
        <v>5904</v>
      </c>
      <c r="J242" s="2">
        <v>8</v>
      </c>
      <c r="K242" s="2">
        <v>17</v>
      </c>
      <c r="L242" s="2">
        <v>25</v>
      </c>
      <c r="M242" s="2">
        <v>2.17</v>
      </c>
      <c r="N242" s="2">
        <v>1887</v>
      </c>
      <c r="O242" s="2">
        <v>2291</v>
      </c>
      <c r="P242" s="2">
        <v>1026</v>
      </c>
      <c r="Q242" s="2">
        <v>1399</v>
      </c>
      <c r="R242" s="2">
        <v>49</v>
      </c>
      <c r="S242" s="2">
        <v>72</v>
      </c>
      <c r="T242" s="2">
        <v>2.06</v>
      </c>
      <c r="U242" s="2">
        <v>93</v>
      </c>
      <c r="V242" s="2">
        <v>12</v>
      </c>
    </row>
    <row r="243" spans="1:22" x14ac:dyDescent="0.25">
      <c r="A243" t="s">
        <v>552</v>
      </c>
      <c r="B243" t="s">
        <v>553</v>
      </c>
      <c r="C243" t="s">
        <v>522</v>
      </c>
      <c r="D243" t="s">
        <v>30</v>
      </c>
      <c r="E243" t="s">
        <v>554</v>
      </c>
      <c r="F243" t="s">
        <v>555</v>
      </c>
      <c r="G243" s="1">
        <v>8.3330000000000001E-2</v>
      </c>
      <c r="H243" s="2">
        <v>1275</v>
      </c>
      <c r="I243" s="2">
        <v>2749</v>
      </c>
      <c r="J243" s="2">
        <v>9</v>
      </c>
      <c r="K243" s="2">
        <v>13</v>
      </c>
      <c r="L243" s="2">
        <v>10</v>
      </c>
      <c r="M243" s="2">
        <v>1.94</v>
      </c>
      <c r="N243" s="2">
        <v>562</v>
      </c>
      <c r="O243" s="2">
        <v>1018</v>
      </c>
      <c r="P243" s="2">
        <v>139</v>
      </c>
      <c r="Q243" s="2">
        <v>760</v>
      </c>
      <c r="R243" s="2">
        <v>25</v>
      </c>
      <c r="S243" s="2">
        <v>26</v>
      </c>
      <c r="T243" s="2">
        <v>0.78</v>
      </c>
      <c r="U243" s="2">
        <v>45</v>
      </c>
      <c r="V243" s="2">
        <v>3.07</v>
      </c>
    </row>
    <row r="244" spans="1:22" x14ac:dyDescent="0.25">
      <c r="A244" t="s">
        <v>412</v>
      </c>
      <c r="B244" t="s">
        <v>401</v>
      </c>
      <c r="C244" t="s">
        <v>405</v>
      </c>
      <c r="D244" t="s">
        <v>30</v>
      </c>
      <c r="E244" t="s">
        <v>253</v>
      </c>
      <c r="F244" t="s">
        <v>4</v>
      </c>
      <c r="G244" s="1">
        <v>1</v>
      </c>
      <c r="H244" s="2">
        <v>6604</v>
      </c>
      <c r="I244" s="2">
        <v>9720</v>
      </c>
      <c r="J244" s="2">
        <v>9</v>
      </c>
      <c r="K244" s="2">
        <v>11</v>
      </c>
      <c r="L244" s="2">
        <v>24</v>
      </c>
      <c r="M244" s="2">
        <v>3.12</v>
      </c>
      <c r="N244" s="2">
        <v>4177</v>
      </c>
      <c r="O244" s="2">
        <v>6851</v>
      </c>
      <c r="P244" s="2">
        <v>2353</v>
      </c>
      <c r="Q244" s="2">
        <v>3743</v>
      </c>
      <c r="R244" s="2">
        <v>67</v>
      </c>
      <c r="S244" s="2">
        <v>144</v>
      </c>
      <c r="T244" s="2">
        <v>1.3</v>
      </c>
      <c r="U244" s="2">
        <v>129</v>
      </c>
      <c r="V244" s="2">
        <v>14</v>
      </c>
    </row>
    <row r="245" spans="1:22" x14ac:dyDescent="0.25">
      <c r="A245" t="s">
        <v>41</v>
      </c>
      <c r="B245" t="s">
        <v>41</v>
      </c>
      <c r="C245" t="s">
        <v>23</v>
      </c>
      <c r="D245" t="s">
        <v>42</v>
      </c>
      <c r="E245" t="s">
        <v>30</v>
      </c>
      <c r="F245" t="s">
        <v>43</v>
      </c>
      <c r="G245" s="1">
        <v>0.74</v>
      </c>
      <c r="H245" s="2">
        <f>10016*G245</f>
        <v>7411.84</v>
      </c>
      <c r="I245" s="2">
        <f>14575*G245</f>
        <v>10785.5</v>
      </c>
      <c r="J245" s="2">
        <f>16*G245</f>
        <v>11.84</v>
      </c>
      <c r="K245" s="2">
        <f>13*G245</f>
        <v>9.6199999999999992</v>
      </c>
      <c r="L245" s="2">
        <f>21*G245</f>
        <v>15.54</v>
      </c>
      <c r="M245" s="2">
        <f>3.81*G245</f>
        <v>2.8193999999999999</v>
      </c>
      <c r="N245" s="2">
        <f>7300*G245</f>
        <v>5402</v>
      </c>
      <c r="O245" s="2">
        <f>8965*G245</f>
        <v>6634.1</v>
      </c>
      <c r="P245" s="2">
        <f>4773*G245</f>
        <v>3532.02</v>
      </c>
      <c r="Q245" s="2">
        <f>6245*G245</f>
        <v>4621.3</v>
      </c>
      <c r="R245" s="2">
        <f>46*G245</f>
        <v>34.04</v>
      </c>
      <c r="S245" s="2">
        <f>93*G245</f>
        <v>68.819999999999993</v>
      </c>
      <c r="T245" s="2">
        <f>3.32*G245</f>
        <v>2.4567999999999999</v>
      </c>
      <c r="U245" s="2">
        <f>159*G245</f>
        <v>117.66</v>
      </c>
      <c r="V245" s="2">
        <f>16*G245</f>
        <v>11.84</v>
      </c>
    </row>
    <row r="246" spans="1:22" x14ac:dyDescent="0.25">
      <c r="A246" t="s">
        <v>301</v>
      </c>
      <c r="B246" t="s">
        <v>302</v>
      </c>
      <c r="C246" t="s">
        <v>196</v>
      </c>
      <c r="D246" t="s">
        <v>201</v>
      </c>
      <c r="E246" t="s">
        <v>201</v>
      </c>
      <c r="F246" t="s">
        <v>303</v>
      </c>
      <c r="G246" s="1">
        <v>1.0780000000000001</v>
      </c>
      <c r="H246" s="2">
        <v>3078</v>
      </c>
      <c r="I246" s="2">
        <v>6354</v>
      </c>
      <c r="J246" s="2">
        <v>12</v>
      </c>
      <c r="K246" s="2">
        <v>18</v>
      </c>
      <c r="L246" s="2">
        <v>26</v>
      </c>
      <c r="M246" s="2">
        <v>3.82</v>
      </c>
      <c r="N246" s="2">
        <v>1654</v>
      </c>
      <c r="O246" s="2">
        <v>2197</v>
      </c>
      <c r="P246" s="2">
        <v>934</v>
      </c>
      <c r="Q246" s="2">
        <v>1296</v>
      </c>
      <c r="R246" s="2">
        <v>32</v>
      </c>
      <c r="S246" s="2">
        <v>86</v>
      </c>
      <c r="T246" s="2">
        <v>1.65</v>
      </c>
      <c r="U246" s="2">
        <v>93</v>
      </c>
      <c r="V246" s="2">
        <v>7</v>
      </c>
    </row>
    <row r="247" spans="1:22" x14ac:dyDescent="0.25">
      <c r="A247" t="s">
        <v>543</v>
      </c>
      <c r="B247" t="s">
        <v>544</v>
      </c>
      <c r="C247" t="s">
        <v>522</v>
      </c>
      <c r="D247" t="s">
        <v>545</v>
      </c>
      <c r="E247" t="s">
        <v>67</v>
      </c>
      <c r="F247" t="s">
        <v>546</v>
      </c>
      <c r="G247" s="1">
        <v>6.6699999999999995E-2</v>
      </c>
      <c r="H247" s="2">
        <v>1443</v>
      </c>
      <c r="I247" s="2">
        <v>4110</v>
      </c>
      <c r="J247" s="2">
        <v>13</v>
      </c>
      <c r="K247" s="2">
        <v>8</v>
      </c>
      <c r="L247" s="2">
        <v>12</v>
      </c>
      <c r="M247" s="2">
        <v>3.6</v>
      </c>
      <c r="N247" s="2">
        <v>416</v>
      </c>
      <c r="O247" s="2">
        <v>853</v>
      </c>
      <c r="P247" s="2">
        <v>314</v>
      </c>
      <c r="Q247" s="2">
        <v>366</v>
      </c>
      <c r="R247" s="2">
        <v>124</v>
      </c>
      <c r="S247" s="2">
        <v>20</v>
      </c>
      <c r="T247" s="2">
        <v>2.11</v>
      </c>
      <c r="U247" s="2">
        <v>124</v>
      </c>
      <c r="V247" s="2">
        <v>4.2300000000000004</v>
      </c>
    </row>
    <row r="248" spans="1:22" x14ac:dyDescent="0.25">
      <c r="A248" t="s">
        <v>372</v>
      </c>
      <c r="B248" t="s">
        <v>371</v>
      </c>
      <c r="C248" t="s">
        <v>196</v>
      </c>
      <c r="D248" t="s">
        <v>211</v>
      </c>
      <c r="E248" t="s">
        <v>201</v>
      </c>
      <c r="F248" t="s">
        <v>303</v>
      </c>
      <c r="G248" s="1">
        <v>1.0780000000000001</v>
      </c>
      <c r="H248" s="2">
        <v>5020</v>
      </c>
      <c r="I248" s="2">
        <v>7925</v>
      </c>
      <c r="J248" s="2">
        <v>13</v>
      </c>
      <c r="K248" s="2">
        <v>17</v>
      </c>
      <c r="L248" s="2">
        <v>31</v>
      </c>
      <c r="M248" s="2">
        <v>2.81</v>
      </c>
      <c r="N248" s="2">
        <v>4300</v>
      </c>
      <c r="O248" s="2">
        <v>3365</v>
      </c>
      <c r="P248" s="2">
        <v>1810</v>
      </c>
      <c r="Q248" s="2">
        <v>2678</v>
      </c>
      <c r="R248" s="2">
        <v>53</v>
      </c>
      <c r="S248" s="2">
        <v>135</v>
      </c>
      <c r="T248" s="2">
        <v>2.13</v>
      </c>
      <c r="U248" s="2">
        <v>75</v>
      </c>
      <c r="V248" s="2">
        <v>10</v>
      </c>
    </row>
    <row r="249" spans="1:22" x14ac:dyDescent="0.25">
      <c r="A249" t="s">
        <v>373</v>
      </c>
      <c r="B249" t="s">
        <v>371</v>
      </c>
      <c r="C249" t="s">
        <v>196</v>
      </c>
      <c r="D249" t="s">
        <v>201</v>
      </c>
      <c r="E249" t="s">
        <v>211</v>
      </c>
      <c r="F249" t="s">
        <v>303</v>
      </c>
      <c r="G249" s="1">
        <v>1.0780000000000001</v>
      </c>
      <c r="H249" s="2">
        <v>4489</v>
      </c>
      <c r="I249" s="2">
        <v>7605</v>
      </c>
      <c r="J249" s="2">
        <v>14</v>
      </c>
      <c r="K249" s="2">
        <v>16</v>
      </c>
      <c r="L249" s="2">
        <v>27</v>
      </c>
      <c r="M249" s="2">
        <v>3.15</v>
      </c>
      <c r="N249" s="2">
        <v>2821</v>
      </c>
      <c r="O249" s="2">
        <v>3949</v>
      </c>
      <c r="P249" s="2">
        <v>1531</v>
      </c>
      <c r="Q249" s="2">
        <v>2141</v>
      </c>
      <c r="R249" s="2">
        <v>54</v>
      </c>
      <c r="S249" s="2">
        <v>146</v>
      </c>
      <c r="T249" s="2">
        <v>2.06</v>
      </c>
      <c r="U249" s="2">
        <v>97</v>
      </c>
      <c r="V249" s="2">
        <v>11</v>
      </c>
    </row>
    <row r="250" spans="1:22" x14ac:dyDescent="0.25">
      <c r="A250" t="s">
        <v>370</v>
      </c>
      <c r="B250" t="s">
        <v>371</v>
      </c>
      <c r="C250" t="s">
        <v>196</v>
      </c>
      <c r="D250" t="s">
        <v>201</v>
      </c>
      <c r="E250" t="s">
        <v>211</v>
      </c>
      <c r="F250" t="s">
        <v>303</v>
      </c>
      <c r="G250" s="1">
        <v>1.0780000000000001</v>
      </c>
      <c r="H250" s="2">
        <v>3566</v>
      </c>
      <c r="I250" s="2">
        <v>6765</v>
      </c>
      <c r="J250" s="2">
        <v>15</v>
      </c>
      <c r="K250" s="2">
        <v>18</v>
      </c>
      <c r="L250" s="2">
        <v>26</v>
      </c>
      <c r="M250" s="2">
        <v>2.73</v>
      </c>
      <c r="N250" s="2">
        <v>2176</v>
      </c>
      <c r="O250" s="2">
        <v>2806</v>
      </c>
      <c r="P250" s="2">
        <v>1102</v>
      </c>
      <c r="Q250" s="2">
        <v>1440</v>
      </c>
      <c r="R250" s="2">
        <v>66</v>
      </c>
      <c r="S250" s="2">
        <v>169</v>
      </c>
      <c r="T250" s="2">
        <v>1.96</v>
      </c>
      <c r="U250" s="2">
        <v>91</v>
      </c>
      <c r="V250" s="2">
        <v>9</v>
      </c>
    </row>
    <row r="251" spans="1:22" x14ac:dyDescent="0.25">
      <c r="A251" t="s">
        <v>504</v>
      </c>
      <c r="B251" t="s">
        <v>505</v>
      </c>
      <c r="C251" t="s">
        <v>405</v>
      </c>
      <c r="D251" t="s">
        <v>253</v>
      </c>
      <c r="E251" t="s">
        <v>30</v>
      </c>
      <c r="F251" t="s">
        <v>4</v>
      </c>
      <c r="G251" s="1">
        <v>1</v>
      </c>
      <c r="H251" s="2">
        <v>3066</v>
      </c>
      <c r="I251" s="2">
        <v>8089</v>
      </c>
      <c r="J251" s="2">
        <v>15</v>
      </c>
      <c r="K251" s="2">
        <v>35</v>
      </c>
      <c r="L251" s="2">
        <v>30</v>
      </c>
      <c r="M251" s="2">
        <v>8</v>
      </c>
      <c r="N251" s="2">
        <v>1277</v>
      </c>
      <c r="O251" s="2">
        <v>1748</v>
      </c>
      <c r="P251" s="2">
        <v>334</v>
      </c>
      <c r="Q251" s="2">
        <v>690</v>
      </c>
      <c r="R251" s="2">
        <v>49</v>
      </c>
      <c r="S251" s="2">
        <v>39</v>
      </c>
      <c r="T251" s="2">
        <v>1.31</v>
      </c>
      <c r="U251" s="2">
        <v>451</v>
      </c>
      <c r="V251" s="2">
        <v>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S W S M V a S X Z Z C j A A A A 9 g A A A B I A H A B D b 2 5 m a W c v U G F j a 2 F n Z S 5 4 b W w g o h g A K K A U A A A A A A A A A A A A A A A A A A A A A A A A A A A A h Y + x D o I w G I R f h X S n L X U x 5 K c M r p K Y m B j W p v x C I x R D i + X d H H w k X 0 G M o m 6 O d / d d c n e / 3 i C f u j a 6 4 O B M b z O S U E 4 i t L q v j K 0 z M v p j v C a 5 h J 3 S J 1 V j N M P W p Z M z G W m 8 P 6 e M h R B o W N F + q J n g P G F l s d 3 r B j s V G + u 8 s h r J p 1 X 9 b x E J h 9 c Y K W j C B R V 8 3 g R s M a E w 9 g u I O X u m P y Z s x t a P A 0 p 0 c V E C W y S w 9 w f 5 A F B L A w Q U A A I A C A B J Z I x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W S M V S i K R 7 g O A A A A E Q A A A B M A H A B G b 3 J t d W x h c y 9 T Z W N 0 a W 9 u M S 5 t I K I Y A C i g F A A A A A A A A A A A A A A A A A A A A A A A A A A A A C t O T S 7 J z M 9 T C I b Q h t Y A U E s B A i 0 A F A A C A A g A S W S M V a S X Z Z C j A A A A 9 g A A A B I A A A A A A A A A A A A A A A A A A A A A A E N v b m Z p Z y 9 Q Y W N r Y W d l L n h t b F B L A Q I t A B Q A A g A I A E l k j F U P y u m r p A A A A O k A A A A T A A A A A A A A A A A A A A A A A O 8 A A A B b Q 2 9 u d G V u d F 9 U e X B l c 1 0 u e G 1 s U E s B A i 0 A F A A C A A g A S W S M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z T 0 h Y c c p d G i M 6 F V Z V l 6 K o A A A A A A g A A A A A A E G Y A A A A B A A A g A A A A Q R D s X c 9 o p 5 E + 8 m O u Y j c l y A N d 5 l C S l S x k I I R 2 H v + H R x s A A A A A D o A A A A A C A A A g A A A A Z Q B f y 8 7 J G V 7 b Q 2 w u E h q J F Q N W 0 F 9 b W J u o s J p q 4 5 F E J s N Q A A A A B 1 r t v 4 Q I S B + E v c r r C G p X u O z A q M 4 i z i M T k G Z w 7 q p T s k s g J E N s R c l d L u c y Q o O E Q m j 5 v M t X 4 m a v z 0 x W 2 w 0 4 y / s w X Z 1 Y 5 I l 2 W e + 2 N x s S p W L R X s 1 A A A A A C r s X B B M I p P c i F i d i e u m 7 Z K p A l Q 6 P q k v I T X Y U B 0 / x b + P z Z z E u b 1 r X 1 s S Z 6 Q b G q P H O X j l n 0 J c 2 d 8 p b p J G T E B a V l w = = < / D a t a M a s h u p > 
</file>

<file path=customXml/itemProps1.xml><?xml version="1.0" encoding="utf-8"?>
<ds:datastoreItem xmlns:ds="http://schemas.openxmlformats.org/officeDocument/2006/customXml" ds:itemID="{F3A26C7B-8FD8-427B-AC6E-CFFE2B1E8D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Torres</dc:creator>
  <cp:lastModifiedBy>Christian Torres</cp:lastModifiedBy>
  <dcterms:created xsi:type="dcterms:W3CDTF">2022-12-12T18:05:55Z</dcterms:created>
  <dcterms:modified xsi:type="dcterms:W3CDTF">2023-01-15T01:36:54Z</dcterms:modified>
</cp:coreProperties>
</file>