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jpeg" Extension="jpg"/>
  <Default ContentType="image/png" Extension="png"/>
  <Default ContentType="application/vnd.openxmlformats-package.relationships+xml" Extension="rels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worksheet+xml" PartName="/xl/worksheets/sheet2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comments+xml" PartName="/xl/comments1.xml"/>
  <Override ContentType="application/vnd.openxmlformats-package.core-properties+xml" PartName="/docProps/core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âmetros" sheetId="1" r:id="rId4"/>
    <sheet state="visible" name="Solução @cruise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6">
      <text>
        <t xml:space="preserve">WS Solution:
https://www.digitaldutch.com/atmoscalc/index.htm 9100+-</t>
      </text>
    </comment>
    <comment authorId="0" ref="M8">
      <text>
        <t xml:space="preserve">WS Solution:
descobrir pq é v^2 /1000 para achar h1 isso é o volume?
</t>
      </text>
    </comment>
    <comment authorId="0" ref="H9">
      <text>
        <t xml:space="preserve">WS Solution:
interpolacao com Tamb e Pam
</t>
      </text>
    </comment>
  </commentList>
</comments>
</file>

<file path=xl/sharedStrings.xml><?xml version="1.0" encoding="utf-8"?>
<sst xmlns="http://schemas.openxmlformats.org/spreadsheetml/2006/main" count="154" uniqueCount="111">
  <si>
    <t>Propriedades do ar a 9900 metros tomadas de</t>
  </si>
  <si>
    <t>http://www.digitaldutch.com/atmoscalc/</t>
  </si>
  <si>
    <t>Engine like PW JT3C-7 (Boeing 707)</t>
  </si>
  <si>
    <t>Parameters</t>
  </si>
  <si>
    <t>Avião a jato voando a 260m/s, a 9900 metros</t>
  </si>
  <si>
    <t>m_air @ ISSO</t>
  </si>
  <si>
    <t>kg/s</t>
  </si>
  <si>
    <t>Propriedades</t>
  </si>
  <si>
    <t>Dados</t>
  </si>
  <si>
    <t>Resultados</t>
  </si>
  <si>
    <t>Interpolações</t>
  </si>
  <si>
    <t>pres_ratio</t>
  </si>
  <si>
    <t>12,5 -&gt; Inutil</t>
  </si>
  <si>
    <t>Procedimento tabelas do ar</t>
  </si>
  <si>
    <t>Thrust_max</t>
  </si>
  <si>
    <t>N</t>
  </si>
  <si>
    <t>at take-off</t>
  </si>
  <si>
    <t>Tamb</t>
  </si>
  <si>
    <t>C</t>
  </si>
  <si>
    <t>rp comp</t>
  </si>
  <si>
    <t>m comb</t>
  </si>
  <si>
    <t>T [K]</t>
  </si>
  <si>
    <t>h [kJ/kg]</t>
  </si>
  <si>
    <t>pr</t>
  </si>
  <si>
    <t>Thrust_cruise</t>
  </si>
  <si>
    <t>K</t>
  </si>
  <si>
    <t>Fuel specific consumption</t>
  </si>
  <si>
    <t>pamb</t>
  </si>
  <si>
    <t>kPa</t>
  </si>
  <si>
    <t>V in</t>
  </si>
  <si>
    <t>?</t>
  </si>
  <si>
    <t>kg/h</t>
  </si>
  <si>
    <t>g/kN/s</t>
  </si>
  <si>
    <t>hamb</t>
  </si>
  <si>
    <t>kJ/kg</t>
  </si>
  <si>
    <t>at cruise</t>
  </si>
  <si>
    <t>pramb</t>
  </si>
  <si>
    <t>m ar in</t>
  </si>
  <si>
    <t xml:space="preserve"> @ cruise</t>
  </si>
  <si>
    <t>W comp</t>
  </si>
  <si>
    <t>kW</t>
  </si>
  <si>
    <t>p/ T1</t>
  </si>
  <si>
    <t>Fuel consumption</t>
  </si>
  <si>
    <t>kW/kg</t>
  </si>
  <si>
    <t>m_fuel</t>
  </si>
  <si>
    <t>g/s</t>
  </si>
  <si>
    <t>T1</t>
  </si>
  <si>
    <t>PCI</t>
  </si>
  <si>
    <t>W expansor</t>
  </si>
  <si>
    <t>pr1</t>
  </si>
  <si>
    <t>p1</t>
  </si>
  <si>
    <t>efi comp</t>
  </si>
  <si>
    <t>V exaustão</t>
  </si>
  <si>
    <t>h1 ?????</t>
  </si>
  <si>
    <t>p/ T2s</t>
  </si>
  <si>
    <t>T_ISO</t>
  </si>
  <si>
    <t>efi expan</t>
  </si>
  <si>
    <t>F empuxo</t>
  </si>
  <si>
    <t>T2s</t>
  </si>
  <si>
    <t>p_ISO</t>
  </si>
  <si>
    <t>pr2</t>
  </si>
  <si>
    <t>delta p</t>
  </si>
  <si>
    <t>v_ISO</t>
  </si>
  <si>
    <t>m3/kg</t>
  </si>
  <si>
    <t>p2</t>
  </si>
  <si>
    <t>TSFC</t>
  </si>
  <si>
    <t>kg/kN.h</t>
  </si>
  <si>
    <t>Rar</t>
  </si>
  <si>
    <t>kJ/kg.C</t>
  </si>
  <si>
    <t>h2s</t>
  </si>
  <si>
    <t>R ar</t>
  </si>
  <si>
    <t>lb/lbf.h</t>
  </si>
  <si>
    <t>p/ T2</t>
  </si>
  <si>
    <t>T2</t>
  </si>
  <si>
    <t>v</t>
  </si>
  <si>
    <t>Specific thrust</t>
  </si>
  <si>
    <t>N/kg/s_air</t>
  </si>
  <si>
    <t>density</t>
  </si>
  <si>
    <t>kg/m3</t>
  </si>
  <si>
    <t>Fuel spec consumption</t>
  </si>
  <si>
    <t>h2</t>
  </si>
  <si>
    <t>air flow</t>
  </si>
  <si>
    <t>m3/s</t>
  </si>
  <si>
    <t>Desvios em relação à PW</t>
  </si>
  <si>
    <t>p/ T3</t>
  </si>
  <si>
    <t>T3</t>
  </si>
  <si>
    <t>Frontal A</t>
  </si>
  <si>
    <t>m2</t>
  </si>
  <si>
    <t>Fuel spec. consumption</t>
  </si>
  <si>
    <t>pr3</t>
  </si>
  <si>
    <t>Thrust</t>
  </si>
  <si>
    <t>p3</t>
  </si>
  <si>
    <t>Diameter</t>
  </si>
  <si>
    <t>m</t>
  </si>
  <si>
    <t>h3 ?????</t>
  </si>
  <si>
    <t>inches</t>
  </si>
  <si>
    <t>p/ T4s</t>
  </si>
  <si>
    <t>T4s</t>
  </si>
  <si>
    <t>pr4s</t>
  </si>
  <si>
    <t>p4</t>
  </si>
  <si>
    <t>h4s</t>
  </si>
  <si>
    <t>p/ T4</t>
  </si>
  <si>
    <t>T4</t>
  </si>
  <si>
    <t>pr4</t>
  </si>
  <si>
    <t>p4 ???? Pq é igual se pr é diferente</t>
  </si>
  <si>
    <t>h4</t>
  </si>
  <si>
    <t>p/ T5</t>
  </si>
  <si>
    <t>T5</t>
  </si>
  <si>
    <t>pr5</t>
  </si>
  <si>
    <t>p5</t>
  </si>
  <si>
    <t>h5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</si>
</sst>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000"/>
    <numFmt numFmtId="166" formatCode="0.0"/>
    <numFmt numFmtId="167" formatCode="0.0%"/>
  </numFmts>
  <fonts count="4">
    <font>
      <sz val="11.0"/>
      <color rgb="FF000000"/>
      <name val="Calibri"/>
    </font>
    <font>
      <u/>
      <sz val="11.0"/>
      <color rgb="FF0563C1"/>
      <name val="Calibri"/>
    </font>
    <font>
      <sz val="11.0"/>
      <color rgb="FFFF0000"/>
      <name val="Calibri"/>
    </font>
    <font>
      <b/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  <fill>
      <patternFill patternType="solid">
        <fgColor rgb="FFD8D8D8"/>
        <bgColor rgb="FFD8D8D8"/>
      </patternFill>
    </fill>
    <fill>
      <patternFill patternType="solid">
        <fgColor rgb="FFADB9CA"/>
        <bgColor rgb="FFADB9CA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7030A0"/>
        <bgColor rgb="FF7030A0"/>
      </patternFill>
    </fill>
    <fill>
      <patternFill patternType="solid">
        <fgColor rgb="FF548135"/>
        <bgColor rgb="FF548135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8EAADB"/>
        <bgColor rgb="FF8EAADB"/>
      </patternFill>
    </fill>
    <fill>
      <patternFill patternType="solid">
        <fgColor rgb="FF385623"/>
        <bgColor rgb="FF38562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0" numFmtId="0" xfId="0" applyBorder="1" applyFill="1" applyFont="1"/>
    <xf borderId="1" fillId="2" fontId="0" numFmtId="2" xfId="0" applyBorder="1" applyFont="1" applyNumberFormat="1"/>
    <xf borderId="1" fillId="3" fontId="0" numFmtId="0" xfId="0" applyBorder="1" applyFill="1" applyFont="1"/>
    <xf borderId="0" fillId="0" fontId="0" numFmtId="0" xfId="0" applyFont="1"/>
    <xf borderId="1" fillId="4" fontId="0" numFmtId="0" xfId="0" applyBorder="1" applyFill="1" applyFont="1"/>
    <xf borderId="1" fillId="4" fontId="0" numFmtId="2" xfId="0" applyBorder="1" applyFont="1" applyNumberFormat="1"/>
    <xf borderId="1" fillId="5" fontId="0" numFmtId="0" xfId="0" applyBorder="1" applyFill="1" applyFont="1"/>
    <xf borderId="1" fillId="6" fontId="0" numFmtId="0" xfId="0" applyBorder="1" applyFill="1" applyFont="1"/>
    <xf borderId="1" fillId="2" fontId="2" numFmtId="2" xfId="0" applyBorder="1" applyFont="1" applyNumberFormat="1"/>
    <xf borderId="1" fillId="4" fontId="0" numFmtId="164" xfId="0" applyBorder="1" applyFont="1" applyNumberFormat="1"/>
    <xf borderId="1" fillId="2" fontId="0" numFmtId="3" xfId="0" applyBorder="1" applyFont="1" applyNumberFormat="1"/>
    <xf borderId="1" fillId="7" fontId="0" numFmtId="0" xfId="0" applyAlignment="1" applyBorder="1" applyFill="1" applyFont="1">
      <alignment readingOrder="0"/>
    </xf>
    <xf borderId="1" fillId="8" fontId="3" numFmtId="164" xfId="0" applyBorder="1" applyFill="1" applyFont="1" applyNumberFormat="1"/>
    <xf borderId="1" fillId="9" fontId="0" numFmtId="2" xfId="0" applyBorder="1" applyFill="1" applyFont="1" applyNumberFormat="1"/>
    <xf borderId="1" fillId="7" fontId="0" numFmtId="0" xfId="0" applyBorder="1" applyFont="1"/>
    <xf borderId="1" fillId="10" fontId="0" numFmtId="0" xfId="0" applyBorder="1" applyFill="1" applyFont="1"/>
    <xf borderId="1" fillId="9" fontId="0" numFmtId="3" xfId="0" applyBorder="1" applyFont="1" applyNumberFormat="1"/>
    <xf borderId="1" fillId="6" fontId="0" numFmtId="165" xfId="0" applyBorder="1" applyFont="1" applyNumberFormat="1"/>
    <xf borderId="1" fillId="11" fontId="0" numFmtId="0" xfId="0" applyBorder="1" applyFill="1" applyFont="1"/>
    <xf borderId="1" fillId="12" fontId="0" numFmtId="0" xfId="0" applyBorder="1" applyFill="1" applyFont="1"/>
    <xf borderId="1" fillId="12" fontId="0" numFmtId="165" xfId="0" applyBorder="1" applyFont="1" applyNumberFormat="1"/>
    <xf borderId="1" fillId="5" fontId="0" numFmtId="3" xfId="0" applyBorder="1" applyFont="1" applyNumberFormat="1"/>
    <xf borderId="1" fillId="12" fontId="0" numFmtId="2" xfId="0" applyBorder="1" applyFont="1" applyNumberFormat="1"/>
    <xf borderId="0" fillId="0" fontId="0" numFmtId="166" xfId="0" applyFont="1" applyNumberFormat="1"/>
    <xf borderId="1" fillId="9" fontId="0" numFmtId="166" xfId="0" applyBorder="1" applyFont="1" applyNumberFormat="1"/>
    <xf borderId="0" fillId="0" fontId="0" numFmtId="165" xfId="0" applyFont="1" applyNumberFormat="1"/>
    <xf borderId="1" fillId="9" fontId="0" numFmtId="165" xfId="0" applyBorder="1" applyFont="1" applyNumberFormat="1"/>
    <xf borderId="1" fillId="6" fontId="0" numFmtId="2" xfId="0" applyBorder="1" applyFont="1" applyNumberFormat="1"/>
    <xf borderId="1" fillId="11" fontId="0" numFmtId="2" xfId="0" applyBorder="1" applyFont="1" applyNumberFormat="1"/>
    <xf borderId="1" fillId="8" fontId="3" numFmtId="3" xfId="0" applyBorder="1" applyFont="1" applyNumberFormat="1"/>
    <xf borderId="1" fillId="3" fontId="0" numFmtId="166" xfId="0" applyBorder="1" applyFont="1" applyNumberFormat="1"/>
    <xf borderId="1" fillId="11" fontId="0" numFmtId="167" xfId="0" applyBorder="1" applyFont="1" applyNumberFormat="1"/>
    <xf borderId="1" fillId="9" fontId="0" numFmtId="164" xfId="0" applyBorder="1" applyFont="1" applyNumberFormat="1"/>
    <xf borderId="0" fillId="0" fontId="0" numFmtId="164" xfId="0" applyFont="1" applyNumberFormat="1"/>
    <xf borderId="1" fillId="13" fontId="3" numFmtId="0" xfId="0" applyBorder="1" applyFill="1" applyFont="1"/>
    <xf borderId="1" fillId="13" fontId="0" numFmtId="0" xfId="0" applyBorder="1" applyFont="1"/>
    <xf borderId="1" fillId="9" fontId="3" numFmtId="166" xfId="0" applyBorder="1" applyFont="1" applyNumberFormat="1"/>
    <xf borderId="1" fillId="8" fontId="3" numFmtId="166" xfId="0" applyBorder="1" applyFont="1" applyNumberFormat="1"/>
    <xf borderId="0" fillId="0" fontId="0" numFmtId="2" xfId="0" applyFont="1" applyNumberFormat="1"/>
    <xf borderId="1" fillId="12" fontId="0" numFmtId="166" xfId="0" applyBorder="1" applyFont="1" applyNumberFormat="1"/>
    <xf borderId="1" fillId="8" fontId="0" numFmtId="10" xfId="0" applyBorder="1" applyFont="1" applyNumberFormat="1"/>
    <xf borderId="1" fillId="14" fontId="0" numFmtId="0" xfId="0" applyBorder="1" applyFill="1" applyFont="1"/>
    <xf borderId="1" fillId="6" fontId="0" numFmtId="164" xfId="0" applyBorder="1" applyFont="1" applyNumberFormat="1"/>
    <xf borderId="1" fillId="12" fontId="0" numFmtId="164" xfId="0" applyBorder="1" applyFont="1" applyNumberFormat="1"/>
    <xf borderId="1" fillId="9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1" Type="http://schemas.openxmlformats.org/officeDocument/2006/relationships/theme" Target="theme/theme1.xml"/></Relationships>
</file>

<file path=xl/drawings/_rels/drawing1.xml.rels><?xml version="1.0" encoding="UTF-8" standalone="yes"?>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67325" cy="2238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267325" cy="22383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0</xdr:row>
      <xdr:rowOff>0</xdr:rowOff>
    </xdr:from>
    <xdr:ext cx="5305425" cy="34956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5305425" cy="34956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" Type="http://schemas.openxmlformats.org/officeDocument/2006/relationships/vmlDrawing" Target="../drawings/vmlDrawing1.vml"/><Relationship Id="rId3" Type="http://schemas.openxmlformats.org/officeDocument/2006/relationships/drawing" Target="../drawings/drawing2.xml"/><Relationship Id="rId2" Type="http://schemas.openxmlformats.org/officeDocument/2006/relationships/hyperlink" Target="http://www.digitaldutch.com/atmoscalc/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29"/>
    <col customWidth="1" min="3" max="16" width="8.71"/>
    <col customWidth="1" min="17" max="17" width="10.71"/>
    <col customWidth="1" min="18" max="26" width="8.71"/>
    <col customWidth="1" min="27" max="27" width="9.29"/>
  </cols>
  <sheetData>
    <row r="1">
      <c r="G1" t="s">
        <v>0</v>
      </c>
      <c r="L1" s="1" t="s">
        <v>1</v>
      </c>
    </row>
    <row r="2">
      <c r="B2" t="s">
        <v>2</v>
      </c>
    </row>
    <row r="3">
      <c r="B3" t="s">
        <v>3</v>
      </c>
      <c r="G3" s="2" t="s">
        <v>4</v>
      </c>
      <c r="H3" s="2"/>
      <c r="I3" s="2"/>
      <c r="J3" s="2"/>
      <c r="K3" s="2"/>
    </row>
    <row r="4">
      <c r="B4" t="s">
        <v>5</v>
      </c>
      <c r="C4" s="3">
        <v>81.65</v>
      </c>
      <c r="D4" t="s">
        <v>6</v>
      </c>
      <c r="G4" s="4" t="s">
        <v>7</v>
      </c>
      <c r="H4" s="4"/>
      <c r="I4" s="4"/>
      <c r="J4" s="5"/>
      <c r="K4" s="6" t="s">
        <v>8</v>
      </c>
      <c r="L4" s="6"/>
      <c r="M4" s="6"/>
      <c r="N4" s="7"/>
      <c r="P4" s="8" t="s">
        <v>9</v>
      </c>
      <c r="Q4" s="8"/>
      <c r="R4" s="8"/>
      <c r="U4" s="9" t="s">
        <v>10</v>
      </c>
      <c r="V4" s="9"/>
      <c r="W4" s="9"/>
      <c r="X4" s="9"/>
    </row>
    <row r="5">
      <c r="B5" t="s">
        <v>11</v>
      </c>
      <c r="C5" s="10" t="s">
        <v>12</v>
      </c>
      <c r="G5" s="4" t="s">
        <v>13</v>
      </c>
      <c r="H5" s="4"/>
      <c r="I5" s="4"/>
      <c r="J5" s="5"/>
      <c r="K5" s="6"/>
      <c r="L5" s="6"/>
      <c r="M5" s="6"/>
      <c r="N5" s="11"/>
      <c r="P5" s="8"/>
      <c r="Q5" s="8"/>
      <c r="R5" s="8"/>
      <c r="U5" s="9"/>
      <c r="V5" s="9"/>
      <c r="W5" s="9"/>
      <c r="X5" s="9"/>
    </row>
    <row r="6">
      <c r="B6" t="s">
        <v>14</v>
      </c>
      <c r="C6" s="12">
        <v>53500.0</v>
      </c>
      <c r="D6" t="s">
        <v>15</v>
      </c>
      <c r="E6" t="s">
        <v>16</v>
      </c>
      <c r="G6" s="4" t="s">
        <v>17</v>
      </c>
      <c r="H6" s="13">
        <v>-43.15</v>
      </c>
      <c r="I6" s="4" t="s">
        <v>18</v>
      </c>
      <c r="J6" s="5"/>
      <c r="K6" s="6" t="s">
        <v>19</v>
      </c>
      <c r="L6" s="2">
        <v>12.5</v>
      </c>
      <c r="M6" s="6"/>
      <c r="N6" s="11"/>
      <c r="P6" s="8" t="s">
        <v>20</v>
      </c>
      <c r="Q6" s="14" t="str">
        <f>(L10*(H30-H24))/(L12-H30)</f>
        <v>0.406</v>
      </c>
      <c r="R6" s="8" t="s">
        <v>6</v>
      </c>
      <c r="U6" s="9"/>
      <c r="V6" s="9" t="s">
        <v>21</v>
      </c>
      <c r="W6" s="9" t="s">
        <v>22</v>
      </c>
      <c r="X6" s="9" t="s">
        <v>23</v>
      </c>
    </row>
    <row r="7">
      <c r="B7" t="s">
        <v>24</v>
      </c>
      <c r="C7" s="12">
        <v>15800.0</v>
      </c>
      <c r="D7" t="s">
        <v>15</v>
      </c>
      <c r="G7" s="4"/>
      <c r="H7" s="15" t="str">
        <f>273.15+H6</f>
        <v>230.00</v>
      </c>
      <c r="I7" s="4" t="s">
        <v>25</v>
      </c>
      <c r="J7" s="5"/>
      <c r="K7" s="6"/>
      <c r="L7" s="6"/>
      <c r="M7" s="6"/>
      <c r="N7" s="11"/>
      <c r="P7" s="8"/>
      <c r="Q7" s="8"/>
      <c r="R7" s="8"/>
      <c r="U7" s="9"/>
      <c r="V7" s="9">
        <v>260.0</v>
      </c>
      <c r="W7" s="9">
        <v>260.09</v>
      </c>
      <c r="X7" s="9">
        <v>0.8405</v>
      </c>
    </row>
    <row r="8">
      <c r="B8" t="s">
        <v>26</v>
      </c>
      <c r="C8" s="2"/>
      <c r="G8" s="4" t="s">
        <v>27</v>
      </c>
      <c r="H8" s="16">
        <v>31.2</v>
      </c>
      <c r="I8" s="4" t="s">
        <v>28</v>
      </c>
      <c r="J8" s="5"/>
      <c r="K8" s="6" t="s">
        <v>29</v>
      </c>
      <c r="L8" s="17">
        <v>260.0</v>
      </c>
      <c r="M8" s="6" t="s">
        <v>30</v>
      </c>
      <c r="N8" s="11"/>
      <c r="P8" s="8" t="s">
        <v>20</v>
      </c>
      <c r="Q8" s="18" t="str">
        <f>Q6*3600</f>
        <v>1,463</v>
      </c>
      <c r="R8" s="8" t="s">
        <v>31</v>
      </c>
      <c r="U8" s="9"/>
      <c r="V8" s="9">
        <v>270.0</v>
      </c>
      <c r="W8" s="9">
        <v>270.11</v>
      </c>
      <c r="X8" s="19">
        <v>0.959</v>
      </c>
    </row>
    <row r="9">
      <c r="B9" t="s">
        <v>16</v>
      </c>
      <c r="C9" s="2">
        <v>22.2</v>
      </c>
      <c r="D9" t="s">
        <v>32</v>
      </c>
      <c r="G9" s="4" t="s">
        <v>33</v>
      </c>
      <c r="H9" s="20">
        <v>230.02</v>
      </c>
      <c r="I9" s="4" t="s">
        <v>34</v>
      </c>
      <c r="J9" s="5"/>
      <c r="K9" s="6"/>
      <c r="L9" s="6"/>
      <c r="M9" s="6"/>
      <c r="N9" s="6"/>
      <c r="P9" s="8"/>
      <c r="Q9" s="8"/>
      <c r="R9" s="8"/>
      <c r="U9" s="9"/>
      <c r="V9" s="21" t="str">
        <f t="shared" ref="V9:X9" si="1">V8-V7</f>
        <v>10</v>
      </c>
      <c r="W9" s="21" t="str">
        <f t="shared" si="1"/>
        <v>10.02</v>
      </c>
      <c r="X9" s="22" t="str">
        <f t="shared" si="1"/>
        <v>0.1185</v>
      </c>
    </row>
    <row r="10">
      <c r="B10" t="s">
        <v>35</v>
      </c>
      <c r="C10" s="2">
        <v>25.7</v>
      </c>
      <c r="D10" t="s">
        <v>32</v>
      </c>
      <c r="G10" s="4" t="s">
        <v>36</v>
      </c>
      <c r="H10" s="20">
        <v>0.5477</v>
      </c>
      <c r="I10" s="4"/>
      <c r="J10" s="5"/>
      <c r="K10" s="6" t="s">
        <v>37</v>
      </c>
      <c r="L10" s="15" t="str">
        <f>C4*C19/L22</f>
        <v>31.51</v>
      </c>
      <c r="M10" s="6" t="s">
        <v>6</v>
      </c>
      <c r="N10" s="11" t="s">
        <v>38</v>
      </c>
      <c r="P10" s="8" t="s">
        <v>39</v>
      </c>
      <c r="Q10" s="18" t="str">
        <f>L10*(H24-H15)</f>
        <v>10,138</v>
      </c>
      <c r="R10" s="23" t="s">
        <v>40</v>
      </c>
      <c r="U10" s="9" t="s">
        <v>41</v>
      </c>
      <c r="V10" s="24" t="str">
        <f>V9*W10/W9</f>
        <v>3.72</v>
      </c>
      <c r="W10" s="24" t="str">
        <f>H15-W7</f>
        <v>3.73</v>
      </c>
      <c r="X10" s="22" t="str">
        <f>W10*X9/W9</f>
        <v>0.0441</v>
      </c>
    </row>
    <row r="11">
      <c r="B11" t="s">
        <v>42</v>
      </c>
      <c r="G11" s="4"/>
      <c r="H11" s="4"/>
      <c r="I11" s="4"/>
      <c r="J11" s="5"/>
      <c r="K11" s="6"/>
      <c r="L11" s="6"/>
      <c r="M11" s="6"/>
      <c r="N11" s="6"/>
      <c r="P11" s="8"/>
      <c r="Q11" s="15" t="str">
        <f>Q10/L10</f>
        <v>321.76</v>
      </c>
      <c r="R11" s="8" t="s">
        <v>43</v>
      </c>
      <c r="U11" s="9"/>
      <c r="V11" s="9"/>
      <c r="W11" s="9"/>
      <c r="X11" s="9"/>
    </row>
    <row r="12">
      <c r="B12" t="s">
        <v>44</v>
      </c>
      <c r="C12" s="18" t="str">
        <f t="shared" ref="C12:C13" si="2">C9*C6/1000</f>
        <v>1,188</v>
      </c>
      <c r="D12" t="s">
        <v>45</v>
      </c>
      <c r="E12" t="s">
        <v>16</v>
      </c>
      <c r="F12" s="25"/>
      <c r="G12" s="4" t="s">
        <v>46</v>
      </c>
      <c r="H12" s="26" t="str">
        <f>V7+V10</f>
        <v>263.7</v>
      </c>
      <c r="I12" s="4" t="s">
        <v>25</v>
      </c>
      <c r="J12" s="5"/>
      <c r="K12" s="6" t="s">
        <v>47</v>
      </c>
      <c r="L12" s="2">
        <v>42800.0</v>
      </c>
      <c r="M12" s="6" t="s">
        <v>34</v>
      </c>
      <c r="N12" s="6"/>
      <c r="P12" s="8" t="s">
        <v>48</v>
      </c>
      <c r="Q12" s="18" t="str">
        <f>Q10</f>
        <v>10,138</v>
      </c>
      <c r="R12" s="23" t="s">
        <v>40</v>
      </c>
      <c r="U12" s="9"/>
      <c r="V12" s="9">
        <v>530.0</v>
      </c>
      <c r="W12" s="9">
        <v>533.98</v>
      </c>
      <c r="X12" s="9">
        <v>10.37</v>
      </c>
      <c r="AA12" s="27"/>
    </row>
    <row r="13">
      <c r="B13" t="s">
        <v>44</v>
      </c>
      <c r="C13" s="18" t="str">
        <f t="shared" si="2"/>
        <v>406</v>
      </c>
      <c r="D13" t="s">
        <v>45</v>
      </c>
      <c r="E13" t="s">
        <v>35</v>
      </c>
      <c r="G13" s="4" t="s">
        <v>49</v>
      </c>
      <c r="H13" s="28" t="str">
        <f>X7+X10</f>
        <v>0.8846</v>
      </c>
      <c r="I13" s="4"/>
      <c r="J13" s="5"/>
      <c r="K13" s="6"/>
      <c r="L13" s="6"/>
      <c r="M13" s="6"/>
      <c r="N13" s="6"/>
      <c r="P13" s="8"/>
      <c r="Q13" s="15" t="str">
        <f>Q12/(L10+Q6)</f>
        <v>317.66</v>
      </c>
      <c r="R13" s="8" t="s">
        <v>43</v>
      </c>
      <c r="U13" s="9"/>
      <c r="V13" s="9">
        <v>540.0</v>
      </c>
      <c r="W13" s="9">
        <v>544.35</v>
      </c>
      <c r="X13" s="29">
        <v>11.1</v>
      </c>
    </row>
    <row r="14">
      <c r="G14" s="4" t="s">
        <v>50</v>
      </c>
      <c r="H14" s="15" t="str">
        <f>H13/H10*H8</f>
        <v>50.39</v>
      </c>
      <c r="I14" s="4" t="s">
        <v>28</v>
      </c>
      <c r="J14" s="5"/>
      <c r="K14" s="6" t="s">
        <v>51</v>
      </c>
      <c r="L14" s="30">
        <v>0.87</v>
      </c>
      <c r="M14" s="6"/>
      <c r="N14" s="6"/>
      <c r="P14" s="8" t="s">
        <v>52</v>
      </c>
      <c r="Q14" s="8"/>
      <c r="R14" s="26" t="str">
        <f>(2*(H40-H45)*1000)^0.5</f>
        <v>757.9</v>
      </c>
      <c r="U14" s="9"/>
      <c r="V14" s="21" t="str">
        <f t="shared" ref="V14:X14" si="3">V13-V12</f>
        <v>10</v>
      </c>
      <c r="W14" s="21" t="str">
        <f t="shared" si="3"/>
        <v>10.37</v>
      </c>
      <c r="X14" s="24" t="str">
        <f t="shared" si="3"/>
        <v>0.73</v>
      </c>
    </row>
    <row r="15">
      <c r="G15" s="4" t="s">
        <v>53</v>
      </c>
      <c r="H15" s="17" t="str">
        <f>H9+(L8^2)/2/1000</f>
        <v>263.82</v>
      </c>
      <c r="I15" s="4" t="s">
        <v>34</v>
      </c>
      <c r="J15" s="5"/>
      <c r="K15" s="6"/>
      <c r="L15" s="6"/>
      <c r="M15" s="6"/>
      <c r="N15" s="6"/>
      <c r="P15" s="8"/>
      <c r="Q15" s="8"/>
      <c r="R15" s="8"/>
      <c r="U15" s="9" t="s">
        <v>54</v>
      </c>
      <c r="V15" s="24" t="str">
        <f>V14*X15/X14</f>
        <v>9.42</v>
      </c>
      <c r="W15" s="24" t="str">
        <f>W14*X15/X14</f>
        <v>9.77</v>
      </c>
      <c r="X15" s="22" t="str">
        <f>H18-X12</f>
        <v>0.6877</v>
      </c>
    </row>
    <row r="16">
      <c r="B16" s="4" t="s">
        <v>55</v>
      </c>
      <c r="C16" s="4">
        <v>15.0</v>
      </c>
      <c r="D16" s="4" t="s">
        <v>18</v>
      </c>
      <c r="G16" s="4"/>
      <c r="H16" s="4"/>
      <c r="I16" s="4"/>
      <c r="J16" s="5"/>
      <c r="K16" s="6" t="s">
        <v>56</v>
      </c>
      <c r="L16" s="20">
        <v>0.87</v>
      </c>
      <c r="M16" s="6"/>
      <c r="N16" s="6"/>
      <c r="P16" s="8" t="s">
        <v>57</v>
      </c>
      <c r="Q16" s="31" t="str">
        <f>(L10+Q6)*R14-(L10*L8)</f>
        <v>15,996</v>
      </c>
      <c r="R16" s="8" t="s">
        <v>15</v>
      </c>
      <c r="U16" s="9"/>
      <c r="V16" s="9"/>
      <c r="W16" s="9"/>
      <c r="X16" s="9"/>
    </row>
    <row r="17">
      <c r="B17" s="4"/>
      <c r="C17" s="26" t="str">
        <f>273.15+C16</f>
        <v>288.2</v>
      </c>
      <c r="D17" s="32" t="s">
        <v>25</v>
      </c>
      <c r="G17" s="4" t="s">
        <v>58</v>
      </c>
      <c r="H17" s="15" t="str">
        <f>V12+V15</f>
        <v>539.42</v>
      </c>
      <c r="I17" s="4" t="s">
        <v>25</v>
      </c>
      <c r="J17" s="5"/>
      <c r="K17" s="6"/>
      <c r="L17" s="6"/>
      <c r="M17" s="6"/>
      <c r="N17" s="6"/>
      <c r="P17" s="8"/>
      <c r="Q17" s="8"/>
      <c r="R17" s="23"/>
      <c r="U17" s="9"/>
      <c r="V17" s="9">
        <v>570.0</v>
      </c>
      <c r="W17" s="9">
        <v>575.59</v>
      </c>
      <c r="X17" s="29">
        <v>13.5</v>
      </c>
    </row>
    <row r="18">
      <c r="B18" s="4" t="s">
        <v>59</v>
      </c>
      <c r="C18" s="4">
        <v>101.325</v>
      </c>
      <c r="D18" s="4" t="s">
        <v>28</v>
      </c>
      <c r="G18" s="4" t="s">
        <v>60</v>
      </c>
      <c r="H18" s="28" t="str">
        <f>H13*L6</f>
        <v>11.0577</v>
      </c>
      <c r="I18" s="4"/>
      <c r="J18" s="5"/>
      <c r="K18" s="6" t="s">
        <v>61</v>
      </c>
      <c r="L18" s="33">
        <v>0.025</v>
      </c>
      <c r="M18" s="6"/>
      <c r="N18" s="6"/>
      <c r="P18" s="8"/>
      <c r="Q18" s="8"/>
      <c r="R18" s="18" t="str">
        <f>Q16*0.22481</f>
        <v>3,596</v>
      </c>
      <c r="U18" s="9"/>
      <c r="V18" s="9">
        <v>580.0</v>
      </c>
      <c r="W18" s="9">
        <v>586.04</v>
      </c>
      <c r="X18" s="29">
        <v>14.38</v>
      </c>
    </row>
    <row r="19">
      <c r="B19" s="4" t="s">
        <v>62</v>
      </c>
      <c r="C19" s="34" t="str">
        <f>C17*C20/C18</f>
        <v>0.816</v>
      </c>
      <c r="D19" s="4" t="s">
        <v>63</v>
      </c>
      <c r="G19" s="4" t="s">
        <v>64</v>
      </c>
      <c r="H19" s="15" t="str">
        <f>L6*H14</f>
        <v>629.90</v>
      </c>
      <c r="I19" s="4" t="s">
        <v>28</v>
      </c>
      <c r="J19" s="5"/>
      <c r="K19" s="6"/>
      <c r="L19" s="6"/>
      <c r="M19" s="6"/>
      <c r="N19" s="6"/>
      <c r="P19" s="8" t="s">
        <v>65</v>
      </c>
      <c r="Q19" s="15" t="str">
        <f>Q8/(Q16/1000)</f>
        <v>91.44</v>
      </c>
      <c r="R19" s="8" t="s">
        <v>66</v>
      </c>
      <c r="U19" s="9"/>
      <c r="V19" s="21" t="str">
        <f t="shared" ref="V19:X19" si="4">V18-V17</f>
        <v>10</v>
      </c>
      <c r="W19" s="21" t="str">
        <f t="shared" si="4"/>
        <v>10.45</v>
      </c>
      <c r="X19" s="24" t="str">
        <f t="shared" si="4"/>
        <v>0.88</v>
      </c>
    </row>
    <row r="20">
      <c r="B20" s="4" t="s">
        <v>67</v>
      </c>
      <c r="C20" s="34" t="str">
        <f>8.314/28.96</f>
        <v>0.287</v>
      </c>
      <c r="D20" s="4" t="s">
        <v>68</v>
      </c>
      <c r="G20" s="4" t="s">
        <v>69</v>
      </c>
      <c r="H20" s="15" t="str">
        <f>W12+W15</f>
        <v>543.75</v>
      </c>
      <c r="I20" s="4" t="s">
        <v>34</v>
      </c>
      <c r="J20" s="5"/>
      <c r="K20" s="6" t="s">
        <v>70</v>
      </c>
      <c r="L20" s="34" t="str">
        <f>8.314/28.97</f>
        <v>0.287</v>
      </c>
      <c r="M20" s="6" t="s">
        <v>68</v>
      </c>
      <c r="N20" s="6"/>
      <c r="P20" s="8"/>
      <c r="Q20" s="15" t="str">
        <f>Q19/101.973</f>
        <v>0.90</v>
      </c>
      <c r="R20" s="8" t="s">
        <v>71</v>
      </c>
      <c r="U20" s="9" t="s">
        <v>72</v>
      </c>
      <c r="V20" s="24" t="str">
        <f>V19*W20/W19</f>
        <v>9.56</v>
      </c>
      <c r="W20" s="24" t="str">
        <f>H24-W17</f>
        <v>9.99</v>
      </c>
      <c r="X20" s="9"/>
    </row>
    <row r="21" ht="15.75" customHeight="1">
      <c r="G21" s="4"/>
      <c r="H21" s="4"/>
      <c r="I21" s="4"/>
      <c r="J21" s="5"/>
      <c r="K21" s="6"/>
      <c r="L21" s="6"/>
      <c r="M21" s="6"/>
      <c r="N21" s="6"/>
      <c r="U21" s="9"/>
      <c r="V21" s="9"/>
      <c r="W21" s="9"/>
      <c r="X21" s="9"/>
    </row>
    <row r="22" ht="15.75" customHeight="1">
      <c r="C22" s="35"/>
      <c r="G22" s="4" t="s">
        <v>73</v>
      </c>
      <c r="H22" s="15" t="str">
        <f>V17+V20</f>
        <v>579.56</v>
      </c>
      <c r="I22" s="4" t="s">
        <v>25</v>
      </c>
      <c r="J22" s="5"/>
      <c r="K22" s="6" t="s">
        <v>74</v>
      </c>
      <c r="L22" s="34" t="str">
        <f>L20*H7/H8</f>
        <v>2.116</v>
      </c>
      <c r="M22" s="6" t="s">
        <v>63</v>
      </c>
      <c r="N22" s="6"/>
      <c r="P22" s="36" t="s">
        <v>75</v>
      </c>
      <c r="Q22" s="37"/>
      <c r="R22" s="38" t="str">
        <f>Q16/L10</f>
        <v>507.7</v>
      </c>
      <c r="S22" s="37" t="s">
        <v>76</v>
      </c>
      <c r="U22" s="9"/>
      <c r="V22" s="9">
        <v>1060.0</v>
      </c>
      <c r="W22" s="9">
        <v>1114.86</v>
      </c>
      <c r="X22" s="29">
        <v>143.9</v>
      </c>
    </row>
    <row r="23" ht="15.75" customHeight="1">
      <c r="G23" s="4" t="s">
        <v>64</v>
      </c>
      <c r="H23" s="15" t="str">
        <f>H19</f>
        <v>629.90</v>
      </c>
      <c r="I23" s="4" t="s">
        <v>28</v>
      </c>
      <c r="J23" s="5"/>
      <c r="K23" s="6" t="s">
        <v>77</v>
      </c>
      <c r="L23" s="34" t="str">
        <f>1/L22</f>
        <v>0.473</v>
      </c>
      <c r="M23" s="6" t="s">
        <v>78</v>
      </c>
      <c r="N23" s="6"/>
      <c r="P23" s="36" t="s">
        <v>79</v>
      </c>
      <c r="Q23" s="37"/>
      <c r="R23" s="39" t="str">
        <f>(Q6*1000)/(Q16/1000)</f>
        <v>25.4</v>
      </c>
      <c r="S23" s="37" t="s">
        <v>32</v>
      </c>
      <c r="U23" s="9"/>
      <c r="V23" s="9">
        <v>1080.0</v>
      </c>
      <c r="W23" s="9">
        <v>1137.89</v>
      </c>
      <c r="X23" s="29">
        <v>155.2</v>
      </c>
    </row>
    <row r="24" ht="15.75" customHeight="1">
      <c r="C24" s="40"/>
      <c r="G24" s="4" t="s">
        <v>80</v>
      </c>
      <c r="H24" s="15" t="str">
        <f>H15+(H20-H15)/L14</f>
        <v>585.58</v>
      </c>
      <c r="I24" s="4" t="s">
        <v>34</v>
      </c>
      <c r="J24" s="5"/>
      <c r="K24" s="6"/>
      <c r="L24" s="6"/>
      <c r="M24" s="6"/>
      <c r="N24" s="6"/>
      <c r="U24" s="9"/>
      <c r="V24" s="21" t="str">
        <f t="shared" ref="V24:X24" si="5">V23-V22</f>
        <v>20</v>
      </c>
      <c r="W24" s="21" t="str">
        <f t="shared" si="5"/>
        <v>23.03</v>
      </c>
      <c r="X24" s="24" t="str">
        <f t="shared" si="5"/>
        <v>11.30</v>
      </c>
    </row>
    <row r="25" ht="15.75" customHeight="1">
      <c r="G25" s="4"/>
      <c r="H25" s="4"/>
      <c r="I25" s="4"/>
      <c r="J25" s="5"/>
      <c r="K25" s="6" t="s">
        <v>81</v>
      </c>
      <c r="L25" s="15" t="str">
        <f>L10*L22</f>
        <v>66.66</v>
      </c>
      <c r="M25" s="6" t="s">
        <v>82</v>
      </c>
      <c r="N25" s="6"/>
      <c r="P25" s="37" t="s">
        <v>83</v>
      </c>
      <c r="Q25" s="37"/>
      <c r="R25" s="37"/>
      <c r="U25" s="9" t="s">
        <v>84</v>
      </c>
      <c r="V25" s="41" t="str">
        <f>V24*W25/W24</f>
        <v>7.1</v>
      </c>
      <c r="W25" s="21" t="str">
        <f>H30-W22</f>
        <v>8.14</v>
      </c>
      <c r="X25" s="24" t="str">
        <f>W25*X24/W24</f>
        <v>3.99</v>
      </c>
    </row>
    <row r="26" ht="15.75" customHeight="1">
      <c r="A26" t="str">
        <f>793+273</f>
        <v>1066</v>
      </c>
      <c r="J26" s="5"/>
      <c r="K26" s="6"/>
      <c r="L26" s="6"/>
      <c r="M26" s="6"/>
      <c r="N26" s="6"/>
      <c r="P26" s="37" t="s">
        <v>42</v>
      </c>
      <c r="Q26" s="37"/>
      <c r="R26" s="42" t="str">
        <f>(Q6/C13)</f>
        <v>0.10%</v>
      </c>
      <c r="U26" s="9"/>
      <c r="V26" s="9"/>
      <c r="W26" s="9"/>
      <c r="X26" s="9"/>
    </row>
    <row r="27" ht="15.75" customHeight="1">
      <c r="G27" s="4" t="s">
        <v>85</v>
      </c>
      <c r="H27" s="26" t="str">
        <f>V22+V25</f>
        <v>1067.1</v>
      </c>
      <c r="I27" s="4" t="s">
        <v>25</v>
      </c>
      <c r="J27" s="5"/>
      <c r="K27" s="6" t="s">
        <v>86</v>
      </c>
      <c r="L27" s="15" t="str">
        <f>L25/L8</f>
        <v>0.26</v>
      </c>
      <c r="M27" s="6" t="s">
        <v>87</v>
      </c>
      <c r="N27" s="6"/>
      <c r="P27" s="37" t="s">
        <v>88</v>
      </c>
      <c r="Q27" s="37"/>
      <c r="R27" s="42" t="str">
        <f>(R23/C10)-1</f>
        <v>-1.17%</v>
      </c>
      <c r="U27" s="9"/>
      <c r="V27" s="9">
        <v>740.0</v>
      </c>
      <c r="W27" s="9">
        <v>756.44</v>
      </c>
      <c r="X27" s="29">
        <v>35.5</v>
      </c>
    </row>
    <row r="28" ht="15.75" customHeight="1">
      <c r="G28" s="4" t="s">
        <v>89</v>
      </c>
      <c r="H28" s="15" t="str">
        <f>X22+X25</f>
        <v>147.89</v>
      </c>
      <c r="I28" s="4"/>
      <c r="J28" s="5"/>
      <c r="K28" s="6"/>
      <c r="L28" s="6"/>
      <c r="M28" s="6"/>
      <c r="N28" s="6"/>
      <c r="P28" s="37" t="s">
        <v>90</v>
      </c>
      <c r="Q28" s="37"/>
      <c r="R28" s="42" t="str">
        <f>Q16/C7-1</f>
        <v>1.24%</v>
      </c>
      <c r="U28" s="9"/>
      <c r="V28" s="9">
        <v>750.0</v>
      </c>
      <c r="W28" s="9">
        <v>767.29</v>
      </c>
      <c r="X28" s="29">
        <v>37.35</v>
      </c>
    </row>
    <row r="29" ht="15.75" customHeight="1">
      <c r="G29" s="4" t="s">
        <v>91</v>
      </c>
      <c r="H29" s="15" t="str">
        <f>H23*(1-L18)</f>
        <v>614.16</v>
      </c>
      <c r="I29" s="4" t="s">
        <v>28</v>
      </c>
      <c r="J29" s="5"/>
      <c r="K29" s="6" t="s">
        <v>92</v>
      </c>
      <c r="L29" s="15" t="str">
        <f>(L27*4/3.1418)^0.5</f>
        <v>0.57</v>
      </c>
      <c r="M29" s="6" t="s">
        <v>93</v>
      </c>
      <c r="N29" s="6"/>
      <c r="U29" s="9"/>
      <c r="V29" s="21" t="str">
        <f t="shared" ref="V29:X29" si="6">V28-V27</f>
        <v>10</v>
      </c>
      <c r="W29" s="21" t="str">
        <f t="shared" si="6"/>
        <v>10.85</v>
      </c>
      <c r="X29" s="24" t="str">
        <f t="shared" si="6"/>
        <v>1.85</v>
      </c>
    </row>
    <row r="30" ht="15.75" customHeight="1">
      <c r="G30" s="4" t="s">
        <v>94</v>
      </c>
      <c r="H30" s="43">
        <v>1123.0</v>
      </c>
      <c r="I30" s="4" t="s">
        <v>34</v>
      </c>
      <c r="J30" s="5"/>
      <c r="K30" s="6"/>
      <c r="L30" s="15" t="str">
        <f>L29*39.37</f>
        <v>22.49</v>
      </c>
      <c r="M30" s="6" t="s">
        <v>95</v>
      </c>
      <c r="N30" s="6"/>
      <c r="U30" s="9" t="s">
        <v>96</v>
      </c>
      <c r="V30" s="24" t="str">
        <f>W30*V29/W29</f>
        <v>1.32</v>
      </c>
      <c r="W30" s="24" t="str">
        <f>H35-W27</f>
        <v>1.43</v>
      </c>
      <c r="X30" s="24" t="str">
        <f>W30*X29/W29</f>
        <v>0.24</v>
      </c>
    </row>
    <row r="31" ht="15.75" customHeight="1">
      <c r="G31" s="4"/>
      <c r="H31" s="4"/>
      <c r="I31" s="4"/>
      <c r="J31" s="5"/>
      <c r="K31" s="6"/>
      <c r="L31" s="6"/>
      <c r="M31" s="6"/>
      <c r="N31" s="6"/>
      <c r="U31" s="9"/>
      <c r="V31" s="9"/>
      <c r="W31" s="9"/>
      <c r="X31" s="9"/>
    </row>
    <row r="32" ht="15.75" customHeight="1">
      <c r="G32" s="4" t="s">
        <v>97</v>
      </c>
      <c r="H32" s="15" t="str">
        <f>V27+V30</f>
        <v>741.32</v>
      </c>
      <c r="I32" s="4" t="s">
        <v>25</v>
      </c>
      <c r="J32" s="5"/>
      <c r="K32" s="40"/>
      <c r="L32" s="5"/>
      <c r="U32" s="9"/>
      <c r="V32" s="9">
        <v>780.0</v>
      </c>
      <c r="W32" s="9">
        <v>800.03</v>
      </c>
      <c r="X32" s="29">
        <v>43.35</v>
      </c>
    </row>
    <row r="33" ht="15.75" customHeight="1">
      <c r="G33" s="4" t="s">
        <v>98</v>
      </c>
      <c r="H33" s="15" t="str">
        <f>X27+X30</f>
        <v>35.74</v>
      </c>
      <c r="I33" s="4"/>
      <c r="J33" s="5"/>
      <c r="K33" s="40"/>
      <c r="L33" s="5"/>
      <c r="O33" s="40"/>
      <c r="R33" s="5"/>
      <c r="U33" s="9"/>
      <c r="V33" s="9">
        <v>790.0</v>
      </c>
      <c r="W33" s="9">
        <v>810.99</v>
      </c>
      <c r="X33" s="29">
        <v>45.55</v>
      </c>
    </row>
    <row r="34" ht="15.75" customHeight="1">
      <c r="G34" s="4" t="s">
        <v>99</v>
      </c>
      <c r="H34" s="15" t="str">
        <f>H29/(H28/H33)</f>
        <v>148.43</v>
      </c>
      <c r="I34" s="4" t="s">
        <v>28</v>
      </c>
      <c r="J34" s="5"/>
      <c r="K34" s="35"/>
      <c r="L34" s="5"/>
      <c r="R34" s="5"/>
      <c r="U34" s="9"/>
      <c r="V34" s="21" t="str">
        <f t="shared" ref="V34:X34" si="7">V33-V32</f>
        <v>10</v>
      </c>
      <c r="W34" s="21" t="str">
        <f t="shared" si="7"/>
        <v>10.96</v>
      </c>
      <c r="X34" s="24" t="str">
        <f t="shared" si="7"/>
        <v>2.20</v>
      </c>
    </row>
    <row r="35" ht="15.75" customHeight="1">
      <c r="G35" s="4" t="s">
        <v>100</v>
      </c>
      <c r="H35" s="15" t="str">
        <f>H30-(Q12/((L10+Q6)*L16))</f>
        <v>757.87</v>
      </c>
      <c r="I35" s="4" t="s">
        <v>34</v>
      </c>
      <c r="J35" s="5"/>
      <c r="K35" s="40"/>
      <c r="L35" s="5"/>
      <c r="O35" s="40"/>
      <c r="R35" s="5"/>
      <c r="U35" s="9" t="s">
        <v>101</v>
      </c>
      <c r="V35" s="24" t="str">
        <f>W35*V34/W34</f>
        <v>4.84</v>
      </c>
      <c r="W35" s="41" t="str">
        <f>H40-W32</f>
        <v>5.3</v>
      </c>
      <c r="X35" s="24" t="str">
        <f>W35*X34/W34</f>
        <v>1.07</v>
      </c>
    </row>
    <row r="36" ht="15.75" customHeight="1">
      <c r="G36" s="4"/>
      <c r="H36" s="4"/>
      <c r="I36" s="4"/>
      <c r="J36" s="5"/>
      <c r="K36" s="5"/>
      <c r="L36" s="5"/>
      <c r="R36" s="5"/>
      <c r="U36" s="9"/>
      <c r="V36" s="9"/>
      <c r="W36" s="9"/>
      <c r="X36" s="9"/>
    </row>
    <row r="37" ht="15.75" customHeight="1">
      <c r="G37" s="4" t="s">
        <v>102</v>
      </c>
      <c r="H37" s="15" t="str">
        <f>V32+V35</f>
        <v>784.84</v>
      </c>
      <c r="I37" s="4" t="s">
        <v>25</v>
      </c>
      <c r="J37" s="5"/>
      <c r="K37" s="40"/>
      <c r="L37" s="5"/>
      <c r="O37" s="25"/>
      <c r="R37" s="5"/>
      <c r="U37" s="9"/>
      <c r="V37" s="9">
        <v>510.0</v>
      </c>
      <c r="W37" s="9">
        <v>513.32</v>
      </c>
      <c r="X37" s="9">
        <v>9.031</v>
      </c>
    </row>
    <row r="38" ht="15.75" customHeight="1">
      <c r="G38" s="4" t="s">
        <v>103</v>
      </c>
      <c r="H38" s="15" t="str">
        <f>X32+X35</f>
        <v>44.42</v>
      </c>
      <c r="I38" s="4"/>
      <c r="J38" s="5"/>
      <c r="K38" s="40"/>
      <c r="L38" s="5"/>
      <c r="R38" s="5"/>
      <c r="U38" s="9"/>
      <c r="V38" s="9">
        <v>520.0</v>
      </c>
      <c r="W38" s="9">
        <v>523.63</v>
      </c>
      <c r="X38" s="44">
        <v>9.684</v>
      </c>
    </row>
    <row r="39" ht="15.75" customHeight="1">
      <c r="G39" s="4" t="s">
        <v>104</v>
      </c>
      <c r="H39" s="15" t="str">
        <f>H34</f>
        <v>148.43</v>
      </c>
      <c r="I39" s="4" t="s">
        <v>28</v>
      </c>
      <c r="J39" s="5"/>
      <c r="K39" s="35"/>
      <c r="L39" s="5"/>
      <c r="R39" s="5"/>
      <c r="U39" s="9"/>
      <c r="V39" s="21" t="str">
        <f t="shared" ref="V39:X39" si="8">V38-V37</f>
        <v>10</v>
      </c>
      <c r="W39" s="21" t="str">
        <f t="shared" si="8"/>
        <v>10.31</v>
      </c>
      <c r="X39" s="45" t="str">
        <f t="shared" si="8"/>
        <v>0.653</v>
      </c>
    </row>
    <row r="40" ht="15.75" customHeight="1">
      <c r="G40" s="4" t="s">
        <v>105</v>
      </c>
      <c r="H40" s="26" t="str">
        <f>H30-L16*(H30-H35)</f>
        <v>805.3</v>
      </c>
      <c r="I40" s="4" t="s">
        <v>34</v>
      </c>
      <c r="J40" s="5"/>
      <c r="K40" s="40"/>
      <c r="L40" s="5"/>
      <c r="U40" s="9" t="s">
        <v>106</v>
      </c>
      <c r="V40" s="24" t="str">
        <f>V39*X40/X39</f>
        <v>4.67</v>
      </c>
      <c r="W40" s="24" t="str">
        <f>W39*X40/X39</f>
        <v>4.81</v>
      </c>
      <c r="X40" s="24" t="str">
        <f>H43-X37</f>
        <v>0.30</v>
      </c>
    </row>
    <row r="41" ht="15.75" customHeight="1">
      <c r="G41" s="4"/>
      <c r="H41" s="4"/>
      <c r="I41" s="4"/>
      <c r="J41" s="5"/>
      <c r="K41" s="5"/>
      <c r="L41" s="5"/>
      <c r="U41" s="9"/>
      <c r="V41" s="9"/>
      <c r="W41" s="9"/>
      <c r="X41" s="9"/>
    </row>
    <row r="42" ht="15.75" customHeight="1">
      <c r="G42" s="4" t="s">
        <v>107</v>
      </c>
      <c r="H42" s="15" t="str">
        <f>V37+V40</f>
        <v>514.67</v>
      </c>
      <c r="I42" s="4" t="s">
        <v>25</v>
      </c>
      <c r="J42" s="5"/>
      <c r="K42" s="40"/>
      <c r="L42" s="5"/>
    </row>
    <row r="43" ht="15.75" customHeight="1">
      <c r="G43" s="4" t="s">
        <v>108</v>
      </c>
      <c r="H43" s="15" t="str">
        <f>H38/(H39/H44)</f>
        <v>9.34</v>
      </c>
      <c r="I43" s="4"/>
      <c r="J43" s="5"/>
      <c r="K43" s="40"/>
      <c r="L43" s="5"/>
    </row>
    <row r="44" ht="15.75" customHeight="1">
      <c r="G44" s="4" t="s">
        <v>109</v>
      </c>
      <c r="H44" s="46" t="str">
        <f>H8</f>
        <v>31.2</v>
      </c>
      <c r="I44" s="4" t="s">
        <v>28</v>
      </c>
      <c r="J44" s="5"/>
      <c r="K44" s="35"/>
      <c r="L44" s="5"/>
    </row>
    <row r="45" ht="15.75" customHeight="1">
      <c r="G45" s="4" t="s">
        <v>110</v>
      </c>
      <c r="H45" s="26" t="str">
        <f>W37+W40</f>
        <v>518.1</v>
      </c>
      <c r="I45" s="4" t="s">
        <v>34</v>
      </c>
      <c r="J45" s="5"/>
      <c r="K45" s="40"/>
      <c r="L45" s="5"/>
    </row>
    <row r="46" ht="15.75" customHeight="1"/>
    <row r="47" ht="15.75" customHeight="1">
      <c r="H47" s="40"/>
      <c r="K47" s="40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hyperlinks>
    <hyperlink r:id="rId2" ref="L1"/>
  </hyperlinks>
  <printOptions/>
  <pageMargins bottom="0.787401575" footer="0.0" header="0.0" left="0.511811024" right="0.511811024" top="0.787401575"/>
  <pageSetup paperSize="9"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Planilhas</vt:lpstr>
      </vt:variant>
      <vt:variant>
        <vt:i4>2</vt:i4>
      </vt:variant>
    </vt:vector>
  </HeadingPairs>
  <TitlesOfParts>
    <vt:vector baseType="lpstr" size="2">
      <vt:lpstr>Parâmetros</vt:lpstr>
      <vt:lpstr>Solução @cruise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2020-05-29T14:16:37Z</dcterms:created>
  <dc:creator>awalter</dc:creator>
  <cp:lastModifiedBy>WS Solution</cp:lastModifiedBy>
  <dcterms:modified xsi:type="dcterms:W3CDTF">2020-06-10T01:35:11Z</dcterms:modified>
</cp:coreProperties>
</file>