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defaultThemeVersion="166925"/>
  <mc:AlternateContent xmlns:mc="http://schemas.openxmlformats.org/markup-compatibility/2006">
    <mc:Choice Requires="x15">
      <x15ac:absPath xmlns:x15ac="http://schemas.microsoft.com/office/spreadsheetml/2010/11/ac" url="C:\Users\caear\OneDrive\Excel-Skills\excel_fundamentals\logical_and_lookup_functions\"/>
    </mc:Choice>
  </mc:AlternateContent>
  <xr:revisionPtr revIDLastSave="0" documentId="13_ncr:1_{47BB6FD1-2008-41BC-81BB-D01AAA2BFC7B}" xr6:coauthVersionLast="47" xr6:coauthVersionMax="47" xr10:uidLastSave="{00000000-0000-0000-0000-000000000000}"/>
  <bookViews>
    <workbookView xWindow="14400" yWindow="0" windowWidth="14400" windowHeight="15600" activeTab="1" xr2:uid="{EC2FC403-3BD3-48C3-93CE-3A4A505B5772}"/>
  </bookViews>
  <sheets>
    <sheet name="Supplier Invoice Statement" sheetId="2" r:id="rId1"/>
    <sheet name="MC Invoice Report" sheetId="1" r:id="rId2"/>
    <sheet name="Recon Analysis" sheetId="4" r:id="rId3"/>
    <sheet name="NSW Holidays 2020" sheetId="5" r:id="rId4"/>
  </sheets>
  <definedNames>
    <definedName name="_xlnm._FilterDatabase" localSheetId="0" hidden="1">'Supplier Invoice Statement'!$A$1:$O$86</definedName>
    <definedName name="Amount">'Supplier Invoice Statement'!$Q$2:$Q$86</definedName>
    <definedName name="Amount_Paid">'MC Invoice Report'!$J$5:$J$88</definedName>
    <definedName name="Bank_Details">'MC Invoice Report'!$H$5:$H$88</definedName>
    <definedName name="Cust_PO">'Supplier Invoice Statement'!$N$2:$N$86</definedName>
    <definedName name="Cust_Ref">'Supplier Invoice Statement'!$K$2:$K$86</definedName>
    <definedName name="Due_Date">'MC Invoice Report'!$E$5:$E$88</definedName>
    <definedName name="Flat_Rate">5</definedName>
    <definedName name="Holidays">'NSW Holidays 2020'!$A$4:$A$15</definedName>
    <definedName name="Invoice_Date">'MC Invoice Report'!$D$5:$D$88</definedName>
    <definedName name="Invoice_Day">'MC Invoice Report'!$L$5:$L$88</definedName>
    <definedName name="Invoice_Month">'MC Invoice Report'!$K$5:$K$88</definedName>
    <definedName name="Late_Charge">'MC Invoice Report'!$O$5:$O$88</definedName>
    <definedName name="Location">'MC Invoice Report'!$I$5:$I$88</definedName>
    <definedName name="Locations">'Recon Analysis'!$A$8:$A$9</definedName>
    <definedName name="Over_Due_By">'MC Invoice Report'!$N$5:$N$88</definedName>
    <definedName name="Payment_Date">'MC Invoice Report'!$F$5:$F$88</definedName>
    <definedName name="Payment_No.">'MC Invoice Report'!$C$5:$C$88</definedName>
    <definedName name="Payment_Ref">'MC Invoice Report'!$A$5:$A$88</definedName>
    <definedName name="Penalty_Rate">'MC Invoice Report'!$O$2</definedName>
    <definedName name="PO_Number">'MC Invoice Report'!$G$5:$G$88</definedName>
    <definedName name="Slicer_Invoice_Month">#N/A</definedName>
    <definedName name="Slicer_Location">#N/A</definedName>
    <definedName name="Supplier_Code">'MC Invoice Report'!$B$5:$B$88</definedName>
    <definedName name="Supplier_Recon">#REF!</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5" i="1" l="1"/>
  <c r="O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U2" i="2"/>
  <c r="U3"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S2" i="2" l="1"/>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P2" i="2" l="1"/>
  <c r="Q2" i="2" s="1"/>
  <c r="O2" i="2"/>
  <c r="N2" i="2"/>
  <c r="M2" i="2"/>
  <c r="R2" i="2" s="1"/>
  <c r="L2"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P3" i="2"/>
  <c r="Q3" i="2" s="1"/>
  <c r="P4" i="2"/>
  <c r="Q4" i="2" s="1"/>
  <c r="P5" i="2"/>
  <c r="Q5" i="2" s="1"/>
  <c r="P6" i="2"/>
  <c r="Q6" i="2" s="1"/>
  <c r="P7" i="2"/>
  <c r="Q7" i="2" s="1"/>
  <c r="P8" i="2"/>
  <c r="Q8" i="2" s="1"/>
  <c r="P9" i="2"/>
  <c r="Q9" i="2" s="1"/>
  <c r="P10" i="2"/>
  <c r="Q10" i="2" s="1"/>
  <c r="P11" i="2"/>
  <c r="Q11" i="2" s="1"/>
  <c r="P12" i="2"/>
  <c r="Q12" i="2" s="1"/>
  <c r="P13" i="2"/>
  <c r="Q13" i="2" s="1"/>
  <c r="P14" i="2"/>
  <c r="Q14" i="2" s="1"/>
  <c r="P15" i="2"/>
  <c r="Q15" i="2" s="1"/>
  <c r="P16" i="2"/>
  <c r="Q16" i="2" s="1"/>
  <c r="P17" i="2"/>
  <c r="Q17" i="2" s="1"/>
  <c r="P18" i="2"/>
  <c r="Q18" i="2" s="1"/>
  <c r="P19" i="2"/>
  <c r="Q19" i="2" s="1"/>
  <c r="P20" i="2"/>
  <c r="Q20" i="2" s="1"/>
  <c r="P21" i="2"/>
  <c r="Q21" i="2" s="1"/>
  <c r="P22" i="2"/>
  <c r="Q22" i="2" s="1"/>
  <c r="P23" i="2"/>
  <c r="Q23" i="2" s="1"/>
  <c r="P24" i="2"/>
  <c r="Q24" i="2" s="1"/>
  <c r="P25" i="2"/>
  <c r="Q25" i="2" s="1"/>
  <c r="P26" i="2"/>
  <c r="Q26" i="2" s="1"/>
  <c r="P27" i="2"/>
  <c r="Q27" i="2" s="1"/>
  <c r="P28" i="2"/>
  <c r="Q28" i="2" s="1"/>
  <c r="P29" i="2"/>
  <c r="Q29" i="2" s="1"/>
  <c r="P30" i="2"/>
  <c r="Q30" i="2" s="1"/>
  <c r="P31" i="2"/>
  <c r="Q31" i="2" s="1"/>
  <c r="P32" i="2"/>
  <c r="Q32" i="2" s="1"/>
  <c r="P33" i="2"/>
  <c r="Q33" i="2" s="1"/>
  <c r="P34" i="2"/>
  <c r="Q34" i="2" s="1"/>
  <c r="P35" i="2"/>
  <c r="Q35" i="2" s="1"/>
  <c r="P36" i="2"/>
  <c r="Q36" i="2" s="1"/>
  <c r="P37" i="2"/>
  <c r="Q37" i="2" s="1"/>
  <c r="P38" i="2"/>
  <c r="Q38" i="2" s="1"/>
  <c r="P39" i="2"/>
  <c r="Q39" i="2" s="1"/>
  <c r="P40" i="2"/>
  <c r="Q40" i="2" s="1"/>
  <c r="P41" i="2"/>
  <c r="Q41" i="2" s="1"/>
  <c r="P42" i="2"/>
  <c r="Q42" i="2" s="1"/>
  <c r="P43" i="2"/>
  <c r="Q43" i="2" s="1"/>
  <c r="P44" i="2"/>
  <c r="Q44" i="2" s="1"/>
  <c r="P45" i="2"/>
  <c r="Q45" i="2" s="1"/>
  <c r="P46" i="2"/>
  <c r="Q46" i="2" s="1"/>
  <c r="P47" i="2"/>
  <c r="Q47" i="2" s="1"/>
  <c r="P48" i="2"/>
  <c r="Q48" i="2" s="1"/>
  <c r="P49" i="2"/>
  <c r="Q49" i="2" s="1"/>
  <c r="P50" i="2"/>
  <c r="Q50" i="2" s="1"/>
  <c r="P51" i="2"/>
  <c r="Q51" i="2" s="1"/>
  <c r="P52" i="2"/>
  <c r="Q52" i="2" s="1"/>
  <c r="P53" i="2"/>
  <c r="Q53" i="2" s="1"/>
  <c r="P54" i="2"/>
  <c r="Q54" i="2" s="1"/>
  <c r="P55" i="2"/>
  <c r="Q55" i="2" s="1"/>
  <c r="P56" i="2"/>
  <c r="Q56" i="2" s="1"/>
  <c r="P57" i="2"/>
  <c r="Q57" i="2" s="1"/>
  <c r="P58" i="2"/>
  <c r="Q58" i="2" s="1"/>
  <c r="P59" i="2"/>
  <c r="Q59" i="2" s="1"/>
  <c r="P60" i="2"/>
  <c r="Q60" i="2" s="1"/>
  <c r="P61" i="2"/>
  <c r="Q61" i="2" s="1"/>
  <c r="P62" i="2"/>
  <c r="Q62" i="2" s="1"/>
  <c r="P63" i="2"/>
  <c r="Q63" i="2" s="1"/>
  <c r="P64" i="2"/>
  <c r="Q64" i="2" s="1"/>
  <c r="P65" i="2"/>
  <c r="Q65" i="2" s="1"/>
  <c r="P66" i="2"/>
  <c r="Q66" i="2" s="1"/>
  <c r="P67" i="2"/>
  <c r="Q67" i="2" s="1"/>
  <c r="P68" i="2"/>
  <c r="Q68" i="2" s="1"/>
  <c r="P69" i="2"/>
  <c r="Q69" i="2" s="1"/>
  <c r="P70" i="2"/>
  <c r="Q70" i="2" s="1"/>
  <c r="P71" i="2"/>
  <c r="Q71" i="2" s="1"/>
  <c r="P72" i="2"/>
  <c r="Q72" i="2" s="1"/>
  <c r="P73" i="2"/>
  <c r="Q73" i="2" s="1"/>
  <c r="P74" i="2"/>
  <c r="Q74" i="2" s="1"/>
  <c r="P75" i="2"/>
  <c r="Q75" i="2" s="1"/>
  <c r="P76" i="2"/>
  <c r="Q76" i="2" s="1"/>
  <c r="P77" i="2"/>
  <c r="Q77" i="2" s="1"/>
  <c r="P78" i="2"/>
  <c r="Q78" i="2" s="1"/>
  <c r="P79" i="2"/>
  <c r="Q79" i="2" s="1"/>
  <c r="P80" i="2"/>
  <c r="Q80" i="2" s="1"/>
  <c r="P81" i="2"/>
  <c r="Q81" i="2" s="1"/>
  <c r="P82" i="2"/>
  <c r="Q82" i="2" s="1"/>
  <c r="P83" i="2"/>
  <c r="Q83" i="2" s="1"/>
  <c r="P84" i="2"/>
  <c r="Q84" i="2" s="1"/>
  <c r="P85" i="2"/>
  <c r="Q85" i="2" s="1"/>
  <c r="P86" i="2"/>
  <c r="Q86" i="2" s="1"/>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B3" i="4" l="1"/>
  <c r="T2" i="2"/>
  <c r="X2" i="2"/>
  <c r="C9" i="4" l="1"/>
  <c r="C8" i="4"/>
  <c r="B9" i="4"/>
  <c r="B8" i="4"/>
  <c r="B4" i="4"/>
  <c r="E6" i="1" l="1"/>
  <c r="M6" i="1" s="1"/>
  <c r="E7" i="1"/>
  <c r="M7" i="1" s="1"/>
  <c r="E8" i="1"/>
  <c r="M8" i="1" s="1"/>
  <c r="E9" i="1"/>
  <c r="M9" i="1" s="1"/>
  <c r="E10" i="1"/>
  <c r="M10" i="1" s="1"/>
  <c r="E11" i="1"/>
  <c r="M11" i="1" s="1"/>
  <c r="E12" i="1"/>
  <c r="M12" i="1" s="1"/>
  <c r="E13" i="1"/>
  <c r="M13" i="1" s="1"/>
  <c r="E14" i="1"/>
  <c r="M14" i="1" s="1"/>
  <c r="E15" i="1"/>
  <c r="M15" i="1" s="1"/>
  <c r="E16" i="1"/>
  <c r="M16" i="1" s="1"/>
  <c r="E17" i="1"/>
  <c r="M17" i="1" s="1"/>
  <c r="E18" i="1"/>
  <c r="M18" i="1" s="1"/>
  <c r="E19" i="1"/>
  <c r="M19" i="1" s="1"/>
  <c r="E20" i="1"/>
  <c r="M20" i="1" s="1"/>
  <c r="E21" i="1"/>
  <c r="M21" i="1" s="1"/>
  <c r="E22" i="1"/>
  <c r="M22" i="1" s="1"/>
  <c r="E23" i="1"/>
  <c r="M23" i="1" s="1"/>
  <c r="E24" i="1"/>
  <c r="M24" i="1" s="1"/>
  <c r="E25" i="1"/>
  <c r="M25" i="1" s="1"/>
  <c r="E26" i="1"/>
  <c r="M26" i="1" s="1"/>
  <c r="E27" i="1"/>
  <c r="M27" i="1" s="1"/>
  <c r="E28" i="1"/>
  <c r="M28" i="1" s="1"/>
  <c r="E29" i="1"/>
  <c r="M29" i="1" s="1"/>
  <c r="E30" i="1"/>
  <c r="M30" i="1" s="1"/>
  <c r="E31" i="1"/>
  <c r="M31" i="1" s="1"/>
  <c r="E32" i="1"/>
  <c r="M32" i="1" s="1"/>
  <c r="E33" i="1"/>
  <c r="M33" i="1" s="1"/>
  <c r="E34" i="1"/>
  <c r="M34" i="1" s="1"/>
  <c r="E35" i="1"/>
  <c r="M35" i="1" s="1"/>
  <c r="E36" i="1"/>
  <c r="M36" i="1" s="1"/>
  <c r="E37" i="1"/>
  <c r="M37" i="1" s="1"/>
  <c r="E38" i="1"/>
  <c r="M38" i="1" s="1"/>
  <c r="E39" i="1"/>
  <c r="M39" i="1" s="1"/>
  <c r="E40" i="1"/>
  <c r="M40" i="1" s="1"/>
  <c r="E41" i="1"/>
  <c r="M41" i="1" s="1"/>
  <c r="E42" i="1"/>
  <c r="M42" i="1" s="1"/>
  <c r="E43" i="1"/>
  <c r="M43" i="1" s="1"/>
  <c r="E44" i="1"/>
  <c r="M44" i="1" s="1"/>
  <c r="E45" i="1"/>
  <c r="M45" i="1" s="1"/>
  <c r="E46" i="1"/>
  <c r="M46" i="1" s="1"/>
  <c r="E47" i="1"/>
  <c r="M47" i="1" s="1"/>
  <c r="E48" i="1"/>
  <c r="M48" i="1" s="1"/>
  <c r="E49" i="1"/>
  <c r="M49" i="1" s="1"/>
  <c r="E50" i="1"/>
  <c r="M50" i="1" s="1"/>
  <c r="E51" i="1"/>
  <c r="M51" i="1" s="1"/>
  <c r="E52" i="1"/>
  <c r="M52" i="1" s="1"/>
  <c r="E53" i="1"/>
  <c r="M53" i="1" s="1"/>
  <c r="E54" i="1"/>
  <c r="M54" i="1" s="1"/>
  <c r="E55" i="1"/>
  <c r="M55" i="1" s="1"/>
  <c r="E56" i="1"/>
  <c r="M56" i="1" s="1"/>
  <c r="E57" i="1"/>
  <c r="M57" i="1" s="1"/>
  <c r="E58" i="1"/>
  <c r="M58" i="1" s="1"/>
  <c r="E59" i="1"/>
  <c r="M59" i="1" s="1"/>
  <c r="E60" i="1"/>
  <c r="M60" i="1" s="1"/>
  <c r="E61" i="1"/>
  <c r="M61" i="1" s="1"/>
  <c r="E62" i="1"/>
  <c r="M62" i="1" s="1"/>
  <c r="E63" i="1"/>
  <c r="M63" i="1" s="1"/>
  <c r="E64" i="1"/>
  <c r="M64" i="1" s="1"/>
  <c r="E65" i="1"/>
  <c r="M65" i="1" s="1"/>
  <c r="E66" i="1"/>
  <c r="M66" i="1" s="1"/>
  <c r="E67" i="1"/>
  <c r="M67" i="1" s="1"/>
  <c r="E68" i="1"/>
  <c r="M68" i="1" s="1"/>
  <c r="E69" i="1"/>
  <c r="M69" i="1" s="1"/>
  <c r="E70" i="1"/>
  <c r="M70" i="1" s="1"/>
  <c r="E71" i="1"/>
  <c r="M71" i="1" s="1"/>
  <c r="E72" i="1"/>
  <c r="M72" i="1" s="1"/>
  <c r="E73" i="1"/>
  <c r="M73" i="1" s="1"/>
  <c r="E74" i="1"/>
  <c r="M74" i="1" s="1"/>
  <c r="E75" i="1"/>
  <c r="M75" i="1" s="1"/>
  <c r="E76" i="1"/>
  <c r="M76" i="1" s="1"/>
  <c r="E77" i="1"/>
  <c r="M77" i="1" s="1"/>
  <c r="E78" i="1"/>
  <c r="M78" i="1" s="1"/>
  <c r="E79" i="1"/>
  <c r="M79" i="1" s="1"/>
  <c r="E80" i="1"/>
  <c r="M80" i="1" s="1"/>
  <c r="E81" i="1"/>
  <c r="M81" i="1" s="1"/>
  <c r="E82" i="1"/>
  <c r="M82" i="1" s="1"/>
  <c r="E83" i="1"/>
  <c r="M83" i="1" s="1"/>
  <c r="E84" i="1"/>
  <c r="M84" i="1" s="1"/>
  <c r="E85" i="1"/>
  <c r="M85" i="1" s="1"/>
  <c r="E86" i="1"/>
  <c r="M86" i="1" s="1"/>
  <c r="E87" i="1"/>
  <c r="M87" i="1" s="1"/>
  <c r="E88" i="1"/>
  <c r="M88" i="1" s="1"/>
  <c r="E5" i="1"/>
  <c r="N9" i="1" l="1"/>
  <c r="N83" i="1"/>
  <c r="N75" i="1"/>
  <c r="N67" i="1"/>
  <c r="N59" i="1"/>
  <c r="N51" i="1"/>
  <c r="N43" i="1"/>
  <c r="M5" i="1"/>
  <c r="N85" i="1"/>
  <c r="N81" i="1"/>
  <c r="N77" i="1"/>
  <c r="N73" i="1"/>
  <c r="N69" i="1"/>
  <c r="N65" i="1"/>
  <c r="N61" i="1"/>
  <c r="N57" i="1"/>
  <c r="N53" i="1"/>
  <c r="N49" i="1"/>
  <c r="N45" i="1"/>
  <c r="N41" i="1"/>
  <c r="N37" i="1"/>
  <c r="N33" i="1"/>
  <c r="N29" i="1"/>
  <c r="N25" i="1"/>
  <c r="N21" i="1"/>
  <c r="N17" i="1"/>
  <c r="N13" i="1"/>
  <c r="N88" i="1"/>
  <c r="N84" i="1"/>
  <c r="N80" i="1"/>
  <c r="N76" i="1"/>
  <c r="N72" i="1"/>
  <c r="N68" i="1"/>
  <c r="N64" i="1"/>
  <c r="N60" i="1"/>
  <c r="N56" i="1"/>
  <c r="N52" i="1"/>
  <c r="N48" i="1"/>
  <c r="N44" i="1"/>
  <c r="N40" i="1"/>
  <c r="N36" i="1"/>
  <c r="N32" i="1"/>
  <c r="N28" i="1"/>
  <c r="N24" i="1"/>
  <c r="N20" i="1"/>
  <c r="N16" i="1"/>
  <c r="N12" i="1"/>
  <c r="N8" i="1"/>
  <c r="N7" i="1"/>
  <c r="N87" i="1"/>
  <c r="N79" i="1"/>
  <c r="N71" i="1"/>
  <c r="N63" i="1"/>
  <c r="N55" i="1"/>
  <c r="N47" i="1"/>
  <c r="N39" i="1"/>
  <c r="N35" i="1"/>
  <c r="N31" i="1"/>
  <c r="N27" i="1"/>
  <c r="N23" i="1"/>
  <c r="N19" i="1"/>
  <c r="N15" i="1"/>
  <c r="N11" i="1"/>
  <c r="N86" i="1"/>
  <c r="N82" i="1"/>
  <c r="N78" i="1"/>
  <c r="N74" i="1"/>
  <c r="N70" i="1"/>
  <c r="N66" i="1"/>
  <c r="N62" i="1"/>
  <c r="N58" i="1"/>
  <c r="N54" i="1"/>
  <c r="N50" i="1"/>
  <c r="N46" i="1"/>
  <c r="N42" i="1"/>
  <c r="N38" i="1"/>
  <c r="N34" i="1"/>
  <c r="N30" i="1"/>
  <c r="N26" i="1"/>
  <c r="N22" i="1"/>
  <c r="N18" i="1"/>
  <c r="N14" i="1"/>
  <c r="N10" i="1"/>
  <c r="N6" i="1"/>
  <c r="B5" i="5"/>
  <c r="B6" i="5"/>
  <c r="B7" i="5"/>
  <c r="B8" i="5"/>
  <c r="B9" i="5"/>
  <c r="B10" i="5"/>
  <c r="B11" i="5"/>
  <c r="B12" i="5"/>
  <c r="B13" i="5"/>
  <c r="B14" i="5"/>
  <c r="B15" i="5"/>
  <c r="B4" i="5"/>
  <c r="O18" i="1" l="1"/>
  <c r="P18" i="1"/>
  <c r="O19" i="1"/>
  <c r="P19" i="1"/>
  <c r="O63" i="1"/>
  <c r="P63" i="1"/>
  <c r="O22" i="1"/>
  <c r="P22" i="1"/>
  <c r="O38" i="1"/>
  <c r="P38" i="1"/>
  <c r="O54" i="1"/>
  <c r="P54" i="1"/>
  <c r="O70" i="1"/>
  <c r="P70" i="1"/>
  <c r="O86" i="1"/>
  <c r="P86" i="1"/>
  <c r="O23" i="1"/>
  <c r="P23" i="1"/>
  <c r="O39" i="1"/>
  <c r="P39" i="1"/>
  <c r="O71" i="1"/>
  <c r="P71" i="1"/>
  <c r="O8" i="1"/>
  <c r="P8" i="1"/>
  <c r="O24" i="1"/>
  <c r="P24" i="1"/>
  <c r="O40" i="1"/>
  <c r="P40" i="1"/>
  <c r="O56" i="1"/>
  <c r="P56" i="1"/>
  <c r="O72" i="1"/>
  <c r="P72" i="1"/>
  <c r="O88" i="1"/>
  <c r="P88" i="1"/>
  <c r="O25" i="1"/>
  <c r="P25" i="1"/>
  <c r="O41" i="1"/>
  <c r="P41" i="1"/>
  <c r="O57" i="1"/>
  <c r="P57" i="1"/>
  <c r="O73" i="1"/>
  <c r="P73" i="1"/>
  <c r="O67" i="1"/>
  <c r="P67" i="1"/>
  <c r="O34" i="1"/>
  <c r="P34" i="1"/>
  <c r="O66" i="1"/>
  <c r="P66" i="1"/>
  <c r="P82" i="1"/>
  <c r="O82" i="1"/>
  <c r="O35" i="1"/>
  <c r="P35" i="1"/>
  <c r="O7" i="1"/>
  <c r="P7" i="1"/>
  <c r="O36" i="1"/>
  <c r="P36" i="1"/>
  <c r="O52" i="1"/>
  <c r="P52" i="1"/>
  <c r="O68" i="1"/>
  <c r="P68" i="1"/>
  <c r="O84" i="1"/>
  <c r="P84" i="1"/>
  <c r="O37" i="1"/>
  <c r="P37" i="1"/>
  <c r="O26" i="1"/>
  <c r="P26" i="1"/>
  <c r="O58" i="1"/>
  <c r="P58" i="1"/>
  <c r="O74" i="1"/>
  <c r="P74" i="1"/>
  <c r="O11" i="1"/>
  <c r="P11" i="1"/>
  <c r="O47" i="1"/>
  <c r="P47" i="1"/>
  <c r="O79" i="1"/>
  <c r="P79" i="1"/>
  <c r="O12" i="1"/>
  <c r="P12" i="1"/>
  <c r="O28" i="1"/>
  <c r="P28" i="1"/>
  <c r="O44" i="1"/>
  <c r="P44" i="1"/>
  <c r="O60" i="1"/>
  <c r="P60" i="1"/>
  <c r="O76" i="1"/>
  <c r="P76" i="1"/>
  <c r="O13" i="1"/>
  <c r="P13" i="1"/>
  <c r="O29" i="1"/>
  <c r="P29" i="1"/>
  <c r="O45" i="1"/>
  <c r="P45" i="1"/>
  <c r="O61" i="1"/>
  <c r="P61" i="1"/>
  <c r="O77" i="1"/>
  <c r="P77" i="1"/>
  <c r="O43" i="1"/>
  <c r="P43" i="1"/>
  <c r="O75" i="1"/>
  <c r="P75" i="1"/>
  <c r="O6" i="1"/>
  <c r="P6" i="1"/>
  <c r="O50" i="1"/>
  <c r="P50" i="1"/>
  <c r="O20" i="1"/>
  <c r="P20" i="1"/>
  <c r="O21" i="1"/>
  <c r="P21" i="1"/>
  <c r="O53" i="1"/>
  <c r="P53" i="1"/>
  <c r="O69" i="1"/>
  <c r="P69" i="1"/>
  <c r="O10" i="1"/>
  <c r="P10" i="1"/>
  <c r="O42" i="1"/>
  <c r="P42" i="1"/>
  <c r="O27" i="1"/>
  <c r="P27" i="1"/>
  <c r="O14" i="1"/>
  <c r="P14" i="1"/>
  <c r="O30" i="1"/>
  <c r="P30" i="1"/>
  <c r="O46" i="1"/>
  <c r="P46" i="1"/>
  <c r="O62" i="1"/>
  <c r="P62" i="1"/>
  <c r="O78" i="1"/>
  <c r="P78" i="1"/>
  <c r="O15" i="1"/>
  <c r="P15" i="1"/>
  <c r="O31" i="1"/>
  <c r="P31" i="1"/>
  <c r="O55" i="1"/>
  <c r="P55" i="1"/>
  <c r="O87" i="1"/>
  <c r="P87" i="1"/>
  <c r="O16" i="1"/>
  <c r="P16" i="1"/>
  <c r="O32" i="1"/>
  <c r="P32" i="1"/>
  <c r="O48" i="1"/>
  <c r="P48" i="1"/>
  <c r="O64" i="1"/>
  <c r="P64" i="1"/>
  <c r="O80" i="1"/>
  <c r="P80" i="1"/>
  <c r="O17" i="1"/>
  <c r="P17" i="1"/>
  <c r="O33" i="1"/>
  <c r="P33" i="1"/>
  <c r="O49" i="1"/>
  <c r="P49" i="1"/>
  <c r="O65" i="1"/>
  <c r="P65" i="1"/>
  <c r="O81" i="1"/>
  <c r="P81" i="1"/>
  <c r="O51" i="1"/>
  <c r="P51" i="1"/>
  <c r="O83" i="1"/>
  <c r="P83" i="1"/>
  <c r="O85" i="1"/>
  <c r="P85" i="1"/>
  <c r="O59" i="1"/>
  <c r="P59" i="1"/>
  <c r="O9" i="1"/>
  <c r="P9" i="1"/>
  <c r="N5" i="1"/>
  <c r="D8" i="4"/>
  <c r="D9" i="4"/>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5" i="1"/>
  <c r="B2" i="1"/>
  <c r="E9" i="4" l="1"/>
  <c r="P5" i="1"/>
  <c r="E8" i="4"/>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5" i="1"/>
  <c r="X1" i="2" l="1"/>
  <c r="B5" i="4"/>
  <c r="C5" i="1" l="1"/>
</calcChain>
</file>

<file path=xl/sharedStrings.xml><?xml version="1.0" encoding="utf-8"?>
<sst xmlns="http://schemas.openxmlformats.org/spreadsheetml/2006/main" count="852" uniqueCount="409">
  <si>
    <t>Invoice Date</t>
  </si>
  <si>
    <t>Due Date</t>
  </si>
  <si>
    <t>Payment Date</t>
  </si>
  <si>
    <t>Document No</t>
  </si>
  <si>
    <t>Customer PO</t>
  </si>
  <si>
    <t>Payment No.</t>
  </si>
  <si>
    <t>Acct</t>
  </si>
  <si>
    <t>Location</t>
  </si>
  <si>
    <t>Bank Details</t>
  </si>
  <si>
    <t>Check</t>
  </si>
  <si>
    <t>Type</t>
  </si>
  <si>
    <t>ABN</t>
  </si>
  <si>
    <t>INV_x000C_</t>
  </si>
  <si>
    <t>inv_x000C_</t>
  </si>
  <si>
    <t>cr _x000C_</t>
  </si>
  <si>
    <t>cr_x000C_</t>
  </si>
  <si>
    <t>inv  _x000C_</t>
  </si>
  <si>
    <t xml:space="preserve">  inv_x000C_</t>
  </si>
  <si>
    <t>Inv_x000C_</t>
  </si>
  <si>
    <t>Inv Month</t>
  </si>
  <si>
    <t>$ Amount</t>
  </si>
  <si>
    <t>PO Number</t>
  </si>
  <si>
    <t>Mar 08</t>
  </si>
  <si>
    <t>Apr 05</t>
  </si>
  <si>
    <t>Mar 07</t>
  </si>
  <si>
    <t>PO-Sydney-223809</t>
  </si>
  <si>
    <t>PO-Melbourne-327600</t>
  </si>
  <si>
    <t>PO-Melbourne-332589</t>
  </si>
  <si>
    <t>PO-Melbourne-337131</t>
  </si>
  <si>
    <t>PO-Melbourne-319376</t>
  </si>
  <si>
    <t>PO-Melbourne-334724</t>
  </si>
  <si>
    <t>PO-Melbourne-310607</t>
  </si>
  <si>
    <t>PO-Sydney-226225</t>
  </si>
  <si>
    <t>PO-Sydney-223858</t>
  </si>
  <si>
    <t>PO-Sydney-211781</t>
  </si>
  <si>
    <t>PO-Sydney-232805</t>
  </si>
  <si>
    <t>PO-Melbourne-312187</t>
  </si>
  <si>
    <t>PO-Melbourne-319790</t>
  </si>
  <si>
    <t>PO-Melbourne-327342</t>
  </si>
  <si>
    <t>PO-Melbourne-335460</t>
  </si>
  <si>
    <t>PO-Melbourne-323955</t>
  </si>
  <si>
    <t>PO-Melbourne-316515</t>
  </si>
  <si>
    <t>PO-Sydney-231320</t>
  </si>
  <si>
    <t>PO-Sydney-213670</t>
  </si>
  <si>
    <t>24673_1</t>
  </si>
  <si>
    <t>1641-7654320-72</t>
  </si>
  <si>
    <t>Sydney</t>
  </si>
  <si>
    <t>2554-4551221-33</t>
  </si>
  <si>
    <t>Melbourne</t>
  </si>
  <si>
    <t>24675_1</t>
  </si>
  <si>
    <t>24676_1</t>
  </si>
  <si>
    <t>24677_1</t>
  </si>
  <si>
    <t>24679_1</t>
  </si>
  <si>
    <t>24679_2</t>
  </si>
  <si>
    <t>24680_1</t>
  </si>
  <si>
    <t>24683_1</t>
  </si>
  <si>
    <t>24685_1</t>
  </si>
  <si>
    <t>24690_1</t>
  </si>
  <si>
    <t>24693_1</t>
  </si>
  <si>
    <t>24697_1</t>
  </si>
  <si>
    <t>24698_1</t>
  </si>
  <si>
    <t>24699_1</t>
  </si>
  <si>
    <t>24704_1</t>
  </si>
  <si>
    <t>24707_1</t>
  </si>
  <si>
    <t>24712_1</t>
  </si>
  <si>
    <t>24717_1</t>
  </si>
  <si>
    <t>24722_1</t>
  </si>
  <si>
    <t>24727_1</t>
  </si>
  <si>
    <t>24730_1</t>
  </si>
  <si>
    <t>24732_1</t>
  </si>
  <si>
    <t>24735_2</t>
  </si>
  <si>
    <t>24739_1</t>
  </si>
  <si>
    <t>24740_1</t>
  </si>
  <si>
    <t>24743_1</t>
  </si>
  <si>
    <t>24746_1</t>
  </si>
  <si>
    <t>24750_1</t>
  </si>
  <si>
    <t>24753_1</t>
  </si>
  <si>
    <t>24754_1</t>
  </si>
  <si>
    <t>24756_1</t>
  </si>
  <si>
    <t>24757_1</t>
  </si>
  <si>
    <t>24758_1</t>
  </si>
  <si>
    <t>24759_1</t>
  </si>
  <si>
    <t>24760_1</t>
  </si>
  <si>
    <t>24761_1</t>
  </si>
  <si>
    <t>24764_1</t>
  </si>
  <si>
    <t>24767_1</t>
  </si>
  <si>
    <t>24771_1</t>
  </si>
  <si>
    <t>24775_1</t>
  </si>
  <si>
    <t>24779_1</t>
  </si>
  <si>
    <t>24784_1</t>
  </si>
  <si>
    <t>24788_1</t>
  </si>
  <si>
    <t>24792_1</t>
  </si>
  <si>
    <t>24793_1</t>
  </si>
  <si>
    <t>24795_1</t>
  </si>
  <si>
    <t>24798_1</t>
  </si>
  <si>
    <t>24801_1</t>
  </si>
  <si>
    <t>24803_1</t>
  </si>
  <si>
    <t>24808_1</t>
  </si>
  <si>
    <t>24813_1</t>
  </si>
  <si>
    <t>24815_1</t>
  </si>
  <si>
    <t>24819_1</t>
  </si>
  <si>
    <t>24822_1</t>
  </si>
  <si>
    <t>24824_1</t>
  </si>
  <si>
    <t>24825_1</t>
  </si>
  <si>
    <t>24830_1</t>
  </si>
  <si>
    <t>24831_1</t>
  </si>
  <si>
    <t>24833_1</t>
  </si>
  <si>
    <t>24837_1</t>
  </si>
  <si>
    <t>24838_1</t>
  </si>
  <si>
    <t>24842_1</t>
  </si>
  <si>
    <t>24847_1</t>
  </si>
  <si>
    <t>24851_1</t>
  </si>
  <si>
    <t>24854_1</t>
  </si>
  <si>
    <t>24857_1</t>
  </si>
  <si>
    <t>24861_1</t>
  </si>
  <si>
    <t>24863_1</t>
  </si>
  <si>
    <t>24866_1</t>
  </si>
  <si>
    <t>24870_1</t>
  </si>
  <si>
    <t>24873_1</t>
  </si>
  <si>
    <t>24875_1</t>
  </si>
  <si>
    <t>24876_1</t>
  </si>
  <si>
    <t>24877_1</t>
  </si>
  <si>
    <t>24878_1</t>
  </si>
  <si>
    <t>24880_1</t>
  </si>
  <si>
    <t>24882_1</t>
  </si>
  <si>
    <t>24885_1</t>
  </si>
  <si>
    <t>24887_1</t>
  </si>
  <si>
    <t>24891_1</t>
  </si>
  <si>
    <t>24893_1</t>
  </si>
  <si>
    <t>24898_1</t>
  </si>
  <si>
    <t>24902_1</t>
  </si>
  <si>
    <t>Supplier Code</t>
  </si>
  <si>
    <t>Payment Ref</t>
  </si>
  <si>
    <t>System Report for MedsCo April 2020</t>
  </si>
  <si>
    <t>MC2741</t>
  </si>
  <si>
    <t>Invoice Month</t>
  </si>
  <si>
    <t>Paid Amount</t>
  </si>
  <si>
    <t>Late Charge</t>
  </si>
  <si>
    <t>Penalty Rate:</t>
  </si>
  <si>
    <t>Over Due By</t>
  </si>
  <si>
    <t>Analysis for MedsCo April 2020</t>
  </si>
  <si>
    <t>Supplier Statement Total:</t>
  </si>
  <si>
    <t>Difference:</t>
  </si>
  <si>
    <t>Number of Invoices</t>
  </si>
  <si>
    <t>Total Paid</t>
  </si>
  <si>
    <t>Location:</t>
  </si>
  <si>
    <t>Invoiced</t>
  </si>
  <si>
    <t>Paid</t>
  </si>
  <si>
    <t>Inv/cr</t>
  </si>
  <si>
    <t>Amount</t>
  </si>
  <si>
    <t>Paid Date</t>
  </si>
  <si>
    <t>Invoice Day</t>
  </si>
  <si>
    <t>System Date:</t>
  </si>
  <si>
    <t>Date</t>
  </si>
  <si>
    <t>Day</t>
  </si>
  <si>
    <t>Holiday</t>
  </si>
  <si>
    <t>New Year's Day</t>
  </si>
  <si>
    <t>Australia Day Holiday</t>
  </si>
  <si>
    <t>Labour Day</t>
  </si>
  <si>
    <t>Good Friday</t>
  </si>
  <si>
    <t>Day following Good Friday</t>
  </si>
  <si>
    <t>Easter Sunday</t>
  </si>
  <si>
    <t>Easter Monday</t>
  </si>
  <si>
    <t>Anzac Day</t>
  </si>
  <si>
    <t>Queen's Birthday</t>
  </si>
  <si>
    <t>Christmas Day</t>
  </si>
  <si>
    <t>Boxing Day</t>
  </si>
  <si>
    <t>Boxing Day Holiday</t>
  </si>
  <si>
    <t>Holidays in NSW 2020</t>
  </si>
  <si>
    <t>1 or omitted</t>
  </si>
  <si>
    <t>Saturday, Sunday</t>
  </si>
  <si>
    <t>Sunday, Monday</t>
  </si>
  <si>
    <t>Monday, Tuesday</t>
  </si>
  <si>
    <t>Tuesday, Wednesday</t>
  </si>
  <si>
    <t>Wednesday, Thursday</t>
  </si>
  <si>
    <t>Thursday, Friday</t>
  </si>
  <si>
    <t>Friday, Saturday</t>
  </si>
  <si>
    <t>Sunday only</t>
  </si>
  <si>
    <t>Monday only</t>
  </si>
  <si>
    <t>Tuesday only</t>
  </si>
  <si>
    <t>Wednesday only</t>
  </si>
  <si>
    <t>Thursday only</t>
  </si>
  <si>
    <t>Friday only</t>
  </si>
  <si>
    <t>Saturday only</t>
  </si>
  <si>
    <t xml:space="preserve">Key for specifying non-working days </t>
  </si>
  <si>
    <t>Code</t>
  </si>
  <si>
    <t>Non-working days</t>
  </si>
  <si>
    <t xml:space="preserve">Or use seven character long code where each character is a day of the week, starting with Monday. 1 represents a non-workday and 0 represents a workday. </t>
  </si>
  <si>
    <t>Locations</t>
  </si>
  <si>
    <t>Total Paid:</t>
  </si>
  <si>
    <t>Payments:</t>
  </si>
  <si>
    <t>Days Overdue</t>
  </si>
  <si>
    <t>Days to Pay</t>
  </si>
  <si>
    <t>Apr 17</t>
  </si>
  <si>
    <t>Mar-02</t>
  </si>
  <si>
    <t>S 742.50</t>
  </si>
  <si>
    <t>Apr 20</t>
  </si>
  <si>
    <t>Apr 01</t>
  </si>
  <si>
    <t>S 1021.02</t>
  </si>
  <si>
    <t>Mar 16</t>
  </si>
  <si>
    <t>S 409.53</t>
  </si>
  <si>
    <t>Mar 25</t>
  </si>
  <si>
    <t>S 234.96</t>
  </si>
  <si>
    <t>Apr 10</t>
  </si>
  <si>
    <t>Mar 17</t>
  </si>
  <si>
    <t>S 450.12</t>
  </si>
  <si>
    <t>Apr 30</t>
  </si>
  <si>
    <t>Apr 09</t>
  </si>
  <si>
    <t>S 114.18</t>
  </si>
  <si>
    <t>Mar 23</t>
  </si>
  <si>
    <t>S 930.93</t>
  </si>
  <si>
    <t>Apr 14</t>
  </si>
  <si>
    <t>Mar 27</t>
  </si>
  <si>
    <t>S 466.29</t>
  </si>
  <si>
    <t>Apr 27</t>
  </si>
  <si>
    <t>Mar 22</t>
  </si>
  <si>
    <t>S 222.42</t>
  </si>
  <si>
    <t>Apr 11</t>
  </si>
  <si>
    <t>Mar 09</t>
  </si>
  <si>
    <t>S 679.80</t>
  </si>
  <si>
    <t>Apr 23</t>
  </si>
  <si>
    <t>Apr 04</t>
  </si>
  <si>
    <t>S 171.93</t>
  </si>
  <si>
    <t>Apr 06</t>
  </si>
  <si>
    <t>Feb 24</t>
  </si>
  <si>
    <t>S 623.70</t>
  </si>
  <si>
    <t>Apr 24</t>
  </si>
  <si>
    <t>Mar 29</t>
  </si>
  <si>
    <t>S 221.10</t>
  </si>
  <si>
    <t>Apr 28</t>
  </si>
  <si>
    <t>S 393.36</t>
  </si>
  <si>
    <t>Apr 21</t>
  </si>
  <si>
    <t>S 642.18</t>
  </si>
  <si>
    <t>Mar 19</t>
  </si>
  <si>
    <t>S 499.95</t>
  </si>
  <si>
    <t>Apr 07</t>
  </si>
  <si>
    <t>Feb 29</t>
  </si>
  <si>
    <t>S 299.64</t>
  </si>
  <si>
    <t>S 312.84</t>
  </si>
  <si>
    <t>Mar 14</t>
  </si>
  <si>
    <t>S 993.63</t>
  </si>
  <si>
    <t>S 1053.69</t>
  </si>
  <si>
    <t>PO-Sydney-226166</t>
  </si>
  <si>
    <t>Apr 08</t>
  </si>
  <si>
    <t>S 1047.75</t>
  </si>
  <si>
    <t>PO-Melbourne-316479</t>
  </si>
  <si>
    <t>Feb 27</t>
  </si>
  <si>
    <t>S 1096.92</t>
  </si>
  <si>
    <t>PO-Sydney-230046</t>
  </si>
  <si>
    <t>Feb 25</t>
  </si>
  <si>
    <t>S 257.07</t>
  </si>
  <si>
    <t>PO-Sydney-224680</t>
  </si>
  <si>
    <t>S 215.49</t>
  </si>
  <si>
    <t>PO-Sydney-238023</t>
  </si>
  <si>
    <t>S 455.07</t>
  </si>
  <si>
    <t>PO-Sydney-224184</t>
  </si>
  <si>
    <t>Apr 02</t>
  </si>
  <si>
    <t>S 711.81</t>
  </si>
  <si>
    <t>PO-Sydney-216205</t>
  </si>
  <si>
    <t>Mar 21</t>
  </si>
  <si>
    <t>S 78.54</t>
  </si>
  <si>
    <t>PO-Melbourne-331383</t>
  </si>
  <si>
    <t>Mar 02</t>
  </si>
  <si>
    <t>S 302.61</t>
  </si>
  <si>
    <t>PO-Melbourne-335282</t>
  </si>
  <si>
    <t>S 426.03</t>
  </si>
  <si>
    <t>PO-Melbourne-330858</t>
  </si>
  <si>
    <t>S 489.72</t>
  </si>
  <si>
    <t>PO-Sydney-238202</t>
  </si>
  <si>
    <t>S 352.44</t>
  </si>
  <si>
    <t>PO-Sydney-217217</t>
  </si>
  <si>
    <t>Apr 16</t>
  </si>
  <si>
    <t>S 238.59</t>
  </si>
  <si>
    <t>PO-Sydney-234637</t>
  </si>
  <si>
    <t>Apr 15</t>
  </si>
  <si>
    <t>S 549.12</t>
  </si>
  <si>
    <t>PO-Melbourne-332725</t>
  </si>
  <si>
    <t>Mar 03</t>
  </si>
  <si>
    <t>S 322.41</t>
  </si>
  <si>
    <t>PO-Sydney-227351</t>
  </si>
  <si>
    <t>Apr 13</t>
  </si>
  <si>
    <t>S 644.82</t>
  </si>
  <si>
    <t>PO-Melbourne-336345</t>
  </si>
  <si>
    <t>S 113.19</t>
  </si>
  <si>
    <t>PO-Melbourne-338595</t>
  </si>
  <si>
    <t>S 449.13</t>
  </si>
  <si>
    <t>PO-Melbourne-325149</t>
  </si>
  <si>
    <t>Apr 12</t>
  </si>
  <si>
    <t>S 819.06</t>
  </si>
  <si>
    <t>PO-Sydney-227994</t>
  </si>
  <si>
    <t>Apr 03</t>
  </si>
  <si>
    <t>Feb 19</t>
  </si>
  <si>
    <t>S 1019.04</t>
  </si>
  <si>
    <t>PO-Sydney-222399</t>
  </si>
  <si>
    <t>S 736.23</t>
  </si>
  <si>
    <t>PO-Melbourne-316436</t>
  </si>
  <si>
    <t>Mar 05</t>
  </si>
  <si>
    <t>S 600.27</t>
  </si>
  <si>
    <t>PO-Melbourne-312603</t>
  </si>
  <si>
    <t>S 480.81</t>
  </si>
  <si>
    <t>PO-Melbourne-339907</t>
  </si>
  <si>
    <t>Mar 18</t>
  </si>
  <si>
    <t>S 253.77</t>
  </si>
  <si>
    <t>PO-Sydney-218463</t>
  </si>
  <si>
    <t>S 442.86</t>
  </si>
  <si>
    <t>Mar 11</t>
  </si>
  <si>
    <t>S 630.96</t>
  </si>
  <si>
    <t>PO-Sydney-227664</t>
  </si>
  <si>
    <t>S 821.37</t>
  </si>
  <si>
    <t>PO-Melbourne-331460</t>
  </si>
  <si>
    <t>S 950.73</t>
  </si>
  <si>
    <t>PO-Melbourne-327740</t>
  </si>
  <si>
    <t>Mar 31</t>
  </si>
  <si>
    <t>S 956.34</t>
  </si>
  <si>
    <t>PO-Sydney-221183</t>
  </si>
  <si>
    <t>S 1094.28</t>
  </si>
  <si>
    <t>PO-Sydney-214234</t>
  </si>
  <si>
    <t>S 628.98</t>
  </si>
  <si>
    <t>PO-Melbourne-321456</t>
  </si>
  <si>
    <t>S 1058.31</t>
  </si>
  <si>
    <t>PO-Sydney-233209</t>
  </si>
  <si>
    <t>S 705.54</t>
  </si>
  <si>
    <t>PO-Sydney-222998</t>
  </si>
  <si>
    <t>S 138.60</t>
  </si>
  <si>
    <t>PO-Sydney-228246</t>
  </si>
  <si>
    <t>Mar 24</t>
  </si>
  <si>
    <t>S 417.12</t>
  </si>
  <si>
    <t>PO-Melbourne-314876</t>
  </si>
  <si>
    <t>Apr 18</t>
  </si>
  <si>
    <t>S 422.73</t>
  </si>
  <si>
    <t>PO-Sydney-223602</t>
  </si>
  <si>
    <t>S 1061.94</t>
  </si>
  <si>
    <t>PO-Melbourne-319833</t>
  </si>
  <si>
    <t>S 602.58</t>
  </si>
  <si>
    <t>PO-Melbourne-310345</t>
  </si>
  <si>
    <t>S 132.66</t>
  </si>
  <si>
    <t>PO-Melbourne-317142</t>
  </si>
  <si>
    <t>Mar 06</t>
  </si>
  <si>
    <t>S 56.43</t>
  </si>
  <si>
    <t>PO-Melbourne-313747</t>
  </si>
  <si>
    <t>Feb 20</t>
  </si>
  <si>
    <t>S 511.83</t>
  </si>
  <si>
    <t>PO-Sydney-234966</t>
  </si>
  <si>
    <t>Mar 26</t>
  </si>
  <si>
    <t>S 361.02</t>
  </si>
  <si>
    <t>PO-Sydney-215639</t>
  </si>
  <si>
    <t>S 668.25</t>
  </si>
  <si>
    <t>PO-Melbourne-328536</t>
  </si>
  <si>
    <t>S 126.72</t>
  </si>
  <si>
    <t>PO-Sydney-210023</t>
  </si>
  <si>
    <t>Apr 22</t>
  </si>
  <si>
    <t>Mar 15</t>
  </si>
  <si>
    <t>S 1000.23</t>
  </si>
  <si>
    <t>PO-Melbourne-338938</t>
  </si>
  <si>
    <t>Mar 28</t>
  </si>
  <si>
    <t>S 948.75</t>
  </si>
  <si>
    <t>PO-Melbourne-320536</t>
  </si>
  <si>
    <t>S 446.49</t>
  </si>
  <si>
    <t>PO-Melbourne-322800</t>
  </si>
  <si>
    <t>Apr 19</t>
  </si>
  <si>
    <t>S 242.22</t>
  </si>
  <si>
    <t>PO-Melbourne-321358</t>
  </si>
  <si>
    <t>Feb 26</t>
  </si>
  <si>
    <t>S 600.60</t>
  </si>
  <si>
    <t>PO-Melbourne-316190</t>
  </si>
  <si>
    <t>S 546.81</t>
  </si>
  <si>
    <t>PO-Melbourne-327938</t>
  </si>
  <si>
    <t>Mar 10</t>
  </si>
  <si>
    <t>S 840.51</t>
  </si>
  <si>
    <t>PO-Sydney-234487</t>
  </si>
  <si>
    <t>S 603.57</t>
  </si>
  <si>
    <t>PO-Sydney-231274</t>
  </si>
  <si>
    <t>S 816.75</t>
  </si>
  <si>
    <t>PO-Sydney-224955</t>
  </si>
  <si>
    <t>S 1065.57</t>
  </si>
  <si>
    <t>PO-Sydney-217275</t>
  </si>
  <si>
    <t>S 523.38</t>
  </si>
  <si>
    <t>PO-Sydney-226240</t>
  </si>
  <si>
    <t>S 650.43</t>
  </si>
  <si>
    <t>PO-Melbourne-325643</t>
  </si>
  <si>
    <t>S 809.49</t>
  </si>
  <si>
    <t>PO-Melbourne-312800</t>
  </si>
  <si>
    <t>S 424.38</t>
  </si>
  <si>
    <t>PO-Melbourne-338807</t>
  </si>
  <si>
    <t>S 955.68</t>
  </si>
  <si>
    <t>PO-Sydney-239476</t>
  </si>
  <si>
    <t>Apr 29</t>
  </si>
  <si>
    <t>S 764.28</t>
  </si>
  <si>
    <t>PO-Sydney-213693</t>
  </si>
  <si>
    <t>S 335.61</t>
  </si>
  <si>
    <t>PO-Sydney-235040</t>
  </si>
  <si>
    <t>S 763.29</t>
  </si>
  <si>
    <t>PO-Sydney-211771</t>
  </si>
  <si>
    <t>S 446.16</t>
  </si>
  <si>
    <t>PO-Melbourne-326543</t>
  </si>
  <si>
    <t>S 1032.24</t>
  </si>
  <si>
    <t>PO-Melbourne-338553</t>
  </si>
  <si>
    <t>S 533.28</t>
  </si>
  <si>
    <t>PO-Sydney-213342</t>
  </si>
  <si>
    <t>MC Report Total Paid:</t>
  </si>
  <si>
    <t>Over Due</t>
  </si>
  <si>
    <t>New Penalties</t>
  </si>
  <si>
    <t>24674_1</t>
  </si>
  <si>
    <t>S 398.50</t>
  </si>
  <si>
    <t>PO-Sydney-223802</t>
  </si>
  <si>
    <t>Cust PO</t>
  </si>
  <si>
    <t>Cust Ref</t>
  </si>
  <si>
    <t>Column1</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</si>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</sst>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00;[Red]\-&quot;$&quot;#,##0.00"/>
    <numFmt numFmtId="165" formatCode="_-&quot;$&quot;* #,##0.00_-;\-&quot;$&quot;* #,##0.00_-;_-&quot;$&quot;* &quot;-&quot;??_-;_-@_-"/>
    <numFmt numFmtId="166" formatCode="_-* #,##0.00_-;\-* #,##0.00_-;_-* &quot;-&quot;??_-;_-@_-"/>
    <numFmt numFmtId="167" formatCode="&quot;$&quot;#,##0.00"/>
    <numFmt numFmtId="168" formatCode="yyyy\-mm\-dd;@"/>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8"/>
      <name val="Calibri"/>
      <family val="2"/>
      <scheme val="minor"/>
    </font>
    <font>
      <b/>
      <sz val="15"/>
      <color theme="3"/>
      <name val="Calibri"/>
      <family val="2"/>
      <scheme val="minor"/>
    </font>
    <font>
      <sz val="18"/>
      <color theme="3"/>
      <name val="Calibri Light"/>
      <family val="2"/>
      <scheme val="major"/>
    </font>
    <font>
      <sz val="11"/>
      <name val="Calibri"/>
      <family val="2"/>
      <scheme val="minor"/>
    </font>
    <font>
      <sz val="11"/>
      <color theme="0"/>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4"/>
      </patternFill>
    </fill>
    <fill>
      <patternFill patternType="solid">
        <fgColor theme="9"/>
      </patternFill>
    </fill>
  </fills>
  <borders count="11">
    <border>
      <left/>
      <right/>
      <top/>
      <bottom/>
      <diagonal/>
    </border>
    <border>
      <left/>
      <right/>
      <top/>
      <bottom style="thick">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theme="8"/>
      </bottom>
      <diagonal/>
    </border>
    <border>
      <left style="thin">
        <color theme="8"/>
      </left>
      <right style="thin">
        <color theme="8"/>
      </right>
      <top style="thin">
        <color theme="8"/>
      </top>
      <bottom style="thin">
        <color theme="8"/>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s>
  <cellStyleXfs count="12">
    <xf numFmtId="0" fontId="0" fillId="0" borderId="0"/>
    <xf numFmtId="0" fontId="3" fillId="0" borderId="0"/>
    <xf numFmtId="166" fontId="3" fillId="0" borderId="0" applyFont="0" applyFill="0" applyBorder="0" applyAlignment="0" applyProtection="0"/>
    <xf numFmtId="165" fontId="3" fillId="0" borderId="0" applyFont="0" applyFill="0" applyBorder="0" applyAlignment="0" applyProtection="0"/>
    <xf numFmtId="0" fontId="1" fillId="0" borderId="0"/>
    <xf numFmtId="0" fontId="1" fillId="0" borderId="0"/>
    <xf numFmtId="0" fontId="1" fillId="0" borderId="0"/>
    <xf numFmtId="165" fontId="1" fillId="0" borderId="0" applyFont="0" applyFill="0" applyBorder="0" applyAlignment="0" applyProtection="0"/>
    <xf numFmtId="0" fontId="5" fillId="0" borderId="1" applyNumberFormat="0" applyFill="0" applyAlignment="0" applyProtection="0"/>
    <xf numFmtId="0" fontId="6" fillId="0" borderId="0" applyNumberFormat="0" applyFill="0" applyBorder="0" applyAlignment="0" applyProtection="0"/>
    <xf numFmtId="0" fontId="8" fillId="3" borderId="0" applyNumberFormat="0" applyBorder="0" applyAlignment="0" applyProtection="0"/>
    <xf numFmtId="0" fontId="8" fillId="4" borderId="0" applyNumberFormat="0" applyBorder="0" applyAlignment="0" applyProtection="0"/>
  </cellStyleXfs>
  <cellXfs count="36">
    <xf numFmtId="0" fontId="0" fillId="0" borderId="0" xfId="0"/>
    <xf numFmtId="167" fontId="0" fillId="0" borderId="0" xfId="0" applyNumberFormat="1"/>
    <xf numFmtId="168" fontId="0" fillId="0" borderId="0" xfId="0" applyNumberFormat="1"/>
    <xf numFmtId="0" fontId="2" fillId="0" borderId="0" xfId="0" applyFont="1"/>
    <xf numFmtId="0" fontId="0" fillId="0" borderId="0" xfId="0" applyAlignment="1">
      <alignment horizontal="center"/>
    </xf>
    <xf numFmtId="168" fontId="0" fillId="2" borderId="2" xfId="0" applyNumberFormat="1" applyFill="1" applyBorder="1"/>
    <xf numFmtId="10" fontId="0" fillId="2" borderId="3" xfId="0" applyNumberFormat="1" applyFill="1" applyBorder="1"/>
    <xf numFmtId="0" fontId="2" fillId="0" borderId="0" xfId="0" applyFont="1" applyAlignment="1">
      <alignment horizontal="right"/>
    </xf>
    <xf numFmtId="167" fontId="0" fillId="0" borderId="0" xfId="7" applyNumberFormat="1" applyFont="1"/>
    <xf numFmtId="0" fontId="5" fillId="0" borderId="1" xfId="8"/>
    <xf numFmtId="168" fontId="0" fillId="2" borderId="3" xfId="0" applyNumberFormat="1" applyFill="1" applyBorder="1" applyAlignment="1">
      <alignment horizontal="right"/>
    </xf>
    <xf numFmtId="0" fontId="6" fillId="0" borderId="0" xfId="9"/>
    <xf numFmtId="14" fontId="0" fillId="0" borderId="0" xfId="0" applyNumberFormat="1"/>
    <xf numFmtId="14" fontId="8" fillId="3" borderId="0" xfId="10" applyNumberFormat="1" applyAlignment="1">
      <alignment horizontal="right"/>
    </xf>
    <xf numFmtId="0" fontId="8" fillId="3" borderId="0" xfId="10" applyAlignment="1">
      <alignment horizontal="center"/>
    </xf>
    <xf numFmtId="0" fontId="8" fillId="3" borderId="0" xfId="10"/>
    <xf numFmtId="14" fontId="5" fillId="0" borderId="1" xfId="8" applyNumberFormat="1"/>
    <xf numFmtId="0" fontId="2" fillId="0" borderId="0" xfId="0" applyFont="1" applyAlignment="1">
      <alignment horizontal="center"/>
    </xf>
    <xf numFmtId="0" fontId="0" fillId="0" borderId="0" xfId="0" applyAlignment="1">
      <alignment horizontal="left"/>
    </xf>
    <xf numFmtId="0" fontId="0" fillId="0" borderId="5" xfId="0" applyBorder="1"/>
    <xf numFmtId="167" fontId="0" fillId="0" borderId="5" xfId="0" applyNumberFormat="1" applyBorder="1"/>
    <xf numFmtId="0" fontId="2" fillId="0" borderId="7" xfId="0" applyFont="1" applyBorder="1" applyAlignment="1">
      <alignment horizontal="center"/>
    </xf>
    <xf numFmtId="0" fontId="2" fillId="0" borderId="8" xfId="0" applyFont="1" applyBorder="1" applyAlignment="1">
      <alignment horizontal="center"/>
    </xf>
    <xf numFmtId="0" fontId="7" fillId="0" borderId="0" xfId="0" applyFont="1"/>
    <xf numFmtId="14" fontId="7" fillId="0" borderId="0" xfId="0" applyNumberFormat="1" applyFont="1"/>
    <xf numFmtId="167" fontId="7" fillId="0" borderId="0" xfId="0" applyNumberFormat="1" applyFont="1"/>
    <xf numFmtId="164" fontId="7" fillId="0" borderId="0" xfId="0" applyNumberFormat="1" applyFont="1"/>
    <xf numFmtId="0" fontId="2" fillId="0" borderId="8" xfId="0" applyFont="1" applyBorder="1" applyAlignment="1">
      <alignment horizontal="left"/>
    </xf>
    <xf numFmtId="167" fontId="2" fillId="0" borderId="8" xfId="0" applyNumberFormat="1" applyFont="1" applyBorder="1" applyAlignment="1">
      <alignment horizontal="center"/>
    </xf>
    <xf numFmtId="0" fontId="2" fillId="0" borderId="6" xfId="0" applyFont="1" applyBorder="1" applyAlignment="1">
      <alignment horizontal="center"/>
    </xf>
    <xf numFmtId="17" fontId="0" fillId="0" borderId="0" xfId="0" applyNumberFormat="1" applyAlignment="1">
      <alignment horizontal="left"/>
    </xf>
    <xf numFmtId="14" fontId="0" fillId="0" borderId="0" xfId="0" applyNumberFormat="1" applyAlignment="1">
      <alignment horizontal="center"/>
    </xf>
    <xf numFmtId="0" fontId="8" fillId="4" borderId="4" xfId="11" applyBorder="1" applyAlignment="1">
      <alignment horizontal="center"/>
    </xf>
    <xf numFmtId="0" fontId="0" fillId="0" borderId="9" xfId="0" applyBorder="1"/>
    <xf numFmtId="0" fontId="7" fillId="0" borderId="0" xfId="0" applyNumberFormat="1" applyFont="1"/>
    <xf numFmtId="0" fontId="2" fillId="0" borderId="10" xfId="0" applyFont="1" applyBorder="1" applyAlignment="1">
      <alignment horizontal="center"/>
    </xf>
  </cellXfs>
  <cellStyles count="12">
    <cellStyle name="Accent1" xfId="10" builtinId="29"/>
    <cellStyle name="Accent6" xfId="11" builtinId="49"/>
    <cellStyle name="Comma 2" xfId="2" xr:uid="{5AB253B3-2FEF-49FD-8346-A76EF12A392B}"/>
    <cellStyle name="Currency" xfId="7" builtinId="4"/>
    <cellStyle name="Currency 2" xfId="3" xr:uid="{ED315434-3E07-45FA-8258-C8D5939EFA05}"/>
    <cellStyle name="Heading 1" xfId="8" builtinId="16"/>
    <cellStyle name="Normal" xfId="0" builtinId="0"/>
    <cellStyle name="Normal 2" xfId="1" xr:uid="{33D5E154-E9F8-47C6-98CD-39452DC19965}"/>
    <cellStyle name="Normal 37" xfId="4" xr:uid="{18CFCBDC-F8F9-4886-9CA5-9873B3A4E10F}"/>
    <cellStyle name="Normal 38" xfId="5" xr:uid="{812CE7D6-EF77-4F03-BFC0-1EE985B71C99}"/>
    <cellStyle name="Normal 43" xfId="6" xr:uid="{85A34433-3CC0-47BA-AADA-30C99D5927A5}"/>
    <cellStyle name="Title" xfId="9" builtinId="15"/>
  </cellStyles>
  <dxfs count="84">
    <dxf>
      <font>
        <b val="0"/>
        <i val="0"/>
        <strike val="0"/>
        <condense val="0"/>
        <extend val="0"/>
        <outline val="0"/>
        <shadow val="0"/>
        <u val="none"/>
        <vertAlign val="baseline"/>
        <sz val="11"/>
        <color auto="1"/>
        <name val="Calibri"/>
        <family val="2"/>
        <scheme val="minor"/>
      </font>
      <numFmt numFmtId="167" formatCode="&quot;$&quot;#,##0.00"/>
    </dxf>
    <dxf>
      <font>
        <b val="0"/>
        <i val="0"/>
        <strike val="0"/>
        <condense val="0"/>
        <extend val="0"/>
        <outline val="0"/>
        <shadow val="0"/>
        <u val="none"/>
        <vertAlign val="baseline"/>
        <sz val="11"/>
        <color auto="1"/>
        <name val="Calibri"/>
        <family val="2"/>
        <scheme val="minor"/>
      </font>
      <border diagonalUp="0" diagonalDown="0">
        <left style="thin">
          <color indexed="64"/>
        </left>
        <right style="thin">
          <color indexed="64"/>
        </right>
        <top style="thin">
          <color indexed="64"/>
        </top>
        <bottom/>
      </border>
    </dxf>
    <dxf>
      <numFmt numFmtId="167" formatCode="&quot;$&quot;#,##0.00"/>
    </dxf>
    <dxf>
      <font>
        <b val="0"/>
        <i val="0"/>
        <strike val="0"/>
        <condense val="0"/>
        <extend val="0"/>
        <outline val="0"/>
        <shadow val="0"/>
        <u val="none"/>
        <vertAlign val="baseline"/>
        <sz val="11"/>
        <color auto="1"/>
        <name val="Calibri"/>
        <family val="2"/>
        <scheme val="minor"/>
      </font>
      <numFmt numFmtId="167" formatCode="&quot;$&quot;#,##0.00"/>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left style="thin">
          <color indexed="64"/>
        </left>
        <right style="thin">
          <color indexed="64"/>
        </right>
        <top style="thin">
          <color indexed="64"/>
        </top>
        <bottom/>
      </border>
    </dxf>
    <dxf>
      <numFmt numFmtId="167" formatCode="&quot;$&quot;#,##0.00"/>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67" formatCode="&quot;$&quot;#,##0.00"/>
    </dxf>
    <dxf>
      <font>
        <b val="0"/>
        <i val="0"/>
        <strike val="0"/>
        <condense val="0"/>
        <extend val="0"/>
        <outline val="0"/>
        <shadow val="0"/>
        <u val="none"/>
        <vertAlign val="baseline"/>
        <sz val="11"/>
        <color theme="1"/>
        <name val="Calibri"/>
        <family val="2"/>
        <scheme val="minor"/>
      </font>
      <numFmt numFmtId="167" formatCode="&quot;$&quot;#,##0.00"/>
    </dxf>
    <dxf>
      <font>
        <b/>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numFmt numFmtId="164" formatCode="&quot;$&quot;#,##0.00;[Red]\-&quot;$&quot;#,##0.0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4" formatCode="&quot;$&quot;#,##0.00;[Red]\-&quot;$&quot;#,##0.00"/>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border diagonalUp="0" diagonalDown="0" outline="0">
        <left/>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fill>
        <patternFill>
          <bgColor theme="8" tint="0.79998168889431442"/>
        </patternFill>
      </fill>
    </dxf>
    <dxf>
      <border diagonalUp="0" diagonalDown="0" outline="0">
        <left/>
        <right/>
        <top style="thin">
          <color indexed="64"/>
        </top>
        <bottom/>
      </border>
    </dxf>
    <dxf>
      <numFmt numFmtId="0" formatCode="General"/>
    </dxf>
    <dxf>
      <fill>
        <patternFill patternType="none">
          <fgColor indexed="64"/>
          <bgColor indexed="65"/>
        </patternFill>
      </fill>
      <border diagonalUp="0" diagonalDown="0" outline="0">
        <left style="thin">
          <color indexed="64"/>
        </left>
        <right/>
        <top style="thin">
          <color indexed="64"/>
        </top>
        <bottom/>
      </border>
    </dxf>
    <dxf>
      <numFmt numFmtId="169" formatCode="d/mm/yyyy"/>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169" formatCode="d/mm/yyyy"/>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right style="thin">
          <color indexed="64"/>
        </right>
        <top style="thin">
          <color indexed="64"/>
        </top>
        <bottom/>
      </border>
    </dxf>
    <dxf>
      <fill>
        <patternFill patternType="none">
          <fgColor indexed="64"/>
          <bgColor indexed="65"/>
        </patternFill>
      </fill>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18</xdr:col>
      <xdr:colOff>25632</xdr:colOff>
      <xdr:row>10</xdr:row>
      <xdr:rowOff>134273</xdr:rowOff>
    </xdr:from>
    <xdr:to>
      <xdr:col>20</xdr:col>
      <xdr:colOff>21013</xdr:colOff>
      <xdr:row>17</xdr:row>
      <xdr:rowOff>173990</xdr:rowOff>
    </xdr:to>
    <mc:AlternateContent xmlns:mc="http://schemas.openxmlformats.org/markup-compatibility/2006" xmlns:sle15="http://schemas.microsoft.com/office/drawing/2012/slicer">
      <mc:Choice Requires="sle15">
        <xdr:graphicFrame macro="">
          <xdr:nvGraphicFramePr>
            <xdr:cNvPr id="2" name="Location">
              <a:extLst>
                <a:ext uri="{FF2B5EF4-FFF2-40B4-BE49-F238E27FC236}">
                  <a16:creationId xmlns:a16="http://schemas.microsoft.com/office/drawing/2014/main" id="{056E702B-F5E3-4658-BF6A-5D749B3F1FD2}"/>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5804959" y="2110816"/>
              <a:ext cx="1491864" cy="1343584"/>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18</xdr:col>
      <xdr:colOff>25632</xdr:colOff>
      <xdr:row>3</xdr:row>
      <xdr:rowOff>60614</xdr:rowOff>
    </xdr:from>
    <xdr:to>
      <xdr:col>20</xdr:col>
      <xdr:colOff>21013</xdr:colOff>
      <xdr:row>10</xdr:row>
      <xdr:rowOff>59343</xdr:rowOff>
    </xdr:to>
    <mc:AlternateContent xmlns:mc="http://schemas.openxmlformats.org/markup-compatibility/2006" xmlns:sle15="http://schemas.microsoft.com/office/drawing/2012/slicer">
      <mc:Choice Requires="sle15">
        <xdr:graphicFrame macro="">
          <xdr:nvGraphicFramePr>
            <xdr:cNvPr id="3" name="Invoice Month">
              <a:extLst>
                <a:ext uri="{FF2B5EF4-FFF2-40B4-BE49-F238E27FC236}">
                  <a16:creationId xmlns:a16="http://schemas.microsoft.com/office/drawing/2014/main" id="{5B3B57A1-F47B-46F6-A29F-DBCC22F6DB96}"/>
                </a:ext>
              </a:extLst>
            </xdr:cNvPr>
            <xdr:cNvGraphicFramePr/>
          </xdr:nvGraphicFramePr>
          <xdr:xfrm>
            <a:off x="0" y="0"/>
            <a:ext cx="0" cy="0"/>
          </xdr:xfrm>
          <a:graphic>
            <a:graphicData uri="http://schemas.microsoft.com/office/drawing/2010/slicer">
              <sle:slicer xmlns:sle="http://schemas.microsoft.com/office/drawing/2010/slicer" name="Invoice Month"/>
            </a:graphicData>
          </a:graphic>
        </xdr:graphicFrame>
      </mc:Choice>
      <mc:Fallback xmlns="">
        <xdr:sp macro="" textlink="">
          <xdr:nvSpPr>
            <xdr:cNvPr id="0" name=""/>
            <xdr:cNvSpPr>
              <a:spLocks noTextEdit="1"/>
            </xdr:cNvSpPr>
          </xdr:nvSpPr>
          <xdr:spPr>
            <a:xfrm>
              <a:off x="15804959" y="726941"/>
              <a:ext cx="1491864" cy="1308945"/>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C1A092B4-0AB2-4B23-9062-0C71741F65CA}" sourceName="Location">
  <extLst>
    <x:ext xmlns:x15="http://schemas.microsoft.com/office/spreadsheetml/2010/11/main" uri="{2F2917AC-EB37-4324-AD4E-5DD8C200BD13}">
      <x15:tableSlicerCache tableId="3" column="9"/>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Month" xr10:uid="{2919FB5B-3501-4CEF-A184-1FF94A133BDD}" sourceName="Invoice Month">
  <extLst>
    <x:ext xmlns:x15="http://schemas.microsoft.com/office/spreadsheetml/2010/11/main" uri="{2F2917AC-EB37-4324-AD4E-5DD8C200BD13}">
      <x15:tableSlicerCache tableId="3"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BC5EFCC3-7382-48D4-BD6C-24EFCE1759A7}" cache="Slicer_Location" caption="Location" style="SlicerStyleDark1" rowHeight="241300"/>
  <slicer name="Invoice Month" xr10:uid="{4287F86D-3B95-4117-B20C-6C2D6127A7AC}" cache="Slicer_Invoice_Month" caption="Invoice Month"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C98715-8638-4E85-985D-29000BD877AC}" name="tbl_Supplier" displayName="tbl_Supplier" ref="A1:U86" headerRowBorderDxfId="83" tableBorderDxfId="82" totalsRowBorderDxfId="81">
  <autoFilter ref="A1:U86" xr:uid="{BC9280C7-1BCF-417E-9715-5CFA4B9AAA00}"/>
  <tableColumns count="21">
    <tableColumn id="1" xr3:uid="{52BFBEBF-3D49-40C6-99E9-4D1C2F78CBF5}" name="Document No" totalsRowLabel="Total" dataDxfId="80" totalsRowDxfId="79"/>
    <tableColumn id="2" xr3:uid="{99102FB0-8F67-4019-A56C-7EFBD753E209}" name="Payment No." totalsRowFunction="count" dataDxfId="78" totalsRowDxfId="77"/>
    <tableColumn id="3" xr3:uid="{44AC7DA0-D291-4B85-A414-4B79542A74F2}" name="Paid" dataDxfId="76" totalsRowDxfId="75"/>
    <tableColumn id="4" xr3:uid="{30EE0024-C1B5-447C-A3A3-696AAEA80CC1}" name="Invoiced" dataDxfId="74" totalsRowDxfId="73"/>
    <tableColumn id="5" xr3:uid="{14A178F1-0952-4DA8-84F9-870DCB1674A2}" name="Inv/cr" dataDxfId="72" totalsRowDxfId="71"/>
    <tableColumn id="6" xr3:uid="{AC11F8AA-D099-4FC8-BAC7-F42F20B23C78}" name="Paid Amount" dataDxfId="70" totalsRowDxfId="69"/>
    <tableColumn id="7" xr3:uid="{339B4D81-2202-4DC9-B465-2DD3F31A2CFD}" name="Customer PO" dataDxfId="68" totalsRowDxfId="67"/>
    <tableColumn id="8" xr3:uid="{56A94A81-B7A6-4A3A-B36B-FFCFD09C31D7}" name="ABN" dataDxfId="66" totalsRowDxfId="65"/>
    <tableColumn id="9" xr3:uid="{B8D412FA-1ED0-423C-B7B8-7CDDED11FED5}" name="Acct" dataDxfId="64" totalsRowDxfId="63"/>
    <tableColumn id="10" xr3:uid="{D71A9FD3-FC17-40B1-B7EE-B919B78EC5F2}" name="Check" dataDxfId="62" totalsRowDxfId="61"/>
    <tableColumn id="11" xr3:uid="{952BD9B9-AE9C-4F38-98EB-DD0A4DBC6031}" name="Cust Ref" dataDxfId="60" totalsRowDxfId="59">
      <calculatedColumnFormula>CONCATENATE(A2,"_",B2)</calculatedColumnFormula>
    </tableColumn>
    <tableColumn id="12" xr3:uid="{B18B6DDB-3CE2-4D93-A928-F69EFB1E53F6}" name="Bank Details" dataDxfId="58" totalsRowDxfId="57">
      <calculatedColumnFormula>H2&amp;"-"&amp;I2&amp;"-"&amp;J2</calculatedColumnFormula>
    </tableColumn>
    <tableColumn id="13" xr3:uid="{DA0E0F2D-AA6B-41B0-9152-814F0201A8C5}" name="Inv Month" dataDxfId="56" totalsRowDxfId="55">
      <calculatedColumnFormula>LEFT(D2,3)</calculatedColumnFormula>
    </tableColumn>
    <tableColumn id="14" xr3:uid="{AC7135CB-0044-46B3-90AF-0E203A7D10CA}" name="Cust PO" dataDxfId="54" totalsRowDxfId="53">
      <calculatedColumnFormula>RIGHT(G2,6)</calculatedColumnFormula>
    </tableColumn>
    <tableColumn id="15" xr3:uid="{7F8DB658-5E17-49E2-A66D-25D1A403B8B1}" name="Location" dataDxfId="52" totalsRowDxfId="51">
      <calculatedColumnFormula>MID(G2,4,FIND("-",G2,4)-4)</calculatedColumnFormula>
    </tableColumn>
    <tableColumn id="16" xr3:uid="{525BCB5D-00F1-45D8-A50B-4CB59DEAD8CC}" name="Type" dataDxfId="50" totalsRowDxfId="49">
      <calculatedColumnFormula>UPPER(TRIM(CLEAN(E2)))</calculatedColumnFormula>
    </tableColumn>
    <tableColumn id="17" xr3:uid="{4C714671-174F-46CE-990C-18D802F66171}" name="$ Amount" dataDxfId="6">
      <calculatedColumnFormula>VALUE(SUBSTITUTE(SUBSTITUTE(F2,"S","$"),CHAR(160),""))*IF(tbl_Supplier[[#This Row],[Type]]="CR",-1,1)</calculatedColumnFormula>
    </tableColumn>
    <tableColumn id="18" xr3:uid="{B1D4CB94-9310-427D-9840-D4BC7E47FE8C}" name="Invoice Date" dataDxfId="48" totalsRowDxfId="47">
      <calculatedColumnFormula>DATE(2020,MONTH(1&amp;M2),RIGHT(D2,2))</calculatedColumnFormula>
    </tableColumn>
    <tableColumn id="19" xr3:uid="{6B972CFC-44ED-4FD9-B1C6-59234320EB20}" name="Paid Date" dataDxfId="46" totalsRowDxfId="45">
      <calculatedColumnFormula>DATE(2020,MONTH(tbl_Supplier[[#This Row],[Paid]]),RIGHT(C2,2))</calculatedColumnFormula>
    </tableColumn>
    <tableColumn id="22" xr3:uid="{179862E3-3B83-4981-98BB-B39D51453247}" name="Days to Pay" dataDxfId="44" totalsRowDxfId="43">
      <calculatedColumnFormula>tbl_Supplier[[#This Row],[Paid Date]]-tbl_Supplier[[#This Row],[Invoice Date]]</calculatedColumnFormula>
    </tableColumn>
    <tableColumn id="20" xr3:uid="{845825C1-B975-491B-8360-98B601ED65A1}" name="Column1" dataDxfId="2">
      <calculatedColumnFormula>tbl_Supplier[[#This Row],[$ Amount]]-VLOOKUP(tbl_Supplier[[#This Row],[Cust Ref]],tbl_MC[],10,FALSE)</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38C14BD-F6A6-4A23-A3BE-7993CCEE9F34}" name="tbl_MC" displayName="tbl_MC" ref="A4:Q88" headerRowDxfId="41" dataDxfId="39" headerRowBorderDxfId="40" tableBorderDxfId="38" totalsRowBorderDxfId="37">
  <autoFilter ref="A4:Q88" xr:uid="{13A28ACC-331D-4225-A8C8-A8CA8F13F074}"/>
  <sortState xmlns:xlrd2="http://schemas.microsoft.com/office/spreadsheetml/2017/richdata2" ref="A5:O88">
    <sortCondition ref="C4:C88"/>
  </sortState>
  <tableColumns count="17">
    <tableColumn id="1" xr3:uid="{C4858A8D-1AFD-4564-A6F5-1E15BC578168}" name="Payment Ref" totalsRowLabel="Total" totalsRowDxfId="36"/>
    <tableColumn id="2" xr3:uid="{FDAF40F1-3571-40E7-97D0-295F5543A0D2}" name="Supplier Code" dataDxfId="35" totalsRowDxfId="34"/>
    <tableColumn id="3" xr3:uid="{6BA376D9-9C9D-43F3-B604-2F449277C862}" name="Payment No." totalsRowFunction="count" dataDxfId="33" totalsRowDxfId="32"/>
    <tableColumn id="4" xr3:uid="{AA0FC72D-CBC0-422D-9B02-931656A68879}" name="Invoice Date" dataDxfId="31" totalsRowDxfId="30"/>
    <tableColumn id="5" xr3:uid="{5CFD2BEA-8570-4A44-B859-40754C5BD32B}" name="Due Date" dataDxfId="29" totalsRowDxfId="28">
      <calculatedColumnFormula>WORKDAY(EDATE(D5,1)-1,1)</calculatedColumnFormula>
    </tableColumn>
    <tableColumn id="6" xr3:uid="{F2410CEC-BF88-4FF7-8C79-F0CBEAA3BFF0}" name="Payment Date" dataDxfId="27" totalsRowDxfId="26"/>
    <tableColumn id="8" xr3:uid="{A7DE618F-0DA4-4A14-A177-E2DFF261F133}" name="PO Number" dataDxfId="25" totalsRowDxfId="24"/>
    <tableColumn id="7" xr3:uid="{84DA8E78-9128-41E3-8BD5-14DFB33A351A}" name="Bank Details" dataDxfId="23" totalsRowDxfId="22"/>
    <tableColumn id="9" xr3:uid="{51E545FA-5C70-4AE7-80EF-C180215FEEEF}" name="Location" dataDxfId="21" totalsRowDxfId="20"/>
    <tableColumn id="10" xr3:uid="{1CEBCCB8-D8DA-4915-B6E0-D4914173F61F}" name="Amount" totalsRowFunction="sum" dataDxfId="19" totalsRowDxfId="18"/>
    <tableColumn id="11" xr3:uid="{97DE4D90-93E4-4F85-8AAC-99A777E863AB}" name="Invoice Month" dataDxfId="17" totalsRowDxfId="16">
      <calculatedColumnFormula>TEXT(D5,"MMM")</calculatedColumnFormula>
    </tableColumn>
    <tableColumn id="12" xr3:uid="{443F0B83-0AFA-4B3A-9A3D-5D56DF1DFDCA}" name="Invoice Day" dataDxfId="15" totalsRowDxfId="14">
      <calculatedColumnFormula>DAY(D5)</calculatedColumnFormula>
    </tableColumn>
    <tableColumn id="17" xr3:uid="{7B8E0170-2688-4461-8E4C-ED9FD8D9FB9F}" name="Over Due" dataDxfId="8">
      <calculatedColumnFormula>IF(tbl_MC[[#This Row],[Payment Date]]&gt;tbl_MC[[#This Row],[Due Date]],"Yes","")</calculatedColumnFormula>
    </tableColumn>
    <tableColumn id="13" xr3:uid="{7C978FE9-6F25-4604-AB86-0FE4634F7EA6}" name="Over Due By" dataDxfId="7" totalsRowDxfId="13">
      <calculatedColumnFormula>IF(tbl_MC[[#This Row],[Over Due]]="",0,NETWORKDAYS(tbl_MC[[#This Row],[Due Date]],tbl_MC[[#This Row],[Payment Date]],Holidays))</calculatedColumnFormula>
    </tableColumn>
    <tableColumn id="15" xr3:uid="{C50C5F2E-E3D5-4B6A-8C16-84681B1B9B92}" name="Late Charge" dataDxfId="3" totalsRowDxfId="12">
      <calculatedColumnFormula>VLOOKUP(tbl_MC[[#This Row],[Over Due By]],$S$21:$T$25,2)</calculatedColumnFormula>
    </tableColumn>
    <tableColumn id="14" xr3:uid="{BB8F6315-86AB-4F59-8F9D-42D86BE12261}" name="Column1" dataDxfId="4" totalsRowDxfId="5">
      <calculatedColumnFormula>IF(AND(tbl_MC[[#This Row],[Over Due By]]&gt;0,tbl_MC[[#This Row],[Amount]]&gt;=500),"Action","")</calculatedColumnFormula>
    </tableColumn>
    <tableColumn id="16" xr3:uid="{1BE96AAC-AE94-480A-8345-BB5B18745A53}" name="Column2" dataDxfId="0" totalsRowDxfId="1">
      <calculatedColumnFormula>tbl_MC[[#This Row],[Amount]]-_xlfn.XLOOKUP(tbl_MC[[#This Row],[Payment Ref]],Cust_Ref,Amount,0,0,1)</calculatedColumnFormula>
    </tableColumn>
  </tableColumns>
  <tableStyleInfo name="TableStyleMedium16" showFirstColumn="1" showLastColumn="0" showRowStripes="0"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B41777-82E8-40F9-9613-77FA8052B028}" name="Table2" displayName="Table2" ref="A7:E9" totalsRowShown="0" headerRowDxfId="11">
  <autoFilter ref="A7:E9" xr:uid="{9B05ED8C-4529-4DE7-A77C-30DB552A260F}"/>
  <tableColumns count="5">
    <tableColumn id="1" xr3:uid="{C275C973-9170-4014-96B8-C6828AB91CE6}" name="Locations"/>
    <tableColumn id="2" xr3:uid="{2CE07265-DFF7-4B15-90E7-2F89898164BD}" name="Number of Invoices">
      <calculatedColumnFormula>COUNTIFS(Location,A8)</calculatedColumnFormula>
    </tableColumn>
    <tableColumn id="3" xr3:uid="{6E647BAE-04A6-4CB6-AE92-E79884AAD420}" name="Total Paid" dataDxfId="10" dataCellStyle="Currency">
      <calculatedColumnFormula>SUMIFS(Amount_Paid,Location,A8)</calculatedColumnFormula>
    </tableColumn>
    <tableColumn id="4" xr3:uid="{4175C8ED-ECFE-4A96-A7C1-37CE05EFB0B8}" name="Days Overdue">
      <calculatedColumnFormula>SUMIFS(tbl_MC[Over Due By],Location,$A8)</calculatedColumnFormula>
    </tableColumn>
    <tableColumn id="5" xr3:uid="{77118054-E47B-4AF2-BFEF-B03E3FB70EE0}" name="Late Charge" dataDxfId="9" dataCellStyle="Currency">
      <calculatedColumnFormula>SUMIFS(Late_Charge,Location,$A8)</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2FEA-723B-4838-99B7-4396BFB5D3CB}">
  <sheetPr codeName="Sheet1"/>
  <dimension ref="A1:X86"/>
  <sheetViews>
    <sheetView topLeftCell="M1" zoomScale="110" zoomScaleNormal="110" workbookViewId="0">
      <selection activeCell="Q1" sqref="Q1:Q86"/>
    </sheetView>
  </sheetViews>
  <sheetFormatPr defaultColWidth="9.140625" defaultRowHeight="15" x14ac:dyDescent="0.25"/>
  <cols>
    <col min="1" max="1" width="13.7109375" customWidth="1"/>
    <col min="2" max="2" width="5.28515625" hidden="1" customWidth="1"/>
    <col min="3" max="3" width="11.7109375" hidden="1" customWidth="1"/>
    <col min="4" max="4" width="13.28515625" hidden="1" customWidth="1"/>
    <col min="5" max="5" width="9.28515625" hidden="1" customWidth="1"/>
    <col min="6" max="6" width="12.28515625" hidden="1" customWidth="1"/>
    <col min="7" max="7" width="19.7109375" hidden="1" customWidth="1"/>
    <col min="8" max="8" width="5.7109375" hidden="1" customWidth="1"/>
    <col min="9" max="9" width="9.42578125" hidden="1" customWidth="1"/>
    <col min="10" max="10" width="2.42578125" hidden="1" customWidth="1"/>
    <col min="11" max="11" width="12.7109375" customWidth="1"/>
    <col min="12" max="12" width="17.5703125" customWidth="1"/>
    <col min="13" max="13" width="10.7109375" customWidth="1"/>
    <col min="14" max="14" width="12.140625" customWidth="1"/>
    <col min="15" max="15" width="11.28515625" customWidth="1"/>
    <col min="16" max="16" width="8.140625" customWidth="1"/>
    <col min="17" max="17" width="10.7109375" style="1" customWidth="1"/>
    <col min="18" max="18" width="12.28515625" customWidth="1"/>
    <col min="19" max="19" width="11.7109375" style="4" customWidth="1"/>
    <col min="20" max="20" width="11.28515625" customWidth="1"/>
    <col min="21" max="21" width="9.140625" customWidth="1"/>
    <col min="22" max="22" width="3.28515625" customWidth="1"/>
    <col min="23" max="24" width="11.5703125" customWidth="1"/>
  </cols>
  <sheetData>
    <row r="1" spans="1:24" s="4" customFormat="1" ht="22.9" customHeight="1" x14ac:dyDescent="0.25">
      <c r="A1" s="21" t="s">
        <v>3</v>
      </c>
      <c r="B1" s="27" t="s">
        <v>5</v>
      </c>
      <c r="C1" s="22" t="s">
        <v>147</v>
      </c>
      <c r="D1" s="22" t="s">
        <v>146</v>
      </c>
      <c r="E1" s="22" t="s">
        <v>148</v>
      </c>
      <c r="F1" s="22" t="s">
        <v>136</v>
      </c>
      <c r="G1" s="22" t="s">
        <v>4</v>
      </c>
      <c r="H1" s="22" t="s">
        <v>11</v>
      </c>
      <c r="I1" s="22" t="s">
        <v>6</v>
      </c>
      <c r="J1" s="22" t="s">
        <v>9</v>
      </c>
      <c r="K1" s="22" t="s">
        <v>406</v>
      </c>
      <c r="L1" s="22" t="s">
        <v>8</v>
      </c>
      <c r="M1" s="22" t="s">
        <v>19</v>
      </c>
      <c r="N1" s="22" t="s">
        <v>405</v>
      </c>
      <c r="O1" s="22" t="s">
        <v>7</v>
      </c>
      <c r="P1" s="22" t="s">
        <v>10</v>
      </c>
      <c r="Q1" s="28" t="s">
        <v>20</v>
      </c>
      <c r="R1" s="22" t="s">
        <v>0</v>
      </c>
      <c r="S1" s="29" t="s">
        <v>150</v>
      </c>
      <c r="T1" t="s">
        <v>192</v>
      </c>
      <c r="U1" s="33" t="s">
        <v>407</v>
      </c>
      <c r="W1" s="17" t="s">
        <v>189</v>
      </c>
      <c r="X1" s="1">
        <f>SUM(tbl_Supplier[$ Amount])</f>
        <v>46110.429999999993</v>
      </c>
    </row>
    <row r="2" spans="1:24" x14ac:dyDescent="0.25">
      <c r="A2">
        <v>24671</v>
      </c>
      <c r="B2">
        <v>1</v>
      </c>
      <c r="C2" s="30" t="s">
        <v>212</v>
      </c>
      <c r="D2" t="s">
        <v>194</v>
      </c>
      <c r="E2" t="s">
        <v>12</v>
      </c>
      <c r="F2" t="s">
        <v>403</v>
      </c>
      <c r="G2" t="s">
        <v>404</v>
      </c>
      <c r="H2">
        <v>1641</v>
      </c>
      <c r="I2">
        <v>7654320</v>
      </c>
      <c r="J2">
        <v>72</v>
      </c>
      <c r="K2" t="str">
        <f t="shared" ref="K2" si="0">CONCATENATE(A2,"_",B2)</f>
        <v>24671_1</v>
      </c>
      <c r="L2" t="str">
        <f t="shared" ref="L2" si="1">H2&amp;"-"&amp;I2&amp;"-"&amp;J2</f>
        <v>1641-7654320-72</v>
      </c>
      <c r="M2" t="str">
        <f t="shared" ref="M2" si="2">LEFT(D2,3)</f>
        <v>Mar</v>
      </c>
      <c r="N2" t="str">
        <f t="shared" ref="N2" si="3">RIGHT(G2,6)</f>
        <v>223802</v>
      </c>
      <c r="O2" t="str">
        <f t="shared" ref="O2" si="4">MID(G2,4,FIND("-",G2,4)-4)</f>
        <v>Sydney</v>
      </c>
      <c r="P2" t="str">
        <f t="shared" ref="P2" si="5">UPPER(TRIM(CLEAN(E2)))</f>
        <v>INV</v>
      </c>
      <c r="Q2" s="1">
        <f>VALUE(SUBSTITUTE(SUBSTITUTE(F2,"S","$"),CHAR(160),""))*IF(tbl_Supplier[[#This Row],[Type]]="CR",-1,1)</f>
        <v>398.5</v>
      </c>
      <c r="R2" s="12">
        <f t="shared" ref="R2" si="6">DATE(2020,MONTH(1&amp;M2),RIGHT(D2,2))</f>
        <v>43892</v>
      </c>
      <c r="S2" s="12">
        <f>DATE(2020,MONTH(tbl_Supplier[[#This Row],[Paid]]),RIGHT(C2,2))</f>
        <v>43917</v>
      </c>
      <c r="T2">
        <f>tbl_Supplier[[#This Row],[Paid Date]]-tbl_Supplier[[#This Row],[Invoice Date]]</f>
        <v>25</v>
      </c>
      <c r="U2" s="1" t="e">
        <f>tbl_Supplier[[#This Row],[$ Amount]]-VLOOKUP(tbl_Supplier[[#This Row],[Cust Ref]],tbl_MC[],10,FALSE)</f>
        <v>#N/A</v>
      </c>
      <c r="W2" s="17" t="s">
        <v>190</v>
      </c>
      <c r="X2">
        <f>ROWS(tbl_Supplier[])</f>
        <v>85</v>
      </c>
    </row>
    <row r="3" spans="1:24" x14ac:dyDescent="0.25">
      <c r="A3">
        <v>24673</v>
      </c>
      <c r="B3">
        <v>1</v>
      </c>
      <c r="C3" t="s">
        <v>193</v>
      </c>
      <c r="D3" t="s">
        <v>194</v>
      </c>
      <c r="E3" t="s">
        <v>12</v>
      </c>
      <c r="F3" t="s">
        <v>195</v>
      </c>
      <c r="G3" t="s">
        <v>25</v>
      </c>
      <c r="H3">
        <v>1641</v>
      </c>
      <c r="I3">
        <v>7654320</v>
      </c>
      <c r="J3">
        <v>72</v>
      </c>
      <c r="K3" t="str">
        <f t="shared" ref="K3:K34" si="7">CONCATENATE(A3,"_",B3)</f>
        <v>24673_1</v>
      </c>
      <c r="L3" t="str">
        <f t="shared" ref="L3:L34" si="8">H3&amp;"-"&amp;I3&amp;"-"&amp;J3</f>
        <v>1641-7654320-72</v>
      </c>
      <c r="M3" t="str">
        <f t="shared" ref="M3:M34" si="9">LEFT(D3,3)</f>
        <v>Mar</v>
      </c>
      <c r="N3" t="str">
        <f t="shared" ref="N3:N34" si="10">RIGHT(G3,6)</f>
        <v>223809</v>
      </c>
      <c r="O3" t="str">
        <f t="shared" ref="O3:O34" si="11">MID(G3,4,FIND("-",G3,4)-4)</f>
        <v>Sydney</v>
      </c>
      <c r="P3" t="str">
        <f t="shared" ref="P3:P34" si="12">UPPER(TRIM(CLEAN(E3)))</f>
        <v>INV</v>
      </c>
      <c r="Q3" s="1">
        <f>VALUE(SUBSTITUTE(SUBSTITUTE(F3,"S","$"),CHAR(160),""))*IF(tbl_Supplier[[#This Row],[Type]]="CR",-1,1)</f>
        <v>742.5</v>
      </c>
      <c r="R3" s="12">
        <f t="shared" ref="R3:R34" si="13">DATE(2020,MONTH(1&amp;M3),RIGHT(D3,2))</f>
        <v>43892</v>
      </c>
      <c r="S3" s="12">
        <f>DATE(2020,MONTH(tbl_Supplier[[#This Row],[Paid]]),RIGHT(C3,2))</f>
        <v>43938</v>
      </c>
      <c r="T3">
        <f>tbl_Supplier[[#This Row],[Paid Date]]-tbl_Supplier[[#This Row],[Invoice Date]]</f>
        <v>46</v>
      </c>
      <c r="U3" s="1">
        <f>tbl_Supplier[[#This Row],[$ Amount]]-VLOOKUP(tbl_Supplier[[#This Row],[Cust Ref]],tbl_MC[],10,FALSE)</f>
        <v>0</v>
      </c>
    </row>
    <row r="4" spans="1:24" x14ac:dyDescent="0.25">
      <c r="A4">
        <v>24673</v>
      </c>
      <c r="B4">
        <v>1</v>
      </c>
      <c r="C4" t="s">
        <v>196</v>
      </c>
      <c r="D4" t="s">
        <v>197</v>
      </c>
      <c r="E4" t="s">
        <v>13</v>
      </c>
      <c r="F4" t="s">
        <v>198</v>
      </c>
      <c r="G4" t="s">
        <v>26</v>
      </c>
      <c r="H4">
        <v>2554</v>
      </c>
      <c r="I4">
        <v>4551221</v>
      </c>
      <c r="J4">
        <v>33</v>
      </c>
      <c r="K4" t="str">
        <f t="shared" si="7"/>
        <v>24673_1</v>
      </c>
      <c r="L4" t="str">
        <f t="shared" si="8"/>
        <v>2554-4551221-33</v>
      </c>
      <c r="M4" t="str">
        <f t="shared" si="9"/>
        <v>Apr</v>
      </c>
      <c r="N4" t="str">
        <f t="shared" si="10"/>
        <v>327600</v>
      </c>
      <c r="O4" t="str">
        <f t="shared" si="11"/>
        <v>Melbourne</v>
      </c>
      <c r="P4" t="str">
        <f t="shared" si="12"/>
        <v>INV</v>
      </c>
      <c r="Q4" s="1">
        <f>VALUE(SUBSTITUTE(SUBSTITUTE(F4,"S","$"),CHAR(160),""))*IF(tbl_Supplier[[#This Row],[Type]]="CR",-1,1)</f>
        <v>1021.02</v>
      </c>
      <c r="R4" s="12">
        <f t="shared" si="13"/>
        <v>43922</v>
      </c>
      <c r="S4" s="31">
        <f>DATE(2020,MONTH(tbl_Supplier[[#This Row],[Paid]]),RIGHT(C4,2))</f>
        <v>43941</v>
      </c>
      <c r="T4">
        <f>tbl_Supplier[[#This Row],[Paid Date]]-tbl_Supplier[[#This Row],[Invoice Date]]</f>
        <v>19</v>
      </c>
      <c r="U4" s="1">
        <f>tbl_Supplier[[#This Row],[$ Amount]]-VLOOKUP(tbl_Supplier[[#This Row],[Cust Ref]],tbl_MC[],10,FALSE)</f>
        <v>278.52</v>
      </c>
    </row>
    <row r="5" spans="1:24" x14ac:dyDescent="0.25">
      <c r="A5">
        <v>24675</v>
      </c>
      <c r="B5">
        <v>1</v>
      </c>
      <c r="C5" t="s">
        <v>23</v>
      </c>
      <c r="D5" t="s">
        <v>199</v>
      </c>
      <c r="E5" t="s">
        <v>12</v>
      </c>
      <c r="F5" t="s">
        <v>200</v>
      </c>
      <c r="G5" t="s">
        <v>27</v>
      </c>
      <c r="H5">
        <v>2554</v>
      </c>
      <c r="I5">
        <v>4551221</v>
      </c>
      <c r="J5">
        <v>33</v>
      </c>
      <c r="K5" t="str">
        <f t="shared" si="7"/>
        <v>24675_1</v>
      </c>
      <c r="L5" t="str">
        <f t="shared" si="8"/>
        <v>2554-4551221-33</v>
      </c>
      <c r="M5" t="str">
        <f t="shared" si="9"/>
        <v>Mar</v>
      </c>
      <c r="N5" t="str">
        <f t="shared" si="10"/>
        <v>332589</v>
      </c>
      <c r="O5" t="str">
        <f t="shared" si="11"/>
        <v>Melbourne</v>
      </c>
      <c r="P5" t="str">
        <f t="shared" si="12"/>
        <v>INV</v>
      </c>
      <c r="Q5" s="1">
        <f>VALUE(SUBSTITUTE(SUBSTITUTE(F5,"S","$"),CHAR(160),""))*IF(tbl_Supplier[[#This Row],[Type]]="CR",-1,1)</f>
        <v>409.53</v>
      </c>
      <c r="R5" s="12">
        <f t="shared" si="13"/>
        <v>43906</v>
      </c>
      <c r="S5" s="31">
        <f>DATE(2020,MONTH(tbl_Supplier[[#This Row],[Paid]]),RIGHT(C5,2))</f>
        <v>43926</v>
      </c>
      <c r="T5">
        <f>tbl_Supplier[[#This Row],[Paid Date]]-tbl_Supplier[[#This Row],[Invoice Date]]</f>
        <v>20</v>
      </c>
      <c r="U5" s="1">
        <f>tbl_Supplier[[#This Row],[$ Amount]]-VLOOKUP(tbl_Supplier[[#This Row],[Cust Ref]],tbl_MC[],10,FALSE)</f>
        <v>0</v>
      </c>
    </row>
    <row r="6" spans="1:24" x14ac:dyDescent="0.25">
      <c r="A6">
        <v>24676</v>
      </c>
      <c r="B6">
        <v>1</v>
      </c>
      <c r="C6" t="s">
        <v>196</v>
      </c>
      <c r="D6" t="s">
        <v>201</v>
      </c>
      <c r="E6" t="s">
        <v>14</v>
      </c>
      <c r="F6" t="s">
        <v>202</v>
      </c>
      <c r="G6" t="s">
        <v>28</v>
      </c>
      <c r="H6">
        <v>2554</v>
      </c>
      <c r="I6">
        <v>4551221</v>
      </c>
      <c r="J6">
        <v>33</v>
      </c>
      <c r="K6" t="str">
        <f t="shared" si="7"/>
        <v>24676_1</v>
      </c>
      <c r="L6" t="str">
        <f t="shared" si="8"/>
        <v>2554-4551221-33</v>
      </c>
      <c r="M6" t="str">
        <f t="shared" si="9"/>
        <v>Mar</v>
      </c>
      <c r="N6" t="str">
        <f t="shared" si="10"/>
        <v>337131</v>
      </c>
      <c r="O6" t="str">
        <f t="shared" si="11"/>
        <v>Melbourne</v>
      </c>
      <c r="P6" t="str">
        <f t="shared" si="12"/>
        <v>CR</v>
      </c>
      <c r="Q6" s="1">
        <f>VALUE(SUBSTITUTE(SUBSTITUTE(F6,"S","$"),CHAR(160),""))*IF(tbl_Supplier[[#This Row],[Type]]="CR",-1,1)</f>
        <v>-234.96</v>
      </c>
      <c r="R6" s="12">
        <f t="shared" si="13"/>
        <v>43915</v>
      </c>
      <c r="S6" s="31">
        <f>DATE(2020,MONTH(tbl_Supplier[[#This Row],[Paid]]),RIGHT(C6,2))</f>
        <v>43941</v>
      </c>
      <c r="T6">
        <f>tbl_Supplier[[#This Row],[Paid Date]]-tbl_Supplier[[#This Row],[Invoice Date]]</f>
        <v>26</v>
      </c>
      <c r="U6" s="1">
        <f>tbl_Supplier[[#This Row],[$ Amount]]-VLOOKUP(tbl_Supplier[[#This Row],[Cust Ref]],tbl_MC[],10,FALSE)</f>
        <v>0</v>
      </c>
    </row>
    <row r="7" spans="1:24" x14ac:dyDescent="0.25">
      <c r="A7">
        <v>24677</v>
      </c>
      <c r="B7">
        <v>1</v>
      </c>
      <c r="C7" t="s">
        <v>203</v>
      </c>
      <c r="D7" t="s">
        <v>204</v>
      </c>
      <c r="E7" t="s">
        <v>15</v>
      </c>
      <c r="F7" t="s">
        <v>205</v>
      </c>
      <c r="G7" t="s">
        <v>29</v>
      </c>
      <c r="H7">
        <v>2554</v>
      </c>
      <c r="I7">
        <v>4551221</v>
      </c>
      <c r="J7">
        <v>33</v>
      </c>
      <c r="K7" t="str">
        <f t="shared" si="7"/>
        <v>24677_1</v>
      </c>
      <c r="L7" t="str">
        <f t="shared" si="8"/>
        <v>2554-4551221-33</v>
      </c>
      <c r="M7" t="str">
        <f t="shared" si="9"/>
        <v>Mar</v>
      </c>
      <c r="N7" t="str">
        <f t="shared" si="10"/>
        <v>319376</v>
      </c>
      <c r="O7" t="str">
        <f t="shared" si="11"/>
        <v>Melbourne</v>
      </c>
      <c r="P7" t="str">
        <f t="shared" si="12"/>
        <v>CR</v>
      </c>
      <c r="Q7" s="1">
        <f>VALUE(SUBSTITUTE(SUBSTITUTE(F7,"S","$"),CHAR(160),""))*IF(tbl_Supplier[[#This Row],[Type]]="CR",-1,1)</f>
        <v>-450.12</v>
      </c>
      <c r="R7" s="12">
        <f t="shared" si="13"/>
        <v>43907</v>
      </c>
      <c r="S7" s="31">
        <f>DATE(2020,MONTH(tbl_Supplier[[#This Row],[Paid]]),RIGHT(C7,2))</f>
        <v>43931</v>
      </c>
      <c r="T7">
        <f>tbl_Supplier[[#This Row],[Paid Date]]-tbl_Supplier[[#This Row],[Invoice Date]]</f>
        <v>24</v>
      </c>
      <c r="U7" s="1">
        <f>tbl_Supplier[[#This Row],[$ Amount]]-VLOOKUP(tbl_Supplier[[#This Row],[Cust Ref]],tbl_MC[],10,FALSE)</f>
        <v>0</v>
      </c>
    </row>
    <row r="8" spans="1:24" x14ac:dyDescent="0.25">
      <c r="A8">
        <v>24679</v>
      </c>
      <c r="B8">
        <v>1</v>
      </c>
      <c r="C8" t="s">
        <v>206</v>
      </c>
      <c r="D8" t="s">
        <v>207</v>
      </c>
      <c r="E8" t="s">
        <v>13</v>
      </c>
      <c r="F8" t="s">
        <v>208</v>
      </c>
      <c r="G8" t="s">
        <v>30</v>
      </c>
      <c r="H8">
        <v>2554</v>
      </c>
      <c r="I8">
        <v>4551221</v>
      </c>
      <c r="J8">
        <v>33</v>
      </c>
      <c r="K8" t="str">
        <f t="shared" si="7"/>
        <v>24679_1</v>
      </c>
      <c r="L8" t="str">
        <f t="shared" si="8"/>
        <v>2554-4551221-33</v>
      </c>
      <c r="M8" t="str">
        <f t="shared" si="9"/>
        <v>Apr</v>
      </c>
      <c r="N8" t="str">
        <f t="shared" si="10"/>
        <v>334724</v>
      </c>
      <c r="O8" t="str">
        <f t="shared" si="11"/>
        <v>Melbourne</v>
      </c>
      <c r="P8" t="str">
        <f t="shared" si="12"/>
        <v>INV</v>
      </c>
      <c r="Q8" s="1">
        <f>VALUE(SUBSTITUTE(SUBSTITUTE(F8,"S","$"),CHAR(160),""))*IF(tbl_Supplier[[#This Row],[Type]]="CR",-1,1)</f>
        <v>114.18</v>
      </c>
      <c r="R8" s="12">
        <f t="shared" si="13"/>
        <v>43930</v>
      </c>
      <c r="S8" s="31">
        <f>DATE(2020,MONTH(tbl_Supplier[[#This Row],[Paid]]),RIGHT(C8,2))</f>
        <v>43951</v>
      </c>
      <c r="T8">
        <f>tbl_Supplier[[#This Row],[Paid Date]]-tbl_Supplier[[#This Row],[Invoice Date]]</f>
        <v>21</v>
      </c>
      <c r="U8" s="1">
        <f>tbl_Supplier[[#This Row],[$ Amount]]-VLOOKUP(tbl_Supplier[[#This Row],[Cust Ref]],tbl_MC[],10,FALSE)</f>
        <v>0</v>
      </c>
    </row>
    <row r="9" spans="1:24" x14ac:dyDescent="0.25">
      <c r="A9">
        <v>24679</v>
      </c>
      <c r="B9">
        <v>2</v>
      </c>
      <c r="C9" t="s">
        <v>206</v>
      </c>
      <c r="D9" t="s">
        <v>209</v>
      </c>
      <c r="E9" t="s">
        <v>16</v>
      </c>
      <c r="F9" t="s">
        <v>210</v>
      </c>
      <c r="G9" t="s">
        <v>31</v>
      </c>
      <c r="H9">
        <v>2554</v>
      </c>
      <c r="I9">
        <v>4551221</v>
      </c>
      <c r="J9">
        <v>33</v>
      </c>
      <c r="K9" t="str">
        <f t="shared" si="7"/>
        <v>24679_2</v>
      </c>
      <c r="L9" t="str">
        <f t="shared" si="8"/>
        <v>2554-4551221-33</v>
      </c>
      <c r="M9" t="str">
        <f t="shared" si="9"/>
        <v>Mar</v>
      </c>
      <c r="N9" t="str">
        <f t="shared" si="10"/>
        <v>310607</v>
      </c>
      <c r="O9" t="str">
        <f t="shared" si="11"/>
        <v>Melbourne</v>
      </c>
      <c r="P9" t="str">
        <f t="shared" si="12"/>
        <v>INV</v>
      </c>
      <c r="Q9" s="1">
        <f>VALUE(SUBSTITUTE(SUBSTITUTE(F9,"S","$"),CHAR(160),""))*IF(tbl_Supplier[[#This Row],[Type]]="CR",-1,1)</f>
        <v>930.93</v>
      </c>
      <c r="R9" s="12">
        <f t="shared" si="13"/>
        <v>43913</v>
      </c>
      <c r="S9" s="31">
        <f>DATE(2020,MONTH(tbl_Supplier[[#This Row],[Paid]]),RIGHT(C9,2))</f>
        <v>43951</v>
      </c>
      <c r="T9">
        <f>tbl_Supplier[[#This Row],[Paid Date]]-tbl_Supplier[[#This Row],[Invoice Date]]</f>
        <v>38</v>
      </c>
      <c r="U9" s="1">
        <f>tbl_Supplier[[#This Row],[$ Amount]]-VLOOKUP(tbl_Supplier[[#This Row],[Cust Ref]],tbl_MC[],10,FALSE)</f>
        <v>0</v>
      </c>
    </row>
    <row r="10" spans="1:24" x14ac:dyDescent="0.25">
      <c r="A10">
        <v>24680</v>
      </c>
      <c r="B10">
        <v>1</v>
      </c>
      <c r="C10" t="s">
        <v>211</v>
      </c>
      <c r="D10" t="s">
        <v>212</v>
      </c>
      <c r="E10" t="s">
        <v>17</v>
      </c>
      <c r="F10" t="s">
        <v>213</v>
      </c>
      <c r="G10" t="s">
        <v>32</v>
      </c>
      <c r="H10">
        <v>1641</v>
      </c>
      <c r="I10">
        <v>7654320</v>
      </c>
      <c r="J10">
        <v>72</v>
      </c>
      <c r="K10" t="str">
        <f t="shared" si="7"/>
        <v>24680_1</v>
      </c>
      <c r="L10" t="str">
        <f t="shared" si="8"/>
        <v>1641-7654320-72</v>
      </c>
      <c r="M10" t="str">
        <f t="shared" si="9"/>
        <v>Mar</v>
      </c>
      <c r="N10" t="str">
        <f t="shared" si="10"/>
        <v>226225</v>
      </c>
      <c r="O10" t="str">
        <f t="shared" si="11"/>
        <v>Sydney</v>
      </c>
      <c r="P10" t="str">
        <f t="shared" si="12"/>
        <v>INV</v>
      </c>
      <c r="Q10" s="1">
        <f>VALUE(SUBSTITUTE(SUBSTITUTE(F10,"S","$"),CHAR(160),""))*IF(tbl_Supplier[[#This Row],[Type]]="CR",-1,1)</f>
        <v>466.29</v>
      </c>
      <c r="R10" s="12">
        <f t="shared" si="13"/>
        <v>43917</v>
      </c>
      <c r="S10" s="31">
        <f>DATE(2020,MONTH(tbl_Supplier[[#This Row],[Paid]]),RIGHT(C10,2))</f>
        <v>43935</v>
      </c>
      <c r="T10">
        <f>tbl_Supplier[[#This Row],[Paid Date]]-tbl_Supplier[[#This Row],[Invoice Date]]</f>
        <v>18</v>
      </c>
      <c r="U10" s="1">
        <f>tbl_Supplier[[#This Row],[$ Amount]]-VLOOKUP(tbl_Supplier[[#This Row],[Cust Ref]],tbl_MC[],10,FALSE)</f>
        <v>0</v>
      </c>
    </row>
    <row r="11" spans="1:24" x14ac:dyDescent="0.25">
      <c r="A11">
        <v>24683</v>
      </c>
      <c r="B11">
        <v>1</v>
      </c>
      <c r="C11" t="s">
        <v>214</v>
      </c>
      <c r="D11" t="s">
        <v>215</v>
      </c>
      <c r="E11" t="s">
        <v>13</v>
      </c>
      <c r="F11" t="s">
        <v>216</v>
      </c>
      <c r="G11" t="s">
        <v>33</v>
      </c>
      <c r="H11">
        <v>1641</v>
      </c>
      <c r="I11">
        <v>7654320</v>
      </c>
      <c r="J11">
        <v>72</v>
      </c>
      <c r="K11" t="str">
        <f t="shared" si="7"/>
        <v>24683_1</v>
      </c>
      <c r="L11" t="str">
        <f t="shared" si="8"/>
        <v>1641-7654320-72</v>
      </c>
      <c r="M11" t="str">
        <f t="shared" si="9"/>
        <v>Mar</v>
      </c>
      <c r="N11" t="str">
        <f t="shared" si="10"/>
        <v>223858</v>
      </c>
      <c r="O11" t="str">
        <f t="shared" si="11"/>
        <v>Sydney</v>
      </c>
      <c r="P11" t="str">
        <f t="shared" si="12"/>
        <v>INV</v>
      </c>
      <c r="Q11" s="1">
        <f>VALUE(SUBSTITUTE(SUBSTITUTE(F11,"S","$"),CHAR(160),""))*IF(tbl_Supplier[[#This Row],[Type]]="CR",-1,1)</f>
        <v>222.42</v>
      </c>
      <c r="R11" s="12">
        <f t="shared" si="13"/>
        <v>43912</v>
      </c>
      <c r="S11" s="31">
        <f>DATE(2020,MONTH(tbl_Supplier[[#This Row],[Paid]]),RIGHT(C11,2))</f>
        <v>43948</v>
      </c>
      <c r="T11">
        <f>tbl_Supplier[[#This Row],[Paid Date]]-tbl_Supplier[[#This Row],[Invoice Date]]</f>
        <v>36</v>
      </c>
      <c r="U11" s="1">
        <f>tbl_Supplier[[#This Row],[$ Amount]]-VLOOKUP(tbl_Supplier[[#This Row],[Cust Ref]],tbl_MC[],10,FALSE)</f>
        <v>0</v>
      </c>
    </row>
    <row r="12" spans="1:24" x14ac:dyDescent="0.25">
      <c r="A12">
        <v>24685</v>
      </c>
      <c r="B12">
        <v>1</v>
      </c>
      <c r="C12" t="s">
        <v>217</v>
      </c>
      <c r="D12" t="s">
        <v>218</v>
      </c>
      <c r="E12" t="s">
        <v>12</v>
      </c>
      <c r="F12" t="s">
        <v>219</v>
      </c>
      <c r="G12" t="s">
        <v>34</v>
      </c>
      <c r="H12">
        <v>1641</v>
      </c>
      <c r="I12">
        <v>7654320</v>
      </c>
      <c r="J12">
        <v>72</v>
      </c>
      <c r="K12" t="str">
        <f t="shared" si="7"/>
        <v>24685_1</v>
      </c>
      <c r="L12" t="str">
        <f t="shared" si="8"/>
        <v>1641-7654320-72</v>
      </c>
      <c r="M12" t="str">
        <f t="shared" si="9"/>
        <v>Mar</v>
      </c>
      <c r="N12" t="str">
        <f t="shared" si="10"/>
        <v>211781</v>
      </c>
      <c r="O12" t="str">
        <f t="shared" si="11"/>
        <v>Sydney</v>
      </c>
      <c r="P12" t="str">
        <f t="shared" si="12"/>
        <v>INV</v>
      </c>
      <c r="Q12" s="1">
        <f>VALUE(SUBSTITUTE(SUBSTITUTE(F12,"S","$"),CHAR(160),""))*IF(tbl_Supplier[[#This Row],[Type]]="CR",-1,1)</f>
        <v>679.8</v>
      </c>
      <c r="R12" s="12">
        <f t="shared" si="13"/>
        <v>43899</v>
      </c>
      <c r="S12" s="31">
        <f>DATE(2020,MONTH(tbl_Supplier[[#This Row],[Paid]]),RIGHT(C12,2))</f>
        <v>43932</v>
      </c>
      <c r="T12">
        <f>tbl_Supplier[[#This Row],[Paid Date]]-tbl_Supplier[[#This Row],[Invoice Date]]</f>
        <v>33</v>
      </c>
      <c r="U12" s="1">
        <f>tbl_Supplier[[#This Row],[$ Amount]]-VLOOKUP(tbl_Supplier[[#This Row],[Cust Ref]],tbl_MC[],10,FALSE)</f>
        <v>0</v>
      </c>
    </row>
    <row r="13" spans="1:24" x14ac:dyDescent="0.25">
      <c r="A13">
        <v>24690</v>
      </c>
      <c r="B13">
        <v>1</v>
      </c>
      <c r="C13" t="s">
        <v>220</v>
      </c>
      <c r="D13" t="s">
        <v>221</v>
      </c>
      <c r="E13" t="s">
        <v>13</v>
      </c>
      <c r="F13" t="s">
        <v>222</v>
      </c>
      <c r="G13" t="s">
        <v>35</v>
      </c>
      <c r="H13">
        <v>1641</v>
      </c>
      <c r="I13">
        <v>7654320</v>
      </c>
      <c r="J13">
        <v>72</v>
      </c>
      <c r="K13" t="str">
        <f t="shared" si="7"/>
        <v>24690_1</v>
      </c>
      <c r="L13" t="str">
        <f t="shared" si="8"/>
        <v>1641-7654320-72</v>
      </c>
      <c r="M13" t="str">
        <f t="shared" si="9"/>
        <v>Apr</v>
      </c>
      <c r="N13" t="str">
        <f t="shared" si="10"/>
        <v>232805</v>
      </c>
      <c r="O13" t="str">
        <f t="shared" si="11"/>
        <v>Sydney</v>
      </c>
      <c r="P13" t="str">
        <f t="shared" si="12"/>
        <v>INV</v>
      </c>
      <c r="Q13" s="1">
        <f>VALUE(SUBSTITUTE(SUBSTITUTE(F13,"S","$"),CHAR(160),""))*IF(tbl_Supplier[[#This Row],[Type]]="CR",-1,1)</f>
        <v>171.93</v>
      </c>
      <c r="R13" s="12">
        <f t="shared" si="13"/>
        <v>43925</v>
      </c>
      <c r="S13" s="31">
        <f>DATE(2020,MONTH(tbl_Supplier[[#This Row],[Paid]]),RIGHT(C13,2))</f>
        <v>43944</v>
      </c>
      <c r="T13">
        <f>tbl_Supplier[[#This Row],[Paid Date]]-tbl_Supplier[[#This Row],[Invoice Date]]</f>
        <v>19</v>
      </c>
      <c r="U13" s="1">
        <f>tbl_Supplier[[#This Row],[$ Amount]]-VLOOKUP(tbl_Supplier[[#This Row],[Cust Ref]],tbl_MC[],10,FALSE)</f>
        <v>0</v>
      </c>
    </row>
    <row r="14" spans="1:24" x14ac:dyDescent="0.25">
      <c r="A14">
        <v>24693</v>
      </c>
      <c r="B14">
        <v>1</v>
      </c>
      <c r="C14" t="s">
        <v>223</v>
      </c>
      <c r="D14" t="s">
        <v>224</v>
      </c>
      <c r="E14" t="s">
        <v>18</v>
      </c>
      <c r="F14" t="s">
        <v>225</v>
      </c>
      <c r="G14" t="s">
        <v>36</v>
      </c>
      <c r="H14">
        <v>2554</v>
      </c>
      <c r="I14">
        <v>4551221</v>
      </c>
      <c r="J14">
        <v>33</v>
      </c>
      <c r="K14" t="str">
        <f t="shared" si="7"/>
        <v>24693_1</v>
      </c>
      <c r="L14" t="str">
        <f t="shared" si="8"/>
        <v>2554-4551221-33</v>
      </c>
      <c r="M14" t="str">
        <f t="shared" si="9"/>
        <v>Feb</v>
      </c>
      <c r="N14" t="str">
        <f t="shared" si="10"/>
        <v>312187</v>
      </c>
      <c r="O14" t="str">
        <f t="shared" si="11"/>
        <v>Melbourne</v>
      </c>
      <c r="P14" t="str">
        <f t="shared" si="12"/>
        <v>INV</v>
      </c>
      <c r="Q14" s="1">
        <f>VALUE(SUBSTITUTE(SUBSTITUTE(F14,"S","$"),CHAR(160),""))*IF(tbl_Supplier[[#This Row],[Type]]="CR",-1,1)</f>
        <v>623.70000000000005</v>
      </c>
      <c r="R14" s="12">
        <f t="shared" si="13"/>
        <v>43885</v>
      </c>
      <c r="S14" s="31">
        <f>DATE(2020,MONTH(tbl_Supplier[[#This Row],[Paid]]),RIGHT(C14,2))</f>
        <v>43927</v>
      </c>
      <c r="T14">
        <f>tbl_Supplier[[#This Row],[Paid Date]]-tbl_Supplier[[#This Row],[Invoice Date]]</f>
        <v>42</v>
      </c>
      <c r="U14" s="1">
        <f>tbl_Supplier[[#This Row],[$ Amount]]-VLOOKUP(tbl_Supplier[[#This Row],[Cust Ref]],tbl_MC[],10,FALSE)</f>
        <v>0</v>
      </c>
    </row>
    <row r="15" spans="1:24" x14ac:dyDescent="0.25">
      <c r="A15">
        <v>24697</v>
      </c>
      <c r="B15">
        <v>1</v>
      </c>
      <c r="C15" t="s">
        <v>226</v>
      </c>
      <c r="D15" t="s">
        <v>227</v>
      </c>
      <c r="E15" t="s">
        <v>13</v>
      </c>
      <c r="F15" t="s">
        <v>228</v>
      </c>
      <c r="G15" t="s">
        <v>37</v>
      </c>
      <c r="H15">
        <v>2554</v>
      </c>
      <c r="I15">
        <v>4551221</v>
      </c>
      <c r="J15">
        <v>33</v>
      </c>
      <c r="K15" t="str">
        <f t="shared" si="7"/>
        <v>24697_1</v>
      </c>
      <c r="L15" t="str">
        <f t="shared" si="8"/>
        <v>2554-4551221-33</v>
      </c>
      <c r="M15" t="str">
        <f t="shared" si="9"/>
        <v>Mar</v>
      </c>
      <c r="N15" t="str">
        <f t="shared" si="10"/>
        <v>319790</v>
      </c>
      <c r="O15" t="str">
        <f t="shared" si="11"/>
        <v>Melbourne</v>
      </c>
      <c r="P15" t="str">
        <f t="shared" si="12"/>
        <v>INV</v>
      </c>
      <c r="Q15" s="1">
        <f>VALUE(SUBSTITUTE(SUBSTITUTE(F15,"S","$"),CHAR(160),""))*IF(tbl_Supplier[[#This Row],[Type]]="CR",-1,1)</f>
        <v>221.1</v>
      </c>
      <c r="R15" s="12">
        <f t="shared" si="13"/>
        <v>43919</v>
      </c>
      <c r="S15" s="31">
        <f>DATE(2020,MONTH(tbl_Supplier[[#This Row],[Paid]]),RIGHT(C15,2))</f>
        <v>43945</v>
      </c>
      <c r="T15">
        <f>tbl_Supplier[[#This Row],[Paid Date]]-tbl_Supplier[[#This Row],[Invoice Date]]</f>
        <v>26</v>
      </c>
      <c r="U15" s="1">
        <f>tbl_Supplier[[#This Row],[$ Amount]]-VLOOKUP(tbl_Supplier[[#This Row],[Cust Ref]],tbl_MC[],10,FALSE)</f>
        <v>0</v>
      </c>
    </row>
    <row r="16" spans="1:24" x14ac:dyDescent="0.25">
      <c r="A16">
        <v>24698</v>
      </c>
      <c r="B16">
        <v>1</v>
      </c>
      <c r="C16" t="s">
        <v>229</v>
      </c>
      <c r="D16" t="s">
        <v>207</v>
      </c>
      <c r="E16" t="s">
        <v>13</v>
      </c>
      <c r="F16" t="s">
        <v>230</v>
      </c>
      <c r="G16" t="s">
        <v>38</v>
      </c>
      <c r="H16">
        <v>2554</v>
      </c>
      <c r="I16">
        <v>4551221</v>
      </c>
      <c r="J16">
        <v>33</v>
      </c>
      <c r="K16" t="str">
        <f t="shared" si="7"/>
        <v>24698_1</v>
      </c>
      <c r="L16" t="str">
        <f t="shared" si="8"/>
        <v>2554-4551221-33</v>
      </c>
      <c r="M16" t="str">
        <f t="shared" si="9"/>
        <v>Apr</v>
      </c>
      <c r="N16" t="str">
        <f t="shared" si="10"/>
        <v>327342</v>
      </c>
      <c r="O16" t="str">
        <f t="shared" si="11"/>
        <v>Melbourne</v>
      </c>
      <c r="P16" t="str">
        <f t="shared" si="12"/>
        <v>INV</v>
      </c>
      <c r="Q16" s="1">
        <f>VALUE(SUBSTITUTE(SUBSTITUTE(F16,"S","$"),CHAR(160),""))*IF(tbl_Supplier[[#This Row],[Type]]="CR",-1,1)</f>
        <v>393.36</v>
      </c>
      <c r="R16" s="12">
        <f t="shared" si="13"/>
        <v>43930</v>
      </c>
      <c r="S16" s="31">
        <f>DATE(2020,MONTH(tbl_Supplier[[#This Row],[Paid]]),RIGHT(C16,2))</f>
        <v>43949</v>
      </c>
      <c r="T16">
        <f>tbl_Supplier[[#This Row],[Paid Date]]-tbl_Supplier[[#This Row],[Invoice Date]]</f>
        <v>19</v>
      </c>
      <c r="U16" s="1">
        <f>tbl_Supplier[[#This Row],[$ Amount]]-VLOOKUP(tbl_Supplier[[#This Row],[Cust Ref]],tbl_MC[],10,FALSE)</f>
        <v>0</v>
      </c>
    </row>
    <row r="17" spans="1:21" x14ac:dyDescent="0.25">
      <c r="A17">
        <v>24699</v>
      </c>
      <c r="B17">
        <v>1</v>
      </c>
      <c r="C17" t="s">
        <v>231</v>
      </c>
      <c r="D17" t="s">
        <v>218</v>
      </c>
      <c r="E17" t="s">
        <v>13</v>
      </c>
      <c r="F17" t="s">
        <v>232</v>
      </c>
      <c r="G17" t="s">
        <v>39</v>
      </c>
      <c r="H17">
        <v>2554</v>
      </c>
      <c r="I17">
        <v>4551221</v>
      </c>
      <c r="J17">
        <v>33</v>
      </c>
      <c r="K17" t="str">
        <f t="shared" si="7"/>
        <v>24699_1</v>
      </c>
      <c r="L17" t="str">
        <f t="shared" si="8"/>
        <v>2554-4551221-33</v>
      </c>
      <c r="M17" t="str">
        <f t="shared" si="9"/>
        <v>Mar</v>
      </c>
      <c r="N17" t="str">
        <f t="shared" si="10"/>
        <v>335460</v>
      </c>
      <c r="O17" t="str">
        <f t="shared" si="11"/>
        <v>Melbourne</v>
      </c>
      <c r="P17" t="str">
        <f t="shared" si="12"/>
        <v>INV</v>
      </c>
      <c r="Q17" s="1">
        <f>VALUE(SUBSTITUTE(SUBSTITUTE(F17,"S","$"),CHAR(160),""))*IF(tbl_Supplier[[#This Row],[Type]]="CR",-1,1)</f>
        <v>642.17999999999995</v>
      </c>
      <c r="R17" s="12">
        <f t="shared" si="13"/>
        <v>43899</v>
      </c>
      <c r="S17" s="31">
        <f>DATE(2020,MONTH(tbl_Supplier[[#This Row],[Paid]]),RIGHT(C17,2))</f>
        <v>43942</v>
      </c>
      <c r="T17">
        <f>tbl_Supplier[[#This Row],[Paid Date]]-tbl_Supplier[[#This Row],[Invoice Date]]</f>
        <v>43</v>
      </c>
      <c r="U17" s="1">
        <f>tbl_Supplier[[#This Row],[$ Amount]]-VLOOKUP(tbl_Supplier[[#This Row],[Cust Ref]],tbl_MC[],10,FALSE)</f>
        <v>0</v>
      </c>
    </row>
    <row r="18" spans="1:21" x14ac:dyDescent="0.25">
      <c r="A18">
        <v>24704</v>
      </c>
      <c r="B18">
        <v>1</v>
      </c>
      <c r="C18" t="s">
        <v>206</v>
      </c>
      <c r="D18" t="s">
        <v>233</v>
      </c>
      <c r="E18" t="s">
        <v>12</v>
      </c>
      <c r="F18" t="s">
        <v>234</v>
      </c>
      <c r="G18" t="s">
        <v>40</v>
      </c>
      <c r="H18">
        <v>2554</v>
      </c>
      <c r="I18">
        <v>4551221</v>
      </c>
      <c r="J18">
        <v>33</v>
      </c>
      <c r="K18" t="str">
        <f t="shared" si="7"/>
        <v>24704_1</v>
      </c>
      <c r="L18" t="str">
        <f t="shared" si="8"/>
        <v>2554-4551221-33</v>
      </c>
      <c r="M18" t="str">
        <f t="shared" si="9"/>
        <v>Mar</v>
      </c>
      <c r="N18" t="str">
        <f t="shared" si="10"/>
        <v>323955</v>
      </c>
      <c r="O18" t="str">
        <f t="shared" si="11"/>
        <v>Melbourne</v>
      </c>
      <c r="P18" t="str">
        <f t="shared" si="12"/>
        <v>INV</v>
      </c>
      <c r="Q18" s="1">
        <f>VALUE(SUBSTITUTE(SUBSTITUTE(F18,"S","$"),CHAR(160),""))*IF(tbl_Supplier[[#This Row],[Type]]="CR",-1,1)</f>
        <v>499.95</v>
      </c>
      <c r="R18" s="12">
        <f t="shared" si="13"/>
        <v>43909</v>
      </c>
      <c r="S18" s="31">
        <f>DATE(2020,MONTH(tbl_Supplier[[#This Row],[Paid]]),RIGHT(C18,2))</f>
        <v>43951</v>
      </c>
      <c r="T18">
        <f>tbl_Supplier[[#This Row],[Paid Date]]-tbl_Supplier[[#This Row],[Invoice Date]]</f>
        <v>42</v>
      </c>
      <c r="U18" s="1">
        <f>tbl_Supplier[[#This Row],[$ Amount]]-VLOOKUP(tbl_Supplier[[#This Row],[Cust Ref]],tbl_MC[],10,FALSE)</f>
        <v>0</v>
      </c>
    </row>
    <row r="19" spans="1:21" x14ac:dyDescent="0.25">
      <c r="A19">
        <v>24707</v>
      </c>
      <c r="B19">
        <v>1</v>
      </c>
      <c r="C19" t="s">
        <v>235</v>
      </c>
      <c r="D19" t="s">
        <v>236</v>
      </c>
      <c r="E19" t="s">
        <v>12</v>
      </c>
      <c r="F19" t="s">
        <v>237</v>
      </c>
      <c r="G19" t="s">
        <v>41</v>
      </c>
      <c r="H19">
        <v>2554</v>
      </c>
      <c r="I19">
        <v>4551221</v>
      </c>
      <c r="J19">
        <v>33</v>
      </c>
      <c r="K19" t="str">
        <f t="shared" si="7"/>
        <v>24707_1</v>
      </c>
      <c r="L19" t="str">
        <f t="shared" si="8"/>
        <v>2554-4551221-33</v>
      </c>
      <c r="M19" t="str">
        <f t="shared" si="9"/>
        <v>Feb</v>
      </c>
      <c r="N19" t="str">
        <f t="shared" si="10"/>
        <v>316515</v>
      </c>
      <c r="O19" t="str">
        <f t="shared" si="11"/>
        <v>Melbourne</v>
      </c>
      <c r="P19" t="str">
        <f t="shared" si="12"/>
        <v>INV</v>
      </c>
      <c r="Q19" s="1">
        <f>VALUE(SUBSTITUTE(SUBSTITUTE(F19,"S","$"),CHAR(160),""))*IF(tbl_Supplier[[#This Row],[Type]]="CR",-1,1)</f>
        <v>299.64</v>
      </c>
      <c r="R19" s="12">
        <f t="shared" si="13"/>
        <v>43890</v>
      </c>
      <c r="S19" s="31">
        <f>DATE(2020,MONTH(tbl_Supplier[[#This Row],[Paid]]),RIGHT(C19,2))</f>
        <v>43928</v>
      </c>
      <c r="T19">
        <f>tbl_Supplier[[#This Row],[Paid Date]]-tbl_Supplier[[#This Row],[Invoice Date]]</f>
        <v>38</v>
      </c>
      <c r="U19" s="1">
        <f>tbl_Supplier[[#This Row],[$ Amount]]-VLOOKUP(tbl_Supplier[[#This Row],[Cust Ref]],tbl_MC[],10,FALSE)</f>
        <v>0</v>
      </c>
    </row>
    <row r="20" spans="1:21" x14ac:dyDescent="0.25">
      <c r="A20">
        <v>24712</v>
      </c>
      <c r="B20">
        <v>1</v>
      </c>
      <c r="C20" t="s">
        <v>206</v>
      </c>
      <c r="D20" t="s">
        <v>215</v>
      </c>
      <c r="E20" t="s">
        <v>12</v>
      </c>
      <c r="F20" t="s">
        <v>238</v>
      </c>
      <c r="G20" t="s">
        <v>42</v>
      </c>
      <c r="H20">
        <v>1641</v>
      </c>
      <c r="I20">
        <v>7654320</v>
      </c>
      <c r="J20">
        <v>72</v>
      </c>
      <c r="K20" t="str">
        <f t="shared" si="7"/>
        <v>24712_1</v>
      </c>
      <c r="L20" t="str">
        <f t="shared" si="8"/>
        <v>1641-7654320-72</v>
      </c>
      <c r="M20" t="str">
        <f t="shared" si="9"/>
        <v>Mar</v>
      </c>
      <c r="N20" t="str">
        <f t="shared" si="10"/>
        <v>231320</v>
      </c>
      <c r="O20" t="str">
        <f t="shared" si="11"/>
        <v>Sydney</v>
      </c>
      <c r="P20" t="str">
        <f t="shared" si="12"/>
        <v>INV</v>
      </c>
      <c r="Q20" s="1">
        <f>VALUE(SUBSTITUTE(SUBSTITUTE(F20,"S","$"),CHAR(160),""))*IF(tbl_Supplier[[#This Row],[Type]]="CR",-1,1)</f>
        <v>312.83999999999997</v>
      </c>
      <c r="R20" s="12">
        <f t="shared" si="13"/>
        <v>43912</v>
      </c>
      <c r="S20" s="31">
        <f>DATE(2020,MONTH(tbl_Supplier[[#This Row],[Paid]]),RIGHT(C20,2))</f>
        <v>43951</v>
      </c>
      <c r="T20">
        <f>tbl_Supplier[[#This Row],[Paid Date]]-tbl_Supplier[[#This Row],[Invoice Date]]</f>
        <v>39</v>
      </c>
      <c r="U20" s="1">
        <f>tbl_Supplier[[#This Row],[$ Amount]]-VLOOKUP(tbl_Supplier[[#This Row],[Cust Ref]],tbl_MC[],10,FALSE)</f>
        <v>0</v>
      </c>
    </row>
    <row r="21" spans="1:21" x14ac:dyDescent="0.25">
      <c r="A21">
        <v>24717</v>
      </c>
      <c r="B21">
        <v>1</v>
      </c>
      <c r="C21" t="s">
        <v>23</v>
      </c>
      <c r="D21" t="s">
        <v>239</v>
      </c>
      <c r="E21" t="s">
        <v>13</v>
      </c>
      <c r="F21" t="s">
        <v>240</v>
      </c>
      <c r="G21" t="s">
        <v>43</v>
      </c>
      <c r="H21">
        <v>1641</v>
      </c>
      <c r="I21">
        <v>7654320</v>
      </c>
      <c r="J21">
        <v>72</v>
      </c>
      <c r="K21" t="str">
        <f t="shared" si="7"/>
        <v>24717_1</v>
      </c>
      <c r="L21" t="str">
        <f t="shared" si="8"/>
        <v>1641-7654320-72</v>
      </c>
      <c r="M21" t="str">
        <f t="shared" si="9"/>
        <v>Mar</v>
      </c>
      <c r="N21" t="str">
        <f t="shared" si="10"/>
        <v>213670</v>
      </c>
      <c r="O21" t="str">
        <f t="shared" si="11"/>
        <v>Sydney</v>
      </c>
      <c r="P21" t="str">
        <f t="shared" si="12"/>
        <v>INV</v>
      </c>
      <c r="Q21" s="1">
        <f>VALUE(SUBSTITUTE(SUBSTITUTE(F21,"S","$"),CHAR(160),""))*IF(tbl_Supplier[[#This Row],[Type]]="CR",-1,1)</f>
        <v>993.63</v>
      </c>
      <c r="R21" s="12">
        <f t="shared" si="13"/>
        <v>43904</v>
      </c>
      <c r="S21" s="31">
        <f>DATE(2020,MONTH(tbl_Supplier[[#This Row],[Paid]]),RIGHT(C21,2))</f>
        <v>43926</v>
      </c>
      <c r="T21">
        <f>tbl_Supplier[[#This Row],[Paid Date]]-tbl_Supplier[[#This Row],[Invoice Date]]</f>
        <v>22</v>
      </c>
      <c r="U21" s="1">
        <f>tbl_Supplier[[#This Row],[$ Amount]]-VLOOKUP(tbl_Supplier[[#This Row],[Cust Ref]],tbl_MC[],10,FALSE)</f>
        <v>0</v>
      </c>
    </row>
    <row r="22" spans="1:21" x14ac:dyDescent="0.25">
      <c r="A22">
        <v>24722</v>
      </c>
      <c r="B22">
        <v>1</v>
      </c>
      <c r="C22" t="s">
        <v>197</v>
      </c>
      <c r="D22" t="s">
        <v>212</v>
      </c>
      <c r="E22" t="s">
        <v>13</v>
      </c>
      <c r="F22" t="s">
        <v>241</v>
      </c>
      <c r="G22" t="s">
        <v>242</v>
      </c>
      <c r="H22">
        <v>1641</v>
      </c>
      <c r="I22">
        <v>7654320</v>
      </c>
      <c r="J22">
        <v>72</v>
      </c>
      <c r="K22" t="str">
        <f t="shared" si="7"/>
        <v>24722_1</v>
      </c>
      <c r="L22" t="str">
        <f t="shared" si="8"/>
        <v>1641-7654320-72</v>
      </c>
      <c r="M22" t="str">
        <f t="shared" si="9"/>
        <v>Mar</v>
      </c>
      <c r="N22" t="str">
        <f t="shared" si="10"/>
        <v>226166</v>
      </c>
      <c r="O22" t="str">
        <f t="shared" si="11"/>
        <v>Sydney</v>
      </c>
      <c r="P22" t="str">
        <f t="shared" si="12"/>
        <v>INV</v>
      </c>
      <c r="Q22" s="1">
        <f>VALUE(SUBSTITUTE(SUBSTITUTE(F22,"S","$"),CHAR(160),""))*IF(tbl_Supplier[[#This Row],[Type]]="CR",-1,1)</f>
        <v>1053.69</v>
      </c>
      <c r="R22" s="12">
        <f t="shared" si="13"/>
        <v>43917</v>
      </c>
      <c r="S22" s="31">
        <f>DATE(2020,MONTH(tbl_Supplier[[#This Row],[Paid]]),RIGHT(C22,2))</f>
        <v>43922</v>
      </c>
      <c r="T22">
        <f>tbl_Supplier[[#This Row],[Paid Date]]-tbl_Supplier[[#This Row],[Invoice Date]]</f>
        <v>5</v>
      </c>
      <c r="U22" s="1">
        <f>tbl_Supplier[[#This Row],[$ Amount]]-VLOOKUP(tbl_Supplier[[#This Row],[Cust Ref]],tbl_MC[],10,FALSE)</f>
        <v>0</v>
      </c>
    </row>
    <row r="23" spans="1:21" x14ac:dyDescent="0.25">
      <c r="A23">
        <v>24727</v>
      </c>
      <c r="B23">
        <v>1</v>
      </c>
      <c r="C23" t="s">
        <v>206</v>
      </c>
      <c r="D23" t="s">
        <v>243</v>
      </c>
      <c r="E23" t="s">
        <v>13</v>
      </c>
      <c r="F23" t="s">
        <v>244</v>
      </c>
      <c r="G23" t="s">
        <v>245</v>
      </c>
      <c r="H23">
        <v>2554</v>
      </c>
      <c r="I23">
        <v>4551221</v>
      </c>
      <c r="J23">
        <v>33</v>
      </c>
      <c r="K23" t="str">
        <f t="shared" si="7"/>
        <v>24727_1</v>
      </c>
      <c r="L23" t="str">
        <f t="shared" si="8"/>
        <v>2554-4551221-33</v>
      </c>
      <c r="M23" t="str">
        <f t="shared" si="9"/>
        <v>Apr</v>
      </c>
      <c r="N23" t="str">
        <f t="shared" si="10"/>
        <v>316479</v>
      </c>
      <c r="O23" t="str">
        <f t="shared" si="11"/>
        <v>Melbourne</v>
      </c>
      <c r="P23" t="str">
        <f t="shared" si="12"/>
        <v>INV</v>
      </c>
      <c r="Q23" s="1">
        <f>VALUE(SUBSTITUTE(SUBSTITUTE(F23,"S","$"),CHAR(160),""))*IF(tbl_Supplier[[#This Row],[Type]]="CR",-1,1)</f>
        <v>1047.75</v>
      </c>
      <c r="R23" s="12">
        <f t="shared" si="13"/>
        <v>43929</v>
      </c>
      <c r="S23" s="31">
        <f>DATE(2020,MONTH(tbl_Supplier[[#This Row],[Paid]]),RIGHT(C23,2))</f>
        <v>43951</v>
      </c>
      <c r="T23">
        <f>tbl_Supplier[[#This Row],[Paid Date]]-tbl_Supplier[[#This Row],[Invoice Date]]</f>
        <v>22</v>
      </c>
      <c r="U23" s="1">
        <f>tbl_Supplier[[#This Row],[$ Amount]]-VLOOKUP(tbl_Supplier[[#This Row],[Cust Ref]],tbl_MC[],10,FALSE)</f>
        <v>0</v>
      </c>
    </row>
    <row r="24" spans="1:21" x14ac:dyDescent="0.25">
      <c r="A24">
        <v>24730</v>
      </c>
      <c r="B24">
        <v>1</v>
      </c>
      <c r="C24" t="s">
        <v>243</v>
      </c>
      <c r="D24" t="s">
        <v>246</v>
      </c>
      <c r="E24" t="s">
        <v>13</v>
      </c>
      <c r="F24" t="s">
        <v>247</v>
      </c>
      <c r="G24" t="s">
        <v>248</v>
      </c>
      <c r="H24">
        <v>1641</v>
      </c>
      <c r="I24">
        <v>7654320</v>
      </c>
      <c r="J24">
        <v>72</v>
      </c>
      <c r="K24" t="str">
        <f t="shared" si="7"/>
        <v>24730_1</v>
      </c>
      <c r="L24" t="str">
        <f t="shared" si="8"/>
        <v>1641-7654320-72</v>
      </c>
      <c r="M24" t="str">
        <f t="shared" si="9"/>
        <v>Feb</v>
      </c>
      <c r="N24" t="str">
        <f t="shared" si="10"/>
        <v>230046</v>
      </c>
      <c r="O24" t="str">
        <f t="shared" si="11"/>
        <v>Sydney</v>
      </c>
      <c r="P24" t="str">
        <f t="shared" si="12"/>
        <v>INV</v>
      </c>
      <c r="Q24" s="1">
        <f>VALUE(SUBSTITUTE(SUBSTITUTE(F24,"S","$"),CHAR(160),""))*IF(tbl_Supplier[[#This Row],[Type]]="CR",-1,1)</f>
        <v>1096.92</v>
      </c>
      <c r="R24" s="12">
        <f t="shared" si="13"/>
        <v>43888</v>
      </c>
      <c r="S24" s="31">
        <f>DATE(2020,MONTH(tbl_Supplier[[#This Row],[Paid]]),RIGHT(C24,2))</f>
        <v>43929</v>
      </c>
      <c r="T24">
        <f>tbl_Supplier[[#This Row],[Paid Date]]-tbl_Supplier[[#This Row],[Invoice Date]]</f>
        <v>41</v>
      </c>
      <c r="U24" s="1">
        <f>tbl_Supplier[[#This Row],[$ Amount]]-VLOOKUP(tbl_Supplier[[#This Row],[Cust Ref]],tbl_MC[],10,FALSE)</f>
        <v>0</v>
      </c>
    </row>
    <row r="25" spans="1:21" x14ac:dyDescent="0.25">
      <c r="A25">
        <v>24732</v>
      </c>
      <c r="B25">
        <v>1</v>
      </c>
      <c r="C25" t="s">
        <v>235</v>
      </c>
      <c r="D25" t="s">
        <v>249</v>
      </c>
      <c r="E25" t="s">
        <v>13</v>
      </c>
      <c r="F25" t="s">
        <v>250</v>
      </c>
      <c r="G25" t="s">
        <v>251</v>
      </c>
      <c r="H25">
        <v>1641</v>
      </c>
      <c r="I25">
        <v>7654320</v>
      </c>
      <c r="J25">
        <v>72</v>
      </c>
      <c r="K25" t="str">
        <f t="shared" si="7"/>
        <v>24732_1</v>
      </c>
      <c r="L25" t="str">
        <f t="shared" si="8"/>
        <v>1641-7654320-72</v>
      </c>
      <c r="M25" t="str">
        <f t="shared" si="9"/>
        <v>Feb</v>
      </c>
      <c r="N25" t="str">
        <f t="shared" si="10"/>
        <v>224680</v>
      </c>
      <c r="O25" t="str">
        <f t="shared" si="11"/>
        <v>Sydney</v>
      </c>
      <c r="P25" t="str">
        <f t="shared" si="12"/>
        <v>INV</v>
      </c>
      <c r="Q25" s="1">
        <f>VALUE(SUBSTITUTE(SUBSTITUTE(F25,"S","$"),CHAR(160),""))*IF(tbl_Supplier[[#This Row],[Type]]="CR",-1,1)</f>
        <v>257.07</v>
      </c>
      <c r="R25" s="12">
        <f t="shared" si="13"/>
        <v>43886</v>
      </c>
      <c r="S25" s="31">
        <f>DATE(2020,MONTH(tbl_Supplier[[#This Row],[Paid]]),RIGHT(C25,2))</f>
        <v>43928</v>
      </c>
      <c r="T25">
        <f>tbl_Supplier[[#This Row],[Paid Date]]-tbl_Supplier[[#This Row],[Invoice Date]]</f>
        <v>42</v>
      </c>
      <c r="U25" s="1">
        <f>tbl_Supplier[[#This Row],[$ Amount]]-VLOOKUP(tbl_Supplier[[#This Row],[Cust Ref]],tbl_MC[],10,FALSE)</f>
        <v>0</v>
      </c>
    </row>
    <row r="26" spans="1:21" x14ac:dyDescent="0.25">
      <c r="A26">
        <v>24735</v>
      </c>
      <c r="B26">
        <v>2</v>
      </c>
      <c r="C26" t="s">
        <v>229</v>
      </c>
      <c r="D26" t="s">
        <v>226</v>
      </c>
      <c r="E26" t="s">
        <v>13</v>
      </c>
      <c r="F26" t="s">
        <v>252</v>
      </c>
      <c r="G26" t="s">
        <v>253</v>
      </c>
      <c r="H26">
        <v>1641</v>
      </c>
      <c r="I26">
        <v>7654320</v>
      </c>
      <c r="J26">
        <v>72</v>
      </c>
      <c r="K26" t="str">
        <f t="shared" si="7"/>
        <v>24735_2</v>
      </c>
      <c r="L26" t="str">
        <f t="shared" si="8"/>
        <v>1641-7654320-72</v>
      </c>
      <c r="M26" t="str">
        <f t="shared" si="9"/>
        <v>Apr</v>
      </c>
      <c r="N26" t="str">
        <f t="shared" si="10"/>
        <v>238023</v>
      </c>
      <c r="O26" t="str">
        <f t="shared" si="11"/>
        <v>Sydney</v>
      </c>
      <c r="P26" t="str">
        <f t="shared" si="12"/>
        <v>INV</v>
      </c>
      <c r="Q26" s="1">
        <f>VALUE(SUBSTITUTE(SUBSTITUTE(F26,"S","$"),CHAR(160),""))*IF(tbl_Supplier[[#This Row],[Type]]="CR",-1,1)</f>
        <v>215.49</v>
      </c>
      <c r="R26" s="12">
        <f t="shared" si="13"/>
        <v>43945</v>
      </c>
      <c r="S26" s="31">
        <f>DATE(2020,MONTH(tbl_Supplier[[#This Row],[Paid]]),RIGHT(C26,2))</f>
        <v>43949</v>
      </c>
      <c r="T26">
        <f>tbl_Supplier[[#This Row],[Paid Date]]-tbl_Supplier[[#This Row],[Invoice Date]]</f>
        <v>4</v>
      </c>
      <c r="U26" s="1">
        <f>tbl_Supplier[[#This Row],[$ Amount]]-VLOOKUP(tbl_Supplier[[#This Row],[Cust Ref]],tbl_MC[],10,FALSE)</f>
        <v>0</v>
      </c>
    </row>
    <row r="27" spans="1:21" x14ac:dyDescent="0.25">
      <c r="A27">
        <v>24739</v>
      </c>
      <c r="B27">
        <v>1</v>
      </c>
      <c r="C27" t="s">
        <v>226</v>
      </c>
      <c r="D27" t="s">
        <v>23</v>
      </c>
      <c r="E27" t="s">
        <v>13</v>
      </c>
      <c r="F27" t="s">
        <v>254</v>
      </c>
      <c r="G27" t="s">
        <v>255</v>
      </c>
      <c r="H27">
        <v>1641</v>
      </c>
      <c r="I27">
        <v>7654320</v>
      </c>
      <c r="J27">
        <v>72</v>
      </c>
      <c r="K27" t="str">
        <f t="shared" si="7"/>
        <v>24739_1</v>
      </c>
      <c r="L27" t="str">
        <f t="shared" si="8"/>
        <v>1641-7654320-72</v>
      </c>
      <c r="M27" t="str">
        <f t="shared" si="9"/>
        <v>Apr</v>
      </c>
      <c r="N27" t="str">
        <f t="shared" si="10"/>
        <v>224184</v>
      </c>
      <c r="O27" t="str">
        <f t="shared" si="11"/>
        <v>Sydney</v>
      </c>
      <c r="P27" t="str">
        <f t="shared" si="12"/>
        <v>INV</v>
      </c>
      <c r="Q27" s="1">
        <f>VALUE(SUBSTITUTE(SUBSTITUTE(F27,"S","$"),CHAR(160),""))*IF(tbl_Supplier[[#This Row],[Type]]="CR",-1,1)</f>
        <v>455.07</v>
      </c>
      <c r="R27" s="12">
        <f t="shared" si="13"/>
        <v>43926</v>
      </c>
      <c r="S27" s="31">
        <f>DATE(2020,MONTH(tbl_Supplier[[#This Row],[Paid]]),RIGHT(C27,2))</f>
        <v>43945</v>
      </c>
      <c r="T27">
        <f>tbl_Supplier[[#This Row],[Paid Date]]-tbl_Supplier[[#This Row],[Invoice Date]]</f>
        <v>19</v>
      </c>
      <c r="U27" s="1">
        <f>tbl_Supplier[[#This Row],[$ Amount]]-VLOOKUP(tbl_Supplier[[#This Row],[Cust Ref]],tbl_MC[],10,FALSE)</f>
        <v>0</v>
      </c>
    </row>
    <row r="28" spans="1:21" x14ac:dyDescent="0.25">
      <c r="A28">
        <v>24740</v>
      </c>
      <c r="B28">
        <v>1</v>
      </c>
      <c r="C28" t="s">
        <v>207</v>
      </c>
      <c r="D28" t="s">
        <v>256</v>
      </c>
      <c r="E28" t="s">
        <v>13</v>
      </c>
      <c r="F28" t="s">
        <v>257</v>
      </c>
      <c r="G28" t="s">
        <v>258</v>
      </c>
      <c r="H28">
        <v>1641</v>
      </c>
      <c r="I28">
        <v>7654320</v>
      </c>
      <c r="J28">
        <v>72</v>
      </c>
      <c r="K28" t="str">
        <f t="shared" si="7"/>
        <v>24740_1</v>
      </c>
      <c r="L28" t="str">
        <f t="shared" si="8"/>
        <v>1641-7654320-72</v>
      </c>
      <c r="M28" t="str">
        <f t="shared" si="9"/>
        <v>Apr</v>
      </c>
      <c r="N28" t="str">
        <f t="shared" si="10"/>
        <v>216205</v>
      </c>
      <c r="O28" t="str">
        <f t="shared" si="11"/>
        <v>Sydney</v>
      </c>
      <c r="P28" t="str">
        <f t="shared" si="12"/>
        <v>INV</v>
      </c>
      <c r="Q28" s="1">
        <f>VALUE(SUBSTITUTE(SUBSTITUTE(F28,"S","$"),CHAR(160),""))*IF(tbl_Supplier[[#This Row],[Type]]="CR",-1,1)</f>
        <v>711.81</v>
      </c>
      <c r="R28" s="12">
        <f t="shared" si="13"/>
        <v>43923</v>
      </c>
      <c r="S28" s="31">
        <f>DATE(2020,MONTH(tbl_Supplier[[#This Row],[Paid]]),RIGHT(C28,2))</f>
        <v>43930</v>
      </c>
      <c r="T28">
        <f>tbl_Supplier[[#This Row],[Paid Date]]-tbl_Supplier[[#This Row],[Invoice Date]]</f>
        <v>7</v>
      </c>
      <c r="U28" s="1">
        <f>tbl_Supplier[[#This Row],[$ Amount]]-VLOOKUP(tbl_Supplier[[#This Row],[Cust Ref]],tbl_MC[],10,FALSE)</f>
        <v>0</v>
      </c>
    </row>
    <row r="29" spans="1:21" x14ac:dyDescent="0.25">
      <c r="A29">
        <v>24743</v>
      </c>
      <c r="B29">
        <v>1</v>
      </c>
      <c r="C29" t="s">
        <v>221</v>
      </c>
      <c r="D29" t="s">
        <v>259</v>
      </c>
      <c r="E29" t="s">
        <v>13</v>
      </c>
      <c r="F29" t="s">
        <v>260</v>
      </c>
      <c r="G29" t="s">
        <v>261</v>
      </c>
      <c r="H29">
        <v>2554</v>
      </c>
      <c r="I29">
        <v>4551221</v>
      </c>
      <c r="J29">
        <v>33</v>
      </c>
      <c r="K29" t="str">
        <f t="shared" si="7"/>
        <v>24743_1</v>
      </c>
      <c r="L29" t="str">
        <f t="shared" si="8"/>
        <v>2554-4551221-33</v>
      </c>
      <c r="M29" t="str">
        <f t="shared" si="9"/>
        <v>Mar</v>
      </c>
      <c r="N29" t="str">
        <f t="shared" si="10"/>
        <v>331383</v>
      </c>
      <c r="O29" t="str">
        <f t="shared" si="11"/>
        <v>Melbourne</v>
      </c>
      <c r="P29" t="str">
        <f t="shared" si="12"/>
        <v>INV</v>
      </c>
      <c r="Q29" s="1">
        <f>VALUE(SUBSTITUTE(SUBSTITUTE(F29,"S","$"),CHAR(160),""))*IF(tbl_Supplier[[#This Row],[Type]]="CR",-1,1)</f>
        <v>78.540000000000006</v>
      </c>
      <c r="R29" s="12">
        <f t="shared" si="13"/>
        <v>43911</v>
      </c>
      <c r="S29" s="31">
        <f>DATE(2020,MONTH(tbl_Supplier[[#This Row],[Paid]]),RIGHT(C29,2))</f>
        <v>43925</v>
      </c>
      <c r="T29">
        <f>tbl_Supplier[[#This Row],[Paid Date]]-tbl_Supplier[[#This Row],[Invoice Date]]</f>
        <v>14</v>
      </c>
      <c r="U29" s="1">
        <f>tbl_Supplier[[#This Row],[$ Amount]]-VLOOKUP(tbl_Supplier[[#This Row],[Cust Ref]],tbl_MC[],10,FALSE)</f>
        <v>0</v>
      </c>
    </row>
    <row r="30" spans="1:21" x14ac:dyDescent="0.25">
      <c r="A30">
        <v>24746</v>
      </c>
      <c r="B30">
        <v>1</v>
      </c>
      <c r="C30" t="s">
        <v>223</v>
      </c>
      <c r="D30" t="s">
        <v>262</v>
      </c>
      <c r="E30" t="s">
        <v>13</v>
      </c>
      <c r="F30" t="s">
        <v>263</v>
      </c>
      <c r="G30" t="s">
        <v>264</v>
      </c>
      <c r="H30">
        <v>2554</v>
      </c>
      <c r="I30">
        <v>4551221</v>
      </c>
      <c r="J30">
        <v>33</v>
      </c>
      <c r="K30" t="str">
        <f t="shared" si="7"/>
        <v>24746_1</v>
      </c>
      <c r="L30" t="str">
        <f t="shared" si="8"/>
        <v>2554-4551221-33</v>
      </c>
      <c r="M30" t="str">
        <f t="shared" si="9"/>
        <v>Mar</v>
      </c>
      <c r="N30" t="str">
        <f t="shared" si="10"/>
        <v>335282</v>
      </c>
      <c r="O30" t="str">
        <f t="shared" si="11"/>
        <v>Melbourne</v>
      </c>
      <c r="P30" t="str">
        <f t="shared" si="12"/>
        <v>INV</v>
      </c>
      <c r="Q30" s="1">
        <f>VALUE(SUBSTITUTE(SUBSTITUTE(F30,"S","$"),CHAR(160),""))*IF(tbl_Supplier[[#This Row],[Type]]="CR",-1,1)</f>
        <v>302.61</v>
      </c>
      <c r="R30" s="12">
        <f t="shared" si="13"/>
        <v>43892</v>
      </c>
      <c r="S30" s="31">
        <f>DATE(2020,MONTH(tbl_Supplier[[#This Row],[Paid]]),RIGHT(C30,2))</f>
        <v>43927</v>
      </c>
      <c r="T30">
        <f>tbl_Supplier[[#This Row],[Paid Date]]-tbl_Supplier[[#This Row],[Invoice Date]]</f>
        <v>35</v>
      </c>
      <c r="U30" s="1">
        <f>tbl_Supplier[[#This Row],[$ Amount]]-VLOOKUP(tbl_Supplier[[#This Row],[Cust Ref]],tbl_MC[],10,FALSE)</f>
        <v>0</v>
      </c>
    </row>
    <row r="31" spans="1:21" x14ac:dyDescent="0.25">
      <c r="A31">
        <v>24750</v>
      </c>
      <c r="B31">
        <v>1</v>
      </c>
      <c r="C31" t="s">
        <v>203</v>
      </c>
      <c r="D31" t="s">
        <v>249</v>
      </c>
      <c r="E31" t="s">
        <v>12</v>
      </c>
      <c r="F31" t="s">
        <v>265</v>
      </c>
      <c r="G31" t="s">
        <v>266</v>
      </c>
      <c r="H31">
        <v>2554</v>
      </c>
      <c r="I31">
        <v>4551221</v>
      </c>
      <c r="J31">
        <v>33</v>
      </c>
      <c r="K31" t="str">
        <f t="shared" si="7"/>
        <v>24750_1</v>
      </c>
      <c r="L31" t="str">
        <f t="shared" si="8"/>
        <v>2554-4551221-33</v>
      </c>
      <c r="M31" t="str">
        <f t="shared" si="9"/>
        <v>Feb</v>
      </c>
      <c r="N31" t="str">
        <f t="shared" si="10"/>
        <v>330858</v>
      </c>
      <c r="O31" t="str">
        <f t="shared" si="11"/>
        <v>Melbourne</v>
      </c>
      <c r="P31" t="str">
        <f t="shared" si="12"/>
        <v>INV</v>
      </c>
      <c r="Q31" s="1">
        <f>VALUE(SUBSTITUTE(SUBSTITUTE(F31,"S","$"),CHAR(160),""))*IF(tbl_Supplier[[#This Row],[Type]]="CR",-1,1)</f>
        <v>426.03</v>
      </c>
      <c r="R31" s="12">
        <f t="shared" si="13"/>
        <v>43886</v>
      </c>
      <c r="S31" s="31">
        <f>DATE(2020,MONTH(tbl_Supplier[[#This Row],[Paid]]),RIGHT(C31,2))</f>
        <v>43931</v>
      </c>
      <c r="T31">
        <f>tbl_Supplier[[#This Row],[Paid Date]]-tbl_Supplier[[#This Row],[Invoice Date]]</f>
        <v>45</v>
      </c>
      <c r="U31" s="1">
        <f>tbl_Supplier[[#This Row],[$ Amount]]-VLOOKUP(tbl_Supplier[[#This Row],[Cust Ref]],tbl_MC[],10,FALSE)</f>
        <v>0</v>
      </c>
    </row>
    <row r="32" spans="1:21" x14ac:dyDescent="0.25">
      <c r="A32">
        <v>24753</v>
      </c>
      <c r="B32">
        <v>1</v>
      </c>
      <c r="C32" t="s">
        <v>217</v>
      </c>
      <c r="D32" t="s">
        <v>218</v>
      </c>
      <c r="E32" t="s">
        <v>13</v>
      </c>
      <c r="F32" t="s">
        <v>267</v>
      </c>
      <c r="G32" t="s">
        <v>268</v>
      </c>
      <c r="H32">
        <v>1641</v>
      </c>
      <c r="I32">
        <v>7654320</v>
      </c>
      <c r="J32">
        <v>72</v>
      </c>
      <c r="K32" t="str">
        <f t="shared" si="7"/>
        <v>24753_1</v>
      </c>
      <c r="L32" t="str">
        <f t="shared" si="8"/>
        <v>1641-7654320-72</v>
      </c>
      <c r="M32" t="str">
        <f t="shared" si="9"/>
        <v>Mar</v>
      </c>
      <c r="N32" t="str">
        <f t="shared" si="10"/>
        <v>238202</v>
      </c>
      <c r="O32" t="str">
        <f t="shared" si="11"/>
        <v>Sydney</v>
      </c>
      <c r="P32" t="str">
        <f t="shared" si="12"/>
        <v>INV</v>
      </c>
      <c r="Q32" s="1">
        <f>VALUE(SUBSTITUTE(SUBSTITUTE(F32,"S","$"),CHAR(160),""))*IF(tbl_Supplier[[#This Row],[Type]]="CR",-1,1)</f>
        <v>489.72</v>
      </c>
      <c r="R32" s="12">
        <f t="shared" si="13"/>
        <v>43899</v>
      </c>
      <c r="S32" s="31">
        <f>DATE(2020,MONTH(tbl_Supplier[[#This Row],[Paid]]),RIGHT(C32,2))</f>
        <v>43932</v>
      </c>
      <c r="T32">
        <f>tbl_Supplier[[#This Row],[Paid Date]]-tbl_Supplier[[#This Row],[Invoice Date]]</f>
        <v>33</v>
      </c>
      <c r="U32" s="1">
        <f>tbl_Supplier[[#This Row],[$ Amount]]-VLOOKUP(tbl_Supplier[[#This Row],[Cust Ref]],tbl_MC[],10,FALSE)</f>
        <v>0</v>
      </c>
    </row>
    <row r="33" spans="1:21" x14ac:dyDescent="0.25">
      <c r="A33">
        <v>24754</v>
      </c>
      <c r="B33">
        <v>1</v>
      </c>
      <c r="C33" t="s">
        <v>229</v>
      </c>
      <c r="D33" t="s">
        <v>201</v>
      </c>
      <c r="E33" t="s">
        <v>13</v>
      </c>
      <c r="F33" t="s">
        <v>269</v>
      </c>
      <c r="G33" t="s">
        <v>270</v>
      </c>
      <c r="H33">
        <v>1641</v>
      </c>
      <c r="I33">
        <v>7654320</v>
      </c>
      <c r="J33">
        <v>72</v>
      </c>
      <c r="K33" t="str">
        <f t="shared" si="7"/>
        <v>24754_1</v>
      </c>
      <c r="L33" t="str">
        <f t="shared" si="8"/>
        <v>1641-7654320-72</v>
      </c>
      <c r="M33" t="str">
        <f t="shared" si="9"/>
        <v>Mar</v>
      </c>
      <c r="N33" t="str">
        <f t="shared" si="10"/>
        <v>217217</v>
      </c>
      <c r="O33" t="str">
        <f t="shared" si="11"/>
        <v>Sydney</v>
      </c>
      <c r="P33" t="str">
        <f t="shared" si="12"/>
        <v>INV</v>
      </c>
      <c r="Q33" s="1">
        <f>VALUE(SUBSTITUTE(SUBSTITUTE(F33,"S","$"),CHAR(160),""))*IF(tbl_Supplier[[#This Row],[Type]]="CR",-1,1)</f>
        <v>352.44</v>
      </c>
      <c r="R33" s="12">
        <f t="shared" si="13"/>
        <v>43915</v>
      </c>
      <c r="S33" s="31">
        <f>DATE(2020,MONTH(tbl_Supplier[[#This Row],[Paid]]),RIGHT(C33,2))</f>
        <v>43949</v>
      </c>
      <c r="T33">
        <f>tbl_Supplier[[#This Row],[Paid Date]]-tbl_Supplier[[#This Row],[Invoice Date]]</f>
        <v>34</v>
      </c>
      <c r="U33" s="1">
        <f>tbl_Supplier[[#This Row],[$ Amount]]-VLOOKUP(tbl_Supplier[[#This Row],[Cust Ref]],tbl_MC[],10,FALSE)</f>
        <v>0</v>
      </c>
    </row>
    <row r="34" spans="1:21" x14ac:dyDescent="0.25">
      <c r="A34">
        <v>24756</v>
      </c>
      <c r="B34">
        <v>1</v>
      </c>
      <c r="C34" t="s">
        <v>271</v>
      </c>
      <c r="D34" t="s">
        <v>215</v>
      </c>
      <c r="E34" t="s">
        <v>13</v>
      </c>
      <c r="F34" t="s">
        <v>272</v>
      </c>
      <c r="G34" t="s">
        <v>273</v>
      </c>
      <c r="H34">
        <v>1641</v>
      </c>
      <c r="I34">
        <v>7654320</v>
      </c>
      <c r="J34">
        <v>72</v>
      </c>
      <c r="K34" t="str">
        <f t="shared" si="7"/>
        <v>24756_1</v>
      </c>
      <c r="L34" t="str">
        <f t="shared" si="8"/>
        <v>1641-7654320-72</v>
      </c>
      <c r="M34" t="str">
        <f t="shared" si="9"/>
        <v>Mar</v>
      </c>
      <c r="N34" t="str">
        <f t="shared" si="10"/>
        <v>234637</v>
      </c>
      <c r="O34" t="str">
        <f t="shared" si="11"/>
        <v>Sydney</v>
      </c>
      <c r="P34" t="str">
        <f t="shared" si="12"/>
        <v>INV</v>
      </c>
      <c r="Q34" s="1">
        <f>VALUE(SUBSTITUTE(SUBSTITUTE(F34,"S","$"),CHAR(160),""))*IF(tbl_Supplier[[#This Row],[Type]]="CR",-1,1)</f>
        <v>238.59</v>
      </c>
      <c r="R34" s="12">
        <f t="shared" si="13"/>
        <v>43912</v>
      </c>
      <c r="S34" s="31">
        <f>DATE(2020,MONTH(tbl_Supplier[[#This Row],[Paid]]),RIGHT(C34,2))</f>
        <v>43937</v>
      </c>
      <c r="T34">
        <f>tbl_Supplier[[#This Row],[Paid Date]]-tbl_Supplier[[#This Row],[Invoice Date]]</f>
        <v>25</v>
      </c>
      <c r="U34" s="1">
        <f>tbl_Supplier[[#This Row],[$ Amount]]-VLOOKUP(tbl_Supplier[[#This Row],[Cust Ref]],tbl_MC[],10,FALSE)</f>
        <v>0</v>
      </c>
    </row>
    <row r="35" spans="1:21" x14ac:dyDescent="0.25">
      <c r="A35">
        <v>24757</v>
      </c>
      <c r="B35">
        <v>1</v>
      </c>
      <c r="C35" t="s">
        <v>196</v>
      </c>
      <c r="D35" t="s">
        <v>274</v>
      </c>
      <c r="E35" t="s">
        <v>13</v>
      </c>
      <c r="F35" t="s">
        <v>275</v>
      </c>
      <c r="G35" t="s">
        <v>276</v>
      </c>
      <c r="H35">
        <v>2554</v>
      </c>
      <c r="I35">
        <v>4551221</v>
      </c>
      <c r="J35">
        <v>33</v>
      </c>
      <c r="K35" t="str">
        <f t="shared" ref="K35:K66" si="14">CONCATENATE(A35,"_",B35)</f>
        <v>24757_1</v>
      </c>
      <c r="L35" t="str">
        <f t="shared" ref="L35:L66" si="15">H35&amp;"-"&amp;I35&amp;"-"&amp;J35</f>
        <v>2554-4551221-33</v>
      </c>
      <c r="M35" t="str">
        <f t="shared" ref="M35:M66" si="16">LEFT(D35,3)</f>
        <v>Apr</v>
      </c>
      <c r="N35" t="str">
        <f t="shared" ref="N35:N66" si="17">RIGHT(G35,6)</f>
        <v>332725</v>
      </c>
      <c r="O35" t="str">
        <f t="shared" ref="O35:O66" si="18">MID(G35,4,FIND("-",G35,4)-4)</f>
        <v>Melbourne</v>
      </c>
      <c r="P35" t="str">
        <f t="shared" ref="P35:P66" si="19">UPPER(TRIM(CLEAN(E35)))</f>
        <v>INV</v>
      </c>
      <c r="Q35" s="1">
        <f>VALUE(SUBSTITUTE(SUBSTITUTE(F35,"S","$"),CHAR(160),""))*IF(tbl_Supplier[[#This Row],[Type]]="CR",-1,1)</f>
        <v>549.12</v>
      </c>
      <c r="R35" s="12">
        <f t="shared" ref="R35:R66" si="20">DATE(2020,MONTH(1&amp;M35),RIGHT(D35,2))</f>
        <v>43936</v>
      </c>
      <c r="S35" s="31">
        <f>DATE(2020,MONTH(tbl_Supplier[[#This Row],[Paid]]),RIGHT(C35,2))</f>
        <v>43941</v>
      </c>
      <c r="T35">
        <f>tbl_Supplier[[#This Row],[Paid Date]]-tbl_Supplier[[#This Row],[Invoice Date]]</f>
        <v>5</v>
      </c>
      <c r="U35" s="1">
        <f>tbl_Supplier[[#This Row],[$ Amount]]-VLOOKUP(tbl_Supplier[[#This Row],[Cust Ref]],tbl_MC[],10,FALSE)</f>
        <v>0</v>
      </c>
    </row>
    <row r="36" spans="1:21" x14ac:dyDescent="0.25">
      <c r="A36">
        <v>24758</v>
      </c>
      <c r="B36">
        <v>1</v>
      </c>
      <c r="C36" t="s">
        <v>256</v>
      </c>
      <c r="D36" t="s">
        <v>277</v>
      </c>
      <c r="E36" t="s">
        <v>13</v>
      </c>
      <c r="F36" t="s">
        <v>278</v>
      </c>
      <c r="G36" t="s">
        <v>279</v>
      </c>
      <c r="H36">
        <v>1641</v>
      </c>
      <c r="I36">
        <v>7654320</v>
      </c>
      <c r="J36">
        <v>72</v>
      </c>
      <c r="K36" t="str">
        <f t="shared" si="14"/>
        <v>24758_1</v>
      </c>
      <c r="L36" t="str">
        <f t="shared" si="15"/>
        <v>1641-7654320-72</v>
      </c>
      <c r="M36" t="str">
        <f t="shared" si="16"/>
        <v>Mar</v>
      </c>
      <c r="N36" t="str">
        <f t="shared" si="17"/>
        <v>227351</v>
      </c>
      <c r="O36" t="str">
        <f t="shared" si="18"/>
        <v>Sydney</v>
      </c>
      <c r="P36" t="str">
        <f t="shared" si="19"/>
        <v>INV</v>
      </c>
      <c r="Q36" s="1">
        <f>VALUE(SUBSTITUTE(SUBSTITUTE(F36,"S","$"),CHAR(160),""))*IF(tbl_Supplier[[#This Row],[Type]]="CR",-1,1)</f>
        <v>322.41000000000003</v>
      </c>
      <c r="R36" s="12">
        <f t="shared" si="20"/>
        <v>43893</v>
      </c>
      <c r="S36" s="31">
        <f>DATE(2020,MONTH(tbl_Supplier[[#This Row],[Paid]]),RIGHT(C36,2))</f>
        <v>43923</v>
      </c>
      <c r="T36">
        <f>tbl_Supplier[[#This Row],[Paid Date]]-tbl_Supplier[[#This Row],[Invoice Date]]</f>
        <v>30</v>
      </c>
      <c r="U36" s="1">
        <f>tbl_Supplier[[#This Row],[$ Amount]]-VLOOKUP(tbl_Supplier[[#This Row],[Cust Ref]],tbl_MC[],10,FALSE)</f>
        <v>0</v>
      </c>
    </row>
    <row r="37" spans="1:21" x14ac:dyDescent="0.25">
      <c r="A37">
        <v>24759</v>
      </c>
      <c r="B37">
        <v>1</v>
      </c>
      <c r="C37" t="s">
        <v>280</v>
      </c>
      <c r="D37" t="s">
        <v>262</v>
      </c>
      <c r="E37" t="s">
        <v>13</v>
      </c>
      <c r="F37" t="s">
        <v>281</v>
      </c>
      <c r="G37" t="s">
        <v>282</v>
      </c>
      <c r="H37">
        <v>2554</v>
      </c>
      <c r="I37">
        <v>4551221</v>
      </c>
      <c r="J37">
        <v>33</v>
      </c>
      <c r="K37" t="str">
        <f t="shared" si="14"/>
        <v>24759_1</v>
      </c>
      <c r="L37" t="str">
        <f t="shared" si="15"/>
        <v>2554-4551221-33</v>
      </c>
      <c r="M37" t="str">
        <f t="shared" si="16"/>
        <v>Mar</v>
      </c>
      <c r="N37" t="str">
        <f t="shared" si="17"/>
        <v>336345</v>
      </c>
      <c r="O37" t="str">
        <f t="shared" si="18"/>
        <v>Melbourne</v>
      </c>
      <c r="P37" t="str">
        <f t="shared" si="19"/>
        <v>INV</v>
      </c>
      <c r="Q37" s="1">
        <f>VALUE(SUBSTITUTE(SUBSTITUTE(F37,"S","$"),CHAR(160),""))*IF(tbl_Supplier[[#This Row],[Type]]="CR",-1,1)</f>
        <v>644.82000000000005</v>
      </c>
      <c r="R37" s="12">
        <f t="shared" si="20"/>
        <v>43892</v>
      </c>
      <c r="S37" s="31">
        <f>DATE(2020,MONTH(tbl_Supplier[[#This Row],[Paid]]),RIGHT(C37,2))</f>
        <v>43934</v>
      </c>
      <c r="T37">
        <f>tbl_Supplier[[#This Row],[Paid Date]]-tbl_Supplier[[#This Row],[Invoice Date]]</f>
        <v>42</v>
      </c>
      <c r="U37" s="1">
        <f>tbl_Supplier[[#This Row],[$ Amount]]-VLOOKUP(tbl_Supplier[[#This Row],[Cust Ref]],tbl_MC[],10,FALSE)</f>
        <v>0</v>
      </c>
    </row>
    <row r="38" spans="1:21" x14ac:dyDescent="0.25">
      <c r="A38">
        <v>24760</v>
      </c>
      <c r="B38">
        <v>1</v>
      </c>
      <c r="C38" t="s">
        <v>220</v>
      </c>
      <c r="D38" t="s">
        <v>256</v>
      </c>
      <c r="E38" t="s">
        <v>13</v>
      </c>
      <c r="F38" t="s">
        <v>283</v>
      </c>
      <c r="G38" t="s">
        <v>284</v>
      </c>
      <c r="H38">
        <v>2554</v>
      </c>
      <c r="I38">
        <v>4551221</v>
      </c>
      <c r="J38">
        <v>33</v>
      </c>
      <c r="K38" t="str">
        <f t="shared" si="14"/>
        <v>24760_1</v>
      </c>
      <c r="L38" t="str">
        <f t="shared" si="15"/>
        <v>2554-4551221-33</v>
      </c>
      <c r="M38" t="str">
        <f t="shared" si="16"/>
        <v>Apr</v>
      </c>
      <c r="N38" t="str">
        <f t="shared" si="17"/>
        <v>338595</v>
      </c>
      <c r="O38" t="str">
        <f t="shared" si="18"/>
        <v>Melbourne</v>
      </c>
      <c r="P38" t="str">
        <f t="shared" si="19"/>
        <v>INV</v>
      </c>
      <c r="Q38" s="1">
        <f>VALUE(SUBSTITUTE(SUBSTITUTE(F38,"S","$"),CHAR(160),""))*IF(tbl_Supplier[[#This Row],[Type]]="CR",-1,1)</f>
        <v>113.19</v>
      </c>
      <c r="R38" s="12">
        <f t="shared" si="20"/>
        <v>43923</v>
      </c>
      <c r="S38" s="31">
        <f>DATE(2020,MONTH(tbl_Supplier[[#This Row],[Paid]]),RIGHT(C38,2))</f>
        <v>43944</v>
      </c>
      <c r="T38">
        <f>tbl_Supplier[[#This Row],[Paid Date]]-tbl_Supplier[[#This Row],[Invoice Date]]</f>
        <v>21</v>
      </c>
      <c r="U38" s="1">
        <f>tbl_Supplier[[#This Row],[$ Amount]]-VLOOKUP(tbl_Supplier[[#This Row],[Cust Ref]],tbl_MC[],10,FALSE)</f>
        <v>0</v>
      </c>
    </row>
    <row r="39" spans="1:21" x14ac:dyDescent="0.25">
      <c r="A39">
        <v>24761</v>
      </c>
      <c r="B39">
        <v>1</v>
      </c>
      <c r="C39" t="s">
        <v>229</v>
      </c>
      <c r="D39" t="s">
        <v>196</v>
      </c>
      <c r="E39" t="s">
        <v>13</v>
      </c>
      <c r="F39" t="s">
        <v>285</v>
      </c>
      <c r="G39" t="s">
        <v>286</v>
      </c>
      <c r="H39">
        <v>2554</v>
      </c>
      <c r="I39">
        <v>4551221</v>
      </c>
      <c r="J39">
        <v>33</v>
      </c>
      <c r="K39" t="str">
        <f t="shared" si="14"/>
        <v>24761_1</v>
      </c>
      <c r="L39" t="str">
        <f t="shared" si="15"/>
        <v>2554-4551221-33</v>
      </c>
      <c r="M39" t="str">
        <f t="shared" si="16"/>
        <v>Apr</v>
      </c>
      <c r="N39" t="str">
        <f t="shared" si="17"/>
        <v>325149</v>
      </c>
      <c r="O39" t="str">
        <f t="shared" si="18"/>
        <v>Melbourne</v>
      </c>
      <c r="P39" t="str">
        <f t="shared" si="19"/>
        <v>INV</v>
      </c>
      <c r="Q39" s="1">
        <f>VALUE(SUBSTITUTE(SUBSTITUTE(F39,"S","$"),CHAR(160),""))*IF(tbl_Supplier[[#This Row],[Type]]="CR",-1,1)</f>
        <v>449.13</v>
      </c>
      <c r="R39" s="12">
        <f t="shared" si="20"/>
        <v>43941</v>
      </c>
      <c r="S39" s="31">
        <f>DATE(2020,MONTH(tbl_Supplier[[#This Row],[Paid]]),RIGHT(C39,2))</f>
        <v>43949</v>
      </c>
      <c r="T39">
        <f>tbl_Supplier[[#This Row],[Paid Date]]-tbl_Supplier[[#This Row],[Invoice Date]]</f>
        <v>8</v>
      </c>
      <c r="U39" s="1">
        <f>tbl_Supplier[[#This Row],[$ Amount]]-VLOOKUP(tbl_Supplier[[#This Row],[Cust Ref]],tbl_MC[],10,FALSE)</f>
        <v>0</v>
      </c>
    </row>
    <row r="40" spans="1:21" x14ac:dyDescent="0.25">
      <c r="A40">
        <v>24764</v>
      </c>
      <c r="B40">
        <v>1</v>
      </c>
      <c r="C40" t="s">
        <v>287</v>
      </c>
      <c r="D40" t="s">
        <v>259</v>
      </c>
      <c r="E40" t="s">
        <v>13</v>
      </c>
      <c r="F40" t="s">
        <v>288</v>
      </c>
      <c r="G40" t="s">
        <v>289</v>
      </c>
      <c r="H40">
        <v>1641</v>
      </c>
      <c r="I40">
        <v>7654320</v>
      </c>
      <c r="J40">
        <v>72</v>
      </c>
      <c r="K40" t="str">
        <f t="shared" si="14"/>
        <v>24764_1</v>
      </c>
      <c r="L40" t="str">
        <f t="shared" si="15"/>
        <v>1641-7654320-72</v>
      </c>
      <c r="M40" t="str">
        <f t="shared" si="16"/>
        <v>Mar</v>
      </c>
      <c r="N40" t="str">
        <f t="shared" si="17"/>
        <v>227994</v>
      </c>
      <c r="O40" t="str">
        <f t="shared" si="18"/>
        <v>Sydney</v>
      </c>
      <c r="P40" t="str">
        <f t="shared" si="19"/>
        <v>INV</v>
      </c>
      <c r="Q40" s="1">
        <f>VALUE(SUBSTITUTE(SUBSTITUTE(F40,"S","$"),CHAR(160),""))*IF(tbl_Supplier[[#This Row],[Type]]="CR",-1,1)</f>
        <v>819.06</v>
      </c>
      <c r="R40" s="12">
        <f t="shared" si="20"/>
        <v>43911</v>
      </c>
      <c r="S40" s="31">
        <f>DATE(2020,MONTH(tbl_Supplier[[#This Row],[Paid]]),RIGHT(C40,2))</f>
        <v>43933</v>
      </c>
      <c r="T40">
        <f>tbl_Supplier[[#This Row],[Paid Date]]-tbl_Supplier[[#This Row],[Invoice Date]]</f>
        <v>22</v>
      </c>
      <c r="U40" s="1">
        <f>tbl_Supplier[[#This Row],[$ Amount]]-VLOOKUP(tbl_Supplier[[#This Row],[Cust Ref]],tbl_MC[],10,FALSE)</f>
        <v>0</v>
      </c>
    </row>
    <row r="41" spans="1:21" x14ac:dyDescent="0.25">
      <c r="A41">
        <v>24767</v>
      </c>
      <c r="B41">
        <v>1</v>
      </c>
      <c r="C41" t="s">
        <v>290</v>
      </c>
      <c r="D41" t="s">
        <v>291</v>
      </c>
      <c r="E41" t="s">
        <v>13</v>
      </c>
      <c r="F41" t="s">
        <v>292</v>
      </c>
      <c r="G41" t="s">
        <v>293</v>
      </c>
      <c r="H41">
        <v>1641</v>
      </c>
      <c r="I41">
        <v>7654320</v>
      </c>
      <c r="J41">
        <v>72</v>
      </c>
      <c r="K41" t="str">
        <f t="shared" si="14"/>
        <v>24767_1</v>
      </c>
      <c r="L41" t="str">
        <f t="shared" si="15"/>
        <v>1641-7654320-72</v>
      </c>
      <c r="M41" t="str">
        <f t="shared" si="16"/>
        <v>Feb</v>
      </c>
      <c r="N41" t="str">
        <f t="shared" si="17"/>
        <v>222399</v>
      </c>
      <c r="O41" t="str">
        <f t="shared" si="18"/>
        <v>Sydney</v>
      </c>
      <c r="P41" t="str">
        <f t="shared" si="19"/>
        <v>INV</v>
      </c>
      <c r="Q41" s="1">
        <f>VALUE(SUBSTITUTE(SUBSTITUTE(F41,"S","$"),CHAR(160),""))*IF(tbl_Supplier[[#This Row],[Type]]="CR",-1,1)</f>
        <v>1019.04</v>
      </c>
      <c r="R41" s="12">
        <f t="shared" si="20"/>
        <v>43880</v>
      </c>
      <c r="S41" s="31">
        <f>DATE(2020,MONTH(tbl_Supplier[[#This Row],[Paid]]),RIGHT(C41,2))</f>
        <v>43924</v>
      </c>
      <c r="T41">
        <f>tbl_Supplier[[#This Row],[Paid Date]]-tbl_Supplier[[#This Row],[Invoice Date]]</f>
        <v>44</v>
      </c>
      <c r="U41" s="1">
        <f>tbl_Supplier[[#This Row],[$ Amount]]-VLOOKUP(tbl_Supplier[[#This Row],[Cust Ref]],tbl_MC[],10,FALSE)</f>
        <v>0</v>
      </c>
    </row>
    <row r="42" spans="1:21" x14ac:dyDescent="0.25">
      <c r="A42">
        <v>24771</v>
      </c>
      <c r="B42">
        <v>1</v>
      </c>
      <c r="C42" t="s">
        <v>211</v>
      </c>
      <c r="D42" t="s">
        <v>227</v>
      </c>
      <c r="E42" t="s">
        <v>13</v>
      </c>
      <c r="F42" t="s">
        <v>294</v>
      </c>
      <c r="G42" t="s">
        <v>295</v>
      </c>
      <c r="H42">
        <v>2554</v>
      </c>
      <c r="I42">
        <v>4551221</v>
      </c>
      <c r="J42">
        <v>33</v>
      </c>
      <c r="K42" t="str">
        <f t="shared" si="14"/>
        <v>24771_1</v>
      </c>
      <c r="L42" t="str">
        <f t="shared" si="15"/>
        <v>2554-4551221-33</v>
      </c>
      <c r="M42" t="str">
        <f t="shared" si="16"/>
        <v>Mar</v>
      </c>
      <c r="N42" t="str">
        <f t="shared" si="17"/>
        <v>316436</v>
      </c>
      <c r="O42" t="str">
        <f t="shared" si="18"/>
        <v>Melbourne</v>
      </c>
      <c r="P42" t="str">
        <f t="shared" si="19"/>
        <v>INV</v>
      </c>
      <c r="Q42" s="1">
        <f>VALUE(SUBSTITUTE(SUBSTITUTE(F42,"S","$"),CHAR(160),""))*IF(tbl_Supplier[[#This Row],[Type]]="CR",-1,1)</f>
        <v>736.23</v>
      </c>
      <c r="R42" s="12">
        <f t="shared" si="20"/>
        <v>43919</v>
      </c>
      <c r="S42" s="31">
        <f>DATE(2020,MONTH(tbl_Supplier[[#This Row],[Paid]]),RIGHT(C42,2))</f>
        <v>43935</v>
      </c>
      <c r="T42">
        <f>tbl_Supplier[[#This Row],[Paid Date]]-tbl_Supplier[[#This Row],[Invoice Date]]</f>
        <v>16</v>
      </c>
      <c r="U42" s="1">
        <f>tbl_Supplier[[#This Row],[$ Amount]]-VLOOKUP(tbl_Supplier[[#This Row],[Cust Ref]],tbl_MC[],10,FALSE)</f>
        <v>0</v>
      </c>
    </row>
    <row r="43" spans="1:21" x14ac:dyDescent="0.25">
      <c r="A43">
        <v>24775</v>
      </c>
      <c r="B43">
        <v>1</v>
      </c>
      <c r="C43" t="s">
        <v>271</v>
      </c>
      <c r="D43" t="s">
        <v>296</v>
      </c>
      <c r="E43" t="s">
        <v>15</v>
      </c>
      <c r="F43" t="s">
        <v>297</v>
      </c>
      <c r="G43" t="s">
        <v>298</v>
      </c>
      <c r="H43">
        <v>2554</v>
      </c>
      <c r="I43">
        <v>4551221</v>
      </c>
      <c r="J43">
        <v>33</v>
      </c>
      <c r="K43" t="str">
        <f t="shared" si="14"/>
        <v>24775_1</v>
      </c>
      <c r="L43" t="str">
        <f t="shared" si="15"/>
        <v>2554-4551221-33</v>
      </c>
      <c r="M43" t="str">
        <f t="shared" si="16"/>
        <v>Mar</v>
      </c>
      <c r="N43" t="str">
        <f t="shared" si="17"/>
        <v>312603</v>
      </c>
      <c r="O43" t="str">
        <f t="shared" si="18"/>
        <v>Melbourne</v>
      </c>
      <c r="P43" t="str">
        <f t="shared" si="19"/>
        <v>CR</v>
      </c>
      <c r="Q43" s="1">
        <f>VALUE(SUBSTITUTE(SUBSTITUTE(F43,"S","$"),CHAR(160),""))*IF(tbl_Supplier[[#This Row],[Type]]="CR",-1,1)</f>
        <v>-600.27</v>
      </c>
      <c r="R43" s="12">
        <f t="shared" si="20"/>
        <v>43895</v>
      </c>
      <c r="S43" s="31">
        <f>DATE(2020,MONTH(tbl_Supplier[[#This Row],[Paid]]),RIGHT(C43,2))</f>
        <v>43937</v>
      </c>
      <c r="T43">
        <f>tbl_Supplier[[#This Row],[Paid Date]]-tbl_Supplier[[#This Row],[Invoice Date]]</f>
        <v>42</v>
      </c>
      <c r="U43" s="1">
        <f>tbl_Supplier[[#This Row],[$ Amount]]-VLOOKUP(tbl_Supplier[[#This Row],[Cust Ref]],tbl_MC[],10,FALSE)</f>
        <v>0</v>
      </c>
    </row>
    <row r="44" spans="1:21" x14ac:dyDescent="0.25">
      <c r="A44">
        <v>24779</v>
      </c>
      <c r="B44">
        <v>1</v>
      </c>
      <c r="C44" t="s">
        <v>243</v>
      </c>
      <c r="D44" t="s">
        <v>204</v>
      </c>
      <c r="E44" t="s">
        <v>13</v>
      </c>
      <c r="F44" t="s">
        <v>299</v>
      </c>
      <c r="G44" t="s">
        <v>300</v>
      </c>
      <c r="H44">
        <v>2554</v>
      </c>
      <c r="I44">
        <v>4551221</v>
      </c>
      <c r="J44">
        <v>33</v>
      </c>
      <c r="K44" t="str">
        <f t="shared" si="14"/>
        <v>24779_1</v>
      </c>
      <c r="L44" t="str">
        <f t="shared" si="15"/>
        <v>2554-4551221-33</v>
      </c>
      <c r="M44" t="str">
        <f t="shared" si="16"/>
        <v>Mar</v>
      </c>
      <c r="N44" t="str">
        <f t="shared" si="17"/>
        <v>339907</v>
      </c>
      <c r="O44" t="str">
        <f t="shared" si="18"/>
        <v>Melbourne</v>
      </c>
      <c r="P44" t="str">
        <f t="shared" si="19"/>
        <v>INV</v>
      </c>
      <c r="Q44" s="1">
        <f>VALUE(SUBSTITUTE(SUBSTITUTE(F44,"S","$"),CHAR(160),""))*IF(tbl_Supplier[[#This Row],[Type]]="CR",-1,1)</f>
        <v>480.81</v>
      </c>
      <c r="R44" s="12">
        <f t="shared" si="20"/>
        <v>43907</v>
      </c>
      <c r="S44" s="31">
        <f>DATE(2020,MONTH(tbl_Supplier[[#This Row],[Paid]]),RIGHT(C44,2))</f>
        <v>43929</v>
      </c>
      <c r="T44">
        <f>tbl_Supplier[[#This Row],[Paid Date]]-tbl_Supplier[[#This Row],[Invoice Date]]</f>
        <v>22</v>
      </c>
      <c r="U44" s="1">
        <f>tbl_Supplier[[#This Row],[$ Amount]]-VLOOKUP(tbl_Supplier[[#This Row],[Cust Ref]],tbl_MC[],10,FALSE)</f>
        <v>0</v>
      </c>
    </row>
    <row r="45" spans="1:21" x14ac:dyDescent="0.25">
      <c r="A45">
        <v>24784</v>
      </c>
      <c r="B45">
        <v>1</v>
      </c>
      <c r="C45" t="s">
        <v>214</v>
      </c>
      <c r="D45" t="s">
        <v>301</v>
      </c>
      <c r="E45" t="s">
        <v>13</v>
      </c>
      <c r="F45" t="s">
        <v>302</v>
      </c>
      <c r="G45" t="s">
        <v>303</v>
      </c>
      <c r="H45">
        <v>1641</v>
      </c>
      <c r="I45">
        <v>7654320</v>
      </c>
      <c r="J45">
        <v>72</v>
      </c>
      <c r="K45" t="str">
        <f t="shared" si="14"/>
        <v>24784_1</v>
      </c>
      <c r="L45" t="str">
        <f t="shared" si="15"/>
        <v>1641-7654320-72</v>
      </c>
      <c r="M45" t="str">
        <f t="shared" si="16"/>
        <v>Mar</v>
      </c>
      <c r="N45" t="str">
        <f t="shared" si="17"/>
        <v>218463</v>
      </c>
      <c r="O45" t="str">
        <f t="shared" si="18"/>
        <v>Sydney</v>
      </c>
      <c r="P45" t="str">
        <f t="shared" si="19"/>
        <v>INV</v>
      </c>
      <c r="Q45" s="1">
        <f>VALUE(SUBSTITUTE(SUBSTITUTE(F45,"S","$"),CHAR(160),""))*IF(tbl_Supplier[[#This Row],[Type]]="CR",-1,1)</f>
        <v>253.77</v>
      </c>
      <c r="R45" s="12">
        <f t="shared" si="20"/>
        <v>43908</v>
      </c>
      <c r="S45" s="31">
        <f>DATE(2020,MONTH(tbl_Supplier[[#This Row],[Paid]]),RIGHT(C45,2))</f>
        <v>43948</v>
      </c>
      <c r="T45">
        <f>tbl_Supplier[[#This Row],[Paid Date]]-tbl_Supplier[[#This Row],[Invoice Date]]</f>
        <v>40</v>
      </c>
      <c r="U45" s="1">
        <f>tbl_Supplier[[#This Row],[$ Amount]]-VLOOKUP(tbl_Supplier[[#This Row],[Cust Ref]],tbl_MC[],10,FALSE)</f>
        <v>0</v>
      </c>
    </row>
    <row r="46" spans="1:21" x14ac:dyDescent="0.25">
      <c r="A46">
        <v>24788</v>
      </c>
      <c r="B46">
        <v>1</v>
      </c>
      <c r="C46" t="s">
        <v>229</v>
      </c>
      <c r="D46" t="s">
        <v>199</v>
      </c>
      <c r="E46" t="s">
        <v>13</v>
      </c>
      <c r="F46" t="s">
        <v>304</v>
      </c>
      <c r="G46" t="s">
        <v>282</v>
      </c>
      <c r="H46">
        <v>2554</v>
      </c>
      <c r="I46">
        <v>4551221</v>
      </c>
      <c r="J46">
        <v>33</v>
      </c>
      <c r="K46" t="str">
        <f t="shared" si="14"/>
        <v>24788_1</v>
      </c>
      <c r="L46" t="str">
        <f t="shared" si="15"/>
        <v>2554-4551221-33</v>
      </c>
      <c r="M46" t="str">
        <f t="shared" si="16"/>
        <v>Mar</v>
      </c>
      <c r="N46" t="str">
        <f t="shared" si="17"/>
        <v>336345</v>
      </c>
      <c r="O46" t="str">
        <f t="shared" si="18"/>
        <v>Melbourne</v>
      </c>
      <c r="P46" t="str">
        <f t="shared" si="19"/>
        <v>INV</v>
      </c>
      <c r="Q46" s="1">
        <f>VALUE(SUBSTITUTE(SUBSTITUTE(F46,"S","$"),CHAR(160),""))*IF(tbl_Supplier[[#This Row],[Type]]="CR",-1,1)</f>
        <v>442.86</v>
      </c>
      <c r="R46" s="12">
        <f t="shared" si="20"/>
        <v>43906</v>
      </c>
      <c r="S46" s="31">
        <f>DATE(2020,MONTH(tbl_Supplier[[#This Row],[Paid]]),RIGHT(C46,2))</f>
        <v>43949</v>
      </c>
      <c r="T46">
        <f>tbl_Supplier[[#This Row],[Paid Date]]-tbl_Supplier[[#This Row],[Invoice Date]]</f>
        <v>43</v>
      </c>
      <c r="U46" s="1">
        <f>tbl_Supplier[[#This Row],[$ Amount]]-VLOOKUP(tbl_Supplier[[#This Row],[Cust Ref]],tbl_MC[],10,FALSE)</f>
        <v>0</v>
      </c>
    </row>
    <row r="47" spans="1:21" x14ac:dyDescent="0.25">
      <c r="A47">
        <v>24792</v>
      </c>
      <c r="B47">
        <v>1</v>
      </c>
      <c r="C47" t="s">
        <v>290</v>
      </c>
      <c r="D47" t="s">
        <v>305</v>
      </c>
      <c r="E47" t="s">
        <v>13</v>
      </c>
      <c r="F47" t="s">
        <v>306</v>
      </c>
      <c r="G47" t="s">
        <v>307</v>
      </c>
      <c r="H47">
        <v>1641</v>
      </c>
      <c r="I47">
        <v>7654320</v>
      </c>
      <c r="J47">
        <v>72</v>
      </c>
      <c r="K47" t="str">
        <f t="shared" si="14"/>
        <v>24792_1</v>
      </c>
      <c r="L47" t="str">
        <f t="shared" si="15"/>
        <v>1641-7654320-72</v>
      </c>
      <c r="M47" t="str">
        <f t="shared" si="16"/>
        <v>Mar</v>
      </c>
      <c r="N47" t="str">
        <f t="shared" si="17"/>
        <v>227664</v>
      </c>
      <c r="O47" t="str">
        <f t="shared" si="18"/>
        <v>Sydney</v>
      </c>
      <c r="P47" t="str">
        <f t="shared" si="19"/>
        <v>INV</v>
      </c>
      <c r="Q47" s="1">
        <f>VALUE(SUBSTITUTE(SUBSTITUTE(F47,"S","$"),CHAR(160),""))*IF(tbl_Supplier[[#This Row],[Type]]="CR",-1,1)</f>
        <v>630.96</v>
      </c>
      <c r="R47" s="12">
        <f t="shared" si="20"/>
        <v>43901</v>
      </c>
      <c r="S47" s="31">
        <f>DATE(2020,MONTH(tbl_Supplier[[#This Row],[Paid]]),RIGHT(C47,2))</f>
        <v>43924</v>
      </c>
      <c r="T47">
        <f>tbl_Supplier[[#This Row],[Paid Date]]-tbl_Supplier[[#This Row],[Invoice Date]]</f>
        <v>23</v>
      </c>
      <c r="U47" s="1">
        <f>tbl_Supplier[[#This Row],[$ Amount]]-VLOOKUP(tbl_Supplier[[#This Row],[Cust Ref]],tbl_MC[],10,FALSE)</f>
        <v>0</v>
      </c>
    </row>
    <row r="48" spans="1:21" x14ac:dyDescent="0.25">
      <c r="A48">
        <v>24793</v>
      </c>
      <c r="B48">
        <v>1</v>
      </c>
      <c r="C48" t="s">
        <v>221</v>
      </c>
      <c r="D48" t="s">
        <v>296</v>
      </c>
      <c r="E48" t="s">
        <v>13</v>
      </c>
      <c r="F48" t="s">
        <v>308</v>
      </c>
      <c r="G48" t="s">
        <v>309</v>
      </c>
      <c r="H48">
        <v>2554</v>
      </c>
      <c r="I48">
        <v>4551221</v>
      </c>
      <c r="J48">
        <v>33</v>
      </c>
      <c r="K48" t="str">
        <f t="shared" si="14"/>
        <v>24793_1</v>
      </c>
      <c r="L48" t="str">
        <f t="shared" si="15"/>
        <v>2554-4551221-33</v>
      </c>
      <c r="M48" t="str">
        <f t="shared" si="16"/>
        <v>Mar</v>
      </c>
      <c r="N48" t="str">
        <f t="shared" si="17"/>
        <v>331460</v>
      </c>
      <c r="O48" t="str">
        <f t="shared" si="18"/>
        <v>Melbourne</v>
      </c>
      <c r="P48" t="str">
        <f t="shared" si="19"/>
        <v>INV</v>
      </c>
      <c r="Q48" s="1">
        <f>VALUE(SUBSTITUTE(SUBSTITUTE(F48,"S","$"),CHAR(160),""))*IF(tbl_Supplier[[#This Row],[Type]]="CR",-1,1)</f>
        <v>821.37</v>
      </c>
      <c r="R48" s="12">
        <f t="shared" si="20"/>
        <v>43895</v>
      </c>
      <c r="S48" s="31">
        <f>DATE(2020,MONTH(tbl_Supplier[[#This Row],[Paid]]),RIGHT(C48,2))</f>
        <v>43925</v>
      </c>
      <c r="T48">
        <f>tbl_Supplier[[#This Row],[Paid Date]]-tbl_Supplier[[#This Row],[Invoice Date]]</f>
        <v>30</v>
      </c>
      <c r="U48" s="1">
        <f>tbl_Supplier[[#This Row],[$ Amount]]-VLOOKUP(tbl_Supplier[[#This Row],[Cust Ref]],tbl_MC[],10,FALSE)</f>
        <v>0</v>
      </c>
    </row>
    <row r="49" spans="1:21" x14ac:dyDescent="0.25">
      <c r="A49">
        <v>24795</v>
      </c>
      <c r="B49">
        <v>1</v>
      </c>
      <c r="C49" t="s">
        <v>235</v>
      </c>
      <c r="D49" t="s">
        <v>246</v>
      </c>
      <c r="E49" t="s">
        <v>13</v>
      </c>
      <c r="F49" t="s">
        <v>310</v>
      </c>
      <c r="G49" t="s">
        <v>311</v>
      </c>
      <c r="H49">
        <v>2554</v>
      </c>
      <c r="I49">
        <v>4551221</v>
      </c>
      <c r="J49">
        <v>33</v>
      </c>
      <c r="K49" t="str">
        <f t="shared" si="14"/>
        <v>24795_1</v>
      </c>
      <c r="L49" t="str">
        <f t="shared" si="15"/>
        <v>2554-4551221-33</v>
      </c>
      <c r="M49" t="str">
        <f t="shared" si="16"/>
        <v>Feb</v>
      </c>
      <c r="N49" t="str">
        <f t="shared" si="17"/>
        <v>327740</v>
      </c>
      <c r="O49" t="str">
        <f t="shared" si="18"/>
        <v>Melbourne</v>
      </c>
      <c r="P49" t="str">
        <f t="shared" si="19"/>
        <v>INV</v>
      </c>
      <c r="Q49" s="1">
        <f>VALUE(SUBSTITUTE(SUBSTITUTE(F49,"S","$"),CHAR(160),""))*IF(tbl_Supplier[[#This Row],[Type]]="CR",-1,1)</f>
        <v>950.73</v>
      </c>
      <c r="R49" s="12">
        <f t="shared" si="20"/>
        <v>43888</v>
      </c>
      <c r="S49" s="31">
        <f>DATE(2020,MONTH(tbl_Supplier[[#This Row],[Paid]]),RIGHT(C49,2))</f>
        <v>43928</v>
      </c>
      <c r="T49">
        <f>tbl_Supplier[[#This Row],[Paid Date]]-tbl_Supplier[[#This Row],[Invoice Date]]</f>
        <v>40</v>
      </c>
      <c r="U49" s="1">
        <f>tbl_Supplier[[#This Row],[$ Amount]]-VLOOKUP(tbl_Supplier[[#This Row],[Cust Ref]],tbl_MC[],10,FALSE)</f>
        <v>0</v>
      </c>
    </row>
    <row r="50" spans="1:21" x14ac:dyDescent="0.25">
      <c r="A50">
        <v>24798</v>
      </c>
      <c r="B50">
        <v>1</v>
      </c>
      <c r="C50" t="s">
        <v>203</v>
      </c>
      <c r="D50" t="s">
        <v>312</v>
      </c>
      <c r="E50" t="s">
        <v>13</v>
      </c>
      <c r="F50" t="s">
        <v>313</v>
      </c>
      <c r="G50" t="s">
        <v>314</v>
      </c>
      <c r="H50">
        <v>1641</v>
      </c>
      <c r="I50">
        <v>7654320</v>
      </c>
      <c r="J50">
        <v>72</v>
      </c>
      <c r="K50" t="str">
        <f t="shared" si="14"/>
        <v>24798_1</v>
      </c>
      <c r="L50" t="str">
        <f t="shared" si="15"/>
        <v>1641-7654320-72</v>
      </c>
      <c r="M50" t="str">
        <f t="shared" si="16"/>
        <v>Mar</v>
      </c>
      <c r="N50" t="str">
        <f t="shared" si="17"/>
        <v>221183</v>
      </c>
      <c r="O50" t="str">
        <f t="shared" si="18"/>
        <v>Sydney</v>
      </c>
      <c r="P50" t="str">
        <f t="shared" si="19"/>
        <v>INV</v>
      </c>
      <c r="Q50" s="1">
        <f>VALUE(SUBSTITUTE(SUBSTITUTE(F50,"S","$"),CHAR(160),""))*IF(tbl_Supplier[[#This Row],[Type]]="CR",-1,1)</f>
        <v>956.34</v>
      </c>
      <c r="R50" s="12">
        <f t="shared" si="20"/>
        <v>43921</v>
      </c>
      <c r="S50" s="31">
        <f>DATE(2020,MONTH(tbl_Supplier[[#This Row],[Paid]]),RIGHT(C50,2))</f>
        <v>43931</v>
      </c>
      <c r="T50">
        <f>tbl_Supplier[[#This Row],[Paid Date]]-tbl_Supplier[[#This Row],[Invoice Date]]</f>
        <v>10</v>
      </c>
      <c r="U50" s="1">
        <f>tbl_Supplier[[#This Row],[$ Amount]]-VLOOKUP(tbl_Supplier[[#This Row],[Cust Ref]],tbl_MC[],10,FALSE)</f>
        <v>0</v>
      </c>
    </row>
    <row r="51" spans="1:21" x14ac:dyDescent="0.25">
      <c r="A51">
        <v>24801</v>
      </c>
      <c r="B51">
        <v>1</v>
      </c>
      <c r="C51" t="s">
        <v>287</v>
      </c>
      <c r="D51" t="s">
        <v>212</v>
      </c>
      <c r="E51" t="s">
        <v>13</v>
      </c>
      <c r="F51" t="s">
        <v>315</v>
      </c>
      <c r="G51" t="s">
        <v>316</v>
      </c>
      <c r="H51">
        <v>1641</v>
      </c>
      <c r="I51">
        <v>7654320</v>
      </c>
      <c r="J51">
        <v>72</v>
      </c>
      <c r="K51" t="str">
        <f t="shared" si="14"/>
        <v>24801_1</v>
      </c>
      <c r="L51" t="str">
        <f t="shared" si="15"/>
        <v>1641-7654320-72</v>
      </c>
      <c r="M51" t="str">
        <f t="shared" si="16"/>
        <v>Mar</v>
      </c>
      <c r="N51" t="str">
        <f t="shared" si="17"/>
        <v>214234</v>
      </c>
      <c r="O51" t="str">
        <f t="shared" si="18"/>
        <v>Sydney</v>
      </c>
      <c r="P51" t="str">
        <f t="shared" si="19"/>
        <v>INV</v>
      </c>
      <c r="Q51" s="1">
        <f>VALUE(SUBSTITUTE(SUBSTITUTE(F51,"S","$"),CHAR(160),""))*IF(tbl_Supplier[[#This Row],[Type]]="CR",-1,1)</f>
        <v>1094.28</v>
      </c>
      <c r="R51" s="12">
        <f t="shared" si="20"/>
        <v>43917</v>
      </c>
      <c r="S51" s="31">
        <f>DATE(2020,MONTH(tbl_Supplier[[#This Row],[Paid]]),RIGHT(C51,2))</f>
        <v>43933</v>
      </c>
      <c r="T51">
        <f>tbl_Supplier[[#This Row],[Paid Date]]-tbl_Supplier[[#This Row],[Invoice Date]]</f>
        <v>16</v>
      </c>
      <c r="U51" s="1">
        <f>tbl_Supplier[[#This Row],[$ Amount]]-VLOOKUP(tbl_Supplier[[#This Row],[Cust Ref]],tbl_MC[],10,FALSE)</f>
        <v>0</v>
      </c>
    </row>
    <row r="52" spans="1:21" x14ac:dyDescent="0.25">
      <c r="A52">
        <v>24803</v>
      </c>
      <c r="B52">
        <v>1</v>
      </c>
      <c r="C52" t="s">
        <v>23</v>
      </c>
      <c r="D52" t="s">
        <v>301</v>
      </c>
      <c r="E52" t="s">
        <v>13</v>
      </c>
      <c r="F52" t="s">
        <v>317</v>
      </c>
      <c r="G52" t="s">
        <v>318</v>
      </c>
      <c r="H52">
        <v>2554</v>
      </c>
      <c r="I52">
        <v>4551221</v>
      </c>
      <c r="J52">
        <v>33</v>
      </c>
      <c r="K52" t="str">
        <f t="shared" si="14"/>
        <v>24803_1</v>
      </c>
      <c r="L52" t="str">
        <f t="shared" si="15"/>
        <v>2554-4551221-33</v>
      </c>
      <c r="M52" t="str">
        <f t="shared" si="16"/>
        <v>Mar</v>
      </c>
      <c r="N52" t="str">
        <f t="shared" si="17"/>
        <v>321456</v>
      </c>
      <c r="O52" t="str">
        <f t="shared" si="18"/>
        <v>Melbourne</v>
      </c>
      <c r="P52" t="str">
        <f t="shared" si="19"/>
        <v>INV</v>
      </c>
      <c r="Q52" s="1">
        <f>VALUE(SUBSTITUTE(SUBSTITUTE(F52,"S","$"),CHAR(160),""))*IF(tbl_Supplier[[#This Row],[Type]]="CR",-1,1)</f>
        <v>628.98</v>
      </c>
      <c r="R52" s="12">
        <f t="shared" si="20"/>
        <v>43908</v>
      </c>
      <c r="S52" s="31">
        <f>DATE(2020,MONTH(tbl_Supplier[[#This Row],[Paid]]),RIGHT(C52,2))</f>
        <v>43926</v>
      </c>
      <c r="T52">
        <f>tbl_Supplier[[#This Row],[Paid Date]]-tbl_Supplier[[#This Row],[Invoice Date]]</f>
        <v>18</v>
      </c>
      <c r="U52" s="1">
        <f>tbl_Supplier[[#This Row],[$ Amount]]-VLOOKUP(tbl_Supplier[[#This Row],[Cust Ref]],tbl_MC[],10,FALSE)</f>
        <v>0</v>
      </c>
    </row>
    <row r="53" spans="1:21" x14ac:dyDescent="0.25">
      <c r="A53">
        <v>24808</v>
      </c>
      <c r="B53">
        <v>1</v>
      </c>
      <c r="C53" t="s">
        <v>196</v>
      </c>
      <c r="D53" t="s">
        <v>243</v>
      </c>
      <c r="E53" t="s">
        <v>13</v>
      </c>
      <c r="F53" t="s">
        <v>319</v>
      </c>
      <c r="G53" t="s">
        <v>320</v>
      </c>
      <c r="H53">
        <v>1641</v>
      </c>
      <c r="I53">
        <v>7654320</v>
      </c>
      <c r="J53">
        <v>72</v>
      </c>
      <c r="K53" t="str">
        <f t="shared" si="14"/>
        <v>24808_1</v>
      </c>
      <c r="L53" t="str">
        <f t="shared" si="15"/>
        <v>1641-7654320-72</v>
      </c>
      <c r="M53" t="str">
        <f t="shared" si="16"/>
        <v>Apr</v>
      </c>
      <c r="N53" t="str">
        <f t="shared" si="17"/>
        <v>233209</v>
      </c>
      <c r="O53" t="str">
        <f t="shared" si="18"/>
        <v>Sydney</v>
      </c>
      <c r="P53" t="str">
        <f t="shared" si="19"/>
        <v>INV</v>
      </c>
      <c r="Q53" s="1">
        <f>VALUE(SUBSTITUTE(SUBSTITUTE(F53,"S","$"),CHAR(160),""))*IF(tbl_Supplier[[#This Row],[Type]]="CR",-1,1)</f>
        <v>1058.31</v>
      </c>
      <c r="R53" s="12">
        <f t="shared" si="20"/>
        <v>43929</v>
      </c>
      <c r="S53" s="31">
        <f>DATE(2020,MONTH(tbl_Supplier[[#This Row],[Paid]]),RIGHT(C53,2))</f>
        <v>43941</v>
      </c>
      <c r="T53">
        <f>tbl_Supplier[[#This Row],[Paid Date]]-tbl_Supplier[[#This Row],[Invoice Date]]</f>
        <v>12</v>
      </c>
      <c r="U53" s="1">
        <f>tbl_Supplier[[#This Row],[$ Amount]]-VLOOKUP(tbl_Supplier[[#This Row],[Cust Ref]],tbl_MC[],10,FALSE)</f>
        <v>0</v>
      </c>
    </row>
    <row r="54" spans="1:21" x14ac:dyDescent="0.25">
      <c r="A54">
        <v>24813</v>
      </c>
      <c r="B54">
        <v>1</v>
      </c>
      <c r="C54" t="s">
        <v>243</v>
      </c>
      <c r="D54" t="s">
        <v>312</v>
      </c>
      <c r="E54" t="s">
        <v>13</v>
      </c>
      <c r="F54" t="s">
        <v>321</v>
      </c>
      <c r="G54" t="s">
        <v>322</v>
      </c>
      <c r="H54">
        <v>1641</v>
      </c>
      <c r="I54">
        <v>7654320</v>
      </c>
      <c r="J54">
        <v>72</v>
      </c>
      <c r="K54" t="str">
        <f t="shared" si="14"/>
        <v>24813_1</v>
      </c>
      <c r="L54" t="str">
        <f t="shared" si="15"/>
        <v>1641-7654320-72</v>
      </c>
      <c r="M54" t="str">
        <f t="shared" si="16"/>
        <v>Mar</v>
      </c>
      <c r="N54" t="str">
        <f t="shared" si="17"/>
        <v>222998</v>
      </c>
      <c r="O54" t="str">
        <f t="shared" si="18"/>
        <v>Sydney</v>
      </c>
      <c r="P54" t="str">
        <f t="shared" si="19"/>
        <v>INV</v>
      </c>
      <c r="Q54" s="1">
        <f>VALUE(SUBSTITUTE(SUBSTITUTE(F54,"S","$"),CHAR(160),""))*IF(tbl_Supplier[[#This Row],[Type]]="CR",-1,1)</f>
        <v>705.54</v>
      </c>
      <c r="R54" s="12">
        <f t="shared" si="20"/>
        <v>43921</v>
      </c>
      <c r="S54" s="31">
        <f>DATE(2020,MONTH(tbl_Supplier[[#This Row],[Paid]]),RIGHT(C54,2))</f>
        <v>43929</v>
      </c>
      <c r="T54">
        <f>tbl_Supplier[[#This Row],[Paid Date]]-tbl_Supplier[[#This Row],[Invoice Date]]</f>
        <v>8</v>
      </c>
      <c r="U54" s="1">
        <f>tbl_Supplier[[#This Row],[$ Amount]]-VLOOKUP(tbl_Supplier[[#This Row],[Cust Ref]],tbl_MC[],10,FALSE)</f>
        <v>0</v>
      </c>
    </row>
    <row r="55" spans="1:21" x14ac:dyDescent="0.25">
      <c r="A55">
        <v>24815</v>
      </c>
      <c r="B55">
        <v>1</v>
      </c>
      <c r="C55" t="s">
        <v>214</v>
      </c>
      <c r="D55" t="s">
        <v>211</v>
      </c>
      <c r="E55" t="s">
        <v>13</v>
      </c>
      <c r="F55" t="s">
        <v>323</v>
      </c>
      <c r="G55" t="s">
        <v>324</v>
      </c>
      <c r="H55">
        <v>1641</v>
      </c>
      <c r="I55">
        <v>7654320</v>
      </c>
      <c r="J55">
        <v>72</v>
      </c>
      <c r="K55" t="str">
        <f t="shared" si="14"/>
        <v>24815_1</v>
      </c>
      <c r="L55" t="str">
        <f t="shared" si="15"/>
        <v>1641-7654320-72</v>
      </c>
      <c r="M55" t="str">
        <f t="shared" si="16"/>
        <v>Apr</v>
      </c>
      <c r="N55" t="str">
        <f t="shared" si="17"/>
        <v>228246</v>
      </c>
      <c r="O55" t="str">
        <f t="shared" si="18"/>
        <v>Sydney</v>
      </c>
      <c r="P55" t="str">
        <f t="shared" si="19"/>
        <v>INV</v>
      </c>
      <c r="Q55" s="1">
        <f>VALUE(SUBSTITUTE(SUBSTITUTE(F55,"S","$"),CHAR(160),""))*IF(tbl_Supplier[[#This Row],[Type]]="CR",-1,1)</f>
        <v>138.6</v>
      </c>
      <c r="R55" s="12">
        <f t="shared" si="20"/>
        <v>43935</v>
      </c>
      <c r="S55" s="31">
        <f>DATE(2020,MONTH(tbl_Supplier[[#This Row],[Paid]]),RIGHT(C55,2))</f>
        <v>43948</v>
      </c>
      <c r="T55">
        <f>tbl_Supplier[[#This Row],[Paid Date]]-tbl_Supplier[[#This Row],[Invoice Date]]</f>
        <v>13</v>
      </c>
      <c r="U55" s="1">
        <f>tbl_Supplier[[#This Row],[$ Amount]]-VLOOKUP(tbl_Supplier[[#This Row],[Cust Ref]],tbl_MC[],10,FALSE)</f>
        <v>0</v>
      </c>
    </row>
    <row r="56" spans="1:21" x14ac:dyDescent="0.25">
      <c r="A56">
        <v>24819</v>
      </c>
      <c r="B56">
        <v>1</v>
      </c>
      <c r="C56" t="s">
        <v>235</v>
      </c>
      <c r="D56" t="s">
        <v>325</v>
      </c>
      <c r="E56" t="s">
        <v>13</v>
      </c>
      <c r="F56" t="s">
        <v>326</v>
      </c>
      <c r="G56" t="s">
        <v>327</v>
      </c>
      <c r="H56">
        <v>2554</v>
      </c>
      <c r="I56">
        <v>4551221</v>
      </c>
      <c r="J56">
        <v>33</v>
      </c>
      <c r="K56" t="str">
        <f t="shared" si="14"/>
        <v>24819_1</v>
      </c>
      <c r="L56" t="str">
        <f t="shared" si="15"/>
        <v>2554-4551221-33</v>
      </c>
      <c r="M56" t="str">
        <f t="shared" si="16"/>
        <v>Mar</v>
      </c>
      <c r="N56" t="str">
        <f t="shared" si="17"/>
        <v>314876</v>
      </c>
      <c r="O56" t="str">
        <f t="shared" si="18"/>
        <v>Melbourne</v>
      </c>
      <c r="P56" t="str">
        <f t="shared" si="19"/>
        <v>INV</v>
      </c>
      <c r="Q56" s="1">
        <f>VALUE(SUBSTITUTE(SUBSTITUTE(F56,"S","$"),CHAR(160),""))*IF(tbl_Supplier[[#This Row],[Type]]="CR",-1,1)</f>
        <v>417.12</v>
      </c>
      <c r="R56" s="12">
        <f t="shared" si="20"/>
        <v>43914</v>
      </c>
      <c r="S56" s="31">
        <f>DATE(2020,MONTH(tbl_Supplier[[#This Row],[Paid]]),RIGHT(C56,2))</f>
        <v>43928</v>
      </c>
      <c r="T56">
        <f>tbl_Supplier[[#This Row],[Paid Date]]-tbl_Supplier[[#This Row],[Invoice Date]]</f>
        <v>14</v>
      </c>
      <c r="U56" s="1">
        <f>tbl_Supplier[[#This Row],[$ Amount]]-VLOOKUP(tbl_Supplier[[#This Row],[Cust Ref]],tbl_MC[],10,FALSE)</f>
        <v>0</v>
      </c>
    </row>
    <row r="57" spans="1:21" x14ac:dyDescent="0.25">
      <c r="A57">
        <v>24822</v>
      </c>
      <c r="B57">
        <v>1</v>
      </c>
      <c r="C57" t="s">
        <v>328</v>
      </c>
      <c r="D57" t="s">
        <v>209</v>
      </c>
      <c r="E57" t="s">
        <v>13</v>
      </c>
      <c r="F57" t="s">
        <v>329</v>
      </c>
      <c r="G57" t="s">
        <v>330</v>
      </c>
      <c r="H57">
        <v>1641</v>
      </c>
      <c r="I57">
        <v>7654320</v>
      </c>
      <c r="J57">
        <v>72</v>
      </c>
      <c r="K57" t="str">
        <f t="shared" si="14"/>
        <v>24822_1</v>
      </c>
      <c r="L57" t="str">
        <f t="shared" si="15"/>
        <v>1641-7654320-72</v>
      </c>
      <c r="M57" t="str">
        <f t="shared" si="16"/>
        <v>Mar</v>
      </c>
      <c r="N57" t="str">
        <f t="shared" si="17"/>
        <v>223602</v>
      </c>
      <c r="O57" t="str">
        <f t="shared" si="18"/>
        <v>Sydney</v>
      </c>
      <c r="P57" t="str">
        <f t="shared" si="19"/>
        <v>INV</v>
      </c>
      <c r="Q57" s="1">
        <f>VALUE(SUBSTITUTE(SUBSTITUTE(F57,"S","$"),CHAR(160),""))*IF(tbl_Supplier[[#This Row],[Type]]="CR",-1,1)</f>
        <v>422.73</v>
      </c>
      <c r="R57" s="12">
        <f t="shared" si="20"/>
        <v>43913</v>
      </c>
      <c r="S57" s="31">
        <f>DATE(2020,MONTH(tbl_Supplier[[#This Row],[Paid]]),RIGHT(C57,2))</f>
        <v>43939</v>
      </c>
      <c r="T57">
        <f>tbl_Supplier[[#This Row],[Paid Date]]-tbl_Supplier[[#This Row],[Invoice Date]]</f>
        <v>26</v>
      </c>
      <c r="U57" s="1">
        <f>tbl_Supplier[[#This Row],[$ Amount]]-VLOOKUP(tbl_Supplier[[#This Row],[Cust Ref]],tbl_MC[],10,FALSE)</f>
        <v>0</v>
      </c>
    </row>
    <row r="58" spans="1:21" x14ac:dyDescent="0.25">
      <c r="A58">
        <v>24824</v>
      </c>
      <c r="B58">
        <v>1</v>
      </c>
      <c r="C58" t="s">
        <v>211</v>
      </c>
      <c r="D58" t="s">
        <v>301</v>
      </c>
      <c r="E58" t="s">
        <v>13</v>
      </c>
      <c r="F58" t="s">
        <v>331</v>
      </c>
      <c r="G58" t="s">
        <v>332</v>
      </c>
      <c r="H58">
        <v>2554</v>
      </c>
      <c r="I58">
        <v>4551221</v>
      </c>
      <c r="J58">
        <v>33</v>
      </c>
      <c r="K58" t="str">
        <f t="shared" si="14"/>
        <v>24824_1</v>
      </c>
      <c r="L58" t="str">
        <f t="shared" si="15"/>
        <v>2554-4551221-33</v>
      </c>
      <c r="M58" t="str">
        <f t="shared" si="16"/>
        <v>Mar</v>
      </c>
      <c r="N58" t="str">
        <f t="shared" si="17"/>
        <v>319833</v>
      </c>
      <c r="O58" t="str">
        <f t="shared" si="18"/>
        <v>Melbourne</v>
      </c>
      <c r="P58" t="str">
        <f t="shared" si="19"/>
        <v>INV</v>
      </c>
      <c r="Q58" s="1">
        <f>VALUE(SUBSTITUTE(SUBSTITUTE(F58,"S","$"),CHAR(160),""))*IF(tbl_Supplier[[#This Row],[Type]]="CR",-1,1)</f>
        <v>1061.94</v>
      </c>
      <c r="R58" s="12">
        <f t="shared" si="20"/>
        <v>43908</v>
      </c>
      <c r="S58" s="31">
        <f>DATE(2020,MONTH(tbl_Supplier[[#This Row],[Paid]]),RIGHT(C58,2))</f>
        <v>43935</v>
      </c>
      <c r="T58">
        <f>tbl_Supplier[[#This Row],[Paid Date]]-tbl_Supplier[[#This Row],[Invoice Date]]</f>
        <v>27</v>
      </c>
      <c r="U58" s="1">
        <f>tbl_Supplier[[#This Row],[$ Amount]]-VLOOKUP(tbl_Supplier[[#This Row],[Cust Ref]],tbl_MC[],10,FALSE)</f>
        <v>0</v>
      </c>
    </row>
    <row r="59" spans="1:21" x14ac:dyDescent="0.25">
      <c r="A59">
        <v>24825</v>
      </c>
      <c r="B59">
        <v>1</v>
      </c>
      <c r="C59" t="s">
        <v>223</v>
      </c>
      <c r="D59" t="s">
        <v>215</v>
      </c>
      <c r="E59" t="s">
        <v>13</v>
      </c>
      <c r="F59" t="s">
        <v>333</v>
      </c>
      <c r="G59" t="s">
        <v>334</v>
      </c>
      <c r="H59">
        <v>2554</v>
      </c>
      <c r="I59">
        <v>4551221</v>
      </c>
      <c r="J59">
        <v>33</v>
      </c>
      <c r="K59" t="str">
        <f t="shared" si="14"/>
        <v>24825_1</v>
      </c>
      <c r="L59" t="str">
        <f t="shared" si="15"/>
        <v>2554-4551221-33</v>
      </c>
      <c r="M59" t="str">
        <f t="shared" si="16"/>
        <v>Mar</v>
      </c>
      <c r="N59" t="str">
        <f t="shared" si="17"/>
        <v>310345</v>
      </c>
      <c r="O59" t="str">
        <f t="shared" si="18"/>
        <v>Melbourne</v>
      </c>
      <c r="P59" t="str">
        <f t="shared" si="19"/>
        <v>INV</v>
      </c>
      <c r="Q59" s="1">
        <f>VALUE(SUBSTITUTE(SUBSTITUTE(F59,"S","$"),CHAR(160),""))*IF(tbl_Supplier[[#This Row],[Type]]="CR",-1,1)</f>
        <v>602.58000000000004</v>
      </c>
      <c r="R59" s="12">
        <f t="shared" si="20"/>
        <v>43912</v>
      </c>
      <c r="S59" s="31">
        <f>DATE(2020,MONTH(tbl_Supplier[[#This Row],[Paid]]),RIGHT(C59,2))</f>
        <v>43927</v>
      </c>
      <c r="T59">
        <f>tbl_Supplier[[#This Row],[Paid Date]]-tbl_Supplier[[#This Row],[Invoice Date]]</f>
        <v>15</v>
      </c>
      <c r="U59" s="1">
        <f>tbl_Supplier[[#This Row],[$ Amount]]-VLOOKUP(tbl_Supplier[[#This Row],[Cust Ref]],tbl_MC[],10,FALSE)</f>
        <v>0</v>
      </c>
    </row>
    <row r="60" spans="1:21" x14ac:dyDescent="0.25">
      <c r="A60">
        <v>24830</v>
      </c>
      <c r="B60">
        <v>1</v>
      </c>
      <c r="C60" t="s">
        <v>206</v>
      </c>
      <c r="D60" t="s">
        <v>223</v>
      </c>
      <c r="E60" t="s">
        <v>13</v>
      </c>
      <c r="F60" t="s">
        <v>335</v>
      </c>
      <c r="G60" t="s">
        <v>336</v>
      </c>
      <c r="H60">
        <v>2554</v>
      </c>
      <c r="I60">
        <v>4551221</v>
      </c>
      <c r="J60">
        <v>33</v>
      </c>
      <c r="K60" t="str">
        <f t="shared" si="14"/>
        <v>24830_1</v>
      </c>
      <c r="L60" t="str">
        <f t="shared" si="15"/>
        <v>2554-4551221-33</v>
      </c>
      <c r="M60" t="str">
        <f t="shared" si="16"/>
        <v>Apr</v>
      </c>
      <c r="N60" t="str">
        <f t="shared" si="17"/>
        <v>317142</v>
      </c>
      <c r="O60" t="str">
        <f t="shared" si="18"/>
        <v>Melbourne</v>
      </c>
      <c r="P60" t="str">
        <f t="shared" si="19"/>
        <v>INV</v>
      </c>
      <c r="Q60" s="1">
        <f>VALUE(SUBSTITUTE(SUBSTITUTE(F60,"S","$"),CHAR(160),""))*IF(tbl_Supplier[[#This Row],[Type]]="CR",-1,1)</f>
        <v>132.66</v>
      </c>
      <c r="R60" s="12">
        <f t="shared" si="20"/>
        <v>43927</v>
      </c>
      <c r="S60" s="31">
        <f>DATE(2020,MONTH(tbl_Supplier[[#This Row],[Paid]]),RIGHT(C60,2))</f>
        <v>43951</v>
      </c>
      <c r="T60">
        <f>tbl_Supplier[[#This Row],[Paid Date]]-tbl_Supplier[[#This Row],[Invoice Date]]</f>
        <v>24</v>
      </c>
      <c r="U60" s="1">
        <f>tbl_Supplier[[#This Row],[$ Amount]]-VLOOKUP(tbl_Supplier[[#This Row],[Cust Ref]],tbl_MC[],10,FALSE)</f>
        <v>0</v>
      </c>
    </row>
    <row r="61" spans="1:21" x14ac:dyDescent="0.25">
      <c r="A61">
        <v>24831</v>
      </c>
      <c r="B61">
        <v>1</v>
      </c>
      <c r="C61" t="s">
        <v>221</v>
      </c>
      <c r="D61" t="s">
        <v>337</v>
      </c>
      <c r="E61" t="s">
        <v>13</v>
      </c>
      <c r="F61" t="s">
        <v>338</v>
      </c>
      <c r="G61" t="s">
        <v>339</v>
      </c>
      <c r="H61">
        <v>2554</v>
      </c>
      <c r="I61">
        <v>4551221</v>
      </c>
      <c r="J61">
        <v>33</v>
      </c>
      <c r="K61" t="str">
        <f t="shared" si="14"/>
        <v>24831_1</v>
      </c>
      <c r="L61" t="str">
        <f t="shared" si="15"/>
        <v>2554-4551221-33</v>
      </c>
      <c r="M61" t="str">
        <f t="shared" si="16"/>
        <v>Mar</v>
      </c>
      <c r="N61" t="str">
        <f t="shared" si="17"/>
        <v>313747</v>
      </c>
      <c r="O61" t="str">
        <f t="shared" si="18"/>
        <v>Melbourne</v>
      </c>
      <c r="P61" t="str">
        <f t="shared" si="19"/>
        <v>INV</v>
      </c>
      <c r="Q61" s="1">
        <f>VALUE(SUBSTITUTE(SUBSTITUTE(F61,"S","$"),CHAR(160),""))*IF(tbl_Supplier[[#This Row],[Type]]="CR",-1,1)</f>
        <v>56.43</v>
      </c>
      <c r="R61" s="12">
        <f t="shared" si="20"/>
        <v>43896</v>
      </c>
      <c r="S61" s="31">
        <f>DATE(2020,MONTH(tbl_Supplier[[#This Row],[Paid]]),RIGHT(C61,2))</f>
        <v>43925</v>
      </c>
      <c r="T61">
        <f>tbl_Supplier[[#This Row],[Paid Date]]-tbl_Supplier[[#This Row],[Invoice Date]]</f>
        <v>29</v>
      </c>
      <c r="U61" s="1">
        <f>tbl_Supplier[[#This Row],[$ Amount]]-VLOOKUP(tbl_Supplier[[#This Row],[Cust Ref]],tbl_MC[],10,FALSE)</f>
        <v>0</v>
      </c>
    </row>
    <row r="62" spans="1:21" x14ac:dyDescent="0.25">
      <c r="A62">
        <v>24833</v>
      </c>
      <c r="B62">
        <v>1</v>
      </c>
      <c r="C62" t="s">
        <v>23</v>
      </c>
      <c r="D62" t="s">
        <v>340</v>
      </c>
      <c r="E62" t="s">
        <v>13</v>
      </c>
      <c r="F62" t="s">
        <v>341</v>
      </c>
      <c r="G62" t="s">
        <v>342</v>
      </c>
      <c r="H62">
        <v>1641</v>
      </c>
      <c r="I62">
        <v>7654320</v>
      </c>
      <c r="J62">
        <v>72</v>
      </c>
      <c r="K62" t="str">
        <f t="shared" si="14"/>
        <v>24833_1</v>
      </c>
      <c r="L62" t="str">
        <f t="shared" si="15"/>
        <v>1641-7654320-72</v>
      </c>
      <c r="M62" t="str">
        <f t="shared" si="16"/>
        <v>Feb</v>
      </c>
      <c r="N62" t="str">
        <f t="shared" si="17"/>
        <v>234966</v>
      </c>
      <c r="O62" t="str">
        <f t="shared" si="18"/>
        <v>Sydney</v>
      </c>
      <c r="P62" t="str">
        <f t="shared" si="19"/>
        <v>INV</v>
      </c>
      <c r="Q62" s="1">
        <f>VALUE(SUBSTITUTE(SUBSTITUTE(F62,"S","$"),CHAR(160),""))*IF(tbl_Supplier[[#This Row],[Type]]="CR",-1,1)</f>
        <v>511.83</v>
      </c>
      <c r="R62" s="12">
        <f t="shared" si="20"/>
        <v>43881</v>
      </c>
      <c r="S62" s="31">
        <f>DATE(2020,MONTH(tbl_Supplier[[#This Row],[Paid]]),RIGHT(C62,2))</f>
        <v>43926</v>
      </c>
      <c r="T62">
        <f>tbl_Supplier[[#This Row],[Paid Date]]-tbl_Supplier[[#This Row],[Invoice Date]]</f>
        <v>45</v>
      </c>
      <c r="U62" s="1">
        <f>tbl_Supplier[[#This Row],[$ Amount]]-VLOOKUP(tbl_Supplier[[#This Row],[Cust Ref]],tbl_MC[],10,FALSE)</f>
        <v>0</v>
      </c>
    </row>
    <row r="63" spans="1:21" x14ac:dyDescent="0.25">
      <c r="A63">
        <v>24837</v>
      </c>
      <c r="B63">
        <v>1</v>
      </c>
      <c r="C63" t="s">
        <v>243</v>
      </c>
      <c r="D63" t="s">
        <v>343</v>
      </c>
      <c r="E63" t="s">
        <v>13</v>
      </c>
      <c r="F63" t="s">
        <v>344</v>
      </c>
      <c r="G63" t="s">
        <v>345</v>
      </c>
      <c r="H63">
        <v>1641</v>
      </c>
      <c r="I63">
        <v>7654320</v>
      </c>
      <c r="J63">
        <v>72</v>
      </c>
      <c r="K63" t="str">
        <f t="shared" si="14"/>
        <v>24837_1</v>
      </c>
      <c r="L63" t="str">
        <f t="shared" si="15"/>
        <v>1641-7654320-72</v>
      </c>
      <c r="M63" t="str">
        <f t="shared" si="16"/>
        <v>Mar</v>
      </c>
      <c r="N63" t="str">
        <f t="shared" si="17"/>
        <v>215639</v>
      </c>
      <c r="O63" t="str">
        <f t="shared" si="18"/>
        <v>Sydney</v>
      </c>
      <c r="P63" t="str">
        <f t="shared" si="19"/>
        <v>INV</v>
      </c>
      <c r="Q63" s="1">
        <f>VALUE(SUBSTITUTE(SUBSTITUTE(F63,"S","$"),CHAR(160),""))*IF(tbl_Supplier[[#This Row],[Type]]="CR",-1,1)</f>
        <v>361.02</v>
      </c>
      <c r="R63" s="12">
        <f t="shared" si="20"/>
        <v>43916</v>
      </c>
      <c r="S63" s="31">
        <f>DATE(2020,MONTH(tbl_Supplier[[#This Row],[Paid]]),RIGHT(C63,2))</f>
        <v>43929</v>
      </c>
      <c r="T63">
        <f>tbl_Supplier[[#This Row],[Paid Date]]-tbl_Supplier[[#This Row],[Invoice Date]]</f>
        <v>13</v>
      </c>
      <c r="U63" s="1">
        <f>tbl_Supplier[[#This Row],[$ Amount]]-VLOOKUP(tbl_Supplier[[#This Row],[Cust Ref]],tbl_MC[],10,FALSE)</f>
        <v>0</v>
      </c>
    </row>
    <row r="64" spans="1:21" x14ac:dyDescent="0.25">
      <c r="A64">
        <v>24838</v>
      </c>
      <c r="B64">
        <v>1</v>
      </c>
      <c r="C64" t="s">
        <v>214</v>
      </c>
      <c r="D64" t="s">
        <v>217</v>
      </c>
      <c r="E64" t="s">
        <v>13</v>
      </c>
      <c r="F64" t="s">
        <v>346</v>
      </c>
      <c r="G64" t="s">
        <v>347</v>
      </c>
      <c r="H64">
        <v>2554</v>
      </c>
      <c r="I64">
        <v>4551221</v>
      </c>
      <c r="J64">
        <v>33</v>
      </c>
      <c r="K64" t="str">
        <f t="shared" si="14"/>
        <v>24838_1</v>
      </c>
      <c r="L64" t="str">
        <f t="shared" si="15"/>
        <v>2554-4551221-33</v>
      </c>
      <c r="M64" t="str">
        <f t="shared" si="16"/>
        <v>Apr</v>
      </c>
      <c r="N64" t="str">
        <f t="shared" si="17"/>
        <v>328536</v>
      </c>
      <c r="O64" t="str">
        <f t="shared" si="18"/>
        <v>Melbourne</v>
      </c>
      <c r="P64" t="str">
        <f t="shared" si="19"/>
        <v>INV</v>
      </c>
      <c r="Q64" s="1">
        <f>VALUE(SUBSTITUTE(SUBSTITUTE(F64,"S","$"),CHAR(160),""))*IF(tbl_Supplier[[#This Row],[Type]]="CR",-1,1)</f>
        <v>668.25</v>
      </c>
      <c r="R64" s="12">
        <f t="shared" si="20"/>
        <v>43932</v>
      </c>
      <c r="S64" s="31">
        <f>DATE(2020,MONTH(tbl_Supplier[[#This Row],[Paid]]),RIGHT(C64,2))</f>
        <v>43948</v>
      </c>
      <c r="T64">
        <f>tbl_Supplier[[#This Row],[Paid Date]]-tbl_Supplier[[#This Row],[Invoice Date]]</f>
        <v>16</v>
      </c>
      <c r="U64" s="1">
        <f>tbl_Supplier[[#This Row],[$ Amount]]-VLOOKUP(tbl_Supplier[[#This Row],[Cust Ref]],tbl_MC[],10,FALSE)</f>
        <v>0</v>
      </c>
    </row>
    <row r="65" spans="1:21" x14ac:dyDescent="0.25">
      <c r="A65">
        <v>24842</v>
      </c>
      <c r="B65">
        <v>1</v>
      </c>
      <c r="C65" t="s">
        <v>287</v>
      </c>
      <c r="D65" t="s">
        <v>325</v>
      </c>
      <c r="E65" t="s">
        <v>13</v>
      </c>
      <c r="F65" t="s">
        <v>348</v>
      </c>
      <c r="G65" t="s">
        <v>349</v>
      </c>
      <c r="H65">
        <v>1641</v>
      </c>
      <c r="I65">
        <v>7654320</v>
      </c>
      <c r="J65">
        <v>72</v>
      </c>
      <c r="K65" t="str">
        <f t="shared" si="14"/>
        <v>24842_1</v>
      </c>
      <c r="L65" t="str">
        <f t="shared" si="15"/>
        <v>1641-7654320-72</v>
      </c>
      <c r="M65" t="str">
        <f t="shared" si="16"/>
        <v>Mar</v>
      </c>
      <c r="N65" t="str">
        <f t="shared" si="17"/>
        <v>210023</v>
      </c>
      <c r="O65" t="str">
        <f t="shared" si="18"/>
        <v>Sydney</v>
      </c>
      <c r="P65" t="str">
        <f t="shared" si="19"/>
        <v>INV</v>
      </c>
      <c r="Q65" s="1">
        <f>VALUE(SUBSTITUTE(SUBSTITUTE(F65,"S","$"),CHAR(160),""))*IF(tbl_Supplier[[#This Row],[Type]]="CR",-1,1)</f>
        <v>126.72</v>
      </c>
      <c r="R65" s="12">
        <f t="shared" si="20"/>
        <v>43914</v>
      </c>
      <c r="S65" s="31">
        <f>DATE(2020,MONTH(tbl_Supplier[[#This Row],[Paid]]),RIGHT(C65,2))</f>
        <v>43933</v>
      </c>
      <c r="T65">
        <f>tbl_Supplier[[#This Row],[Paid Date]]-tbl_Supplier[[#This Row],[Invoice Date]]</f>
        <v>19</v>
      </c>
      <c r="U65" s="1">
        <f>tbl_Supplier[[#This Row],[$ Amount]]-VLOOKUP(tbl_Supplier[[#This Row],[Cust Ref]],tbl_MC[],10,FALSE)</f>
        <v>0</v>
      </c>
    </row>
    <row r="66" spans="1:21" x14ac:dyDescent="0.25">
      <c r="A66">
        <v>24847</v>
      </c>
      <c r="B66">
        <v>1</v>
      </c>
      <c r="C66" t="s">
        <v>350</v>
      </c>
      <c r="D66" t="s">
        <v>351</v>
      </c>
      <c r="E66" t="s">
        <v>13</v>
      </c>
      <c r="F66" t="s">
        <v>352</v>
      </c>
      <c r="G66" t="s">
        <v>353</v>
      </c>
      <c r="H66">
        <v>2554</v>
      </c>
      <c r="I66">
        <v>4551221</v>
      </c>
      <c r="J66">
        <v>33</v>
      </c>
      <c r="K66" t="str">
        <f t="shared" si="14"/>
        <v>24847_1</v>
      </c>
      <c r="L66" t="str">
        <f t="shared" si="15"/>
        <v>2554-4551221-33</v>
      </c>
      <c r="M66" t="str">
        <f t="shared" si="16"/>
        <v>Mar</v>
      </c>
      <c r="N66" t="str">
        <f t="shared" si="17"/>
        <v>338938</v>
      </c>
      <c r="O66" t="str">
        <f t="shared" si="18"/>
        <v>Melbourne</v>
      </c>
      <c r="P66" t="str">
        <f t="shared" si="19"/>
        <v>INV</v>
      </c>
      <c r="Q66" s="1">
        <f>VALUE(SUBSTITUTE(SUBSTITUTE(F66,"S","$"),CHAR(160),""))*IF(tbl_Supplier[[#This Row],[Type]]="CR",-1,1)</f>
        <v>1000.23</v>
      </c>
      <c r="R66" s="12">
        <f t="shared" si="20"/>
        <v>43905</v>
      </c>
      <c r="S66" s="31">
        <f>DATE(2020,MONTH(tbl_Supplier[[#This Row],[Paid]]),RIGHT(C66,2))</f>
        <v>43943</v>
      </c>
      <c r="T66">
        <f>tbl_Supplier[[#This Row],[Paid Date]]-tbl_Supplier[[#This Row],[Invoice Date]]</f>
        <v>38</v>
      </c>
      <c r="U66" s="1">
        <f>tbl_Supplier[[#This Row],[$ Amount]]-VLOOKUP(tbl_Supplier[[#This Row],[Cust Ref]],tbl_MC[],10,FALSE)</f>
        <v>0</v>
      </c>
    </row>
    <row r="67" spans="1:21" x14ac:dyDescent="0.25">
      <c r="A67">
        <v>24851</v>
      </c>
      <c r="B67">
        <v>1</v>
      </c>
      <c r="C67" t="s">
        <v>328</v>
      </c>
      <c r="D67" t="s">
        <v>354</v>
      </c>
      <c r="E67" t="s">
        <v>13</v>
      </c>
      <c r="F67" t="s">
        <v>355</v>
      </c>
      <c r="G67" t="s">
        <v>356</v>
      </c>
      <c r="H67">
        <v>2554</v>
      </c>
      <c r="I67">
        <v>4551221</v>
      </c>
      <c r="J67">
        <v>33</v>
      </c>
      <c r="K67" t="str">
        <f t="shared" ref="K67:K86" si="21">CONCATENATE(A67,"_",B67)</f>
        <v>24851_1</v>
      </c>
      <c r="L67" t="str">
        <f t="shared" ref="L67:L86" si="22">H67&amp;"-"&amp;I67&amp;"-"&amp;J67</f>
        <v>2554-4551221-33</v>
      </c>
      <c r="M67" t="str">
        <f t="shared" ref="M67:M86" si="23">LEFT(D67,3)</f>
        <v>Mar</v>
      </c>
      <c r="N67" t="str">
        <f t="shared" ref="N67:N86" si="24">RIGHT(G67,6)</f>
        <v>320536</v>
      </c>
      <c r="O67" t="str">
        <f t="shared" ref="O67:O86" si="25">MID(G67,4,FIND("-",G67,4)-4)</f>
        <v>Melbourne</v>
      </c>
      <c r="P67" t="str">
        <f t="shared" ref="P67:P86" si="26">UPPER(TRIM(CLEAN(E67)))</f>
        <v>INV</v>
      </c>
      <c r="Q67" s="1">
        <f>VALUE(SUBSTITUTE(SUBSTITUTE(F67,"S","$"),CHAR(160),""))*IF(tbl_Supplier[[#This Row],[Type]]="CR",-1,1)</f>
        <v>948.75</v>
      </c>
      <c r="R67" s="12">
        <f t="shared" ref="R67:R86" si="27">DATE(2020,MONTH(1&amp;M67),RIGHT(D67,2))</f>
        <v>43918</v>
      </c>
      <c r="S67" s="31">
        <f>DATE(2020,MONTH(tbl_Supplier[[#This Row],[Paid]]),RIGHT(C67,2))</f>
        <v>43939</v>
      </c>
      <c r="T67">
        <f>tbl_Supplier[[#This Row],[Paid Date]]-tbl_Supplier[[#This Row],[Invoice Date]]</f>
        <v>21</v>
      </c>
      <c r="U67" s="1">
        <f>tbl_Supplier[[#This Row],[$ Amount]]-VLOOKUP(tbl_Supplier[[#This Row],[Cust Ref]],tbl_MC[],10,FALSE)</f>
        <v>0</v>
      </c>
    </row>
    <row r="68" spans="1:21" x14ac:dyDescent="0.25">
      <c r="A68">
        <v>24854</v>
      </c>
      <c r="B68">
        <v>1</v>
      </c>
      <c r="C68" t="s">
        <v>271</v>
      </c>
      <c r="D68" t="s">
        <v>239</v>
      </c>
      <c r="E68" t="s">
        <v>13</v>
      </c>
      <c r="F68" t="s">
        <v>357</v>
      </c>
      <c r="G68" t="s">
        <v>358</v>
      </c>
      <c r="H68">
        <v>2554</v>
      </c>
      <c r="I68">
        <v>4551221</v>
      </c>
      <c r="J68">
        <v>33</v>
      </c>
      <c r="K68" t="str">
        <f t="shared" si="21"/>
        <v>24854_1</v>
      </c>
      <c r="L68" t="str">
        <f t="shared" si="22"/>
        <v>2554-4551221-33</v>
      </c>
      <c r="M68" t="str">
        <f t="shared" si="23"/>
        <v>Mar</v>
      </c>
      <c r="N68" t="str">
        <f t="shared" si="24"/>
        <v>322800</v>
      </c>
      <c r="O68" t="str">
        <f t="shared" si="25"/>
        <v>Melbourne</v>
      </c>
      <c r="P68" t="str">
        <f t="shared" si="26"/>
        <v>INV</v>
      </c>
      <c r="Q68" s="1">
        <f>VALUE(SUBSTITUTE(SUBSTITUTE(F68,"S","$"),CHAR(160),""))*IF(tbl_Supplier[[#This Row],[Type]]="CR",-1,1)</f>
        <v>446.49</v>
      </c>
      <c r="R68" s="12">
        <f t="shared" si="27"/>
        <v>43904</v>
      </c>
      <c r="S68" s="31">
        <f>DATE(2020,MONTH(tbl_Supplier[[#This Row],[Paid]]),RIGHT(C68,2))</f>
        <v>43937</v>
      </c>
      <c r="T68">
        <f>tbl_Supplier[[#This Row],[Paid Date]]-tbl_Supplier[[#This Row],[Invoice Date]]</f>
        <v>33</v>
      </c>
      <c r="U68" s="1">
        <f>tbl_Supplier[[#This Row],[$ Amount]]-VLOOKUP(tbl_Supplier[[#This Row],[Cust Ref]],tbl_MC[],10,FALSE)</f>
        <v>0</v>
      </c>
    </row>
    <row r="69" spans="1:21" x14ac:dyDescent="0.25">
      <c r="A69">
        <v>24857</v>
      </c>
      <c r="B69">
        <v>1</v>
      </c>
      <c r="C69" t="s">
        <v>359</v>
      </c>
      <c r="D69" t="s">
        <v>287</v>
      </c>
      <c r="E69" t="s">
        <v>13</v>
      </c>
      <c r="F69" t="s">
        <v>360</v>
      </c>
      <c r="G69" t="s">
        <v>361</v>
      </c>
      <c r="H69">
        <v>2554</v>
      </c>
      <c r="I69">
        <v>4551221</v>
      </c>
      <c r="J69">
        <v>33</v>
      </c>
      <c r="K69" t="str">
        <f t="shared" si="21"/>
        <v>24857_1</v>
      </c>
      <c r="L69" t="str">
        <f t="shared" si="22"/>
        <v>2554-4551221-33</v>
      </c>
      <c r="M69" t="str">
        <f t="shared" si="23"/>
        <v>Apr</v>
      </c>
      <c r="N69" t="str">
        <f t="shared" si="24"/>
        <v>321358</v>
      </c>
      <c r="O69" t="str">
        <f t="shared" si="25"/>
        <v>Melbourne</v>
      </c>
      <c r="P69" t="str">
        <f t="shared" si="26"/>
        <v>INV</v>
      </c>
      <c r="Q69" s="1">
        <f>VALUE(SUBSTITUTE(SUBSTITUTE(F69,"S","$"),CHAR(160),""))*IF(tbl_Supplier[[#This Row],[Type]]="CR",-1,1)</f>
        <v>242.22</v>
      </c>
      <c r="R69" s="12">
        <f t="shared" si="27"/>
        <v>43933</v>
      </c>
      <c r="S69" s="31">
        <f>DATE(2020,MONTH(tbl_Supplier[[#This Row],[Paid]]),RIGHT(C69,2))</f>
        <v>43940</v>
      </c>
      <c r="T69">
        <f>tbl_Supplier[[#This Row],[Paid Date]]-tbl_Supplier[[#This Row],[Invoice Date]]</f>
        <v>7</v>
      </c>
      <c r="U69" s="1">
        <f>tbl_Supplier[[#This Row],[$ Amount]]-VLOOKUP(tbl_Supplier[[#This Row],[Cust Ref]],tbl_MC[],10,FALSE)</f>
        <v>0</v>
      </c>
    </row>
    <row r="70" spans="1:21" x14ac:dyDescent="0.25">
      <c r="A70">
        <v>24861</v>
      </c>
      <c r="B70">
        <v>1</v>
      </c>
      <c r="C70" t="s">
        <v>243</v>
      </c>
      <c r="D70" t="s">
        <v>362</v>
      </c>
      <c r="E70" t="s">
        <v>13</v>
      </c>
      <c r="F70" t="s">
        <v>363</v>
      </c>
      <c r="G70" t="s">
        <v>364</v>
      </c>
      <c r="H70">
        <v>2554</v>
      </c>
      <c r="I70">
        <v>4551221</v>
      </c>
      <c r="J70">
        <v>33</v>
      </c>
      <c r="K70" t="str">
        <f t="shared" si="21"/>
        <v>24861_1</v>
      </c>
      <c r="L70" t="str">
        <f t="shared" si="22"/>
        <v>2554-4551221-33</v>
      </c>
      <c r="M70" t="str">
        <f t="shared" si="23"/>
        <v>Feb</v>
      </c>
      <c r="N70" t="str">
        <f t="shared" si="24"/>
        <v>316190</v>
      </c>
      <c r="O70" t="str">
        <f t="shared" si="25"/>
        <v>Melbourne</v>
      </c>
      <c r="P70" t="str">
        <f t="shared" si="26"/>
        <v>INV</v>
      </c>
      <c r="Q70" s="1">
        <f>VALUE(SUBSTITUTE(SUBSTITUTE(F70,"S","$"),CHAR(160),""))*IF(tbl_Supplier[[#This Row],[Type]]="CR",-1,1)</f>
        <v>600.6</v>
      </c>
      <c r="R70" s="12">
        <f t="shared" si="27"/>
        <v>43887</v>
      </c>
      <c r="S70" s="31">
        <f>DATE(2020,MONTH(tbl_Supplier[[#This Row],[Paid]]),RIGHT(C70,2))</f>
        <v>43929</v>
      </c>
      <c r="T70">
        <f>tbl_Supplier[[#This Row],[Paid Date]]-tbl_Supplier[[#This Row],[Invoice Date]]</f>
        <v>42</v>
      </c>
      <c r="U70" s="1">
        <f>tbl_Supplier[[#This Row],[$ Amount]]-VLOOKUP(tbl_Supplier[[#This Row],[Cust Ref]],tbl_MC[],10,FALSE)</f>
        <v>0</v>
      </c>
    </row>
    <row r="71" spans="1:21" x14ac:dyDescent="0.25">
      <c r="A71">
        <v>24863</v>
      </c>
      <c r="B71">
        <v>1</v>
      </c>
      <c r="C71" t="s">
        <v>231</v>
      </c>
      <c r="D71" t="s">
        <v>351</v>
      </c>
      <c r="E71" t="s">
        <v>13</v>
      </c>
      <c r="F71" t="s">
        <v>365</v>
      </c>
      <c r="G71" t="s">
        <v>366</v>
      </c>
      <c r="H71">
        <v>2554</v>
      </c>
      <c r="I71">
        <v>4551221</v>
      </c>
      <c r="J71">
        <v>33</v>
      </c>
      <c r="K71" t="str">
        <f t="shared" si="21"/>
        <v>24863_1</v>
      </c>
      <c r="L71" t="str">
        <f t="shared" si="22"/>
        <v>2554-4551221-33</v>
      </c>
      <c r="M71" t="str">
        <f t="shared" si="23"/>
        <v>Mar</v>
      </c>
      <c r="N71" t="str">
        <f t="shared" si="24"/>
        <v>327938</v>
      </c>
      <c r="O71" t="str">
        <f t="shared" si="25"/>
        <v>Melbourne</v>
      </c>
      <c r="P71" t="str">
        <f t="shared" si="26"/>
        <v>INV</v>
      </c>
      <c r="Q71" s="1">
        <f>VALUE(SUBSTITUTE(SUBSTITUTE(F71,"S","$"),CHAR(160),""))*IF(tbl_Supplier[[#This Row],[Type]]="CR",-1,1)</f>
        <v>546.80999999999995</v>
      </c>
      <c r="R71" s="12">
        <f t="shared" si="27"/>
        <v>43905</v>
      </c>
      <c r="S71" s="31">
        <f>DATE(2020,MONTH(tbl_Supplier[[#This Row],[Paid]]),RIGHT(C71,2))</f>
        <v>43942</v>
      </c>
      <c r="T71">
        <f>tbl_Supplier[[#This Row],[Paid Date]]-tbl_Supplier[[#This Row],[Invoice Date]]</f>
        <v>37</v>
      </c>
      <c r="U71" s="1">
        <f>tbl_Supplier[[#This Row],[$ Amount]]-VLOOKUP(tbl_Supplier[[#This Row],[Cust Ref]],tbl_MC[],10,FALSE)</f>
        <v>0</v>
      </c>
    </row>
    <row r="72" spans="1:21" x14ac:dyDescent="0.25">
      <c r="A72">
        <v>24866</v>
      </c>
      <c r="B72">
        <v>1</v>
      </c>
      <c r="C72" t="s">
        <v>203</v>
      </c>
      <c r="D72" t="s">
        <v>367</v>
      </c>
      <c r="E72" t="s">
        <v>13</v>
      </c>
      <c r="F72" t="s">
        <v>368</v>
      </c>
      <c r="G72" t="s">
        <v>369</v>
      </c>
      <c r="H72">
        <v>1641</v>
      </c>
      <c r="I72">
        <v>7654320</v>
      </c>
      <c r="J72">
        <v>72</v>
      </c>
      <c r="K72" t="str">
        <f t="shared" si="21"/>
        <v>24866_1</v>
      </c>
      <c r="L72" t="str">
        <f t="shared" si="22"/>
        <v>1641-7654320-72</v>
      </c>
      <c r="M72" t="str">
        <f t="shared" si="23"/>
        <v>Mar</v>
      </c>
      <c r="N72" t="str">
        <f t="shared" si="24"/>
        <v>234487</v>
      </c>
      <c r="O72" t="str">
        <f t="shared" si="25"/>
        <v>Sydney</v>
      </c>
      <c r="P72" t="str">
        <f t="shared" si="26"/>
        <v>INV</v>
      </c>
      <c r="Q72" s="1">
        <f>VALUE(SUBSTITUTE(SUBSTITUTE(F72,"S","$"),CHAR(160),""))*IF(tbl_Supplier[[#This Row],[Type]]="CR",-1,1)</f>
        <v>840.51</v>
      </c>
      <c r="R72" s="12">
        <f t="shared" si="27"/>
        <v>43900</v>
      </c>
      <c r="S72" s="31">
        <f>DATE(2020,MONTH(tbl_Supplier[[#This Row],[Paid]]),RIGHT(C72,2))</f>
        <v>43931</v>
      </c>
      <c r="T72">
        <f>tbl_Supplier[[#This Row],[Paid Date]]-tbl_Supplier[[#This Row],[Invoice Date]]</f>
        <v>31</v>
      </c>
      <c r="U72" s="1">
        <f>tbl_Supplier[[#This Row],[$ Amount]]-VLOOKUP(tbl_Supplier[[#This Row],[Cust Ref]],tbl_MC[],10,FALSE)</f>
        <v>0</v>
      </c>
    </row>
    <row r="73" spans="1:21" x14ac:dyDescent="0.25">
      <c r="A73">
        <v>24870</v>
      </c>
      <c r="B73">
        <v>1</v>
      </c>
      <c r="C73" t="s">
        <v>206</v>
      </c>
      <c r="D73" t="s">
        <v>256</v>
      </c>
      <c r="E73" t="s">
        <v>13</v>
      </c>
      <c r="F73" t="s">
        <v>370</v>
      </c>
      <c r="G73" t="s">
        <v>371</v>
      </c>
      <c r="H73">
        <v>1641</v>
      </c>
      <c r="I73">
        <v>7654320</v>
      </c>
      <c r="J73">
        <v>72</v>
      </c>
      <c r="K73" t="str">
        <f t="shared" si="21"/>
        <v>24870_1</v>
      </c>
      <c r="L73" t="str">
        <f t="shared" si="22"/>
        <v>1641-7654320-72</v>
      </c>
      <c r="M73" t="str">
        <f t="shared" si="23"/>
        <v>Apr</v>
      </c>
      <c r="N73" t="str">
        <f t="shared" si="24"/>
        <v>231274</v>
      </c>
      <c r="O73" t="str">
        <f t="shared" si="25"/>
        <v>Sydney</v>
      </c>
      <c r="P73" t="str">
        <f t="shared" si="26"/>
        <v>INV</v>
      </c>
      <c r="Q73" s="1">
        <f>VALUE(SUBSTITUTE(SUBSTITUTE(F73,"S","$"),CHAR(160),""))*IF(tbl_Supplier[[#This Row],[Type]]="CR",-1,1)</f>
        <v>603.57000000000005</v>
      </c>
      <c r="R73" s="12">
        <f t="shared" si="27"/>
        <v>43923</v>
      </c>
      <c r="S73" s="31">
        <f>DATE(2020,MONTH(tbl_Supplier[[#This Row],[Paid]]),RIGHT(C73,2))</f>
        <v>43951</v>
      </c>
      <c r="T73">
        <f>tbl_Supplier[[#This Row],[Paid Date]]-tbl_Supplier[[#This Row],[Invoice Date]]</f>
        <v>28</v>
      </c>
      <c r="U73" s="1">
        <f>tbl_Supplier[[#This Row],[$ Amount]]-VLOOKUP(tbl_Supplier[[#This Row],[Cust Ref]],tbl_MC[],10,FALSE)</f>
        <v>0</v>
      </c>
    </row>
    <row r="74" spans="1:21" x14ac:dyDescent="0.25">
      <c r="A74">
        <v>24873</v>
      </c>
      <c r="B74">
        <v>1</v>
      </c>
      <c r="C74" t="s">
        <v>220</v>
      </c>
      <c r="D74" t="s">
        <v>325</v>
      </c>
      <c r="E74" t="s">
        <v>13</v>
      </c>
      <c r="F74" t="s">
        <v>372</v>
      </c>
      <c r="G74" t="s">
        <v>373</v>
      </c>
      <c r="H74">
        <v>1641</v>
      </c>
      <c r="I74">
        <v>7654320</v>
      </c>
      <c r="J74">
        <v>72</v>
      </c>
      <c r="K74" t="str">
        <f t="shared" si="21"/>
        <v>24873_1</v>
      </c>
      <c r="L74" t="str">
        <f t="shared" si="22"/>
        <v>1641-7654320-72</v>
      </c>
      <c r="M74" t="str">
        <f t="shared" si="23"/>
        <v>Mar</v>
      </c>
      <c r="N74" t="str">
        <f t="shared" si="24"/>
        <v>224955</v>
      </c>
      <c r="O74" t="str">
        <f t="shared" si="25"/>
        <v>Sydney</v>
      </c>
      <c r="P74" t="str">
        <f t="shared" si="26"/>
        <v>INV</v>
      </c>
      <c r="Q74" s="1">
        <f>VALUE(SUBSTITUTE(SUBSTITUTE(F74,"S","$"),CHAR(160),""))*IF(tbl_Supplier[[#This Row],[Type]]="CR",-1,1)</f>
        <v>816.75</v>
      </c>
      <c r="R74" s="12">
        <f t="shared" si="27"/>
        <v>43914</v>
      </c>
      <c r="S74" s="31">
        <f>DATE(2020,MONTH(tbl_Supplier[[#This Row],[Paid]]),RIGHT(C74,2))</f>
        <v>43944</v>
      </c>
      <c r="T74">
        <f>tbl_Supplier[[#This Row],[Paid Date]]-tbl_Supplier[[#This Row],[Invoice Date]]</f>
        <v>30</v>
      </c>
      <c r="U74" s="1">
        <f>tbl_Supplier[[#This Row],[$ Amount]]-VLOOKUP(tbl_Supplier[[#This Row],[Cust Ref]],tbl_MC[],10,FALSE)</f>
        <v>0</v>
      </c>
    </row>
    <row r="75" spans="1:21" x14ac:dyDescent="0.25">
      <c r="A75">
        <v>24875</v>
      </c>
      <c r="B75">
        <v>1</v>
      </c>
      <c r="C75" t="s">
        <v>206</v>
      </c>
      <c r="D75" t="s">
        <v>215</v>
      </c>
      <c r="E75" t="s">
        <v>13</v>
      </c>
      <c r="F75" t="s">
        <v>374</v>
      </c>
      <c r="G75" t="s">
        <v>375</v>
      </c>
      <c r="H75">
        <v>1641</v>
      </c>
      <c r="I75">
        <v>7654320</v>
      </c>
      <c r="J75">
        <v>72</v>
      </c>
      <c r="K75" t="str">
        <f t="shared" si="21"/>
        <v>24875_1</v>
      </c>
      <c r="L75" t="str">
        <f t="shared" si="22"/>
        <v>1641-7654320-72</v>
      </c>
      <c r="M75" t="str">
        <f t="shared" si="23"/>
        <v>Mar</v>
      </c>
      <c r="N75" t="str">
        <f t="shared" si="24"/>
        <v>217275</v>
      </c>
      <c r="O75" t="str">
        <f t="shared" si="25"/>
        <v>Sydney</v>
      </c>
      <c r="P75" t="str">
        <f t="shared" si="26"/>
        <v>INV</v>
      </c>
      <c r="Q75" s="1">
        <f>VALUE(SUBSTITUTE(SUBSTITUTE(F75,"S","$"),CHAR(160),""))*IF(tbl_Supplier[[#This Row],[Type]]="CR",-1,1)</f>
        <v>1065.57</v>
      </c>
      <c r="R75" s="12">
        <f t="shared" si="27"/>
        <v>43912</v>
      </c>
      <c r="S75" s="31">
        <f>DATE(2020,MONTH(tbl_Supplier[[#This Row],[Paid]]),RIGHT(C75,2))</f>
        <v>43951</v>
      </c>
      <c r="T75">
        <f>tbl_Supplier[[#This Row],[Paid Date]]-tbl_Supplier[[#This Row],[Invoice Date]]</f>
        <v>39</v>
      </c>
      <c r="U75" s="1">
        <f>tbl_Supplier[[#This Row],[$ Amount]]-VLOOKUP(tbl_Supplier[[#This Row],[Cust Ref]],tbl_MC[],10,FALSE)</f>
        <v>0</v>
      </c>
    </row>
    <row r="76" spans="1:21" x14ac:dyDescent="0.25">
      <c r="A76">
        <v>24876</v>
      </c>
      <c r="B76">
        <v>1</v>
      </c>
      <c r="C76" t="s">
        <v>221</v>
      </c>
      <c r="D76" t="s">
        <v>227</v>
      </c>
      <c r="E76" t="s">
        <v>13</v>
      </c>
      <c r="F76" t="s">
        <v>376</v>
      </c>
      <c r="G76" t="s">
        <v>377</v>
      </c>
      <c r="H76">
        <v>1641</v>
      </c>
      <c r="I76">
        <v>7654320</v>
      </c>
      <c r="J76">
        <v>72</v>
      </c>
      <c r="K76" t="str">
        <f t="shared" si="21"/>
        <v>24876_1</v>
      </c>
      <c r="L76" t="str">
        <f t="shared" si="22"/>
        <v>1641-7654320-72</v>
      </c>
      <c r="M76" t="str">
        <f t="shared" si="23"/>
        <v>Mar</v>
      </c>
      <c r="N76" t="str">
        <f t="shared" si="24"/>
        <v>226240</v>
      </c>
      <c r="O76" t="str">
        <f t="shared" si="25"/>
        <v>Sydney</v>
      </c>
      <c r="P76" t="str">
        <f t="shared" si="26"/>
        <v>INV</v>
      </c>
      <c r="Q76" s="1">
        <f>VALUE(SUBSTITUTE(SUBSTITUTE(F76,"S","$"),CHAR(160),""))*IF(tbl_Supplier[[#This Row],[Type]]="CR",-1,1)</f>
        <v>523.38</v>
      </c>
      <c r="R76" s="12">
        <f t="shared" si="27"/>
        <v>43919</v>
      </c>
      <c r="S76" s="31">
        <f>DATE(2020,MONTH(tbl_Supplier[[#This Row],[Paid]]),RIGHT(C76,2))</f>
        <v>43925</v>
      </c>
      <c r="T76">
        <f>tbl_Supplier[[#This Row],[Paid Date]]-tbl_Supplier[[#This Row],[Invoice Date]]</f>
        <v>6</v>
      </c>
      <c r="U76" s="1">
        <f>tbl_Supplier[[#This Row],[$ Amount]]-VLOOKUP(tbl_Supplier[[#This Row],[Cust Ref]],tbl_MC[],10,FALSE)</f>
        <v>0</v>
      </c>
    </row>
    <row r="77" spans="1:21" x14ac:dyDescent="0.25">
      <c r="A77">
        <v>24877</v>
      </c>
      <c r="B77">
        <v>1</v>
      </c>
      <c r="C77" t="s">
        <v>217</v>
      </c>
      <c r="D77" t="s">
        <v>236</v>
      </c>
      <c r="E77" t="s">
        <v>13</v>
      </c>
      <c r="F77" t="s">
        <v>378</v>
      </c>
      <c r="G77" t="s">
        <v>379</v>
      </c>
      <c r="H77">
        <v>2554</v>
      </c>
      <c r="I77">
        <v>4551221</v>
      </c>
      <c r="J77">
        <v>33</v>
      </c>
      <c r="K77" t="str">
        <f t="shared" si="21"/>
        <v>24877_1</v>
      </c>
      <c r="L77" t="str">
        <f t="shared" si="22"/>
        <v>2554-4551221-33</v>
      </c>
      <c r="M77" t="str">
        <f t="shared" si="23"/>
        <v>Feb</v>
      </c>
      <c r="N77" t="str">
        <f t="shared" si="24"/>
        <v>325643</v>
      </c>
      <c r="O77" t="str">
        <f t="shared" si="25"/>
        <v>Melbourne</v>
      </c>
      <c r="P77" t="str">
        <f t="shared" si="26"/>
        <v>INV</v>
      </c>
      <c r="Q77" s="1">
        <f>VALUE(SUBSTITUTE(SUBSTITUTE(F77,"S","$"),CHAR(160),""))*IF(tbl_Supplier[[#This Row],[Type]]="CR",-1,1)</f>
        <v>650.42999999999995</v>
      </c>
      <c r="R77" s="12">
        <f t="shared" si="27"/>
        <v>43890</v>
      </c>
      <c r="S77" s="31">
        <f>DATE(2020,MONTH(tbl_Supplier[[#This Row],[Paid]]),RIGHT(C77,2))</f>
        <v>43932</v>
      </c>
      <c r="T77">
        <f>tbl_Supplier[[#This Row],[Paid Date]]-tbl_Supplier[[#This Row],[Invoice Date]]</f>
        <v>42</v>
      </c>
      <c r="U77" s="1">
        <f>tbl_Supplier[[#This Row],[$ Amount]]-VLOOKUP(tbl_Supplier[[#This Row],[Cust Ref]],tbl_MC[],10,FALSE)</f>
        <v>0</v>
      </c>
    </row>
    <row r="78" spans="1:21" x14ac:dyDescent="0.25">
      <c r="A78">
        <v>24878</v>
      </c>
      <c r="B78">
        <v>1</v>
      </c>
      <c r="C78" t="s">
        <v>350</v>
      </c>
      <c r="D78" t="s">
        <v>280</v>
      </c>
      <c r="E78" t="s">
        <v>13</v>
      </c>
      <c r="F78" t="s">
        <v>380</v>
      </c>
      <c r="G78" t="s">
        <v>381</v>
      </c>
      <c r="H78">
        <v>2554</v>
      </c>
      <c r="I78">
        <v>4551221</v>
      </c>
      <c r="J78">
        <v>33</v>
      </c>
      <c r="K78" t="str">
        <f t="shared" si="21"/>
        <v>24878_1</v>
      </c>
      <c r="L78" t="str">
        <f t="shared" si="22"/>
        <v>2554-4551221-33</v>
      </c>
      <c r="M78" t="str">
        <f t="shared" si="23"/>
        <v>Apr</v>
      </c>
      <c r="N78" t="str">
        <f t="shared" si="24"/>
        <v>312800</v>
      </c>
      <c r="O78" t="str">
        <f t="shared" si="25"/>
        <v>Melbourne</v>
      </c>
      <c r="P78" t="str">
        <f t="shared" si="26"/>
        <v>INV</v>
      </c>
      <c r="Q78" s="1">
        <f>VALUE(SUBSTITUTE(SUBSTITUTE(F78,"S","$"),CHAR(160),""))*IF(tbl_Supplier[[#This Row],[Type]]="CR",-1,1)</f>
        <v>809.49</v>
      </c>
      <c r="R78" s="12">
        <f t="shared" si="27"/>
        <v>43934</v>
      </c>
      <c r="S78" s="31">
        <f>DATE(2020,MONTH(tbl_Supplier[[#This Row],[Paid]]),RIGHT(C78,2))</f>
        <v>43943</v>
      </c>
      <c r="T78">
        <f>tbl_Supplier[[#This Row],[Paid Date]]-tbl_Supplier[[#This Row],[Invoice Date]]</f>
        <v>9</v>
      </c>
      <c r="U78" s="1">
        <f>tbl_Supplier[[#This Row],[$ Amount]]-VLOOKUP(tbl_Supplier[[#This Row],[Cust Ref]],tbl_MC[],10,FALSE)</f>
        <v>0</v>
      </c>
    </row>
    <row r="79" spans="1:21" x14ac:dyDescent="0.25">
      <c r="A79">
        <v>24880</v>
      </c>
      <c r="B79">
        <v>1</v>
      </c>
      <c r="C79" t="s">
        <v>350</v>
      </c>
      <c r="D79" t="s">
        <v>305</v>
      </c>
      <c r="E79" t="s">
        <v>13</v>
      </c>
      <c r="F79" t="s">
        <v>382</v>
      </c>
      <c r="G79" t="s">
        <v>383</v>
      </c>
      <c r="H79">
        <v>2554</v>
      </c>
      <c r="I79">
        <v>4551221</v>
      </c>
      <c r="J79">
        <v>33</v>
      </c>
      <c r="K79" t="str">
        <f t="shared" si="21"/>
        <v>24880_1</v>
      </c>
      <c r="L79" t="str">
        <f t="shared" si="22"/>
        <v>2554-4551221-33</v>
      </c>
      <c r="M79" t="str">
        <f t="shared" si="23"/>
        <v>Mar</v>
      </c>
      <c r="N79" t="str">
        <f t="shared" si="24"/>
        <v>338807</v>
      </c>
      <c r="O79" t="str">
        <f t="shared" si="25"/>
        <v>Melbourne</v>
      </c>
      <c r="P79" t="str">
        <f t="shared" si="26"/>
        <v>INV</v>
      </c>
      <c r="Q79" s="1">
        <f>VALUE(SUBSTITUTE(SUBSTITUTE(F79,"S","$"),CHAR(160),""))*IF(tbl_Supplier[[#This Row],[Type]]="CR",-1,1)</f>
        <v>424.38</v>
      </c>
      <c r="R79" s="12">
        <f t="shared" si="27"/>
        <v>43901</v>
      </c>
      <c r="S79" s="31">
        <f>DATE(2020,MONTH(tbl_Supplier[[#This Row],[Paid]]),RIGHT(C79,2))</f>
        <v>43943</v>
      </c>
      <c r="T79">
        <f>tbl_Supplier[[#This Row],[Paid Date]]-tbl_Supplier[[#This Row],[Invoice Date]]</f>
        <v>42</v>
      </c>
      <c r="U79" s="1">
        <f>tbl_Supplier[[#This Row],[$ Amount]]-VLOOKUP(tbl_Supplier[[#This Row],[Cust Ref]],tbl_MC[],10,FALSE)</f>
        <v>0</v>
      </c>
    </row>
    <row r="80" spans="1:21" x14ac:dyDescent="0.25">
      <c r="A80">
        <v>24882</v>
      </c>
      <c r="B80">
        <v>1</v>
      </c>
      <c r="C80" t="s">
        <v>211</v>
      </c>
      <c r="D80" t="s">
        <v>287</v>
      </c>
      <c r="E80" t="s">
        <v>13</v>
      </c>
      <c r="F80" t="s">
        <v>384</v>
      </c>
      <c r="G80" t="s">
        <v>385</v>
      </c>
      <c r="H80">
        <v>1641</v>
      </c>
      <c r="I80">
        <v>7654320</v>
      </c>
      <c r="J80">
        <v>72</v>
      </c>
      <c r="K80" t="str">
        <f t="shared" si="21"/>
        <v>24882_1</v>
      </c>
      <c r="L80" t="str">
        <f t="shared" si="22"/>
        <v>1641-7654320-72</v>
      </c>
      <c r="M80" t="str">
        <f t="shared" si="23"/>
        <v>Apr</v>
      </c>
      <c r="N80" t="str">
        <f t="shared" si="24"/>
        <v>239476</v>
      </c>
      <c r="O80" t="str">
        <f t="shared" si="25"/>
        <v>Sydney</v>
      </c>
      <c r="P80" t="str">
        <f t="shared" si="26"/>
        <v>INV</v>
      </c>
      <c r="Q80" s="1">
        <f>VALUE(SUBSTITUTE(SUBSTITUTE(F80,"S","$"),CHAR(160),""))*IF(tbl_Supplier[[#This Row],[Type]]="CR",-1,1)</f>
        <v>955.68</v>
      </c>
      <c r="R80" s="12">
        <f t="shared" si="27"/>
        <v>43933</v>
      </c>
      <c r="S80" s="31">
        <f>DATE(2020,MONTH(tbl_Supplier[[#This Row],[Paid]]),RIGHT(C80,2))</f>
        <v>43935</v>
      </c>
      <c r="T80">
        <f>tbl_Supplier[[#This Row],[Paid Date]]-tbl_Supplier[[#This Row],[Invoice Date]]</f>
        <v>2</v>
      </c>
      <c r="U80" s="1">
        <f>tbl_Supplier[[#This Row],[$ Amount]]-VLOOKUP(tbl_Supplier[[#This Row],[Cust Ref]],tbl_MC[],10,FALSE)</f>
        <v>0</v>
      </c>
    </row>
    <row r="81" spans="1:21" x14ac:dyDescent="0.25">
      <c r="A81">
        <v>24885</v>
      </c>
      <c r="B81">
        <v>1</v>
      </c>
      <c r="C81" t="s">
        <v>386</v>
      </c>
      <c r="D81" t="s">
        <v>231</v>
      </c>
      <c r="E81" t="s">
        <v>13</v>
      </c>
      <c r="F81" t="s">
        <v>387</v>
      </c>
      <c r="G81" t="s">
        <v>388</v>
      </c>
      <c r="H81">
        <v>1641</v>
      </c>
      <c r="I81">
        <v>7654320</v>
      </c>
      <c r="J81">
        <v>72</v>
      </c>
      <c r="K81" t="str">
        <f t="shared" si="21"/>
        <v>24885_1</v>
      </c>
      <c r="L81" t="str">
        <f t="shared" si="22"/>
        <v>1641-7654320-72</v>
      </c>
      <c r="M81" t="str">
        <f t="shared" si="23"/>
        <v>Apr</v>
      </c>
      <c r="N81" t="str">
        <f t="shared" si="24"/>
        <v>213693</v>
      </c>
      <c r="O81" t="str">
        <f t="shared" si="25"/>
        <v>Sydney</v>
      </c>
      <c r="P81" t="str">
        <f t="shared" si="26"/>
        <v>INV</v>
      </c>
      <c r="Q81" s="1">
        <f>VALUE(SUBSTITUTE(SUBSTITUTE(F81,"S","$"),CHAR(160),""))*IF(tbl_Supplier[[#This Row],[Type]]="CR",-1,1)</f>
        <v>764.28</v>
      </c>
      <c r="R81" s="12">
        <f t="shared" si="27"/>
        <v>43942</v>
      </c>
      <c r="S81" s="31">
        <f>DATE(2020,MONTH(tbl_Supplier[[#This Row],[Paid]]),RIGHT(C81,2))</f>
        <v>43950</v>
      </c>
      <c r="T81">
        <f>tbl_Supplier[[#This Row],[Paid Date]]-tbl_Supplier[[#This Row],[Invoice Date]]</f>
        <v>8</v>
      </c>
      <c r="U81" s="1">
        <f>tbl_Supplier[[#This Row],[$ Amount]]-VLOOKUP(tbl_Supplier[[#This Row],[Cust Ref]],tbl_MC[],10,FALSE)</f>
        <v>0</v>
      </c>
    </row>
    <row r="82" spans="1:21" x14ac:dyDescent="0.25">
      <c r="A82">
        <v>24887</v>
      </c>
      <c r="B82">
        <v>1</v>
      </c>
      <c r="C82" t="s">
        <v>23</v>
      </c>
      <c r="D82" t="s">
        <v>24</v>
      </c>
      <c r="E82" t="s">
        <v>13</v>
      </c>
      <c r="F82" t="s">
        <v>389</v>
      </c>
      <c r="G82" t="s">
        <v>390</v>
      </c>
      <c r="H82">
        <v>1641</v>
      </c>
      <c r="I82">
        <v>7654320</v>
      </c>
      <c r="J82">
        <v>72</v>
      </c>
      <c r="K82" t="str">
        <f t="shared" si="21"/>
        <v>24887_1</v>
      </c>
      <c r="L82" t="str">
        <f t="shared" si="22"/>
        <v>1641-7654320-72</v>
      </c>
      <c r="M82" t="str">
        <f t="shared" si="23"/>
        <v>Mar</v>
      </c>
      <c r="N82" t="str">
        <f t="shared" si="24"/>
        <v>235040</v>
      </c>
      <c r="O82" t="str">
        <f t="shared" si="25"/>
        <v>Sydney</v>
      </c>
      <c r="P82" t="str">
        <f t="shared" si="26"/>
        <v>INV</v>
      </c>
      <c r="Q82" s="1">
        <f>VALUE(SUBSTITUTE(SUBSTITUTE(F82,"S","$"),CHAR(160),""))*IF(tbl_Supplier[[#This Row],[Type]]="CR",-1,1)</f>
        <v>335.61</v>
      </c>
      <c r="R82" s="12">
        <f t="shared" si="27"/>
        <v>43897</v>
      </c>
      <c r="S82" s="31">
        <f>DATE(2020,MONTH(tbl_Supplier[[#This Row],[Paid]]),RIGHT(C82,2))</f>
        <v>43926</v>
      </c>
      <c r="T82">
        <f>tbl_Supplier[[#This Row],[Paid Date]]-tbl_Supplier[[#This Row],[Invoice Date]]</f>
        <v>29</v>
      </c>
      <c r="U82" s="1">
        <f>tbl_Supplier[[#This Row],[$ Amount]]-VLOOKUP(tbl_Supplier[[#This Row],[Cust Ref]],tbl_MC[],10,FALSE)</f>
        <v>0</v>
      </c>
    </row>
    <row r="83" spans="1:21" x14ac:dyDescent="0.25">
      <c r="A83">
        <v>24891</v>
      </c>
      <c r="B83">
        <v>1</v>
      </c>
      <c r="C83" t="s">
        <v>359</v>
      </c>
      <c r="D83" t="s">
        <v>22</v>
      </c>
      <c r="E83" t="s">
        <v>13</v>
      </c>
      <c r="F83" t="s">
        <v>391</v>
      </c>
      <c r="G83" t="s">
        <v>392</v>
      </c>
      <c r="H83">
        <v>1641</v>
      </c>
      <c r="I83">
        <v>7654320</v>
      </c>
      <c r="J83">
        <v>72</v>
      </c>
      <c r="K83" t="str">
        <f t="shared" si="21"/>
        <v>24891_1</v>
      </c>
      <c r="L83" t="str">
        <f t="shared" si="22"/>
        <v>1641-7654320-72</v>
      </c>
      <c r="M83" t="str">
        <f t="shared" si="23"/>
        <v>Mar</v>
      </c>
      <c r="N83" t="str">
        <f t="shared" si="24"/>
        <v>211771</v>
      </c>
      <c r="O83" t="str">
        <f t="shared" si="25"/>
        <v>Sydney</v>
      </c>
      <c r="P83" t="str">
        <f t="shared" si="26"/>
        <v>INV</v>
      </c>
      <c r="Q83" s="1">
        <f>VALUE(SUBSTITUTE(SUBSTITUTE(F83,"S","$"),CHAR(160),""))*IF(tbl_Supplier[[#This Row],[Type]]="CR",-1,1)</f>
        <v>763.29</v>
      </c>
      <c r="R83" s="12">
        <f t="shared" si="27"/>
        <v>43898</v>
      </c>
      <c r="S83" s="31">
        <f>DATE(2020,MONTH(tbl_Supplier[[#This Row],[Paid]]),RIGHT(C83,2))</f>
        <v>43940</v>
      </c>
      <c r="T83">
        <f>tbl_Supplier[[#This Row],[Paid Date]]-tbl_Supplier[[#This Row],[Invoice Date]]</f>
        <v>42</v>
      </c>
      <c r="U83" s="1">
        <f>tbl_Supplier[[#This Row],[$ Amount]]-VLOOKUP(tbl_Supplier[[#This Row],[Cust Ref]],tbl_MC[],10,FALSE)</f>
        <v>0</v>
      </c>
    </row>
    <row r="84" spans="1:21" x14ac:dyDescent="0.25">
      <c r="A84">
        <v>24893</v>
      </c>
      <c r="B84">
        <v>1</v>
      </c>
      <c r="C84" t="s">
        <v>287</v>
      </c>
      <c r="D84" t="s">
        <v>227</v>
      </c>
      <c r="E84" t="s">
        <v>13</v>
      </c>
      <c r="F84" t="s">
        <v>393</v>
      </c>
      <c r="G84" t="s">
        <v>394</v>
      </c>
      <c r="H84">
        <v>2554</v>
      </c>
      <c r="I84">
        <v>4551221</v>
      </c>
      <c r="J84">
        <v>33</v>
      </c>
      <c r="K84" t="str">
        <f t="shared" si="21"/>
        <v>24893_1</v>
      </c>
      <c r="L84" t="str">
        <f t="shared" si="22"/>
        <v>2554-4551221-33</v>
      </c>
      <c r="M84" t="str">
        <f t="shared" si="23"/>
        <v>Mar</v>
      </c>
      <c r="N84" t="str">
        <f t="shared" si="24"/>
        <v>326543</v>
      </c>
      <c r="O84" t="str">
        <f t="shared" si="25"/>
        <v>Melbourne</v>
      </c>
      <c r="P84" t="str">
        <f t="shared" si="26"/>
        <v>INV</v>
      </c>
      <c r="Q84" s="1">
        <f>VALUE(SUBSTITUTE(SUBSTITUTE(F84,"S","$"),CHAR(160),""))*IF(tbl_Supplier[[#This Row],[Type]]="CR",-1,1)</f>
        <v>446.16</v>
      </c>
      <c r="R84" s="12">
        <f t="shared" si="27"/>
        <v>43919</v>
      </c>
      <c r="S84" s="31">
        <f>DATE(2020,MONTH(tbl_Supplier[[#This Row],[Paid]]),RIGHT(C84,2))</f>
        <v>43933</v>
      </c>
      <c r="T84">
        <f>tbl_Supplier[[#This Row],[Paid Date]]-tbl_Supplier[[#This Row],[Invoice Date]]</f>
        <v>14</v>
      </c>
      <c r="U84" s="1">
        <f>tbl_Supplier[[#This Row],[$ Amount]]-VLOOKUP(tbl_Supplier[[#This Row],[Cust Ref]],tbl_MC[],10,FALSE)</f>
        <v>0</v>
      </c>
    </row>
    <row r="85" spans="1:21" x14ac:dyDescent="0.25">
      <c r="A85">
        <v>24898</v>
      </c>
      <c r="B85">
        <v>1</v>
      </c>
      <c r="C85" t="s">
        <v>196</v>
      </c>
      <c r="D85" t="s">
        <v>22</v>
      </c>
      <c r="E85" t="s">
        <v>13</v>
      </c>
      <c r="F85" t="s">
        <v>395</v>
      </c>
      <c r="G85" t="s">
        <v>396</v>
      </c>
      <c r="H85">
        <v>2554</v>
      </c>
      <c r="I85">
        <v>4551221</v>
      </c>
      <c r="J85">
        <v>33</v>
      </c>
      <c r="K85" t="str">
        <f t="shared" si="21"/>
        <v>24898_1</v>
      </c>
      <c r="L85" t="str">
        <f t="shared" si="22"/>
        <v>2554-4551221-33</v>
      </c>
      <c r="M85" t="str">
        <f t="shared" si="23"/>
        <v>Mar</v>
      </c>
      <c r="N85" t="str">
        <f t="shared" si="24"/>
        <v>338553</v>
      </c>
      <c r="O85" t="str">
        <f t="shared" si="25"/>
        <v>Melbourne</v>
      </c>
      <c r="P85" t="str">
        <f t="shared" si="26"/>
        <v>INV</v>
      </c>
      <c r="Q85" s="1">
        <f>VALUE(SUBSTITUTE(SUBSTITUTE(F85,"S","$"),CHAR(160),""))*IF(tbl_Supplier[[#This Row],[Type]]="CR",-1,1)</f>
        <v>1032.24</v>
      </c>
      <c r="R85" s="12">
        <f t="shared" si="27"/>
        <v>43898</v>
      </c>
      <c r="S85" s="31">
        <f>DATE(2020,MONTH(tbl_Supplier[[#This Row],[Paid]]),RIGHT(C85,2))</f>
        <v>43941</v>
      </c>
      <c r="T85">
        <f>tbl_Supplier[[#This Row],[Paid Date]]-tbl_Supplier[[#This Row],[Invoice Date]]</f>
        <v>43</v>
      </c>
      <c r="U85" s="1">
        <f>tbl_Supplier[[#This Row],[$ Amount]]-VLOOKUP(tbl_Supplier[[#This Row],[Cust Ref]],tbl_MC[],10,FALSE)</f>
        <v>0</v>
      </c>
    </row>
    <row r="86" spans="1:21" x14ac:dyDescent="0.25">
      <c r="A86">
        <v>24902</v>
      </c>
      <c r="B86">
        <v>1</v>
      </c>
      <c r="C86" t="s">
        <v>287</v>
      </c>
      <c r="D86" t="s">
        <v>201</v>
      </c>
      <c r="E86" t="s">
        <v>13</v>
      </c>
      <c r="F86" t="s">
        <v>397</v>
      </c>
      <c r="G86" t="s">
        <v>398</v>
      </c>
      <c r="H86">
        <v>1641</v>
      </c>
      <c r="I86">
        <v>7654320</v>
      </c>
      <c r="J86">
        <v>72</v>
      </c>
      <c r="K86" t="str">
        <f t="shared" si="21"/>
        <v>24902_1</v>
      </c>
      <c r="L86" t="str">
        <f t="shared" si="22"/>
        <v>1641-7654320-72</v>
      </c>
      <c r="M86" t="str">
        <f t="shared" si="23"/>
        <v>Mar</v>
      </c>
      <c r="N86" t="str">
        <f t="shared" si="24"/>
        <v>213342</v>
      </c>
      <c r="O86" t="str">
        <f t="shared" si="25"/>
        <v>Sydney</v>
      </c>
      <c r="P86" t="str">
        <f t="shared" si="26"/>
        <v>INV</v>
      </c>
      <c r="Q86" s="1">
        <f>VALUE(SUBSTITUTE(SUBSTITUTE(F86,"S","$"),CHAR(160),""))*IF(tbl_Supplier[[#This Row],[Type]]="CR",-1,1)</f>
        <v>533.28</v>
      </c>
      <c r="R86" s="12">
        <f t="shared" si="27"/>
        <v>43915</v>
      </c>
      <c r="S86" s="31">
        <f>DATE(2020,MONTH(tbl_Supplier[[#This Row],[Paid]]),RIGHT(C86,2))</f>
        <v>43933</v>
      </c>
      <c r="T86">
        <f>tbl_Supplier[[#This Row],[Paid Date]]-tbl_Supplier[[#This Row],[Invoice Date]]</f>
        <v>18</v>
      </c>
      <c r="U86" s="1">
        <f>tbl_Supplier[[#This Row],[$ Amount]]-VLOOKUP(tbl_Supplier[[#This Row],[Cust Ref]],tbl_MC[],10,FALSE)</f>
        <v>0</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9D34A-D0CE-45EB-8220-FA6C9F3EE824}">
  <sheetPr codeName="Sheet2"/>
  <dimension ref="A1:V88"/>
  <sheetViews>
    <sheetView tabSelected="1" topLeftCell="H1" zoomScale="90" zoomScaleNormal="90" workbookViewId="0">
      <selection activeCell="Q5" sqref="Q5"/>
    </sheetView>
  </sheetViews>
  <sheetFormatPr defaultRowHeight="15" x14ac:dyDescent="0.25"/>
  <cols>
    <col min="1" max="1" width="12.85546875" customWidth="1"/>
    <col min="2" max="2" width="13.42578125" customWidth="1"/>
    <col min="3" max="3" width="12.85546875" customWidth="1"/>
    <col min="4" max="4" width="13.7109375" style="2" bestFit="1" customWidth="1"/>
    <col min="5" max="5" width="13.7109375" style="2" customWidth="1"/>
    <col min="6" max="6" width="14.140625" style="2" customWidth="1"/>
    <col min="7" max="7" width="17.28515625" customWidth="1"/>
    <col min="8" max="8" width="12.140625" customWidth="1"/>
    <col min="9" max="9" width="13.140625" customWidth="1"/>
    <col min="10" max="10" width="13.28515625" customWidth="1"/>
    <col min="11" max="11" width="14.42578125" customWidth="1"/>
    <col min="12" max="13" width="11.7109375" customWidth="1"/>
    <col min="14" max="14" width="12.7109375" customWidth="1"/>
    <col min="15" max="15" width="12.140625" customWidth="1"/>
    <col min="16" max="17" width="11.7109375" customWidth="1"/>
    <col min="18" max="18" width="3.42578125" customWidth="1"/>
    <col min="19" max="20" width="10.7109375" customWidth="1"/>
  </cols>
  <sheetData>
    <row r="1" spans="1:22" ht="23.25" x14ac:dyDescent="0.35">
      <c r="A1" s="11" t="s">
        <v>133</v>
      </c>
    </row>
    <row r="2" spans="1:22" x14ac:dyDescent="0.25">
      <c r="A2" t="s">
        <v>152</v>
      </c>
      <c r="B2" s="12">
        <f ca="1">TODAY()</f>
        <v>44958</v>
      </c>
      <c r="D2"/>
      <c r="E2" s="12"/>
      <c r="J2" s="5" t="s">
        <v>145</v>
      </c>
      <c r="K2" s="10"/>
      <c r="N2" s="5" t="s">
        <v>138</v>
      </c>
      <c r="O2" s="6">
        <v>2.5999999999999999E-2</v>
      </c>
    </row>
    <row r="3" spans="1:22" x14ac:dyDescent="0.25">
      <c r="K3" s="2"/>
      <c r="N3" s="2"/>
    </row>
    <row r="4" spans="1:22" s="4" customFormat="1" x14ac:dyDescent="0.25">
      <c r="A4" s="21" t="s">
        <v>132</v>
      </c>
      <c r="B4" s="22" t="s">
        <v>131</v>
      </c>
      <c r="C4" s="22" t="s">
        <v>5</v>
      </c>
      <c r="D4" s="22" t="s">
        <v>0</v>
      </c>
      <c r="E4" s="22" t="s">
        <v>1</v>
      </c>
      <c r="F4" s="22" t="s">
        <v>2</v>
      </c>
      <c r="G4" s="22" t="s">
        <v>21</v>
      </c>
      <c r="H4" s="22" t="s">
        <v>8</v>
      </c>
      <c r="I4" s="22" t="s">
        <v>7</v>
      </c>
      <c r="J4" s="22" t="s">
        <v>149</v>
      </c>
      <c r="K4" s="22" t="s">
        <v>135</v>
      </c>
      <c r="L4" s="22" t="s">
        <v>151</v>
      </c>
      <c r="M4" s="22" t="s">
        <v>400</v>
      </c>
      <c r="N4" s="22" t="s">
        <v>139</v>
      </c>
      <c r="O4" s="22" t="s">
        <v>137</v>
      </c>
      <c r="P4" s="35" t="s">
        <v>407</v>
      </c>
      <c r="Q4" s="35" t="s">
        <v>408</v>
      </c>
    </row>
    <row r="5" spans="1:22" x14ac:dyDescent="0.25">
      <c r="A5" t="s">
        <v>44</v>
      </c>
      <c r="B5" s="23" t="s">
        <v>134</v>
      </c>
      <c r="C5" s="23">
        <f>545671</f>
        <v>545671</v>
      </c>
      <c r="D5" s="24">
        <v>43892</v>
      </c>
      <c r="E5" s="24">
        <f t="shared" ref="E5:E36" si="0">WORKDAY(EDATE(D5,1)-1,1)</f>
        <v>43923</v>
      </c>
      <c r="F5" s="24">
        <v>43938</v>
      </c>
      <c r="G5" s="23">
        <v>223809</v>
      </c>
      <c r="H5" s="23" t="s">
        <v>45</v>
      </c>
      <c r="I5" s="23" t="s">
        <v>46</v>
      </c>
      <c r="J5" s="25">
        <v>742.5</v>
      </c>
      <c r="K5" s="24" t="str">
        <f t="shared" ref="K5:K36" si="1">TEXT(D5,"MMM")</f>
        <v>Mar</v>
      </c>
      <c r="L5" s="23">
        <f t="shared" ref="L5:L36" si="2">DAY(D5)</f>
        <v>2</v>
      </c>
      <c r="M5" s="23" t="str">
        <f>IF(tbl_MC[[#This Row],[Payment Date]]&gt;tbl_MC[[#This Row],[Due Date]],"Yes","")</f>
        <v>Yes</v>
      </c>
      <c r="N5" s="23">
        <f>IF(tbl_MC[[#This Row],[Over Due]]="",0,NETWORKDAYS(tbl_MC[[#This Row],[Due Date]],tbl_MC[[#This Row],[Payment Date]],Holidays))</f>
        <v>10</v>
      </c>
      <c r="O5" s="25">
        <f>VLOOKUP(tbl_MC[[#This Row],[Over Due By]],$S$21:$T$25,2)</f>
        <v>10.8</v>
      </c>
      <c r="P5" s="34" t="str">
        <f>IF(AND(tbl_MC[[#This Row],[Over Due By]]&gt;0,tbl_MC[[#This Row],[Amount]]&gt;=500),"Action","")</f>
        <v>Action</v>
      </c>
      <c r="Q5" s="25">
        <f>tbl_MC[[#This Row],[Amount]]-_xlfn.XLOOKUP(tbl_MC[[#This Row],[Payment Ref]],Cust_Ref,Amount,0,0,1)</f>
        <v>0</v>
      </c>
      <c r="V5" s="18"/>
    </row>
    <row r="6" spans="1:22" x14ac:dyDescent="0.25">
      <c r="A6" t="s">
        <v>402</v>
      </c>
      <c r="B6" s="23" t="s">
        <v>134</v>
      </c>
      <c r="C6" s="23">
        <v>545672</v>
      </c>
      <c r="D6" s="24">
        <v>43923</v>
      </c>
      <c r="E6" s="24">
        <f t="shared" si="0"/>
        <v>43955</v>
      </c>
      <c r="F6" s="24">
        <v>43941</v>
      </c>
      <c r="G6" s="23">
        <v>327600</v>
      </c>
      <c r="H6" s="23" t="s">
        <v>47</v>
      </c>
      <c r="I6" s="23" t="s">
        <v>48</v>
      </c>
      <c r="J6" s="26">
        <v>1021.02</v>
      </c>
      <c r="K6" s="24" t="str">
        <f t="shared" si="1"/>
        <v>Apr</v>
      </c>
      <c r="L6" s="23">
        <f t="shared" si="2"/>
        <v>2</v>
      </c>
      <c r="M6" s="23" t="str">
        <f>IF(tbl_MC[[#This Row],[Payment Date]]&gt;tbl_MC[[#This Row],[Due Date]],"Yes","")</f>
        <v/>
      </c>
      <c r="N6" s="23">
        <f>IF(tbl_MC[[#This Row],[Over Due]]="",0,NETWORKDAYS(tbl_MC[[#This Row],[Due Date]],tbl_MC[[#This Row],[Payment Date]],Holidays))</f>
        <v>0</v>
      </c>
      <c r="O6" s="25">
        <f>VLOOKUP(tbl_MC[[#This Row],[Over Due By]],$S$21:$T$25,2)</f>
        <v>0</v>
      </c>
      <c r="P6" s="34" t="str">
        <f>IF(AND(tbl_MC[[#This Row],[Over Due By]]&gt;0,tbl_MC[[#This Row],[Amount]]&gt;=500),"Action","")</f>
        <v/>
      </c>
      <c r="Q6" s="25">
        <f>tbl_MC[[#This Row],[Amount]]-_xlfn.XLOOKUP(tbl_MC[[#This Row],[Payment Ref]],Cust_Ref,Amount,0,0,1)</f>
        <v>1021.02</v>
      </c>
    </row>
    <row r="7" spans="1:22" x14ac:dyDescent="0.25">
      <c r="A7" t="s">
        <v>49</v>
      </c>
      <c r="B7" s="23" t="s">
        <v>134</v>
      </c>
      <c r="C7" s="23">
        <v>545674</v>
      </c>
      <c r="D7" s="24">
        <v>43906</v>
      </c>
      <c r="E7" s="24">
        <f t="shared" si="0"/>
        <v>43937</v>
      </c>
      <c r="F7" s="24">
        <v>43926</v>
      </c>
      <c r="G7" s="23">
        <v>332589</v>
      </c>
      <c r="H7" s="23" t="s">
        <v>47</v>
      </c>
      <c r="I7" s="23" t="s">
        <v>48</v>
      </c>
      <c r="J7" s="26">
        <v>409.53</v>
      </c>
      <c r="K7" s="24" t="str">
        <f t="shared" si="1"/>
        <v>Mar</v>
      </c>
      <c r="L7" s="23">
        <f t="shared" si="2"/>
        <v>16</v>
      </c>
      <c r="M7" s="23" t="str">
        <f>IF(tbl_MC[[#This Row],[Payment Date]]&gt;tbl_MC[[#This Row],[Due Date]],"Yes","")</f>
        <v/>
      </c>
      <c r="N7" s="23">
        <f>IF(tbl_MC[[#This Row],[Over Due]]="",0,NETWORKDAYS(tbl_MC[[#This Row],[Due Date]],tbl_MC[[#This Row],[Payment Date]],Holidays))</f>
        <v>0</v>
      </c>
      <c r="O7" s="25">
        <f>VLOOKUP(tbl_MC[[#This Row],[Over Due By]],$S$21:$T$25,2)</f>
        <v>0</v>
      </c>
      <c r="P7" s="34" t="str">
        <f>IF(AND(tbl_MC[[#This Row],[Over Due By]]&gt;0,tbl_MC[[#This Row],[Amount]]&gt;=500),"Action","")</f>
        <v/>
      </c>
      <c r="Q7" s="25">
        <f>tbl_MC[[#This Row],[Amount]]-_xlfn.XLOOKUP(tbl_MC[[#This Row],[Payment Ref]],Cust_Ref,Amount,0,0,1)</f>
        <v>0</v>
      </c>
    </row>
    <row r="8" spans="1:22" x14ac:dyDescent="0.25">
      <c r="A8" t="s">
        <v>50</v>
      </c>
      <c r="B8" s="23" t="s">
        <v>134</v>
      </c>
      <c r="C8" s="23">
        <v>545676</v>
      </c>
      <c r="D8" s="24">
        <v>43915</v>
      </c>
      <c r="E8" s="24">
        <f t="shared" si="0"/>
        <v>43948</v>
      </c>
      <c r="F8" s="24">
        <v>43941</v>
      </c>
      <c r="G8" s="23">
        <v>337131</v>
      </c>
      <c r="H8" s="23" t="s">
        <v>47</v>
      </c>
      <c r="I8" s="23" t="s">
        <v>48</v>
      </c>
      <c r="J8" s="26">
        <v>-234.96</v>
      </c>
      <c r="K8" s="24" t="str">
        <f t="shared" si="1"/>
        <v>Mar</v>
      </c>
      <c r="L8" s="23">
        <f t="shared" si="2"/>
        <v>25</v>
      </c>
      <c r="M8" s="23" t="str">
        <f>IF(tbl_MC[[#This Row],[Payment Date]]&gt;tbl_MC[[#This Row],[Due Date]],"Yes","")</f>
        <v/>
      </c>
      <c r="N8" s="23">
        <f>IF(tbl_MC[[#This Row],[Over Due]]="",0,NETWORKDAYS(tbl_MC[[#This Row],[Due Date]],tbl_MC[[#This Row],[Payment Date]],Holidays))</f>
        <v>0</v>
      </c>
      <c r="O8" s="25">
        <f>VLOOKUP(tbl_MC[[#This Row],[Over Due By]],$S$21:$T$25,2)</f>
        <v>0</v>
      </c>
      <c r="P8" s="34" t="str">
        <f>IF(AND(tbl_MC[[#This Row],[Over Due By]]&gt;0,tbl_MC[[#This Row],[Amount]]&gt;=500),"Action","")</f>
        <v/>
      </c>
      <c r="Q8" s="25">
        <f>tbl_MC[[#This Row],[Amount]]-_xlfn.XLOOKUP(tbl_MC[[#This Row],[Payment Ref]],Cust_Ref,Amount,0,0,1)</f>
        <v>0</v>
      </c>
    </row>
    <row r="9" spans="1:22" x14ac:dyDescent="0.25">
      <c r="A9" t="s">
        <v>51</v>
      </c>
      <c r="B9" s="23" t="s">
        <v>134</v>
      </c>
      <c r="C9" s="23">
        <v>545677</v>
      </c>
      <c r="D9" s="24">
        <v>43907</v>
      </c>
      <c r="E9" s="24">
        <f t="shared" si="0"/>
        <v>43938</v>
      </c>
      <c r="F9" s="24">
        <v>43931</v>
      </c>
      <c r="G9" s="23">
        <v>319376</v>
      </c>
      <c r="H9" s="23" t="s">
        <v>47</v>
      </c>
      <c r="I9" s="23" t="s">
        <v>48</v>
      </c>
      <c r="J9" s="26">
        <v>-450.12</v>
      </c>
      <c r="K9" s="24" t="str">
        <f t="shared" si="1"/>
        <v>Mar</v>
      </c>
      <c r="L9" s="23">
        <f t="shared" si="2"/>
        <v>17</v>
      </c>
      <c r="M9" s="23" t="str">
        <f>IF(tbl_MC[[#This Row],[Payment Date]]&gt;tbl_MC[[#This Row],[Due Date]],"Yes","")</f>
        <v/>
      </c>
      <c r="N9" s="23">
        <f>IF(tbl_MC[[#This Row],[Over Due]]="",0,NETWORKDAYS(tbl_MC[[#This Row],[Due Date]],tbl_MC[[#This Row],[Payment Date]],Holidays))</f>
        <v>0</v>
      </c>
      <c r="O9" s="25">
        <f>VLOOKUP(tbl_MC[[#This Row],[Over Due By]],$S$21:$T$25,2)</f>
        <v>0</v>
      </c>
      <c r="P9" s="34" t="str">
        <f>IF(AND(tbl_MC[[#This Row],[Over Due By]]&gt;0,tbl_MC[[#This Row],[Amount]]&gt;=500),"Action","")</f>
        <v/>
      </c>
      <c r="Q9" s="25">
        <f>tbl_MC[[#This Row],[Amount]]-_xlfn.XLOOKUP(tbl_MC[[#This Row],[Payment Ref]],Cust_Ref,Amount,0,0,1)</f>
        <v>0</v>
      </c>
    </row>
    <row r="10" spans="1:22" x14ac:dyDescent="0.25">
      <c r="A10" t="s">
        <v>52</v>
      </c>
      <c r="B10" s="23" t="s">
        <v>134</v>
      </c>
      <c r="C10" s="23">
        <v>545678</v>
      </c>
      <c r="D10" s="24">
        <v>43930</v>
      </c>
      <c r="E10" s="24">
        <f t="shared" si="0"/>
        <v>43962</v>
      </c>
      <c r="F10" s="24">
        <v>43951</v>
      </c>
      <c r="G10" s="23">
        <v>334724</v>
      </c>
      <c r="H10" s="23" t="s">
        <v>47</v>
      </c>
      <c r="I10" s="23" t="s">
        <v>48</v>
      </c>
      <c r="J10" s="26">
        <v>114.18</v>
      </c>
      <c r="K10" s="24" t="str">
        <f t="shared" si="1"/>
        <v>Apr</v>
      </c>
      <c r="L10" s="23">
        <f t="shared" si="2"/>
        <v>9</v>
      </c>
      <c r="M10" s="23" t="str">
        <f>IF(tbl_MC[[#This Row],[Payment Date]]&gt;tbl_MC[[#This Row],[Due Date]],"Yes","")</f>
        <v/>
      </c>
      <c r="N10" s="23">
        <f>IF(tbl_MC[[#This Row],[Over Due]]="",0,NETWORKDAYS(tbl_MC[[#This Row],[Due Date]],tbl_MC[[#This Row],[Payment Date]],Holidays))</f>
        <v>0</v>
      </c>
      <c r="O10" s="25">
        <f>VLOOKUP(tbl_MC[[#This Row],[Over Due By]],$S$21:$T$25,2)</f>
        <v>0</v>
      </c>
      <c r="P10" s="34" t="str">
        <f>IF(AND(tbl_MC[[#This Row],[Over Due By]]&gt;0,tbl_MC[[#This Row],[Amount]]&gt;=500),"Action","")</f>
        <v/>
      </c>
      <c r="Q10" s="25">
        <f>tbl_MC[[#This Row],[Amount]]-_xlfn.XLOOKUP(tbl_MC[[#This Row],[Payment Ref]],Cust_Ref,Amount,0,0,1)</f>
        <v>0</v>
      </c>
    </row>
    <row r="11" spans="1:22" x14ac:dyDescent="0.25">
      <c r="A11" t="s">
        <v>53</v>
      </c>
      <c r="B11" s="23" t="s">
        <v>134</v>
      </c>
      <c r="C11" s="23">
        <v>545679</v>
      </c>
      <c r="D11" s="24">
        <v>43913</v>
      </c>
      <c r="E11" s="24">
        <f t="shared" si="0"/>
        <v>43944</v>
      </c>
      <c r="F11" s="24">
        <v>43951</v>
      </c>
      <c r="G11" s="23">
        <v>310607</v>
      </c>
      <c r="H11" s="23" t="s">
        <v>47</v>
      </c>
      <c r="I11" s="23" t="s">
        <v>48</v>
      </c>
      <c r="J11" s="26">
        <v>930.93</v>
      </c>
      <c r="K11" s="24" t="str">
        <f t="shared" si="1"/>
        <v>Mar</v>
      </c>
      <c r="L11" s="23">
        <f t="shared" si="2"/>
        <v>23</v>
      </c>
      <c r="M11" s="23" t="str">
        <f>IF(tbl_MC[[#This Row],[Payment Date]]&gt;tbl_MC[[#This Row],[Due Date]],"Yes","")</f>
        <v>Yes</v>
      </c>
      <c r="N11" s="23">
        <f>IF(tbl_MC[[#This Row],[Over Due]]="",0,NETWORKDAYS(tbl_MC[[#This Row],[Due Date]],tbl_MC[[#This Row],[Payment Date]],Holidays))</f>
        <v>6</v>
      </c>
      <c r="O11" s="25">
        <f>VLOOKUP(tbl_MC[[#This Row],[Over Due By]],$S$21:$T$25,2)</f>
        <v>5.5</v>
      </c>
      <c r="P11" s="34" t="str">
        <f>IF(AND(tbl_MC[[#This Row],[Over Due By]]&gt;0,tbl_MC[[#This Row],[Amount]]&gt;=500),"Action","")</f>
        <v>Action</v>
      </c>
      <c r="Q11" s="25">
        <f>tbl_MC[[#This Row],[Amount]]-_xlfn.XLOOKUP(tbl_MC[[#This Row],[Payment Ref]],Cust_Ref,Amount,0,0,1)</f>
        <v>0</v>
      </c>
    </row>
    <row r="12" spans="1:22" x14ac:dyDescent="0.25">
      <c r="A12" t="s">
        <v>54</v>
      </c>
      <c r="B12" s="23" t="s">
        <v>134</v>
      </c>
      <c r="C12" s="23">
        <v>545681</v>
      </c>
      <c r="D12" s="24">
        <v>43917</v>
      </c>
      <c r="E12" s="24">
        <f t="shared" si="0"/>
        <v>43948</v>
      </c>
      <c r="F12" s="24">
        <v>43935</v>
      </c>
      <c r="G12" s="23">
        <v>226225</v>
      </c>
      <c r="H12" s="23" t="s">
        <v>45</v>
      </c>
      <c r="I12" s="23" t="s">
        <v>46</v>
      </c>
      <c r="J12" s="26">
        <v>466.29</v>
      </c>
      <c r="K12" s="24" t="str">
        <f t="shared" si="1"/>
        <v>Mar</v>
      </c>
      <c r="L12" s="23">
        <f t="shared" si="2"/>
        <v>27</v>
      </c>
      <c r="M12" s="23" t="str">
        <f>IF(tbl_MC[[#This Row],[Payment Date]]&gt;tbl_MC[[#This Row],[Due Date]],"Yes","")</f>
        <v/>
      </c>
      <c r="N12" s="23">
        <f>IF(tbl_MC[[#This Row],[Over Due]]="",0,NETWORKDAYS(tbl_MC[[#This Row],[Due Date]],tbl_MC[[#This Row],[Payment Date]],Holidays))</f>
        <v>0</v>
      </c>
      <c r="O12" s="25">
        <f>VLOOKUP(tbl_MC[[#This Row],[Over Due By]],$S$21:$T$25,2)</f>
        <v>0</v>
      </c>
      <c r="P12" s="34" t="str">
        <f>IF(AND(tbl_MC[[#This Row],[Over Due By]]&gt;0,tbl_MC[[#This Row],[Amount]]&gt;=500),"Action","")</f>
        <v/>
      </c>
      <c r="Q12" s="25">
        <f>tbl_MC[[#This Row],[Amount]]-_xlfn.XLOOKUP(tbl_MC[[#This Row],[Payment Ref]],Cust_Ref,Amount,0,0,1)</f>
        <v>0</v>
      </c>
    </row>
    <row r="13" spans="1:22" x14ac:dyDescent="0.25">
      <c r="A13" t="s">
        <v>55</v>
      </c>
      <c r="B13" s="23" t="s">
        <v>134</v>
      </c>
      <c r="C13" s="23">
        <v>545682</v>
      </c>
      <c r="D13" s="24">
        <v>43912</v>
      </c>
      <c r="E13" s="24">
        <f t="shared" si="0"/>
        <v>43943</v>
      </c>
      <c r="F13" s="24">
        <v>43948</v>
      </c>
      <c r="G13" s="23">
        <v>223858</v>
      </c>
      <c r="H13" s="23" t="s">
        <v>45</v>
      </c>
      <c r="I13" s="23" t="s">
        <v>46</v>
      </c>
      <c r="J13" s="26">
        <v>222.42</v>
      </c>
      <c r="K13" s="24" t="str">
        <f t="shared" si="1"/>
        <v>Mar</v>
      </c>
      <c r="L13" s="23">
        <f t="shared" si="2"/>
        <v>22</v>
      </c>
      <c r="M13" s="23" t="str">
        <f>IF(tbl_MC[[#This Row],[Payment Date]]&gt;tbl_MC[[#This Row],[Due Date]],"Yes","")</f>
        <v>Yes</v>
      </c>
      <c r="N13" s="23">
        <f>IF(tbl_MC[[#This Row],[Over Due]]="",0,NETWORKDAYS(tbl_MC[[#This Row],[Due Date]],tbl_MC[[#This Row],[Payment Date]],Holidays))</f>
        <v>4</v>
      </c>
      <c r="O13" s="25">
        <f>VLOOKUP(tbl_MC[[#This Row],[Over Due By]],$S$21:$T$25,2)</f>
        <v>2.25</v>
      </c>
      <c r="P13" s="34" t="str">
        <f>IF(AND(tbl_MC[[#This Row],[Over Due By]]&gt;0,tbl_MC[[#This Row],[Amount]]&gt;=500),"Action","")</f>
        <v/>
      </c>
      <c r="Q13" s="25">
        <f>tbl_MC[[#This Row],[Amount]]-_xlfn.XLOOKUP(tbl_MC[[#This Row],[Payment Ref]],Cust_Ref,Amount,0,0,1)</f>
        <v>0</v>
      </c>
    </row>
    <row r="14" spans="1:22" x14ac:dyDescent="0.25">
      <c r="A14" t="s">
        <v>56</v>
      </c>
      <c r="B14" s="23" t="s">
        <v>134</v>
      </c>
      <c r="C14" s="23">
        <v>545683</v>
      </c>
      <c r="D14" s="24">
        <v>43899</v>
      </c>
      <c r="E14" s="24">
        <f t="shared" si="0"/>
        <v>43930</v>
      </c>
      <c r="F14" s="24">
        <v>43932</v>
      </c>
      <c r="G14" s="23">
        <v>211781</v>
      </c>
      <c r="H14" s="23" t="s">
        <v>45</v>
      </c>
      <c r="I14" s="23" t="s">
        <v>46</v>
      </c>
      <c r="J14" s="26">
        <v>679.8</v>
      </c>
      <c r="K14" s="24" t="str">
        <f t="shared" si="1"/>
        <v>Mar</v>
      </c>
      <c r="L14" s="23">
        <f t="shared" si="2"/>
        <v>9</v>
      </c>
      <c r="M14" s="23" t="str">
        <f>IF(tbl_MC[[#This Row],[Payment Date]]&gt;tbl_MC[[#This Row],[Due Date]],"Yes","")</f>
        <v>Yes</v>
      </c>
      <c r="N14" s="23">
        <f>IF(tbl_MC[[#This Row],[Over Due]]="",0,NETWORKDAYS(tbl_MC[[#This Row],[Due Date]],tbl_MC[[#This Row],[Payment Date]],Holidays))</f>
        <v>1</v>
      </c>
      <c r="O14" s="25">
        <f>VLOOKUP(tbl_MC[[#This Row],[Over Due By]],$S$21:$T$25,2)</f>
        <v>2.25</v>
      </c>
      <c r="P14" s="34" t="str">
        <f>IF(AND(tbl_MC[[#This Row],[Over Due By]]&gt;0,tbl_MC[[#This Row],[Amount]]&gt;=500),"Action","")</f>
        <v>Action</v>
      </c>
      <c r="Q14" s="25">
        <f>tbl_MC[[#This Row],[Amount]]-_xlfn.XLOOKUP(tbl_MC[[#This Row],[Payment Ref]],Cust_Ref,Amount,0,0,1)</f>
        <v>0</v>
      </c>
    </row>
    <row r="15" spans="1:22" x14ac:dyDescent="0.25">
      <c r="A15" t="s">
        <v>57</v>
      </c>
      <c r="B15" s="23" t="s">
        <v>134</v>
      </c>
      <c r="C15" s="23">
        <v>545685</v>
      </c>
      <c r="D15" s="24">
        <v>43925</v>
      </c>
      <c r="E15" s="24">
        <f t="shared" si="0"/>
        <v>43955</v>
      </c>
      <c r="F15" s="24">
        <v>43944</v>
      </c>
      <c r="G15" s="23">
        <v>232805</v>
      </c>
      <c r="H15" s="23" t="s">
        <v>45</v>
      </c>
      <c r="I15" s="23" t="s">
        <v>46</v>
      </c>
      <c r="J15" s="26">
        <v>171.93</v>
      </c>
      <c r="K15" s="24" t="str">
        <f t="shared" si="1"/>
        <v>Apr</v>
      </c>
      <c r="L15" s="23">
        <f t="shared" si="2"/>
        <v>4</v>
      </c>
      <c r="M15" s="23" t="str">
        <f>IF(tbl_MC[[#This Row],[Payment Date]]&gt;tbl_MC[[#This Row],[Due Date]],"Yes","")</f>
        <v/>
      </c>
      <c r="N15" s="23">
        <f>IF(tbl_MC[[#This Row],[Over Due]]="",0,NETWORKDAYS(tbl_MC[[#This Row],[Due Date]],tbl_MC[[#This Row],[Payment Date]],Holidays))</f>
        <v>0</v>
      </c>
      <c r="O15" s="25">
        <f>VLOOKUP(tbl_MC[[#This Row],[Over Due By]],$S$21:$T$25,2)</f>
        <v>0</v>
      </c>
      <c r="P15" s="34" t="str">
        <f>IF(AND(tbl_MC[[#This Row],[Over Due By]]&gt;0,tbl_MC[[#This Row],[Amount]]&gt;=500),"Action","")</f>
        <v/>
      </c>
      <c r="Q15" s="25">
        <f>tbl_MC[[#This Row],[Amount]]-_xlfn.XLOOKUP(tbl_MC[[#This Row],[Payment Ref]],Cust_Ref,Amount,0,0,1)</f>
        <v>0</v>
      </c>
    </row>
    <row r="16" spans="1:22" x14ac:dyDescent="0.25">
      <c r="A16" t="s">
        <v>58</v>
      </c>
      <c r="B16" s="23" t="s">
        <v>134</v>
      </c>
      <c r="C16" s="23">
        <v>545687</v>
      </c>
      <c r="D16" s="24">
        <v>43885</v>
      </c>
      <c r="E16" s="24">
        <f t="shared" si="0"/>
        <v>43914</v>
      </c>
      <c r="F16" s="24">
        <v>43927</v>
      </c>
      <c r="G16" s="23">
        <v>312187</v>
      </c>
      <c r="H16" s="23" t="s">
        <v>47</v>
      </c>
      <c r="I16" s="23" t="s">
        <v>48</v>
      </c>
      <c r="J16" s="26">
        <v>623.70000000000005</v>
      </c>
      <c r="K16" s="24" t="str">
        <f t="shared" si="1"/>
        <v>Feb</v>
      </c>
      <c r="L16" s="23">
        <f t="shared" si="2"/>
        <v>24</v>
      </c>
      <c r="M16" s="23" t="str">
        <f>IF(tbl_MC[[#This Row],[Payment Date]]&gt;tbl_MC[[#This Row],[Due Date]],"Yes","")</f>
        <v>Yes</v>
      </c>
      <c r="N16" s="23">
        <f>IF(tbl_MC[[#This Row],[Over Due]]="",0,NETWORKDAYS(tbl_MC[[#This Row],[Due Date]],tbl_MC[[#This Row],[Payment Date]],Holidays))</f>
        <v>10</v>
      </c>
      <c r="O16" s="25">
        <f>VLOOKUP(tbl_MC[[#This Row],[Over Due By]],$S$21:$T$25,2)</f>
        <v>10.8</v>
      </c>
      <c r="P16" s="34" t="str">
        <f>IF(AND(tbl_MC[[#This Row],[Over Due By]]&gt;0,tbl_MC[[#This Row],[Amount]]&gt;=500),"Action","")</f>
        <v>Action</v>
      </c>
      <c r="Q16" s="25">
        <f>tbl_MC[[#This Row],[Amount]]-_xlfn.XLOOKUP(tbl_MC[[#This Row],[Payment Ref]],Cust_Ref,Amount,0,0,1)</f>
        <v>0</v>
      </c>
    </row>
    <row r="17" spans="1:20" x14ac:dyDescent="0.25">
      <c r="A17" t="s">
        <v>59</v>
      </c>
      <c r="B17" s="23" t="s">
        <v>134</v>
      </c>
      <c r="C17" s="23">
        <v>545689</v>
      </c>
      <c r="D17" s="24">
        <v>43919</v>
      </c>
      <c r="E17" s="24">
        <f t="shared" si="0"/>
        <v>43950</v>
      </c>
      <c r="F17" s="24">
        <v>43945</v>
      </c>
      <c r="G17" s="23">
        <v>319790</v>
      </c>
      <c r="H17" s="23" t="s">
        <v>47</v>
      </c>
      <c r="I17" s="23" t="s">
        <v>48</v>
      </c>
      <c r="J17" s="26">
        <v>221.1</v>
      </c>
      <c r="K17" s="24" t="str">
        <f t="shared" si="1"/>
        <v>Mar</v>
      </c>
      <c r="L17" s="23">
        <f t="shared" si="2"/>
        <v>29</v>
      </c>
      <c r="M17" s="23" t="str">
        <f>IF(tbl_MC[[#This Row],[Payment Date]]&gt;tbl_MC[[#This Row],[Due Date]],"Yes","")</f>
        <v/>
      </c>
      <c r="N17" s="23">
        <f>IF(tbl_MC[[#This Row],[Over Due]]="",0,NETWORKDAYS(tbl_MC[[#This Row],[Due Date]],tbl_MC[[#This Row],[Payment Date]],Holidays))</f>
        <v>0</v>
      </c>
      <c r="O17" s="25">
        <f>VLOOKUP(tbl_MC[[#This Row],[Over Due By]],$S$21:$T$25,2)</f>
        <v>0</v>
      </c>
      <c r="P17" s="34" t="str">
        <f>IF(AND(tbl_MC[[#This Row],[Over Due By]]&gt;0,tbl_MC[[#This Row],[Amount]]&gt;=500),"Action","")</f>
        <v/>
      </c>
      <c r="Q17" s="25">
        <f>tbl_MC[[#This Row],[Amount]]-_xlfn.XLOOKUP(tbl_MC[[#This Row],[Payment Ref]],Cust_Ref,Amount,0,0,1)</f>
        <v>0</v>
      </c>
    </row>
    <row r="18" spans="1:20" x14ac:dyDescent="0.25">
      <c r="A18" t="s">
        <v>60</v>
      </c>
      <c r="B18" s="23" t="s">
        <v>134</v>
      </c>
      <c r="C18" s="23">
        <v>545690</v>
      </c>
      <c r="D18" s="24">
        <v>43930</v>
      </c>
      <c r="E18" s="24">
        <f t="shared" si="0"/>
        <v>43962</v>
      </c>
      <c r="F18" s="24">
        <v>43949</v>
      </c>
      <c r="G18" s="23">
        <v>327342</v>
      </c>
      <c r="H18" s="23" t="s">
        <v>47</v>
      </c>
      <c r="I18" s="23" t="s">
        <v>48</v>
      </c>
      <c r="J18" s="26">
        <v>393.36</v>
      </c>
      <c r="K18" s="24" t="str">
        <f t="shared" si="1"/>
        <v>Apr</v>
      </c>
      <c r="L18" s="23">
        <f t="shared" si="2"/>
        <v>9</v>
      </c>
      <c r="M18" s="23" t="str">
        <f>IF(tbl_MC[[#This Row],[Payment Date]]&gt;tbl_MC[[#This Row],[Due Date]],"Yes","")</f>
        <v/>
      </c>
      <c r="N18" s="23">
        <f>IF(tbl_MC[[#This Row],[Over Due]]="",0,NETWORKDAYS(tbl_MC[[#This Row],[Due Date]],tbl_MC[[#This Row],[Payment Date]],Holidays))</f>
        <v>0</v>
      </c>
      <c r="O18" s="25">
        <f>VLOOKUP(tbl_MC[[#This Row],[Over Due By]],$S$21:$T$25,2)</f>
        <v>0</v>
      </c>
      <c r="P18" s="34" t="str">
        <f>IF(AND(tbl_MC[[#This Row],[Over Due By]]&gt;0,tbl_MC[[#This Row],[Amount]]&gt;=500),"Action","")</f>
        <v/>
      </c>
      <c r="Q18" s="25">
        <f>tbl_MC[[#This Row],[Amount]]-_xlfn.XLOOKUP(tbl_MC[[#This Row],[Payment Ref]],Cust_Ref,Amount,0,0,1)</f>
        <v>0</v>
      </c>
    </row>
    <row r="19" spans="1:20" x14ac:dyDescent="0.25">
      <c r="A19" t="s">
        <v>61</v>
      </c>
      <c r="B19" s="23" t="s">
        <v>134</v>
      </c>
      <c r="C19" s="23">
        <v>545691</v>
      </c>
      <c r="D19" s="24">
        <v>43899</v>
      </c>
      <c r="E19" s="24">
        <f t="shared" si="0"/>
        <v>43930</v>
      </c>
      <c r="F19" s="24">
        <v>43942</v>
      </c>
      <c r="G19" s="23">
        <v>335460</v>
      </c>
      <c r="H19" s="23" t="s">
        <v>47</v>
      </c>
      <c r="I19" s="23" t="s">
        <v>48</v>
      </c>
      <c r="J19" s="26">
        <v>642.17999999999995</v>
      </c>
      <c r="K19" s="24" t="str">
        <f t="shared" si="1"/>
        <v>Mar</v>
      </c>
      <c r="L19" s="23">
        <f t="shared" si="2"/>
        <v>9</v>
      </c>
      <c r="M19" s="23" t="str">
        <f>IF(tbl_MC[[#This Row],[Payment Date]]&gt;tbl_MC[[#This Row],[Due Date]],"Yes","")</f>
        <v>Yes</v>
      </c>
      <c r="N19" s="23">
        <f>IF(tbl_MC[[#This Row],[Over Due]]="",0,NETWORKDAYS(tbl_MC[[#This Row],[Due Date]],tbl_MC[[#This Row],[Payment Date]],Holidays))</f>
        <v>7</v>
      </c>
      <c r="O19" s="25">
        <f>VLOOKUP(tbl_MC[[#This Row],[Over Due By]],$S$21:$T$25,2)</f>
        <v>5.5</v>
      </c>
      <c r="P19" s="34" t="str">
        <f>IF(AND(tbl_MC[[#This Row],[Over Due By]]&gt;0,tbl_MC[[#This Row],[Amount]]&gt;=500),"Action","")</f>
        <v>Action</v>
      </c>
      <c r="Q19" s="25">
        <f>tbl_MC[[#This Row],[Amount]]-_xlfn.XLOOKUP(tbl_MC[[#This Row],[Payment Ref]],Cust_Ref,Amount,0,0,1)</f>
        <v>0</v>
      </c>
    </row>
    <row r="20" spans="1:20" x14ac:dyDescent="0.25">
      <c r="A20" t="s">
        <v>62</v>
      </c>
      <c r="B20" s="23" t="s">
        <v>134</v>
      </c>
      <c r="C20" s="23">
        <v>545692</v>
      </c>
      <c r="D20" s="24">
        <v>43909</v>
      </c>
      <c r="E20" s="24">
        <f t="shared" si="0"/>
        <v>43941</v>
      </c>
      <c r="F20" s="24">
        <v>43951</v>
      </c>
      <c r="G20" s="23">
        <v>323955</v>
      </c>
      <c r="H20" s="23" t="s">
        <v>47</v>
      </c>
      <c r="I20" s="23" t="s">
        <v>48</v>
      </c>
      <c r="J20" s="26">
        <v>499.95</v>
      </c>
      <c r="K20" s="24" t="str">
        <f t="shared" si="1"/>
        <v>Mar</v>
      </c>
      <c r="L20" s="23">
        <f t="shared" si="2"/>
        <v>19</v>
      </c>
      <c r="M20" s="23" t="str">
        <f>IF(tbl_MC[[#This Row],[Payment Date]]&gt;tbl_MC[[#This Row],[Due Date]],"Yes","")</f>
        <v>Yes</v>
      </c>
      <c r="N20" s="23">
        <f>IF(tbl_MC[[#This Row],[Over Due]]="",0,NETWORKDAYS(tbl_MC[[#This Row],[Due Date]],tbl_MC[[#This Row],[Payment Date]],Holidays))</f>
        <v>9</v>
      </c>
      <c r="O20" s="25">
        <f>VLOOKUP(tbl_MC[[#This Row],[Over Due By]],$S$21:$T$25,2)</f>
        <v>5.5</v>
      </c>
      <c r="P20" s="34" t="str">
        <f>IF(AND(tbl_MC[[#This Row],[Over Due By]]&gt;0,tbl_MC[[#This Row],[Amount]]&gt;=500),"Action","")</f>
        <v/>
      </c>
      <c r="Q20" s="25">
        <f>tbl_MC[[#This Row],[Amount]]-_xlfn.XLOOKUP(tbl_MC[[#This Row],[Payment Ref]],Cust_Ref,Amount,0,0,1)</f>
        <v>0</v>
      </c>
      <c r="S20" s="32" t="s">
        <v>401</v>
      </c>
      <c r="T20" s="32"/>
    </row>
    <row r="21" spans="1:20" x14ac:dyDescent="0.25">
      <c r="A21" t="s">
        <v>63</v>
      </c>
      <c r="B21" s="23" t="s">
        <v>134</v>
      </c>
      <c r="C21" s="23">
        <v>545693</v>
      </c>
      <c r="D21" s="24">
        <v>43890</v>
      </c>
      <c r="E21" s="24">
        <f t="shared" si="0"/>
        <v>43920</v>
      </c>
      <c r="F21" s="24">
        <v>43928</v>
      </c>
      <c r="G21" s="23">
        <v>316515</v>
      </c>
      <c r="H21" s="23" t="s">
        <v>47</v>
      </c>
      <c r="I21" s="23" t="s">
        <v>48</v>
      </c>
      <c r="J21" s="26">
        <v>299.64</v>
      </c>
      <c r="K21" s="24" t="str">
        <f t="shared" si="1"/>
        <v>Feb</v>
      </c>
      <c r="L21" s="23">
        <f t="shared" si="2"/>
        <v>29</v>
      </c>
      <c r="M21" s="23" t="str">
        <f>IF(tbl_MC[[#This Row],[Payment Date]]&gt;tbl_MC[[#This Row],[Due Date]],"Yes","")</f>
        <v>Yes</v>
      </c>
      <c r="N21" s="23">
        <f>IF(tbl_MC[[#This Row],[Over Due]]="",0,NETWORKDAYS(tbl_MC[[#This Row],[Due Date]],tbl_MC[[#This Row],[Payment Date]],Holidays))</f>
        <v>7</v>
      </c>
      <c r="O21" s="25">
        <f>VLOOKUP(tbl_MC[[#This Row],[Over Due By]],$S$21:$T$25,2)</f>
        <v>5.5</v>
      </c>
      <c r="P21" s="34" t="str">
        <f>IF(AND(tbl_MC[[#This Row],[Over Due By]]&gt;0,tbl_MC[[#This Row],[Amount]]&gt;=500),"Action","")</f>
        <v/>
      </c>
      <c r="Q21" s="25">
        <f>tbl_MC[[#This Row],[Amount]]-_xlfn.XLOOKUP(tbl_MC[[#This Row],[Payment Ref]],Cust_Ref,Amount,0,0,1)</f>
        <v>0</v>
      </c>
      <c r="S21" s="19">
        <v>0</v>
      </c>
      <c r="T21" s="20">
        <v>0</v>
      </c>
    </row>
    <row r="22" spans="1:20" x14ac:dyDescent="0.25">
      <c r="A22" t="s">
        <v>64</v>
      </c>
      <c r="B22" s="23" t="s">
        <v>134</v>
      </c>
      <c r="C22" s="23">
        <v>545695</v>
      </c>
      <c r="D22" s="24">
        <v>43912</v>
      </c>
      <c r="E22" s="24">
        <f t="shared" si="0"/>
        <v>43943</v>
      </c>
      <c r="F22" s="24">
        <v>43951</v>
      </c>
      <c r="G22" s="23">
        <v>231320</v>
      </c>
      <c r="H22" s="23" t="s">
        <v>45</v>
      </c>
      <c r="I22" s="23" t="s">
        <v>46</v>
      </c>
      <c r="J22" s="26">
        <v>312.83999999999997</v>
      </c>
      <c r="K22" s="24" t="str">
        <f t="shared" si="1"/>
        <v>Mar</v>
      </c>
      <c r="L22" s="23">
        <f t="shared" si="2"/>
        <v>22</v>
      </c>
      <c r="M22" s="23" t="str">
        <f>IF(tbl_MC[[#This Row],[Payment Date]]&gt;tbl_MC[[#This Row],[Due Date]],"Yes","")</f>
        <v>Yes</v>
      </c>
      <c r="N22" s="23">
        <f>IF(tbl_MC[[#This Row],[Over Due]]="",0,NETWORKDAYS(tbl_MC[[#This Row],[Due Date]],tbl_MC[[#This Row],[Payment Date]],Holidays))</f>
        <v>7</v>
      </c>
      <c r="O22" s="25">
        <f>VLOOKUP(tbl_MC[[#This Row],[Over Due By]],$S$21:$T$25,2)</f>
        <v>5.5</v>
      </c>
      <c r="P22" s="34" t="str">
        <f>IF(AND(tbl_MC[[#This Row],[Over Due By]]&gt;0,tbl_MC[[#This Row],[Amount]]&gt;=500),"Action","")</f>
        <v/>
      </c>
      <c r="Q22" s="25">
        <f>tbl_MC[[#This Row],[Amount]]-_xlfn.XLOOKUP(tbl_MC[[#This Row],[Payment Ref]],Cust_Ref,Amount,0,0,1)</f>
        <v>0</v>
      </c>
      <c r="S22" s="19">
        <v>1</v>
      </c>
      <c r="T22" s="20">
        <v>2.25</v>
      </c>
    </row>
    <row r="23" spans="1:20" x14ac:dyDescent="0.25">
      <c r="A23" t="s">
        <v>65</v>
      </c>
      <c r="B23" s="23" t="s">
        <v>134</v>
      </c>
      <c r="C23" s="23">
        <v>545696</v>
      </c>
      <c r="D23" s="24">
        <v>43904</v>
      </c>
      <c r="E23" s="24">
        <f t="shared" si="0"/>
        <v>43935</v>
      </c>
      <c r="F23" s="24">
        <v>43926</v>
      </c>
      <c r="G23" s="23">
        <v>213670</v>
      </c>
      <c r="H23" s="23" t="s">
        <v>45</v>
      </c>
      <c r="I23" s="23" t="s">
        <v>46</v>
      </c>
      <c r="J23" s="26">
        <v>993.63</v>
      </c>
      <c r="K23" s="24" t="str">
        <f t="shared" si="1"/>
        <v>Mar</v>
      </c>
      <c r="L23" s="23">
        <f t="shared" si="2"/>
        <v>14</v>
      </c>
      <c r="M23" s="23" t="str">
        <f>IF(tbl_MC[[#This Row],[Payment Date]]&gt;tbl_MC[[#This Row],[Due Date]],"Yes","")</f>
        <v/>
      </c>
      <c r="N23" s="23">
        <f>IF(tbl_MC[[#This Row],[Over Due]]="",0,NETWORKDAYS(tbl_MC[[#This Row],[Due Date]],tbl_MC[[#This Row],[Payment Date]],Holidays))</f>
        <v>0</v>
      </c>
      <c r="O23" s="25">
        <f>VLOOKUP(tbl_MC[[#This Row],[Over Due By]],$S$21:$T$25,2)</f>
        <v>0</v>
      </c>
      <c r="P23" s="34" t="str">
        <f>IF(AND(tbl_MC[[#This Row],[Over Due By]]&gt;0,tbl_MC[[#This Row],[Amount]]&gt;=500),"Action","")</f>
        <v/>
      </c>
      <c r="Q23" s="25">
        <f>tbl_MC[[#This Row],[Amount]]-_xlfn.XLOOKUP(tbl_MC[[#This Row],[Payment Ref]],Cust_Ref,Amount,0,0,1)</f>
        <v>0</v>
      </c>
      <c r="S23" s="19">
        <v>5</v>
      </c>
      <c r="T23" s="20">
        <v>5.5</v>
      </c>
    </row>
    <row r="24" spans="1:20" x14ac:dyDescent="0.25">
      <c r="A24" t="s">
        <v>66</v>
      </c>
      <c r="B24" s="23" t="s">
        <v>134</v>
      </c>
      <c r="C24" s="23">
        <v>545697</v>
      </c>
      <c r="D24" s="24">
        <v>43917</v>
      </c>
      <c r="E24" s="24">
        <f t="shared" si="0"/>
        <v>43948</v>
      </c>
      <c r="F24" s="24">
        <v>43922</v>
      </c>
      <c r="G24" s="23">
        <v>226166</v>
      </c>
      <c r="H24" s="23" t="s">
        <v>45</v>
      </c>
      <c r="I24" s="23" t="s">
        <v>46</v>
      </c>
      <c r="J24" s="26">
        <v>1053.69</v>
      </c>
      <c r="K24" s="24" t="str">
        <f t="shared" si="1"/>
        <v>Mar</v>
      </c>
      <c r="L24" s="23">
        <f t="shared" si="2"/>
        <v>27</v>
      </c>
      <c r="M24" s="23" t="str">
        <f>IF(tbl_MC[[#This Row],[Payment Date]]&gt;tbl_MC[[#This Row],[Due Date]],"Yes","")</f>
        <v/>
      </c>
      <c r="N24" s="23">
        <f>IF(tbl_MC[[#This Row],[Over Due]]="",0,NETWORKDAYS(tbl_MC[[#This Row],[Due Date]],tbl_MC[[#This Row],[Payment Date]],Holidays))</f>
        <v>0</v>
      </c>
      <c r="O24" s="25">
        <f>VLOOKUP(tbl_MC[[#This Row],[Over Due By]],$S$21:$T$25,2)</f>
        <v>0</v>
      </c>
      <c r="P24" s="34" t="str">
        <f>IF(AND(tbl_MC[[#This Row],[Over Due By]]&gt;0,tbl_MC[[#This Row],[Amount]]&gt;=500),"Action","")</f>
        <v/>
      </c>
      <c r="Q24" s="25">
        <f>tbl_MC[[#This Row],[Amount]]-_xlfn.XLOOKUP(tbl_MC[[#This Row],[Payment Ref]],Cust_Ref,Amount,0,0,1)</f>
        <v>0</v>
      </c>
      <c r="S24" s="19">
        <v>10</v>
      </c>
      <c r="T24" s="20">
        <v>10.8</v>
      </c>
    </row>
    <row r="25" spans="1:20" x14ac:dyDescent="0.25">
      <c r="A25" t="s">
        <v>67</v>
      </c>
      <c r="B25" s="23" t="s">
        <v>134</v>
      </c>
      <c r="C25" s="23">
        <v>545698</v>
      </c>
      <c r="D25" s="24">
        <v>43929</v>
      </c>
      <c r="E25" s="24">
        <f t="shared" si="0"/>
        <v>43959</v>
      </c>
      <c r="F25" s="24">
        <v>43951</v>
      </c>
      <c r="G25" s="23">
        <v>316479</v>
      </c>
      <c r="H25" s="23" t="s">
        <v>47</v>
      </c>
      <c r="I25" s="23" t="s">
        <v>48</v>
      </c>
      <c r="J25" s="26">
        <v>1047.75</v>
      </c>
      <c r="K25" s="24" t="str">
        <f t="shared" si="1"/>
        <v>Apr</v>
      </c>
      <c r="L25" s="23">
        <f t="shared" si="2"/>
        <v>8</v>
      </c>
      <c r="M25" s="23" t="str">
        <f>IF(tbl_MC[[#This Row],[Payment Date]]&gt;tbl_MC[[#This Row],[Due Date]],"Yes","")</f>
        <v/>
      </c>
      <c r="N25" s="23">
        <f>IF(tbl_MC[[#This Row],[Over Due]]="",0,NETWORKDAYS(tbl_MC[[#This Row],[Due Date]],tbl_MC[[#This Row],[Payment Date]],Holidays))</f>
        <v>0</v>
      </c>
      <c r="O25" s="25">
        <f>VLOOKUP(tbl_MC[[#This Row],[Over Due By]],$S$21:$T$25,2)</f>
        <v>0</v>
      </c>
      <c r="P25" s="34" t="str">
        <f>IF(AND(tbl_MC[[#This Row],[Over Due By]]&gt;0,tbl_MC[[#This Row],[Amount]]&gt;=500),"Action","")</f>
        <v/>
      </c>
      <c r="Q25" s="25">
        <f>tbl_MC[[#This Row],[Amount]]-_xlfn.XLOOKUP(tbl_MC[[#This Row],[Payment Ref]],Cust_Ref,Amount,0,0,1)</f>
        <v>0</v>
      </c>
      <c r="S25" s="19">
        <v>15</v>
      </c>
      <c r="T25" s="20">
        <v>25.9</v>
      </c>
    </row>
    <row r="26" spans="1:20" x14ac:dyDescent="0.25">
      <c r="A26" t="s">
        <v>68</v>
      </c>
      <c r="B26" s="23" t="s">
        <v>134</v>
      </c>
      <c r="C26" s="23">
        <v>545700</v>
      </c>
      <c r="D26" s="24">
        <v>43888</v>
      </c>
      <c r="E26" s="24">
        <f t="shared" si="0"/>
        <v>43917</v>
      </c>
      <c r="F26" s="24">
        <v>43929</v>
      </c>
      <c r="G26" s="23">
        <v>230046</v>
      </c>
      <c r="H26" s="23" t="s">
        <v>45</v>
      </c>
      <c r="I26" s="23" t="s">
        <v>46</v>
      </c>
      <c r="J26" s="26">
        <v>1096.92</v>
      </c>
      <c r="K26" s="24" t="str">
        <f t="shared" si="1"/>
        <v>Feb</v>
      </c>
      <c r="L26" s="23">
        <f t="shared" si="2"/>
        <v>27</v>
      </c>
      <c r="M26" s="23" t="str">
        <f>IF(tbl_MC[[#This Row],[Payment Date]]&gt;tbl_MC[[#This Row],[Due Date]],"Yes","")</f>
        <v>Yes</v>
      </c>
      <c r="N26" s="23">
        <f>IF(tbl_MC[[#This Row],[Over Due]]="",0,NETWORKDAYS(tbl_MC[[#This Row],[Due Date]],tbl_MC[[#This Row],[Payment Date]],Holidays))</f>
        <v>9</v>
      </c>
      <c r="O26" s="25">
        <f>VLOOKUP(tbl_MC[[#This Row],[Over Due By]],$S$21:$T$25,2)</f>
        <v>5.5</v>
      </c>
      <c r="P26" s="34" t="str">
        <f>IF(AND(tbl_MC[[#This Row],[Over Due By]]&gt;0,tbl_MC[[#This Row],[Amount]]&gt;=500),"Action","")</f>
        <v>Action</v>
      </c>
      <c r="Q26" s="25">
        <f>tbl_MC[[#This Row],[Amount]]-_xlfn.XLOOKUP(tbl_MC[[#This Row],[Payment Ref]],Cust_Ref,Amount,0,0,1)</f>
        <v>0</v>
      </c>
    </row>
    <row r="27" spans="1:20" x14ac:dyDescent="0.25">
      <c r="A27" t="s">
        <v>69</v>
      </c>
      <c r="B27" s="23" t="s">
        <v>134</v>
      </c>
      <c r="C27" s="23">
        <v>545702</v>
      </c>
      <c r="D27" s="24">
        <v>43886</v>
      </c>
      <c r="E27" s="24">
        <f t="shared" si="0"/>
        <v>43915</v>
      </c>
      <c r="F27" s="24">
        <v>43928</v>
      </c>
      <c r="G27" s="23">
        <v>224680</v>
      </c>
      <c r="H27" s="23" t="s">
        <v>45</v>
      </c>
      <c r="I27" s="23" t="s">
        <v>46</v>
      </c>
      <c r="J27" s="26">
        <v>257.07</v>
      </c>
      <c r="K27" s="24" t="str">
        <f t="shared" si="1"/>
        <v>Feb</v>
      </c>
      <c r="L27" s="23">
        <f t="shared" si="2"/>
        <v>25</v>
      </c>
      <c r="M27" s="23" t="str">
        <f>IF(tbl_MC[[#This Row],[Payment Date]]&gt;tbl_MC[[#This Row],[Due Date]],"Yes","")</f>
        <v>Yes</v>
      </c>
      <c r="N27" s="23">
        <f>IF(tbl_MC[[#This Row],[Over Due]]="",0,NETWORKDAYS(tbl_MC[[#This Row],[Due Date]],tbl_MC[[#This Row],[Payment Date]],Holidays))</f>
        <v>10</v>
      </c>
      <c r="O27" s="25">
        <f>VLOOKUP(tbl_MC[[#This Row],[Over Due By]],$S$21:$T$25,2)</f>
        <v>10.8</v>
      </c>
      <c r="P27" s="34" t="str">
        <f>IF(AND(tbl_MC[[#This Row],[Over Due By]]&gt;0,tbl_MC[[#This Row],[Amount]]&gt;=500),"Action","")</f>
        <v/>
      </c>
      <c r="Q27" s="25">
        <f>tbl_MC[[#This Row],[Amount]]-_xlfn.XLOOKUP(tbl_MC[[#This Row],[Payment Ref]],Cust_Ref,Amount,0,0,1)</f>
        <v>0</v>
      </c>
    </row>
    <row r="28" spans="1:20" x14ac:dyDescent="0.25">
      <c r="A28" t="s">
        <v>70</v>
      </c>
      <c r="B28" s="23" t="s">
        <v>134</v>
      </c>
      <c r="C28" s="23">
        <v>545703</v>
      </c>
      <c r="D28" s="24">
        <v>43945</v>
      </c>
      <c r="E28" s="24">
        <f t="shared" si="0"/>
        <v>43976</v>
      </c>
      <c r="F28" s="24">
        <v>43949</v>
      </c>
      <c r="G28" s="23">
        <v>238023</v>
      </c>
      <c r="H28" s="23" t="s">
        <v>45</v>
      </c>
      <c r="I28" s="23" t="s">
        <v>46</v>
      </c>
      <c r="J28" s="26">
        <v>215.49</v>
      </c>
      <c r="K28" s="24" t="str">
        <f t="shared" si="1"/>
        <v>Apr</v>
      </c>
      <c r="L28" s="23">
        <f t="shared" si="2"/>
        <v>24</v>
      </c>
      <c r="M28" s="23" t="str">
        <f>IF(tbl_MC[[#This Row],[Payment Date]]&gt;tbl_MC[[#This Row],[Due Date]],"Yes","")</f>
        <v/>
      </c>
      <c r="N28" s="23">
        <f>IF(tbl_MC[[#This Row],[Over Due]]="",0,NETWORKDAYS(tbl_MC[[#This Row],[Due Date]],tbl_MC[[#This Row],[Payment Date]],Holidays))</f>
        <v>0</v>
      </c>
      <c r="O28" s="25">
        <f>VLOOKUP(tbl_MC[[#This Row],[Over Due By]],$S$21:$T$25,2)</f>
        <v>0</v>
      </c>
      <c r="P28" s="34" t="str">
        <f>IF(AND(tbl_MC[[#This Row],[Over Due By]]&gt;0,tbl_MC[[#This Row],[Amount]]&gt;=500),"Action","")</f>
        <v/>
      </c>
      <c r="Q28" s="25">
        <f>tbl_MC[[#This Row],[Amount]]-_xlfn.XLOOKUP(tbl_MC[[#This Row],[Payment Ref]],Cust_Ref,Amount,0,0,1)</f>
        <v>0</v>
      </c>
    </row>
    <row r="29" spans="1:20" x14ac:dyDescent="0.25">
      <c r="A29" t="s">
        <v>71</v>
      </c>
      <c r="B29" s="23" t="s">
        <v>134</v>
      </c>
      <c r="C29" s="23">
        <v>545705</v>
      </c>
      <c r="D29" s="24">
        <v>43926</v>
      </c>
      <c r="E29" s="24">
        <f t="shared" si="0"/>
        <v>43956</v>
      </c>
      <c r="F29" s="24">
        <v>43945</v>
      </c>
      <c r="G29" s="23">
        <v>224184</v>
      </c>
      <c r="H29" s="23" t="s">
        <v>45</v>
      </c>
      <c r="I29" s="23" t="s">
        <v>46</v>
      </c>
      <c r="J29" s="26">
        <v>455.07</v>
      </c>
      <c r="K29" s="24" t="str">
        <f t="shared" si="1"/>
        <v>Apr</v>
      </c>
      <c r="L29" s="23">
        <f t="shared" si="2"/>
        <v>5</v>
      </c>
      <c r="M29" s="23" t="str">
        <f>IF(tbl_MC[[#This Row],[Payment Date]]&gt;tbl_MC[[#This Row],[Due Date]],"Yes","")</f>
        <v/>
      </c>
      <c r="N29" s="23">
        <f>IF(tbl_MC[[#This Row],[Over Due]]="",0,NETWORKDAYS(tbl_MC[[#This Row],[Due Date]],tbl_MC[[#This Row],[Payment Date]],Holidays))</f>
        <v>0</v>
      </c>
      <c r="O29" s="25">
        <f>VLOOKUP(tbl_MC[[#This Row],[Over Due By]],$S$21:$T$25,2)</f>
        <v>0</v>
      </c>
      <c r="P29" s="34" t="str">
        <f>IF(AND(tbl_MC[[#This Row],[Over Due By]]&gt;0,tbl_MC[[#This Row],[Amount]]&gt;=500),"Action","")</f>
        <v/>
      </c>
      <c r="Q29" s="25">
        <f>tbl_MC[[#This Row],[Amount]]-_xlfn.XLOOKUP(tbl_MC[[#This Row],[Payment Ref]],Cust_Ref,Amount,0,0,1)</f>
        <v>0</v>
      </c>
    </row>
    <row r="30" spans="1:20" x14ac:dyDescent="0.25">
      <c r="A30" t="s">
        <v>72</v>
      </c>
      <c r="B30" s="23" t="s">
        <v>134</v>
      </c>
      <c r="C30" s="23">
        <v>545706</v>
      </c>
      <c r="D30" s="24">
        <v>43923</v>
      </c>
      <c r="E30" s="24">
        <f t="shared" si="0"/>
        <v>43955</v>
      </c>
      <c r="F30" s="24">
        <v>43930</v>
      </c>
      <c r="G30" s="23">
        <v>216205</v>
      </c>
      <c r="H30" s="23" t="s">
        <v>45</v>
      </c>
      <c r="I30" s="23" t="s">
        <v>46</v>
      </c>
      <c r="J30" s="26">
        <v>711.81</v>
      </c>
      <c r="K30" s="24" t="str">
        <f t="shared" si="1"/>
        <v>Apr</v>
      </c>
      <c r="L30" s="23">
        <f t="shared" si="2"/>
        <v>2</v>
      </c>
      <c r="M30" s="23" t="str">
        <f>IF(tbl_MC[[#This Row],[Payment Date]]&gt;tbl_MC[[#This Row],[Due Date]],"Yes","")</f>
        <v/>
      </c>
      <c r="N30" s="23">
        <f>IF(tbl_MC[[#This Row],[Over Due]]="",0,NETWORKDAYS(tbl_MC[[#This Row],[Due Date]],tbl_MC[[#This Row],[Payment Date]],Holidays))</f>
        <v>0</v>
      </c>
      <c r="O30" s="25">
        <f>VLOOKUP(tbl_MC[[#This Row],[Over Due By]],$S$21:$T$25,2)</f>
        <v>0</v>
      </c>
      <c r="P30" s="34" t="str">
        <f>IF(AND(tbl_MC[[#This Row],[Over Due By]]&gt;0,tbl_MC[[#This Row],[Amount]]&gt;=500),"Action","")</f>
        <v/>
      </c>
      <c r="Q30" s="25">
        <f>tbl_MC[[#This Row],[Amount]]-_xlfn.XLOOKUP(tbl_MC[[#This Row],[Payment Ref]],Cust_Ref,Amount,0,0,1)</f>
        <v>0</v>
      </c>
    </row>
    <row r="31" spans="1:20" x14ac:dyDescent="0.25">
      <c r="A31" t="s">
        <v>73</v>
      </c>
      <c r="B31" s="23" t="s">
        <v>134</v>
      </c>
      <c r="C31" s="23">
        <v>545707</v>
      </c>
      <c r="D31" s="24">
        <v>43911</v>
      </c>
      <c r="E31" s="24">
        <f t="shared" si="0"/>
        <v>43942</v>
      </c>
      <c r="F31" s="24">
        <v>43925</v>
      </c>
      <c r="G31" s="23">
        <v>331383</v>
      </c>
      <c r="H31" s="23" t="s">
        <v>47</v>
      </c>
      <c r="I31" s="23" t="s">
        <v>48</v>
      </c>
      <c r="J31" s="26">
        <v>78.540000000000006</v>
      </c>
      <c r="K31" s="24" t="str">
        <f t="shared" si="1"/>
        <v>Mar</v>
      </c>
      <c r="L31" s="23">
        <f t="shared" si="2"/>
        <v>21</v>
      </c>
      <c r="M31" s="23" t="str">
        <f>IF(tbl_MC[[#This Row],[Payment Date]]&gt;tbl_MC[[#This Row],[Due Date]],"Yes","")</f>
        <v/>
      </c>
      <c r="N31" s="23">
        <f>IF(tbl_MC[[#This Row],[Over Due]]="",0,NETWORKDAYS(tbl_MC[[#This Row],[Due Date]],tbl_MC[[#This Row],[Payment Date]],Holidays))</f>
        <v>0</v>
      </c>
      <c r="O31" s="25">
        <f>VLOOKUP(tbl_MC[[#This Row],[Over Due By]],$S$21:$T$25,2)</f>
        <v>0</v>
      </c>
      <c r="P31" s="34" t="str">
        <f>IF(AND(tbl_MC[[#This Row],[Over Due By]]&gt;0,tbl_MC[[#This Row],[Amount]]&gt;=500),"Action","")</f>
        <v/>
      </c>
      <c r="Q31" s="25">
        <f>tbl_MC[[#This Row],[Amount]]-_xlfn.XLOOKUP(tbl_MC[[#This Row],[Payment Ref]],Cust_Ref,Amount,0,0,1)</f>
        <v>0</v>
      </c>
    </row>
    <row r="32" spans="1:20" x14ac:dyDescent="0.25">
      <c r="A32" t="s">
        <v>74</v>
      </c>
      <c r="B32" s="23" t="s">
        <v>134</v>
      </c>
      <c r="C32" s="23">
        <v>545708</v>
      </c>
      <c r="D32" s="24">
        <v>43892</v>
      </c>
      <c r="E32" s="24">
        <f t="shared" si="0"/>
        <v>43923</v>
      </c>
      <c r="F32" s="24">
        <v>43927</v>
      </c>
      <c r="G32" s="23">
        <v>335282</v>
      </c>
      <c r="H32" s="23" t="s">
        <v>47</v>
      </c>
      <c r="I32" s="23" t="s">
        <v>48</v>
      </c>
      <c r="J32" s="26">
        <v>302.61</v>
      </c>
      <c r="K32" s="24" t="str">
        <f t="shared" si="1"/>
        <v>Mar</v>
      </c>
      <c r="L32" s="23">
        <f t="shared" si="2"/>
        <v>2</v>
      </c>
      <c r="M32" s="23" t="str">
        <f>IF(tbl_MC[[#This Row],[Payment Date]]&gt;tbl_MC[[#This Row],[Due Date]],"Yes","")</f>
        <v>Yes</v>
      </c>
      <c r="N32" s="23">
        <f>IF(tbl_MC[[#This Row],[Over Due]]="",0,NETWORKDAYS(tbl_MC[[#This Row],[Due Date]],tbl_MC[[#This Row],[Payment Date]],Holidays))</f>
        <v>3</v>
      </c>
      <c r="O32" s="25">
        <f>VLOOKUP(tbl_MC[[#This Row],[Over Due By]],$S$21:$T$25,2)</f>
        <v>2.25</v>
      </c>
      <c r="P32" s="34" t="str">
        <f>IF(AND(tbl_MC[[#This Row],[Over Due By]]&gt;0,tbl_MC[[#This Row],[Amount]]&gt;=500),"Action","")</f>
        <v/>
      </c>
      <c r="Q32" s="25">
        <f>tbl_MC[[#This Row],[Amount]]-_xlfn.XLOOKUP(tbl_MC[[#This Row],[Payment Ref]],Cust_Ref,Amount,0,0,1)</f>
        <v>0</v>
      </c>
    </row>
    <row r="33" spans="1:17" x14ac:dyDescent="0.25">
      <c r="A33" t="s">
        <v>75</v>
      </c>
      <c r="B33" s="23" t="s">
        <v>134</v>
      </c>
      <c r="C33" s="23">
        <v>545710</v>
      </c>
      <c r="D33" s="24">
        <v>43886</v>
      </c>
      <c r="E33" s="24">
        <f t="shared" si="0"/>
        <v>43915</v>
      </c>
      <c r="F33" s="24">
        <v>43931</v>
      </c>
      <c r="G33" s="23">
        <v>330858</v>
      </c>
      <c r="H33" s="23" t="s">
        <v>47</v>
      </c>
      <c r="I33" s="23" t="s">
        <v>48</v>
      </c>
      <c r="J33" s="26">
        <v>426.03</v>
      </c>
      <c r="K33" s="24" t="str">
        <f t="shared" si="1"/>
        <v>Feb</v>
      </c>
      <c r="L33" s="23">
        <f t="shared" si="2"/>
        <v>25</v>
      </c>
      <c r="M33" s="23" t="str">
        <f>IF(tbl_MC[[#This Row],[Payment Date]]&gt;tbl_MC[[#This Row],[Due Date]],"Yes","")</f>
        <v>Yes</v>
      </c>
      <c r="N33" s="23">
        <f>IF(tbl_MC[[#This Row],[Over Due]]="",0,NETWORKDAYS(tbl_MC[[#This Row],[Due Date]],tbl_MC[[#This Row],[Payment Date]],Holidays))</f>
        <v>12</v>
      </c>
      <c r="O33" s="25">
        <f>VLOOKUP(tbl_MC[[#This Row],[Over Due By]],$S$21:$T$25,2)</f>
        <v>10.8</v>
      </c>
      <c r="P33" s="34" t="str">
        <f>IF(AND(tbl_MC[[#This Row],[Over Due By]]&gt;0,tbl_MC[[#This Row],[Amount]]&gt;=500),"Action","")</f>
        <v/>
      </c>
      <c r="Q33" s="25">
        <f>tbl_MC[[#This Row],[Amount]]-_xlfn.XLOOKUP(tbl_MC[[#This Row],[Payment Ref]],Cust_Ref,Amount,0,0,1)</f>
        <v>0</v>
      </c>
    </row>
    <row r="34" spans="1:17" x14ac:dyDescent="0.25">
      <c r="A34" t="s">
        <v>76</v>
      </c>
      <c r="B34" s="23" t="s">
        <v>134</v>
      </c>
      <c r="C34" s="23">
        <v>545711</v>
      </c>
      <c r="D34" s="24">
        <v>43899</v>
      </c>
      <c r="E34" s="24">
        <f t="shared" si="0"/>
        <v>43930</v>
      </c>
      <c r="F34" s="24">
        <v>43932</v>
      </c>
      <c r="G34" s="23">
        <v>238202</v>
      </c>
      <c r="H34" s="23" t="s">
        <v>45</v>
      </c>
      <c r="I34" s="23" t="s">
        <v>46</v>
      </c>
      <c r="J34" s="26">
        <v>489.72</v>
      </c>
      <c r="K34" s="24" t="str">
        <f t="shared" si="1"/>
        <v>Mar</v>
      </c>
      <c r="L34" s="23">
        <f t="shared" si="2"/>
        <v>9</v>
      </c>
      <c r="M34" s="23" t="str">
        <f>IF(tbl_MC[[#This Row],[Payment Date]]&gt;tbl_MC[[#This Row],[Due Date]],"Yes","")</f>
        <v>Yes</v>
      </c>
      <c r="N34" s="23">
        <f>IF(tbl_MC[[#This Row],[Over Due]]="",0,NETWORKDAYS(tbl_MC[[#This Row],[Due Date]],tbl_MC[[#This Row],[Payment Date]],Holidays))</f>
        <v>1</v>
      </c>
      <c r="O34" s="25">
        <f>VLOOKUP(tbl_MC[[#This Row],[Over Due By]],$S$21:$T$25,2)</f>
        <v>2.25</v>
      </c>
      <c r="P34" s="34" t="str">
        <f>IF(AND(tbl_MC[[#This Row],[Over Due By]]&gt;0,tbl_MC[[#This Row],[Amount]]&gt;=500),"Action","")</f>
        <v/>
      </c>
      <c r="Q34" s="25">
        <f>tbl_MC[[#This Row],[Amount]]-_xlfn.XLOOKUP(tbl_MC[[#This Row],[Payment Ref]],Cust_Ref,Amount,0,0,1)</f>
        <v>0</v>
      </c>
    </row>
    <row r="35" spans="1:17" x14ac:dyDescent="0.25">
      <c r="A35" t="s">
        <v>77</v>
      </c>
      <c r="B35" s="23" t="s">
        <v>134</v>
      </c>
      <c r="C35" s="23">
        <v>545713</v>
      </c>
      <c r="D35" s="24">
        <v>43915</v>
      </c>
      <c r="E35" s="24">
        <f t="shared" si="0"/>
        <v>43948</v>
      </c>
      <c r="F35" s="24">
        <v>43949</v>
      </c>
      <c r="G35" s="23">
        <v>217217</v>
      </c>
      <c r="H35" s="23" t="s">
        <v>45</v>
      </c>
      <c r="I35" s="23" t="s">
        <v>46</v>
      </c>
      <c r="J35" s="26">
        <v>352.44</v>
      </c>
      <c r="K35" s="24" t="str">
        <f t="shared" si="1"/>
        <v>Mar</v>
      </c>
      <c r="L35" s="23">
        <f t="shared" si="2"/>
        <v>25</v>
      </c>
      <c r="M35" s="23" t="str">
        <f>IF(tbl_MC[[#This Row],[Payment Date]]&gt;tbl_MC[[#This Row],[Due Date]],"Yes","")</f>
        <v>Yes</v>
      </c>
      <c r="N35" s="23">
        <f>IF(tbl_MC[[#This Row],[Over Due]]="",0,NETWORKDAYS(tbl_MC[[#This Row],[Due Date]],tbl_MC[[#This Row],[Payment Date]],Holidays))</f>
        <v>2</v>
      </c>
      <c r="O35" s="25">
        <f>VLOOKUP(tbl_MC[[#This Row],[Over Due By]],$S$21:$T$25,2)</f>
        <v>2.25</v>
      </c>
      <c r="P35" s="34" t="str">
        <f>IF(AND(tbl_MC[[#This Row],[Over Due By]]&gt;0,tbl_MC[[#This Row],[Amount]]&gt;=500),"Action","")</f>
        <v/>
      </c>
      <c r="Q35" s="25">
        <f>tbl_MC[[#This Row],[Amount]]-_xlfn.XLOOKUP(tbl_MC[[#This Row],[Payment Ref]],Cust_Ref,Amount,0,0,1)</f>
        <v>0</v>
      </c>
    </row>
    <row r="36" spans="1:17" x14ac:dyDescent="0.25">
      <c r="A36" t="s">
        <v>78</v>
      </c>
      <c r="B36" s="23" t="s">
        <v>134</v>
      </c>
      <c r="C36" s="23">
        <v>545715</v>
      </c>
      <c r="D36" s="24">
        <v>43912</v>
      </c>
      <c r="E36" s="24">
        <f t="shared" si="0"/>
        <v>43943</v>
      </c>
      <c r="F36" s="24">
        <v>43937</v>
      </c>
      <c r="G36" s="23">
        <v>234637</v>
      </c>
      <c r="H36" s="23" t="s">
        <v>45</v>
      </c>
      <c r="I36" s="23" t="s">
        <v>46</v>
      </c>
      <c r="J36" s="26">
        <v>238.59</v>
      </c>
      <c r="K36" s="24" t="str">
        <f t="shared" si="1"/>
        <v>Mar</v>
      </c>
      <c r="L36" s="23">
        <f t="shared" si="2"/>
        <v>22</v>
      </c>
      <c r="M36" s="23" t="str">
        <f>IF(tbl_MC[[#This Row],[Payment Date]]&gt;tbl_MC[[#This Row],[Due Date]],"Yes","")</f>
        <v/>
      </c>
      <c r="N36" s="23">
        <f>IF(tbl_MC[[#This Row],[Over Due]]="",0,NETWORKDAYS(tbl_MC[[#This Row],[Due Date]],tbl_MC[[#This Row],[Payment Date]],Holidays))</f>
        <v>0</v>
      </c>
      <c r="O36" s="25">
        <f>VLOOKUP(tbl_MC[[#This Row],[Over Due By]],$S$21:$T$25,2)</f>
        <v>0</v>
      </c>
      <c r="P36" s="34" t="str">
        <f>IF(AND(tbl_MC[[#This Row],[Over Due By]]&gt;0,tbl_MC[[#This Row],[Amount]]&gt;=500),"Action","")</f>
        <v/>
      </c>
      <c r="Q36" s="25">
        <f>tbl_MC[[#This Row],[Amount]]-_xlfn.XLOOKUP(tbl_MC[[#This Row],[Payment Ref]],Cust_Ref,Amount,0,0,1)</f>
        <v>0</v>
      </c>
    </row>
    <row r="37" spans="1:17" x14ac:dyDescent="0.25">
      <c r="A37" t="s">
        <v>79</v>
      </c>
      <c r="B37" s="23" t="s">
        <v>134</v>
      </c>
      <c r="C37" s="23">
        <v>545716</v>
      </c>
      <c r="D37" s="24">
        <v>43936</v>
      </c>
      <c r="E37" s="24">
        <f t="shared" ref="E37:E68" si="3">WORKDAY(EDATE(D37,1)-1,1)</f>
        <v>43966</v>
      </c>
      <c r="F37" s="24">
        <v>43941</v>
      </c>
      <c r="G37" s="23">
        <v>332725</v>
      </c>
      <c r="H37" s="23" t="s">
        <v>47</v>
      </c>
      <c r="I37" s="23" t="s">
        <v>48</v>
      </c>
      <c r="J37" s="26">
        <v>549.12</v>
      </c>
      <c r="K37" s="24" t="str">
        <f t="shared" ref="K37:K68" si="4">TEXT(D37,"MMM")</f>
        <v>Apr</v>
      </c>
      <c r="L37" s="23">
        <f t="shared" ref="L37:L68" si="5">DAY(D37)</f>
        <v>15</v>
      </c>
      <c r="M37" s="23" t="str">
        <f>IF(tbl_MC[[#This Row],[Payment Date]]&gt;tbl_MC[[#This Row],[Due Date]],"Yes","")</f>
        <v/>
      </c>
      <c r="N37" s="23">
        <f>IF(tbl_MC[[#This Row],[Over Due]]="",0,NETWORKDAYS(tbl_MC[[#This Row],[Due Date]],tbl_MC[[#This Row],[Payment Date]],Holidays))</f>
        <v>0</v>
      </c>
      <c r="O37" s="25">
        <f>VLOOKUP(tbl_MC[[#This Row],[Over Due By]],$S$21:$T$25,2)</f>
        <v>0</v>
      </c>
      <c r="P37" s="34" t="str">
        <f>IF(AND(tbl_MC[[#This Row],[Over Due By]]&gt;0,tbl_MC[[#This Row],[Amount]]&gt;=500),"Action","")</f>
        <v/>
      </c>
      <c r="Q37" s="25">
        <f>tbl_MC[[#This Row],[Amount]]-_xlfn.XLOOKUP(tbl_MC[[#This Row],[Payment Ref]],Cust_Ref,Amount,0,0,1)</f>
        <v>0</v>
      </c>
    </row>
    <row r="38" spans="1:17" x14ac:dyDescent="0.25">
      <c r="A38" t="s">
        <v>80</v>
      </c>
      <c r="B38" s="23" t="s">
        <v>134</v>
      </c>
      <c r="C38" s="23">
        <v>545718</v>
      </c>
      <c r="D38" s="24">
        <v>43893</v>
      </c>
      <c r="E38" s="24">
        <f t="shared" si="3"/>
        <v>43924</v>
      </c>
      <c r="F38" s="24">
        <v>43923</v>
      </c>
      <c r="G38" s="23">
        <v>227351</v>
      </c>
      <c r="H38" s="23" t="s">
        <v>45</v>
      </c>
      <c r="I38" s="23" t="s">
        <v>46</v>
      </c>
      <c r="J38" s="26">
        <v>322.41000000000003</v>
      </c>
      <c r="K38" s="24" t="str">
        <f t="shared" si="4"/>
        <v>Mar</v>
      </c>
      <c r="L38" s="23">
        <f t="shared" si="5"/>
        <v>3</v>
      </c>
      <c r="M38" s="23" t="str">
        <f>IF(tbl_MC[[#This Row],[Payment Date]]&gt;tbl_MC[[#This Row],[Due Date]],"Yes","")</f>
        <v/>
      </c>
      <c r="N38" s="23">
        <f>IF(tbl_MC[[#This Row],[Over Due]]="",0,NETWORKDAYS(tbl_MC[[#This Row],[Due Date]],tbl_MC[[#This Row],[Payment Date]],Holidays))</f>
        <v>0</v>
      </c>
      <c r="O38" s="25">
        <f>VLOOKUP(tbl_MC[[#This Row],[Over Due By]],$S$21:$T$25,2)</f>
        <v>0</v>
      </c>
      <c r="P38" s="34" t="str">
        <f>IF(AND(tbl_MC[[#This Row],[Over Due By]]&gt;0,tbl_MC[[#This Row],[Amount]]&gt;=500),"Action","")</f>
        <v/>
      </c>
      <c r="Q38" s="25">
        <f>tbl_MC[[#This Row],[Amount]]-_xlfn.XLOOKUP(tbl_MC[[#This Row],[Payment Ref]],Cust_Ref,Amount,0,0,1)</f>
        <v>0</v>
      </c>
    </row>
    <row r="39" spans="1:17" x14ac:dyDescent="0.25">
      <c r="A39" t="s">
        <v>81</v>
      </c>
      <c r="B39" s="23" t="s">
        <v>134</v>
      </c>
      <c r="C39" s="23">
        <v>545719</v>
      </c>
      <c r="D39" s="24">
        <v>43892</v>
      </c>
      <c r="E39" s="24">
        <f t="shared" si="3"/>
        <v>43923</v>
      </c>
      <c r="F39" s="24">
        <v>43934</v>
      </c>
      <c r="G39" s="23">
        <v>336345</v>
      </c>
      <c r="H39" s="23" t="s">
        <v>47</v>
      </c>
      <c r="I39" s="23" t="s">
        <v>48</v>
      </c>
      <c r="J39" s="26">
        <v>644.82000000000005</v>
      </c>
      <c r="K39" s="24" t="str">
        <f t="shared" si="4"/>
        <v>Mar</v>
      </c>
      <c r="L39" s="23">
        <f t="shared" si="5"/>
        <v>2</v>
      </c>
      <c r="M39" s="23" t="str">
        <f>IF(tbl_MC[[#This Row],[Payment Date]]&gt;tbl_MC[[#This Row],[Due Date]],"Yes","")</f>
        <v>Yes</v>
      </c>
      <c r="N39" s="23">
        <f>IF(tbl_MC[[#This Row],[Over Due]]="",0,NETWORKDAYS(tbl_MC[[#This Row],[Due Date]],tbl_MC[[#This Row],[Payment Date]],Holidays))</f>
        <v>6</v>
      </c>
      <c r="O39" s="25">
        <f>VLOOKUP(tbl_MC[[#This Row],[Over Due By]],$S$21:$T$25,2)</f>
        <v>5.5</v>
      </c>
      <c r="P39" s="34" t="str">
        <f>IF(AND(tbl_MC[[#This Row],[Over Due By]]&gt;0,tbl_MC[[#This Row],[Amount]]&gt;=500),"Action","")</f>
        <v>Action</v>
      </c>
      <c r="Q39" s="25">
        <f>tbl_MC[[#This Row],[Amount]]-_xlfn.XLOOKUP(tbl_MC[[#This Row],[Payment Ref]],Cust_Ref,Amount,0,0,1)</f>
        <v>0</v>
      </c>
    </row>
    <row r="40" spans="1:17" x14ac:dyDescent="0.25">
      <c r="A40" t="s">
        <v>82</v>
      </c>
      <c r="B40" s="23" t="s">
        <v>134</v>
      </c>
      <c r="C40" s="23">
        <v>545721</v>
      </c>
      <c r="D40" s="24">
        <v>43923</v>
      </c>
      <c r="E40" s="24">
        <f t="shared" si="3"/>
        <v>43955</v>
      </c>
      <c r="F40" s="24">
        <v>43944</v>
      </c>
      <c r="G40" s="23">
        <v>338595</v>
      </c>
      <c r="H40" s="23" t="s">
        <v>47</v>
      </c>
      <c r="I40" s="23" t="s">
        <v>48</v>
      </c>
      <c r="J40" s="26">
        <v>113.19</v>
      </c>
      <c r="K40" s="24" t="str">
        <f t="shared" si="4"/>
        <v>Apr</v>
      </c>
      <c r="L40" s="23">
        <f t="shared" si="5"/>
        <v>2</v>
      </c>
      <c r="M40" s="23" t="str">
        <f>IF(tbl_MC[[#This Row],[Payment Date]]&gt;tbl_MC[[#This Row],[Due Date]],"Yes","")</f>
        <v/>
      </c>
      <c r="N40" s="23">
        <f>IF(tbl_MC[[#This Row],[Over Due]]="",0,NETWORKDAYS(tbl_MC[[#This Row],[Due Date]],tbl_MC[[#This Row],[Payment Date]],Holidays))</f>
        <v>0</v>
      </c>
      <c r="O40" s="25">
        <f>VLOOKUP(tbl_MC[[#This Row],[Over Due By]],$S$21:$T$25,2)</f>
        <v>0</v>
      </c>
      <c r="P40" s="34" t="str">
        <f>IF(AND(tbl_MC[[#This Row],[Over Due By]]&gt;0,tbl_MC[[#This Row],[Amount]]&gt;=500),"Action","")</f>
        <v/>
      </c>
      <c r="Q40" s="25">
        <f>tbl_MC[[#This Row],[Amount]]-_xlfn.XLOOKUP(tbl_MC[[#This Row],[Payment Ref]],Cust_Ref,Amount,0,0,1)</f>
        <v>0</v>
      </c>
    </row>
    <row r="41" spans="1:17" x14ac:dyDescent="0.25">
      <c r="A41" t="s">
        <v>83</v>
      </c>
      <c r="B41" s="23" t="s">
        <v>134</v>
      </c>
      <c r="C41" s="23">
        <v>545722</v>
      </c>
      <c r="D41" s="24">
        <v>43941</v>
      </c>
      <c r="E41" s="24">
        <f t="shared" si="3"/>
        <v>43971</v>
      </c>
      <c r="F41" s="24">
        <v>43949</v>
      </c>
      <c r="G41" s="23">
        <v>325149</v>
      </c>
      <c r="H41" s="23" t="s">
        <v>47</v>
      </c>
      <c r="I41" s="23" t="s">
        <v>48</v>
      </c>
      <c r="J41" s="26">
        <v>449.13</v>
      </c>
      <c r="K41" s="24" t="str">
        <f t="shared" si="4"/>
        <v>Apr</v>
      </c>
      <c r="L41" s="23">
        <f t="shared" si="5"/>
        <v>20</v>
      </c>
      <c r="M41" s="23" t="str">
        <f>IF(tbl_MC[[#This Row],[Payment Date]]&gt;tbl_MC[[#This Row],[Due Date]],"Yes","")</f>
        <v/>
      </c>
      <c r="N41" s="23">
        <f>IF(tbl_MC[[#This Row],[Over Due]]="",0,NETWORKDAYS(tbl_MC[[#This Row],[Due Date]],tbl_MC[[#This Row],[Payment Date]],Holidays))</f>
        <v>0</v>
      </c>
      <c r="O41" s="25">
        <f>VLOOKUP(tbl_MC[[#This Row],[Over Due By]],$S$21:$T$25,2)</f>
        <v>0</v>
      </c>
      <c r="P41" s="34" t="str">
        <f>IF(AND(tbl_MC[[#This Row],[Over Due By]]&gt;0,tbl_MC[[#This Row],[Amount]]&gt;=500),"Action","")</f>
        <v/>
      </c>
      <c r="Q41" s="25">
        <f>tbl_MC[[#This Row],[Amount]]-_xlfn.XLOOKUP(tbl_MC[[#This Row],[Payment Ref]],Cust_Ref,Amount,0,0,1)</f>
        <v>0</v>
      </c>
    </row>
    <row r="42" spans="1:17" x14ac:dyDescent="0.25">
      <c r="A42" t="s">
        <v>84</v>
      </c>
      <c r="B42" s="23" t="s">
        <v>134</v>
      </c>
      <c r="C42" s="23">
        <v>545723</v>
      </c>
      <c r="D42" s="24">
        <v>43911</v>
      </c>
      <c r="E42" s="24">
        <f t="shared" si="3"/>
        <v>43942</v>
      </c>
      <c r="F42" s="24">
        <v>43933</v>
      </c>
      <c r="G42" s="23">
        <v>227994</v>
      </c>
      <c r="H42" s="23" t="s">
        <v>45</v>
      </c>
      <c r="I42" s="23" t="s">
        <v>46</v>
      </c>
      <c r="J42" s="26">
        <v>819.06</v>
      </c>
      <c r="K42" s="24" t="str">
        <f t="shared" si="4"/>
        <v>Mar</v>
      </c>
      <c r="L42" s="23">
        <f t="shared" si="5"/>
        <v>21</v>
      </c>
      <c r="M42" s="23" t="str">
        <f>IF(tbl_MC[[#This Row],[Payment Date]]&gt;tbl_MC[[#This Row],[Due Date]],"Yes","")</f>
        <v/>
      </c>
      <c r="N42" s="23">
        <f>IF(tbl_MC[[#This Row],[Over Due]]="",0,NETWORKDAYS(tbl_MC[[#This Row],[Due Date]],tbl_MC[[#This Row],[Payment Date]],Holidays))</f>
        <v>0</v>
      </c>
      <c r="O42" s="25">
        <f>VLOOKUP(tbl_MC[[#This Row],[Over Due By]],$S$21:$T$25,2)</f>
        <v>0</v>
      </c>
      <c r="P42" s="34" t="str">
        <f>IF(AND(tbl_MC[[#This Row],[Over Due By]]&gt;0,tbl_MC[[#This Row],[Amount]]&gt;=500),"Action","")</f>
        <v/>
      </c>
      <c r="Q42" s="25">
        <f>tbl_MC[[#This Row],[Amount]]-_xlfn.XLOOKUP(tbl_MC[[#This Row],[Payment Ref]],Cust_Ref,Amount,0,0,1)</f>
        <v>0</v>
      </c>
    </row>
    <row r="43" spans="1:17" x14ac:dyDescent="0.25">
      <c r="A43" t="s">
        <v>85</v>
      </c>
      <c r="B43" s="23" t="s">
        <v>134</v>
      </c>
      <c r="C43" s="23">
        <v>545724</v>
      </c>
      <c r="D43" s="24">
        <v>43880</v>
      </c>
      <c r="E43" s="24">
        <f t="shared" si="3"/>
        <v>43909</v>
      </c>
      <c r="F43" s="24">
        <v>43924</v>
      </c>
      <c r="G43" s="23">
        <v>222399</v>
      </c>
      <c r="H43" s="23" t="s">
        <v>45</v>
      </c>
      <c r="I43" s="23" t="s">
        <v>46</v>
      </c>
      <c r="J43" s="26">
        <v>1019.04</v>
      </c>
      <c r="K43" s="24" t="str">
        <f t="shared" si="4"/>
        <v>Feb</v>
      </c>
      <c r="L43" s="23">
        <f t="shared" si="5"/>
        <v>19</v>
      </c>
      <c r="M43" s="23" t="str">
        <f>IF(tbl_MC[[#This Row],[Payment Date]]&gt;tbl_MC[[#This Row],[Due Date]],"Yes","")</f>
        <v>Yes</v>
      </c>
      <c r="N43" s="23">
        <f>IF(tbl_MC[[#This Row],[Over Due]]="",0,NETWORKDAYS(tbl_MC[[#This Row],[Due Date]],tbl_MC[[#This Row],[Payment Date]],Holidays))</f>
        <v>12</v>
      </c>
      <c r="O43" s="25">
        <f>VLOOKUP(tbl_MC[[#This Row],[Over Due By]],$S$21:$T$25,2)</f>
        <v>10.8</v>
      </c>
      <c r="P43" s="34" t="str">
        <f>IF(AND(tbl_MC[[#This Row],[Over Due By]]&gt;0,tbl_MC[[#This Row],[Amount]]&gt;=500),"Action","")</f>
        <v>Action</v>
      </c>
      <c r="Q43" s="25">
        <f>tbl_MC[[#This Row],[Amount]]-_xlfn.XLOOKUP(tbl_MC[[#This Row],[Payment Ref]],Cust_Ref,Amount,0,0,1)</f>
        <v>0</v>
      </c>
    </row>
    <row r="44" spans="1:17" x14ac:dyDescent="0.25">
      <c r="A44" t="s">
        <v>86</v>
      </c>
      <c r="B44" s="23" t="s">
        <v>134</v>
      </c>
      <c r="C44" s="23">
        <v>545725</v>
      </c>
      <c r="D44" s="24">
        <v>43919</v>
      </c>
      <c r="E44" s="24">
        <f t="shared" si="3"/>
        <v>43950</v>
      </c>
      <c r="F44" s="24">
        <v>43935</v>
      </c>
      <c r="G44" s="23">
        <v>316436</v>
      </c>
      <c r="H44" s="23" t="s">
        <v>47</v>
      </c>
      <c r="I44" s="23" t="s">
        <v>48</v>
      </c>
      <c r="J44" s="26">
        <v>736.23</v>
      </c>
      <c r="K44" s="24" t="str">
        <f t="shared" si="4"/>
        <v>Mar</v>
      </c>
      <c r="L44" s="23">
        <f t="shared" si="5"/>
        <v>29</v>
      </c>
      <c r="M44" s="23" t="str">
        <f>IF(tbl_MC[[#This Row],[Payment Date]]&gt;tbl_MC[[#This Row],[Due Date]],"Yes","")</f>
        <v/>
      </c>
      <c r="N44" s="23">
        <f>IF(tbl_MC[[#This Row],[Over Due]]="",0,NETWORKDAYS(tbl_MC[[#This Row],[Due Date]],tbl_MC[[#This Row],[Payment Date]],Holidays))</f>
        <v>0</v>
      </c>
      <c r="O44" s="25">
        <f>VLOOKUP(tbl_MC[[#This Row],[Over Due By]],$S$21:$T$25,2)</f>
        <v>0</v>
      </c>
      <c r="P44" s="34" t="str">
        <f>IF(AND(tbl_MC[[#This Row],[Over Due By]]&gt;0,tbl_MC[[#This Row],[Amount]]&gt;=500),"Action","")</f>
        <v/>
      </c>
      <c r="Q44" s="25">
        <f>tbl_MC[[#This Row],[Amount]]-_xlfn.XLOOKUP(tbl_MC[[#This Row],[Payment Ref]],Cust_Ref,Amount,0,0,1)</f>
        <v>0</v>
      </c>
    </row>
    <row r="45" spans="1:17" x14ac:dyDescent="0.25">
      <c r="A45" t="s">
        <v>87</v>
      </c>
      <c r="B45" s="23" t="s">
        <v>134</v>
      </c>
      <c r="C45" s="23">
        <v>545726</v>
      </c>
      <c r="D45" s="24">
        <v>43895</v>
      </c>
      <c r="E45" s="24">
        <f t="shared" si="3"/>
        <v>43927</v>
      </c>
      <c r="F45" s="24">
        <v>43937</v>
      </c>
      <c r="G45" s="23">
        <v>312603</v>
      </c>
      <c r="H45" s="23" t="s">
        <v>47</v>
      </c>
      <c r="I45" s="23" t="s">
        <v>48</v>
      </c>
      <c r="J45" s="26">
        <v>-600.27</v>
      </c>
      <c r="K45" s="24" t="str">
        <f t="shared" si="4"/>
        <v>Mar</v>
      </c>
      <c r="L45" s="23">
        <f t="shared" si="5"/>
        <v>5</v>
      </c>
      <c r="M45" s="23" t="str">
        <f>IF(tbl_MC[[#This Row],[Payment Date]]&gt;tbl_MC[[#This Row],[Due Date]],"Yes","")</f>
        <v>Yes</v>
      </c>
      <c r="N45" s="23">
        <f>IF(tbl_MC[[#This Row],[Over Due]]="",0,NETWORKDAYS(tbl_MC[[#This Row],[Due Date]],tbl_MC[[#This Row],[Payment Date]],Holidays))</f>
        <v>7</v>
      </c>
      <c r="O45" s="25">
        <f>VLOOKUP(tbl_MC[[#This Row],[Over Due By]],$S$21:$T$25,2)</f>
        <v>5.5</v>
      </c>
      <c r="P45" s="34" t="str">
        <f>IF(AND(tbl_MC[[#This Row],[Over Due By]]&gt;0,tbl_MC[[#This Row],[Amount]]&gt;=500),"Action","")</f>
        <v/>
      </c>
      <c r="Q45" s="25">
        <f>tbl_MC[[#This Row],[Amount]]-_xlfn.XLOOKUP(tbl_MC[[#This Row],[Payment Ref]],Cust_Ref,Amount,0,0,1)</f>
        <v>0</v>
      </c>
    </row>
    <row r="46" spans="1:17" x14ac:dyDescent="0.25">
      <c r="A46" t="s">
        <v>88</v>
      </c>
      <c r="B46" s="23" t="s">
        <v>134</v>
      </c>
      <c r="C46" s="23">
        <v>545727</v>
      </c>
      <c r="D46" s="24">
        <v>43907</v>
      </c>
      <c r="E46" s="24">
        <f t="shared" si="3"/>
        <v>43938</v>
      </c>
      <c r="F46" s="24">
        <v>43929</v>
      </c>
      <c r="G46" s="23">
        <v>339907</v>
      </c>
      <c r="H46" s="23" t="s">
        <v>47</v>
      </c>
      <c r="I46" s="23" t="s">
        <v>48</v>
      </c>
      <c r="J46" s="26">
        <v>480.81</v>
      </c>
      <c r="K46" s="24" t="str">
        <f t="shared" si="4"/>
        <v>Mar</v>
      </c>
      <c r="L46" s="23">
        <f t="shared" si="5"/>
        <v>17</v>
      </c>
      <c r="M46" s="23" t="str">
        <f>IF(tbl_MC[[#This Row],[Payment Date]]&gt;tbl_MC[[#This Row],[Due Date]],"Yes","")</f>
        <v/>
      </c>
      <c r="N46" s="23">
        <f>IF(tbl_MC[[#This Row],[Over Due]]="",0,NETWORKDAYS(tbl_MC[[#This Row],[Due Date]],tbl_MC[[#This Row],[Payment Date]],Holidays))</f>
        <v>0</v>
      </c>
      <c r="O46" s="25">
        <f>VLOOKUP(tbl_MC[[#This Row],[Over Due By]],$S$21:$T$25,2)</f>
        <v>0</v>
      </c>
      <c r="P46" s="34" t="str">
        <f>IF(AND(tbl_MC[[#This Row],[Over Due By]]&gt;0,tbl_MC[[#This Row],[Amount]]&gt;=500),"Action","")</f>
        <v/>
      </c>
      <c r="Q46" s="25">
        <f>tbl_MC[[#This Row],[Amount]]-_xlfn.XLOOKUP(tbl_MC[[#This Row],[Payment Ref]],Cust_Ref,Amount,0,0,1)</f>
        <v>0</v>
      </c>
    </row>
    <row r="47" spans="1:17" x14ac:dyDescent="0.25">
      <c r="A47" t="s">
        <v>89</v>
      </c>
      <c r="B47" s="23" t="s">
        <v>134</v>
      </c>
      <c r="C47" s="23">
        <v>545729</v>
      </c>
      <c r="D47" s="24">
        <v>43908</v>
      </c>
      <c r="E47" s="24">
        <f t="shared" si="3"/>
        <v>43941</v>
      </c>
      <c r="F47" s="24">
        <v>43948</v>
      </c>
      <c r="G47" s="23">
        <v>218463</v>
      </c>
      <c r="H47" s="23" t="s">
        <v>45</v>
      </c>
      <c r="I47" s="23" t="s">
        <v>46</v>
      </c>
      <c r="J47" s="26">
        <v>253.77</v>
      </c>
      <c r="K47" s="24" t="str">
        <f t="shared" si="4"/>
        <v>Mar</v>
      </c>
      <c r="L47" s="23">
        <f t="shared" si="5"/>
        <v>18</v>
      </c>
      <c r="M47" s="23" t="str">
        <f>IF(tbl_MC[[#This Row],[Payment Date]]&gt;tbl_MC[[#This Row],[Due Date]],"Yes","")</f>
        <v>Yes</v>
      </c>
      <c r="N47" s="23">
        <f>IF(tbl_MC[[#This Row],[Over Due]]="",0,NETWORKDAYS(tbl_MC[[#This Row],[Due Date]],tbl_MC[[#This Row],[Payment Date]],Holidays))</f>
        <v>6</v>
      </c>
      <c r="O47" s="25">
        <f>VLOOKUP(tbl_MC[[#This Row],[Over Due By]],$S$21:$T$25,2)</f>
        <v>5.5</v>
      </c>
      <c r="P47" s="34" t="str">
        <f>IF(AND(tbl_MC[[#This Row],[Over Due By]]&gt;0,tbl_MC[[#This Row],[Amount]]&gt;=500),"Action","")</f>
        <v/>
      </c>
      <c r="Q47" s="25">
        <f>tbl_MC[[#This Row],[Amount]]-_xlfn.XLOOKUP(tbl_MC[[#This Row],[Payment Ref]],Cust_Ref,Amount,0,0,1)</f>
        <v>0</v>
      </c>
    </row>
    <row r="48" spans="1:17" x14ac:dyDescent="0.25">
      <c r="A48" t="s">
        <v>90</v>
      </c>
      <c r="B48" s="23" t="s">
        <v>134</v>
      </c>
      <c r="C48" s="23">
        <v>545731</v>
      </c>
      <c r="D48" s="24">
        <v>43906</v>
      </c>
      <c r="E48" s="24">
        <f t="shared" si="3"/>
        <v>43937</v>
      </c>
      <c r="F48" s="24">
        <v>43949</v>
      </c>
      <c r="G48" s="23">
        <v>336345</v>
      </c>
      <c r="H48" s="23" t="s">
        <v>47</v>
      </c>
      <c r="I48" s="23" t="s">
        <v>48</v>
      </c>
      <c r="J48" s="26">
        <v>442.86</v>
      </c>
      <c r="K48" s="24" t="str">
        <f t="shared" si="4"/>
        <v>Mar</v>
      </c>
      <c r="L48" s="23">
        <f t="shared" si="5"/>
        <v>16</v>
      </c>
      <c r="M48" s="23" t="str">
        <f>IF(tbl_MC[[#This Row],[Payment Date]]&gt;tbl_MC[[#This Row],[Due Date]],"Yes","")</f>
        <v>Yes</v>
      </c>
      <c r="N48" s="23">
        <f>IF(tbl_MC[[#This Row],[Over Due]]="",0,NETWORKDAYS(tbl_MC[[#This Row],[Due Date]],tbl_MC[[#This Row],[Payment Date]],Holidays))</f>
        <v>9</v>
      </c>
      <c r="O48" s="25">
        <f>VLOOKUP(tbl_MC[[#This Row],[Over Due By]],$S$21:$T$25,2)</f>
        <v>5.5</v>
      </c>
      <c r="P48" s="34" t="str">
        <f>IF(AND(tbl_MC[[#This Row],[Over Due By]]&gt;0,tbl_MC[[#This Row],[Amount]]&gt;=500),"Action","")</f>
        <v/>
      </c>
      <c r="Q48" s="25">
        <f>tbl_MC[[#This Row],[Amount]]-_xlfn.XLOOKUP(tbl_MC[[#This Row],[Payment Ref]],Cust_Ref,Amount,0,0,1)</f>
        <v>0</v>
      </c>
    </row>
    <row r="49" spans="1:17" x14ac:dyDescent="0.25">
      <c r="A49" t="s">
        <v>91</v>
      </c>
      <c r="B49" s="23" t="s">
        <v>134</v>
      </c>
      <c r="C49" s="23">
        <v>545732</v>
      </c>
      <c r="D49" s="24">
        <v>43901</v>
      </c>
      <c r="E49" s="24">
        <f t="shared" si="3"/>
        <v>43934</v>
      </c>
      <c r="F49" s="24">
        <v>43924</v>
      </c>
      <c r="G49" s="23">
        <v>227664</v>
      </c>
      <c r="H49" s="23" t="s">
        <v>45</v>
      </c>
      <c r="I49" s="23" t="s">
        <v>46</v>
      </c>
      <c r="J49" s="26">
        <v>630.96</v>
      </c>
      <c r="K49" s="24" t="str">
        <f t="shared" si="4"/>
        <v>Mar</v>
      </c>
      <c r="L49" s="23">
        <f t="shared" si="5"/>
        <v>11</v>
      </c>
      <c r="M49" s="23" t="str">
        <f>IF(tbl_MC[[#This Row],[Payment Date]]&gt;tbl_MC[[#This Row],[Due Date]],"Yes","")</f>
        <v/>
      </c>
      <c r="N49" s="23">
        <f>IF(tbl_MC[[#This Row],[Over Due]]="",0,NETWORKDAYS(tbl_MC[[#This Row],[Due Date]],tbl_MC[[#This Row],[Payment Date]],Holidays))</f>
        <v>0</v>
      </c>
      <c r="O49" s="25">
        <f>VLOOKUP(tbl_MC[[#This Row],[Over Due By]],$S$21:$T$25,2)</f>
        <v>0</v>
      </c>
      <c r="P49" s="34" t="str">
        <f>IF(AND(tbl_MC[[#This Row],[Over Due By]]&gt;0,tbl_MC[[#This Row],[Amount]]&gt;=500),"Action","")</f>
        <v/>
      </c>
      <c r="Q49" s="25">
        <f>tbl_MC[[#This Row],[Amount]]-_xlfn.XLOOKUP(tbl_MC[[#This Row],[Payment Ref]],Cust_Ref,Amount,0,0,1)</f>
        <v>0</v>
      </c>
    </row>
    <row r="50" spans="1:17" x14ac:dyDescent="0.25">
      <c r="A50" t="s">
        <v>92</v>
      </c>
      <c r="B50" s="23" t="s">
        <v>134</v>
      </c>
      <c r="C50" s="23">
        <v>545734</v>
      </c>
      <c r="D50" s="24">
        <v>43895</v>
      </c>
      <c r="E50" s="24">
        <f t="shared" si="3"/>
        <v>43927</v>
      </c>
      <c r="F50" s="24">
        <v>43925</v>
      </c>
      <c r="G50" s="23">
        <v>331460</v>
      </c>
      <c r="H50" s="23" t="s">
        <v>47</v>
      </c>
      <c r="I50" s="23" t="s">
        <v>48</v>
      </c>
      <c r="J50" s="26">
        <v>821.37</v>
      </c>
      <c r="K50" s="24" t="str">
        <f t="shared" si="4"/>
        <v>Mar</v>
      </c>
      <c r="L50" s="23">
        <f t="shared" si="5"/>
        <v>5</v>
      </c>
      <c r="M50" s="23" t="str">
        <f>IF(tbl_MC[[#This Row],[Payment Date]]&gt;tbl_MC[[#This Row],[Due Date]],"Yes","")</f>
        <v/>
      </c>
      <c r="N50" s="23">
        <f>IF(tbl_MC[[#This Row],[Over Due]]="",0,NETWORKDAYS(tbl_MC[[#This Row],[Due Date]],tbl_MC[[#This Row],[Payment Date]],Holidays))</f>
        <v>0</v>
      </c>
      <c r="O50" s="25">
        <f>VLOOKUP(tbl_MC[[#This Row],[Over Due By]],$S$21:$T$25,2)</f>
        <v>0</v>
      </c>
      <c r="P50" s="34" t="str">
        <f>IF(AND(tbl_MC[[#This Row],[Over Due By]]&gt;0,tbl_MC[[#This Row],[Amount]]&gt;=500),"Action","")</f>
        <v/>
      </c>
      <c r="Q50" s="25">
        <f>tbl_MC[[#This Row],[Amount]]-_xlfn.XLOOKUP(tbl_MC[[#This Row],[Payment Ref]],Cust_Ref,Amount,0,0,1)</f>
        <v>0</v>
      </c>
    </row>
    <row r="51" spans="1:17" x14ac:dyDescent="0.25">
      <c r="A51" t="s">
        <v>93</v>
      </c>
      <c r="B51" s="23" t="s">
        <v>134</v>
      </c>
      <c r="C51" s="23">
        <v>545735</v>
      </c>
      <c r="D51" s="24">
        <v>43888</v>
      </c>
      <c r="E51" s="24">
        <f t="shared" si="3"/>
        <v>43917</v>
      </c>
      <c r="F51" s="24">
        <v>43928</v>
      </c>
      <c r="G51" s="23">
        <v>327740</v>
      </c>
      <c r="H51" s="23" t="s">
        <v>47</v>
      </c>
      <c r="I51" s="23" t="s">
        <v>48</v>
      </c>
      <c r="J51" s="26">
        <v>950.73</v>
      </c>
      <c r="K51" s="24" t="str">
        <f t="shared" si="4"/>
        <v>Feb</v>
      </c>
      <c r="L51" s="23">
        <f t="shared" si="5"/>
        <v>27</v>
      </c>
      <c r="M51" s="23" t="str">
        <f>IF(tbl_MC[[#This Row],[Payment Date]]&gt;tbl_MC[[#This Row],[Due Date]],"Yes","")</f>
        <v>Yes</v>
      </c>
      <c r="N51" s="23">
        <f>IF(tbl_MC[[#This Row],[Over Due]]="",0,NETWORKDAYS(tbl_MC[[#This Row],[Due Date]],tbl_MC[[#This Row],[Payment Date]],Holidays))</f>
        <v>8</v>
      </c>
      <c r="O51" s="25">
        <f>VLOOKUP(tbl_MC[[#This Row],[Over Due By]],$S$21:$T$25,2)</f>
        <v>5.5</v>
      </c>
      <c r="P51" s="34" t="str">
        <f>IF(AND(tbl_MC[[#This Row],[Over Due By]]&gt;0,tbl_MC[[#This Row],[Amount]]&gt;=500),"Action","")</f>
        <v>Action</v>
      </c>
      <c r="Q51" s="25">
        <f>tbl_MC[[#This Row],[Amount]]-_xlfn.XLOOKUP(tbl_MC[[#This Row],[Payment Ref]],Cust_Ref,Amount,0,0,1)</f>
        <v>0</v>
      </c>
    </row>
    <row r="52" spans="1:17" x14ac:dyDescent="0.25">
      <c r="A52" t="s">
        <v>94</v>
      </c>
      <c r="B52" s="23" t="s">
        <v>134</v>
      </c>
      <c r="C52" s="23">
        <v>545737</v>
      </c>
      <c r="D52" s="24">
        <v>43921</v>
      </c>
      <c r="E52" s="24">
        <f t="shared" si="3"/>
        <v>43951</v>
      </c>
      <c r="F52" s="24">
        <v>43931</v>
      </c>
      <c r="G52" s="23">
        <v>221183</v>
      </c>
      <c r="H52" s="23" t="s">
        <v>45</v>
      </c>
      <c r="I52" s="23" t="s">
        <v>46</v>
      </c>
      <c r="J52" s="26">
        <v>956.34</v>
      </c>
      <c r="K52" s="24" t="str">
        <f t="shared" si="4"/>
        <v>Mar</v>
      </c>
      <c r="L52" s="23">
        <f t="shared" si="5"/>
        <v>31</v>
      </c>
      <c r="M52" s="23" t="str">
        <f>IF(tbl_MC[[#This Row],[Payment Date]]&gt;tbl_MC[[#This Row],[Due Date]],"Yes","")</f>
        <v/>
      </c>
      <c r="N52" s="23">
        <f>IF(tbl_MC[[#This Row],[Over Due]]="",0,NETWORKDAYS(tbl_MC[[#This Row],[Due Date]],tbl_MC[[#This Row],[Payment Date]],Holidays))</f>
        <v>0</v>
      </c>
      <c r="O52" s="25">
        <f>VLOOKUP(tbl_MC[[#This Row],[Over Due By]],$S$21:$T$25,2)</f>
        <v>0</v>
      </c>
      <c r="P52" s="34" t="str">
        <f>IF(AND(tbl_MC[[#This Row],[Over Due By]]&gt;0,tbl_MC[[#This Row],[Amount]]&gt;=500),"Action","")</f>
        <v/>
      </c>
      <c r="Q52" s="25">
        <f>tbl_MC[[#This Row],[Amount]]-_xlfn.XLOOKUP(tbl_MC[[#This Row],[Payment Ref]],Cust_Ref,Amount,0,0,1)</f>
        <v>0</v>
      </c>
    </row>
    <row r="53" spans="1:17" x14ac:dyDescent="0.25">
      <c r="A53" t="s">
        <v>95</v>
      </c>
      <c r="B53" s="23" t="s">
        <v>134</v>
      </c>
      <c r="C53" s="23">
        <v>545739</v>
      </c>
      <c r="D53" s="24">
        <v>43917</v>
      </c>
      <c r="E53" s="24">
        <f t="shared" si="3"/>
        <v>43948</v>
      </c>
      <c r="F53" s="24">
        <v>43933</v>
      </c>
      <c r="G53" s="23">
        <v>214234</v>
      </c>
      <c r="H53" s="23" t="s">
        <v>45</v>
      </c>
      <c r="I53" s="23" t="s">
        <v>46</v>
      </c>
      <c r="J53" s="26">
        <v>1094.28</v>
      </c>
      <c r="K53" s="24" t="str">
        <f t="shared" si="4"/>
        <v>Mar</v>
      </c>
      <c r="L53" s="23">
        <f t="shared" si="5"/>
        <v>27</v>
      </c>
      <c r="M53" s="23" t="str">
        <f>IF(tbl_MC[[#This Row],[Payment Date]]&gt;tbl_MC[[#This Row],[Due Date]],"Yes","")</f>
        <v/>
      </c>
      <c r="N53" s="23">
        <f>IF(tbl_MC[[#This Row],[Over Due]]="",0,NETWORKDAYS(tbl_MC[[#This Row],[Due Date]],tbl_MC[[#This Row],[Payment Date]],Holidays))</f>
        <v>0</v>
      </c>
      <c r="O53" s="25">
        <f>VLOOKUP(tbl_MC[[#This Row],[Over Due By]],$S$21:$T$25,2)</f>
        <v>0</v>
      </c>
      <c r="P53" s="34" t="str">
        <f>IF(AND(tbl_MC[[#This Row],[Over Due By]]&gt;0,tbl_MC[[#This Row],[Amount]]&gt;=500),"Action","")</f>
        <v/>
      </c>
      <c r="Q53" s="25">
        <f>tbl_MC[[#This Row],[Amount]]-_xlfn.XLOOKUP(tbl_MC[[#This Row],[Payment Ref]],Cust_Ref,Amount,0,0,1)</f>
        <v>0</v>
      </c>
    </row>
    <row r="54" spans="1:17" x14ac:dyDescent="0.25">
      <c r="A54" t="s">
        <v>96</v>
      </c>
      <c r="B54" s="23" t="s">
        <v>134</v>
      </c>
      <c r="C54" s="23">
        <v>545740</v>
      </c>
      <c r="D54" s="24">
        <v>43908</v>
      </c>
      <c r="E54" s="24">
        <f t="shared" si="3"/>
        <v>43941</v>
      </c>
      <c r="F54" s="24">
        <v>43926</v>
      </c>
      <c r="G54" s="23">
        <v>321456</v>
      </c>
      <c r="H54" s="23" t="s">
        <v>47</v>
      </c>
      <c r="I54" s="23" t="s">
        <v>48</v>
      </c>
      <c r="J54" s="26">
        <v>628.98</v>
      </c>
      <c r="K54" s="24" t="str">
        <f t="shared" si="4"/>
        <v>Mar</v>
      </c>
      <c r="L54" s="23">
        <f t="shared" si="5"/>
        <v>18</v>
      </c>
      <c r="M54" s="23" t="str">
        <f>IF(tbl_MC[[#This Row],[Payment Date]]&gt;tbl_MC[[#This Row],[Due Date]],"Yes","")</f>
        <v/>
      </c>
      <c r="N54" s="23">
        <f>IF(tbl_MC[[#This Row],[Over Due]]="",0,NETWORKDAYS(tbl_MC[[#This Row],[Due Date]],tbl_MC[[#This Row],[Payment Date]],Holidays))</f>
        <v>0</v>
      </c>
      <c r="O54" s="25">
        <f>VLOOKUP(tbl_MC[[#This Row],[Over Due By]],$S$21:$T$25,2)</f>
        <v>0</v>
      </c>
      <c r="P54" s="34" t="str">
        <f>IF(AND(tbl_MC[[#This Row],[Over Due By]]&gt;0,tbl_MC[[#This Row],[Amount]]&gt;=500),"Action","")</f>
        <v/>
      </c>
      <c r="Q54" s="25">
        <f>tbl_MC[[#This Row],[Amount]]-_xlfn.XLOOKUP(tbl_MC[[#This Row],[Payment Ref]],Cust_Ref,Amount,0,0,1)</f>
        <v>0</v>
      </c>
    </row>
    <row r="55" spans="1:17" x14ac:dyDescent="0.25">
      <c r="A55" t="s">
        <v>97</v>
      </c>
      <c r="B55" s="23" t="s">
        <v>134</v>
      </c>
      <c r="C55" s="23">
        <v>545742</v>
      </c>
      <c r="D55" s="24">
        <v>43929</v>
      </c>
      <c r="E55" s="24">
        <f t="shared" si="3"/>
        <v>43959</v>
      </c>
      <c r="F55" s="24">
        <v>43941</v>
      </c>
      <c r="G55" s="23">
        <v>233209</v>
      </c>
      <c r="H55" s="23" t="s">
        <v>45</v>
      </c>
      <c r="I55" s="23" t="s">
        <v>46</v>
      </c>
      <c r="J55" s="26">
        <v>1058.31</v>
      </c>
      <c r="K55" s="24" t="str">
        <f t="shared" si="4"/>
        <v>Apr</v>
      </c>
      <c r="L55" s="23">
        <f t="shared" si="5"/>
        <v>8</v>
      </c>
      <c r="M55" s="23" t="str">
        <f>IF(tbl_MC[[#This Row],[Payment Date]]&gt;tbl_MC[[#This Row],[Due Date]],"Yes","")</f>
        <v/>
      </c>
      <c r="N55" s="23">
        <f>IF(tbl_MC[[#This Row],[Over Due]]="",0,NETWORKDAYS(tbl_MC[[#This Row],[Due Date]],tbl_MC[[#This Row],[Payment Date]],Holidays))</f>
        <v>0</v>
      </c>
      <c r="O55" s="25">
        <f>VLOOKUP(tbl_MC[[#This Row],[Over Due By]],$S$21:$T$25,2)</f>
        <v>0</v>
      </c>
      <c r="P55" s="34" t="str">
        <f>IF(AND(tbl_MC[[#This Row],[Over Due By]]&gt;0,tbl_MC[[#This Row],[Amount]]&gt;=500),"Action","")</f>
        <v/>
      </c>
      <c r="Q55" s="25">
        <f>tbl_MC[[#This Row],[Amount]]-_xlfn.XLOOKUP(tbl_MC[[#This Row],[Payment Ref]],Cust_Ref,Amount,0,0,1)</f>
        <v>0</v>
      </c>
    </row>
    <row r="56" spans="1:17" x14ac:dyDescent="0.25">
      <c r="A56" t="s">
        <v>98</v>
      </c>
      <c r="B56" s="23" t="s">
        <v>134</v>
      </c>
      <c r="C56" s="23">
        <v>545743</v>
      </c>
      <c r="D56" s="24">
        <v>43921</v>
      </c>
      <c r="E56" s="24">
        <f t="shared" si="3"/>
        <v>43951</v>
      </c>
      <c r="F56" s="24">
        <v>43929</v>
      </c>
      <c r="G56" s="23">
        <v>222998</v>
      </c>
      <c r="H56" s="23" t="s">
        <v>45</v>
      </c>
      <c r="I56" s="23" t="s">
        <v>46</v>
      </c>
      <c r="J56" s="26">
        <v>705.54</v>
      </c>
      <c r="K56" s="24" t="str">
        <f t="shared" si="4"/>
        <v>Mar</v>
      </c>
      <c r="L56" s="23">
        <f t="shared" si="5"/>
        <v>31</v>
      </c>
      <c r="M56" s="23" t="str">
        <f>IF(tbl_MC[[#This Row],[Payment Date]]&gt;tbl_MC[[#This Row],[Due Date]],"Yes","")</f>
        <v/>
      </c>
      <c r="N56" s="23">
        <f>IF(tbl_MC[[#This Row],[Over Due]]="",0,NETWORKDAYS(tbl_MC[[#This Row],[Due Date]],tbl_MC[[#This Row],[Payment Date]],Holidays))</f>
        <v>0</v>
      </c>
      <c r="O56" s="25">
        <f>VLOOKUP(tbl_MC[[#This Row],[Over Due By]],$S$21:$T$25,2)</f>
        <v>0</v>
      </c>
      <c r="P56" s="34" t="str">
        <f>IF(AND(tbl_MC[[#This Row],[Over Due By]]&gt;0,tbl_MC[[#This Row],[Amount]]&gt;=500),"Action","")</f>
        <v/>
      </c>
      <c r="Q56" s="25">
        <f>tbl_MC[[#This Row],[Amount]]-_xlfn.XLOOKUP(tbl_MC[[#This Row],[Payment Ref]],Cust_Ref,Amount,0,0,1)</f>
        <v>0</v>
      </c>
    </row>
    <row r="57" spans="1:17" x14ac:dyDescent="0.25">
      <c r="A57" t="s">
        <v>99</v>
      </c>
      <c r="B57" s="23" t="s">
        <v>134</v>
      </c>
      <c r="C57" s="23">
        <v>545745</v>
      </c>
      <c r="D57" s="24">
        <v>43935</v>
      </c>
      <c r="E57" s="24">
        <f t="shared" si="3"/>
        <v>43965</v>
      </c>
      <c r="F57" s="24">
        <v>43948</v>
      </c>
      <c r="G57" s="23">
        <v>228246</v>
      </c>
      <c r="H57" s="23" t="s">
        <v>45</v>
      </c>
      <c r="I57" s="23" t="s">
        <v>46</v>
      </c>
      <c r="J57" s="26">
        <v>138.6</v>
      </c>
      <c r="K57" s="24" t="str">
        <f t="shared" si="4"/>
        <v>Apr</v>
      </c>
      <c r="L57" s="23">
        <f t="shared" si="5"/>
        <v>14</v>
      </c>
      <c r="M57" s="23" t="str">
        <f>IF(tbl_MC[[#This Row],[Payment Date]]&gt;tbl_MC[[#This Row],[Due Date]],"Yes","")</f>
        <v/>
      </c>
      <c r="N57" s="23">
        <f>IF(tbl_MC[[#This Row],[Over Due]]="",0,NETWORKDAYS(tbl_MC[[#This Row],[Due Date]],tbl_MC[[#This Row],[Payment Date]],Holidays))</f>
        <v>0</v>
      </c>
      <c r="O57" s="25">
        <f>VLOOKUP(tbl_MC[[#This Row],[Over Due By]],$S$21:$T$25,2)</f>
        <v>0</v>
      </c>
      <c r="P57" s="34" t="str">
        <f>IF(AND(tbl_MC[[#This Row],[Over Due By]]&gt;0,tbl_MC[[#This Row],[Amount]]&gt;=500),"Action","")</f>
        <v/>
      </c>
      <c r="Q57" s="25">
        <f>tbl_MC[[#This Row],[Amount]]-_xlfn.XLOOKUP(tbl_MC[[#This Row],[Payment Ref]],Cust_Ref,Amount,0,0,1)</f>
        <v>0</v>
      </c>
    </row>
    <row r="58" spans="1:17" x14ac:dyDescent="0.25">
      <c r="A58" t="s">
        <v>100</v>
      </c>
      <c r="B58" s="23" t="s">
        <v>134</v>
      </c>
      <c r="C58" s="23">
        <v>545747</v>
      </c>
      <c r="D58" s="24">
        <v>43914</v>
      </c>
      <c r="E58" s="24">
        <f t="shared" si="3"/>
        <v>43945</v>
      </c>
      <c r="F58" s="24">
        <v>43928</v>
      </c>
      <c r="G58" s="23">
        <v>314876</v>
      </c>
      <c r="H58" s="23" t="s">
        <v>47</v>
      </c>
      <c r="I58" s="23" t="s">
        <v>48</v>
      </c>
      <c r="J58" s="26">
        <v>417.12</v>
      </c>
      <c r="K58" s="24" t="str">
        <f t="shared" si="4"/>
        <v>Mar</v>
      </c>
      <c r="L58" s="23">
        <f t="shared" si="5"/>
        <v>24</v>
      </c>
      <c r="M58" s="23" t="str">
        <f>IF(tbl_MC[[#This Row],[Payment Date]]&gt;tbl_MC[[#This Row],[Due Date]],"Yes","")</f>
        <v/>
      </c>
      <c r="N58" s="23">
        <f>IF(tbl_MC[[#This Row],[Over Due]]="",0,NETWORKDAYS(tbl_MC[[#This Row],[Due Date]],tbl_MC[[#This Row],[Payment Date]],Holidays))</f>
        <v>0</v>
      </c>
      <c r="O58" s="25">
        <f>VLOOKUP(tbl_MC[[#This Row],[Over Due By]],$S$21:$T$25,2)</f>
        <v>0</v>
      </c>
      <c r="P58" s="34" t="str">
        <f>IF(AND(tbl_MC[[#This Row],[Over Due By]]&gt;0,tbl_MC[[#This Row],[Amount]]&gt;=500),"Action","")</f>
        <v/>
      </c>
      <c r="Q58" s="25">
        <f>tbl_MC[[#This Row],[Amount]]-_xlfn.XLOOKUP(tbl_MC[[#This Row],[Payment Ref]],Cust_Ref,Amount,0,0,1)</f>
        <v>0</v>
      </c>
    </row>
    <row r="59" spans="1:17" x14ac:dyDescent="0.25">
      <c r="A59" t="s">
        <v>101</v>
      </c>
      <c r="B59" s="23" t="s">
        <v>134</v>
      </c>
      <c r="C59" s="23">
        <v>545748</v>
      </c>
      <c r="D59" s="24">
        <v>43913</v>
      </c>
      <c r="E59" s="24">
        <f t="shared" si="3"/>
        <v>43944</v>
      </c>
      <c r="F59" s="24">
        <v>43939</v>
      </c>
      <c r="G59" s="23">
        <v>223602</v>
      </c>
      <c r="H59" s="23" t="s">
        <v>45</v>
      </c>
      <c r="I59" s="23" t="s">
        <v>46</v>
      </c>
      <c r="J59" s="26">
        <v>422.73</v>
      </c>
      <c r="K59" s="24" t="str">
        <f t="shared" si="4"/>
        <v>Mar</v>
      </c>
      <c r="L59" s="23">
        <f t="shared" si="5"/>
        <v>23</v>
      </c>
      <c r="M59" s="23" t="str">
        <f>IF(tbl_MC[[#This Row],[Payment Date]]&gt;tbl_MC[[#This Row],[Due Date]],"Yes","")</f>
        <v/>
      </c>
      <c r="N59" s="23">
        <f>IF(tbl_MC[[#This Row],[Over Due]]="",0,NETWORKDAYS(tbl_MC[[#This Row],[Due Date]],tbl_MC[[#This Row],[Payment Date]],Holidays))</f>
        <v>0</v>
      </c>
      <c r="O59" s="25">
        <f>VLOOKUP(tbl_MC[[#This Row],[Over Due By]],$S$21:$T$25,2)</f>
        <v>0</v>
      </c>
      <c r="P59" s="34" t="str">
        <f>IF(AND(tbl_MC[[#This Row],[Over Due By]]&gt;0,tbl_MC[[#This Row],[Amount]]&gt;=500),"Action","")</f>
        <v/>
      </c>
      <c r="Q59" s="25">
        <f>tbl_MC[[#This Row],[Amount]]-_xlfn.XLOOKUP(tbl_MC[[#This Row],[Payment Ref]],Cust_Ref,Amount,0,0,1)</f>
        <v>0</v>
      </c>
    </row>
    <row r="60" spans="1:17" x14ac:dyDescent="0.25">
      <c r="A60" t="s">
        <v>102</v>
      </c>
      <c r="B60" s="23" t="s">
        <v>134</v>
      </c>
      <c r="C60" s="23">
        <v>545750</v>
      </c>
      <c r="D60" s="24">
        <v>43908</v>
      </c>
      <c r="E60" s="24">
        <f t="shared" si="3"/>
        <v>43941</v>
      </c>
      <c r="F60" s="24">
        <v>43935</v>
      </c>
      <c r="G60" s="23">
        <v>319833</v>
      </c>
      <c r="H60" s="23" t="s">
        <v>47</v>
      </c>
      <c r="I60" s="23" t="s">
        <v>48</v>
      </c>
      <c r="J60" s="26">
        <v>1061.94</v>
      </c>
      <c r="K60" s="24" t="str">
        <f t="shared" si="4"/>
        <v>Mar</v>
      </c>
      <c r="L60" s="23">
        <f t="shared" si="5"/>
        <v>18</v>
      </c>
      <c r="M60" s="23" t="str">
        <f>IF(tbl_MC[[#This Row],[Payment Date]]&gt;tbl_MC[[#This Row],[Due Date]],"Yes","")</f>
        <v/>
      </c>
      <c r="N60" s="23">
        <f>IF(tbl_MC[[#This Row],[Over Due]]="",0,NETWORKDAYS(tbl_MC[[#This Row],[Due Date]],tbl_MC[[#This Row],[Payment Date]],Holidays))</f>
        <v>0</v>
      </c>
      <c r="O60" s="25">
        <f>VLOOKUP(tbl_MC[[#This Row],[Over Due By]],$S$21:$T$25,2)</f>
        <v>0</v>
      </c>
      <c r="P60" s="34" t="str">
        <f>IF(AND(tbl_MC[[#This Row],[Over Due By]]&gt;0,tbl_MC[[#This Row],[Amount]]&gt;=500),"Action","")</f>
        <v/>
      </c>
      <c r="Q60" s="25">
        <f>tbl_MC[[#This Row],[Amount]]-_xlfn.XLOOKUP(tbl_MC[[#This Row],[Payment Ref]],Cust_Ref,Amount,0,0,1)</f>
        <v>0</v>
      </c>
    </row>
    <row r="61" spans="1:17" x14ac:dyDescent="0.25">
      <c r="A61" t="s">
        <v>103</v>
      </c>
      <c r="B61" s="23" t="s">
        <v>134</v>
      </c>
      <c r="C61" s="23">
        <v>545751</v>
      </c>
      <c r="D61" s="24">
        <v>43912</v>
      </c>
      <c r="E61" s="24">
        <f t="shared" si="3"/>
        <v>43943</v>
      </c>
      <c r="F61" s="24">
        <v>43927</v>
      </c>
      <c r="G61" s="23">
        <v>310345</v>
      </c>
      <c r="H61" s="23" t="s">
        <v>47</v>
      </c>
      <c r="I61" s="23" t="s">
        <v>48</v>
      </c>
      <c r="J61" s="26">
        <v>602.58000000000004</v>
      </c>
      <c r="K61" s="24" t="str">
        <f t="shared" si="4"/>
        <v>Mar</v>
      </c>
      <c r="L61" s="23">
        <f t="shared" si="5"/>
        <v>22</v>
      </c>
      <c r="M61" s="23" t="str">
        <f>IF(tbl_MC[[#This Row],[Payment Date]]&gt;tbl_MC[[#This Row],[Due Date]],"Yes","")</f>
        <v/>
      </c>
      <c r="N61" s="23">
        <f>IF(tbl_MC[[#This Row],[Over Due]]="",0,NETWORKDAYS(tbl_MC[[#This Row],[Due Date]],tbl_MC[[#This Row],[Payment Date]],Holidays))</f>
        <v>0</v>
      </c>
      <c r="O61" s="25">
        <f>VLOOKUP(tbl_MC[[#This Row],[Over Due By]],$S$21:$T$25,2)</f>
        <v>0</v>
      </c>
      <c r="P61" s="34" t="str">
        <f>IF(AND(tbl_MC[[#This Row],[Over Due By]]&gt;0,tbl_MC[[#This Row],[Amount]]&gt;=500),"Action","")</f>
        <v/>
      </c>
      <c r="Q61" s="25">
        <f>tbl_MC[[#This Row],[Amount]]-_xlfn.XLOOKUP(tbl_MC[[#This Row],[Payment Ref]],Cust_Ref,Amount,0,0,1)</f>
        <v>0</v>
      </c>
    </row>
    <row r="62" spans="1:17" x14ac:dyDescent="0.25">
      <c r="A62" t="s">
        <v>104</v>
      </c>
      <c r="B62" s="23" t="s">
        <v>134</v>
      </c>
      <c r="C62" s="23">
        <v>545753</v>
      </c>
      <c r="D62" s="24">
        <v>43927</v>
      </c>
      <c r="E62" s="24">
        <f t="shared" si="3"/>
        <v>43957</v>
      </c>
      <c r="F62" s="24">
        <v>43951</v>
      </c>
      <c r="G62" s="23">
        <v>317142</v>
      </c>
      <c r="H62" s="23" t="s">
        <v>47</v>
      </c>
      <c r="I62" s="23" t="s">
        <v>48</v>
      </c>
      <c r="J62" s="26">
        <v>132.66</v>
      </c>
      <c r="K62" s="24" t="str">
        <f t="shared" si="4"/>
        <v>Apr</v>
      </c>
      <c r="L62" s="23">
        <f t="shared" si="5"/>
        <v>6</v>
      </c>
      <c r="M62" s="23" t="str">
        <f>IF(tbl_MC[[#This Row],[Payment Date]]&gt;tbl_MC[[#This Row],[Due Date]],"Yes","")</f>
        <v/>
      </c>
      <c r="N62" s="23">
        <f>IF(tbl_MC[[#This Row],[Over Due]]="",0,NETWORKDAYS(tbl_MC[[#This Row],[Due Date]],tbl_MC[[#This Row],[Payment Date]],Holidays))</f>
        <v>0</v>
      </c>
      <c r="O62" s="25">
        <f>VLOOKUP(tbl_MC[[#This Row],[Over Due By]],$S$21:$T$25,2)</f>
        <v>0</v>
      </c>
      <c r="P62" s="34" t="str">
        <f>IF(AND(tbl_MC[[#This Row],[Over Due By]]&gt;0,tbl_MC[[#This Row],[Amount]]&gt;=500),"Action","")</f>
        <v/>
      </c>
      <c r="Q62" s="25">
        <f>tbl_MC[[#This Row],[Amount]]-_xlfn.XLOOKUP(tbl_MC[[#This Row],[Payment Ref]],Cust_Ref,Amount,0,0,1)</f>
        <v>0</v>
      </c>
    </row>
    <row r="63" spans="1:17" x14ac:dyDescent="0.25">
      <c r="A63" t="s">
        <v>105</v>
      </c>
      <c r="B63" s="23" t="s">
        <v>134</v>
      </c>
      <c r="C63" s="23">
        <v>545754</v>
      </c>
      <c r="D63" s="24">
        <v>43896</v>
      </c>
      <c r="E63" s="24">
        <f t="shared" si="3"/>
        <v>43927</v>
      </c>
      <c r="F63" s="24">
        <v>43925</v>
      </c>
      <c r="G63" s="23">
        <v>313747</v>
      </c>
      <c r="H63" s="23" t="s">
        <v>47</v>
      </c>
      <c r="I63" s="23" t="s">
        <v>48</v>
      </c>
      <c r="J63" s="26">
        <v>56.43</v>
      </c>
      <c r="K63" s="24" t="str">
        <f t="shared" si="4"/>
        <v>Mar</v>
      </c>
      <c r="L63" s="23">
        <f t="shared" si="5"/>
        <v>6</v>
      </c>
      <c r="M63" s="23" t="str">
        <f>IF(tbl_MC[[#This Row],[Payment Date]]&gt;tbl_MC[[#This Row],[Due Date]],"Yes","")</f>
        <v/>
      </c>
      <c r="N63" s="23">
        <f>IF(tbl_MC[[#This Row],[Over Due]]="",0,NETWORKDAYS(tbl_MC[[#This Row],[Due Date]],tbl_MC[[#This Row],[Payment Date]],Holidays))</f>
        <v>0</v>
      </c>
      <c r="O63" s="25">
        <f>VLOOKUP(tbl_MC[[#This Row],[Over Due By]],$S$21:$T$25,2)</f>
        <v>0</v>
      </c>
      <c r="P63" s="34" t="str">
        <f>IF(AND(tbl_MC[[#This Row],[Over Due By]]&gt;0,tbl_MC[[#This Row],[Amount]]&gt;=500),"Action","")</f>
        <v/>
      </c>
      <c r="Q63" s="25">
        <f>tbl_MC[[#This Row],[Amount]]-_xlfn.XLOOKUP(tbl_MC[[#This Row],[Payment Ref]],Cust_Ref,Amount,0,0,1)</f>
        <v>0</v>
      </c>
    </row>
    <row r="64" spans="1:17" x14ac:dyDescent="0.25">
      <c r="A64" t="s">
        <v>106</v>
      </c>
      <c r="B64" s="23" t="s">
        <v>134</v>
      </c>
      <c r="C64" s="23">
        <v>545756</v>
      </c>
      <c r="D64" s="24">
        <v>43881</v>
      </c>
      <c r="E64" s="24">
        <f t="shared" si="3"/>
        <v>43910</v>
      </c>
      <c r="F64" s="24">
        <v>43926</v>
      </c>
      <c r="G64" s="23">
        <v>234966</v>
      </c>
      <c r="H64" s="23" t="s">
        <v>45</v>
      </c>
      <c r="I64" s="23" t="s">
        <v>46</v>
      </c>
      <c r="J64" s="26">
        <v>511.83</v>
      </c>
      <c r="K64" s="24" t="str">
        <f t="shared" si="4"/>
        <v>Feb</v>
      </c>
      <c r="L64" s="23">
        <f t="shared" si="5"/>
        <v>20</v>
      </c>
      <c r="M64" s="23" t="str">
        <f>IF(tbl_MC[[#This Row],[Payment Date]]&gt;tbl_MC[[#This Row],[Due Date]],"Yes","")</f>
        <v>Yes</v>
      </c>
      <c r="N64" s="23">
        <f>IF(tbl_MC[[#This Row],[Over Due]]="",0,NETWORKDAYS(tbl_MC[[#This Row],[Due Date]],tbl_MC[[#This Row],[Payment Date]],Holidays))</f>
        <v>11</v>
      </c>
      <c r="O64" s="25">
        <f>VLOOKUP(tbl_MC[[#This Row],[Over Due By]],$S$21:$T$25,2)</f>
        <v>10.8</v>
      </c>
      <c r="P64" s="34" t="str">
        <f>IF(AND(tbl_MC[[#This Row],[Over Due By]]&gt;0,tbl_MC[[#This Row],[Amount]]&gt;=500),"Action","")</f>
        <v>Action</v>
      </c>
      <c r="Q64" s="25">
        <f>tbl_MC[[#This Row],[Amount]]-_xlfn.XLOOKUP(tbl_MC[[#This Row],[Payment Ref]],Cust_Ref,Amount,0,0,1)</f>
        <v>0</v>
      </c>
    </row>
    <row r="65" spans="1:17" x14ac:dyDescent="0.25">
      <c r="A65" t="s">
        <v>107</v>
      </c>
      <c r="B65" s="23" t="s">
        <v>134</v>
      </c>
      <c r="C65" s="23">
        <v>545758</v>
      </c>
      <c r="D65" s="24">
        <v>43916</v>
      </c>
      <c r="E65" s="24">
        <f t="shared" si="3"/>
        <v>43948</v>
      </c>
      <c r="F65" s="24">
        <v>43929</v>
      </c>
      <c r="G65" s="23">
        <v>215639</v>
      </c>
      <c r="H65" s="23" t="s">
        <v>45</v>
      </c>
      <c r="I65" s="23" t="s">
        <v>46</v>
      </c>
      <c r="J65" s="26">
        <v>361.02</v>
      </c>
      <c r="K65" s="24" t="str">
        <f t="shared" si="4"/>
        <v>Mar</v>
      </c>
      <c r="L65" s="23">
        <f t="shared" si="5"/>
        <v>26</v>
      </c>
      <c r="M65" s="23" t="str">
        <f>IF(tbl_MC[[#This Row],[Payment Date]]&gt;tbl_MC[[#This Row],[Due Date]],"Yes","")</f>
        <v/>
      </c>
      <c r="N65" s="23">
        <f>IF(tbl_MC[[#This Row],[Over Due]]="",0,NETWORKDAYS(tbl_MC[[#This Row],[Due Date]],tbl_MC[[#This Row],[Payment Date]],Holidays))</f>
        <v>0</v>
      </c>
      <c r="O65" s="25">
        <f>VLOOKUP(tbl_MC[[#This Row],[Over Due By]],$S$21:$T$25,2)</f>
        <v>0</v>
      </c>
      <c r="P65" s="34" t="str">
        <f>IF(AND(tbl_MC[[#This Row],[Over Due By]]&gt;0,tbl_MC[[#This Row],[Amount]]&gt;=500),"Action","")</f>
        <v/>
      </c>
      <c r="Q65" s="25">
        <f>tbl_MC[[#This Row],[Amount]]-_xlfn.XLOOKUP(tbl_MC[[#This Row],[Payment Ref]],Cust_Ref,Amount,0,0,1)</f>
        <v>0</v>
      </c>
    </row>
    <row r="66" spans="1:17" x14ac:dyDescent="0.25">
      <c r="A66" t="s">
        <v>108</v>
      </c>
      <c r="B66" s="23" t="s">
        <v>134</v>
      </c>
      <c r="C66" s="23">
        <v>545760</v>
      </c>
      <c r="D66" s="24">
        <v>43932</v>
      </c>
      <c r="E66" s="24">
        <f t="shared" si="3"/>
        <v>43962</v>
      </c>
      <c r="F66" s="24">
        <v>43948</v>
      </c>
      <c r="G66" s="23">
        <v>328536</v>
      </c>
      <c r="H66" s="23" t="s">
        <v>47</v>
      </c>
      <c r="I66" s="23" t="s">
        <v>48</v>
      </c>
      <c r="J66" s="26">
        <v>668.25</v>
      </c>
      <c r="K66" s="24" t="str">
        <f t="shared" si="4"/>
        <v>Apr</v>
      </c>
      <c r="L66" s="23">
        <f t="shared" si="5"/>
        <v>11</v>
      </c>
      <c r="M66" s="23" t="str">
        <f>IF(tbl_MC[[#This Row],[Payment Date]]&gt;tbl_MC[[#This Row],[Due Date]],"Yes","")</f>
        <v/>
      </c>
      <c r="N66" s="23">
        <f>IF(tbl_MC[[#This Row],[Over Due]]="",0,NETWORKDAYS(tbl_MC[[#This Row],[Due Date]],tbl_MC[[#This Row],[Payment Date]],Holidays))</f>
        <v>0</v>
      </c>
      <c r="O66" s="25">
        <f>VLOOKUP(tbl_MC[[#This Row],[Over Due By]],$S$21:$T$25,2)</f>
        <v>0</v>
      </c>
      <c r="P66" s="34" t="str">
        <f>IF(AND(tbl_MC[[#This Row],[Over Due By]]&gt;0,tbl_MC[[#This Row],[Amount]]&gt;=500),"Action","")</f>
        <v/>
      </c>
      <c r="Q66" s="25">
        <f>tbl_MC[[#This Row],[Amount]]-_xlfn.XLOOKUP(tbl_MC[[#This Row],[Payment Ref]],Cust_Ref,Amount,0,0,1)</f>
        <v>0</v>
      </c>
    </row>
    <row r="67" spans="1:17" x14ac:dyDescent="0.25">
      <c r="A67" t="s">
        <v>109</v>
      </c>
      <c r="B67" s="23" t="s">
        <v>134</v>
      </c>
      <c r="C67" s="23">
        <v>545762</v>
      </c>
      <c r="D67" s="24">
        <v>43914</v>
      </c>
      <c r="E67" s="24">
        <f t="shared" si="3"/>
        <v>43945</v>
      </c>
      <c r="F67" s="24">
        <v>43933</v>
      </c>
      <c r="G67" s="23">
        <v>210023</v>
      </c>
      <c r="H67" s="23" t="s">
        <v>45</v>
      </c>
      <c r="I67" s="23" t="s">
        <v>46</v>
      </c>
      <c r="J67" s="26">
        <v>126.72</v>
      </c>
      <c r="K67" s="24" t="str">
        <f t="shared" si="4"/>
        <v>Mar</v>
      </c>
      <c r="L67" s="23">
        <f t="shared" si="5"/>
        <v>24</v>
      </c>
      <c r="M67" s="23" t="str">
        <f>IF(tbl_MC[[#This Row],[Payment Date]]&gt;tbl_MC[[#This Row],[Due Date]],"Yes","")</f>
        <v/>
      </c>
      <c r="N67" s="23">
        <f>IF(tbl_MC[[#This Row],[Over Due]]="",0,NETWORKDAYS(tbl_MC[[#This Row],[Due Date]],tbl_MC[[#This Row],[Payment Date]],Holidays))</f>
        <v>0</v>
      </c>
      <c r="O67" s="25">
        <f>VLOOKUP(tbl_MC[[#This Row],[Over Due By]],$S$21:$T$25,2)</f>
        <v>0</v>
      </c>
      <c r="P67" s="34" t="str">
        <f>IF(AND(tbl_MC[[#This Row],[Over Due By]]&gt;0,tbl_MC[[#This Row],[Amount]]&gt;=500),"Action","")</f>
        <v/>
      </c>
      <c r="Q67" s="25">
        <f>tbl_MC[[#This Row],[Amount]]-_xlfn.XLOOKUP(tbl_MC[[#This Row],[Payment Ref]],Cust_Ref,Amount,0,0,1)</f>
        <v>0</v>
      </c>
    </row>
    <row r="68" spans="1:17" x14ac:dyDescent="0.25">
      <c r="A68" t="s">
        <v>110</v>
      </c>
      <c r="B68" s="23" t="s">
        <v>134</v>
      </c>
      <c r="C68" s="23">
        <v>545763</v>
      </c>
      <c r="D68" s="24">
        <v>43905</v>
      </c>
      <c r="E68" s="24">
        <f t="shared" si="3"/>
        <v>43936</v>
      </c>
      <c r="F68" s="24">
        <v>43943</v>
      </c>
      <c r="G68" s="23">
        <v>338938</v>
      </c>
      <c r="H68" s="23" t="s">
        <v>47</v>
      </c>
      <c r="I68" s="23" t="s">
        <v>48</v>
      </c>
      <c r="J68" s="26">
        <v>1000.23</v>
      </c>
      <c r="K68" s="24" t="str">
        <f t="shared" si="4"/>
        <v>Mar</v>
      </c>
      <c r="L68" s="23">
        <f t="shared" si="5"/>
        <v>15</v>
      </c>
      <c r="M68" s="23" t="str">
        <f>IF(tbl_MC[[#This Row],[Payment Date]]&gt;tbl_MC[[#This Row],[Due Date]],"Yes","")</f>
        <v>Yes</v>
      </c>
      <c r="N68" s="23">
        <f>IF(tbl_MC[[#This Row],[Over Due]]="",0,NETWORKDAYS(tbl_MC[[#This Row],[Due Date]],tbl_MC[[#This Row],[Payment Date]],Holidays))</f>
        <v>6</v>
      </c>
      <c r="O68" s="25">
        <f>VLOOKUP(tbl_MC[[#This Row],[Over Due By]],$S$21:$T$25,2)</f>
        <v>5.5</v>
      </c>
      <c r="P68" s="34" t="str">
        <f>IF(AND(tbl_MC[[#This Row],[Over Due By]]&gt;0,tbl_MC[[#This Row],[Amount]]&gt;=500),"Action","")</f>
        <v>Action</v>
      </c>
      <c r="Q68" s="25">
        <f>tbl_MC[[#This Row],[Amount]]-_xlfn.XLOOKUP(tbl_MC[[#This Row],[Payment Ref]],Cust_Ref,Amount,0,0,1)</f>
        <v>0</v>
      </c>
    </row>
    <row r="69" spans="1:17" x14ac:dyDescent="0.25">
      <c r="A69" t="s">
        <v>111</v>
      </c>
      <c r="B69" s="23" t="s">
        <v>134</v>
      </c>
      <c r="C69" s="23">
        <v>545765</v>
      </c>
      <c r="D69" s="24">
        <v>43918</v>
      </c>
      <c r="E69" s="24">
        <f t="shared" ref="E69:E88" si="6">WORKDAY(EDATE(D69,1)-1,1)</f>
        <v>43949</v>
      </c>
      <c r="F69" s="24">
        <v>43939</v>
      </c>
      <c r="G69" s="23">
        <v>320536</v>
      </c>
      <c r="H69" s="23" t="s">
        <v>47</v>
      </c>
      <c r="I69" s="23" t="s">
        <v>48</v>
      </c>
      <c r="J69" s="26">
        <v>948.75</v>
      </c>
      <c r="K69" s="24" t="str">
        <f t="shared" ref="K69:K88" si="7">TEXT(D69,"MMM")</f>
        <v>Mar</v>
      </c>
      <c r="L69" s="23">
        <f t="shared" ref="L69:L88" si="8">DAY(D69)</f>
        <v>28</v>
      </c>
      <c r="M69" s="23" t="str">
        <f>IF(tbl_MC[[#This Row],[Payment Date]]&gt;tbl_MC[[#This Row],[Due Date]],"Yes","")</f>
        <v/>
      </c>
      <c r="N69" s="23">
        <f>IF(tbl_MC[[#This Row],[Over Due]]="",0,NETWORKDAYS(tbl_MC[[#This Row],[Due Date]],tbl_MC[[#This Row],[Payment Date]],Holidays))</f>
        <v>0</v>
      </c>
      <c r="O69" s="25">
        <f>VLOOKUP(tbl_MC[[#This Row],[Over Due By]],$S$21:$T$25,2)</f>
        <v>0</v>
      </c>
      <c r="P69" s="34" t="str">
        <f>IF(AND(tbl_MC[[#This Row],[Over Due By]]&gt;0,tbl_MC[[#This Row],[Amount]]&gt;=500),"Action","")</f>
        <v/>
      </c>
      <c r="Q69" s="25">
        <f>tbl_MC[[#This Row],[Amount]]-_xlfn.XLOOKUP(tbl_MC[[#This Row],[Payment Ref]],Cust_Ref,Amount,0,0,1)</f>
        <v>0</v>
      </c>
    </row>
    <row r="70" spans="1:17" x14ac:dyDescent="0.25">
      <c r="A70" t="s">
        <v>112</v>
      </c>
      <c r="B70" s="23" t="s">
        <v>134</v>
      </c>
      <c r="C70" s="23">
        <v>545767</v>
      </c>
      <c r="D70" s="24">
        <v>43904</v>
      </c>
      <c r="E70" s="24">
        <f t="shared" si="6"/>
        <v>43935</v>
      </c>
      <c r="F70" s="24">
        <v>43937</v>
      </c>
      <c r="G70" s="23">
        <v>322800</v>
      </c>
      <c r="H70" s="23" t="s">
        <v>47</v>
      </c>
      <c r="I70" s="23" t="s">
        <v>48</v>
      </c>
      <c r="J70" s="26">
        <v>446.49</v>
      </c>
      <c r="K70" s="24" t="str">
        <f t="shared" si="7"/>
        <v>Mar</v>
      </c>
      <c r="L70" s="23">
        <f t="shared" si="8"/>
        <v>14</v>
      </c>
      <c r="M70" s="23" t="str">
        <f>IF(tbl_MC[[#This Row],[Payment Date]]&gt;tbl_MC[[#This Row],[Due Date]],"Yes","")</f>
        <v>Yes</v>
      </c>
      <c r="N70" s="23">
        <f>IF(tbl_MC[[#This Row],[Over Due]]="",0,NETWORKDAYS(tbl_MC[[#This Row],[Due Date]],tbl_MC[[#This Row],[Payment Date]],Holidays))</f>
        <v>3</v>
      </c>
      <c r="O70" s="25">
        <f>VLOOKUP(tbl_MC[[#This Row],[Over Due By]],$S$21:$T$25,2)</f>
        <v>2.25</v>
      </c>
      <c r="P70" s="34" t="str">
        <f>IF(AND(tbl_MC[[#This Row],[Over Due By]]&gt;0,tbl_MC[[#This Row],[Amount]]&gt;=500),"Action","")</f>
        <v/>
      </c>
      <c r="Q70" s="25">
        <f>tbl_MC[[#This Row],[Amount]]-_xlfn.XLOOKUP(tbl_MC[[#This Row],[Payment Ref]],Cust_Ref,Amount,0,0,1)</f>
        <v>0</v>
      </c>
    </row>
    <row r="71" spans="1:17" x14ac:dyDescent="0.25">
      <c r="A71" t="s">
        <v>113</v>
      </c>
      <c r="B71" s="23" t="s">
        <v>134</v>
      </c>
      <c r="C71" s="23">
        <v>545768</v>
      </c>
      <c r="D71" s="24">
        <v>43933</v>
      </c>
      <c r="E71" s="24">
        <f t="shared" si="6"/>
        <v>43963</v>
      </c>
      <c r="F71" s="24">
        <v>43940</v>
      </c>
      <c r="G71" s="23">
        <v>321358</v>
      </c>
      <c r="H71" s="23" t="s">
        <v>47</v>
      </c>
      <c r="I71" s="23" t="s">
        <v>48</v>
      </c>
      <c r="J71" s="26">
        <v>242.22</v>
      </c>
      <c r="K71" s="24" t="str">
        <f t="shared" si="7"/>
        <v>Apr</v>
      </c>
      <c r="L71" s="23">
        <f t="shared" si="8"/>
        <v>12</v>
      </c>
      <c r="M71" s="23" t="str">
        <f>IF(tbl_MC[[#This Row],[Payment Date]]&gt;tbl_MC[[#This Row],[Due Date]],"Yes","")</f>
        <v/>
      </c>
      <c r="N71" s="23">
        <f>IF(tbl_MC[[#This Row],[Over Due]]="",0,NETWORKDAYS(tbl_MC[[#This Row],[Due Date]],tbl_MC[[#This Row],[Payment Date]],Holidays))</f>
        <v>0</v>
      </c>
      <c r="O71" s="25">
        <f>VLOOKUP(tbl_MC[[#This Row],[Over Due By]],$S$21:$T$25,2)</f>
        <v>0</v>
      </c>
      <c r="P71" s="34" t="str">
        <f>IF(AND(tbl_MC[[#This Row],[Over Due By]]&gt;0,tbl_MC[[#This Row],[Amount]]&gt;=500),"Action","")</f>
        <v/>
      </c>
      <c r="Q71" s="25">
        <f>tbl_MC[[#This Row],[Amount]]-_xlfn.XLOOKUP(tbl_MC[[#This Row],[Payment Ref]],Cust_Ref,Amount,0,0,1)</f>
        <v>0</v>
      </c>
    </row>
    <row r="72" spans="1:17" x14ac:dyDescent="0.25">
      <c r="A72" t="s">
        <v>114</v>
      </c>
      <c r="B72" s="23" t="s">
        <v>134</v>
      </c>
      <c r="C72" s="23">
        <v>545769</v>
      </c>
      <c r="D72" s="24">
        <v>43887</v>
      </c>
      <c r="E72" s="24">
        <f t="shared" si="6"/>
        <v>43916</v>
      </c>
      <c r="F72" s="24">
        <v>43929</v>
      </c>
      <c r="G72" s="23">
        <v>316190</v>
      </c>
      <c r="H72" s="23" t="s">
        <v>47</v>
      </c>
      <c r="I72" s="23" t="s">
        <v>48</v>
      </c>
      <c r="J72" s="26">
        <v>600.6</v>
      </c>
      <c r="K72" s="24" t="str">
        <f t="shared" si="7"/>
        <v>Feb</v>
      </c>
      <c r="L72" s="23">
        <f t="shared" si="8"/>
        <v>26</v>
      </c>
      <c r="M72" s="23" t="str">
        <f>IF(tbl_MC[[#This Row],[Payment Date]]&gt;tbl_MC[[#This Row],[Due Date]],"Yes","")</f>
        <v>Yes</v>
      </c>
      <c r="N72" s="23">
        <f>IF(tbl_MC[[#This Row],[Over Due]]="",0,NETWORKDAYS(tbl_MC[[#This Row],[Due Date]],tbl_MC[[#This Row],[Payment Date]],Holidays))</f>
        <v>10</v>
      </c>
      <c r="O72" s="25">
        <f>VLOOKUP(tbl_MC[[#This Row],[Over Due By]],$S$21:$T$25,2)</f>
        <v>10.8</v>
      </c>
      <c r="P72" s="34" t="str">
        <f>IF(AND(tbl_MC[[#This Row],[Over Due By]]&gt;0,tbl_MC[[#This Row],[Amount]]&gt;=500),"Action","")</f>
        <v>Action</v>
      </c>
      <c r="Q72" s="25">
        <f>tbl_MC[[#This Row],[Amount]]-_xlfn.XLOOKUP(tbl_MC[[#This Row],[Payment Ref]],Cust_Ref,Amount,0,0,1)</f>
        <v>0</v>
      </c>
    </row>
    <row r="73" spans="1:17" x14ac:dyDescent="0.25">
      <c r="A73" t="s">
        <v>115</v>
      </c>
      <c r="B73" s="23" t="s">
        <v>134</v>
      </c>
      <c r="C73" s="23">
        <v>545770</v>
      </c>
      <c r="D73" s="24">
        <v>43905</v>
      </c>
      <c r="E73" s="24">
        <f t="shared" si="6"/>
        <v>43936</v>
      </c>
      <c r="F73" s="24">
        <v>43942</v>
      </c>
      <c r="G73" s="23">
        <v>327938</v>
      </c>
      <c r="H73" s="23" t="s">
        <v>47</v>
      </c>
      <c r="I73" s="23" t="s">
        <v>48</v>
      </c>
      <c r="J73" s="26">
        <v>546.80999999999995</v>
      </c>
      <c r="K73" s="24" t="str">
        <f t="shared" si="7"/>
        <v>Mar</v>
      </c>
      <c r="L73" s="23">
        <f t="shared" si="8"/>
        <v>15</v>
      </c>
      <c r="M73" s="23" t="str">
        <f>IF(tbl_MC[[#This Row],[Payment Date]]&gt;tbl_MC[[#This Row],[Due Date]],"Yes","")</f>
        <v>Yes</v>
      </c>
      <c r="N73" s="23">
        <f>IF(tbl_MC[[#This Row],[Over Due]]="",0,NETWORKDAYS(tbl_MC[[#This Row],[Due Date]],tbl_MC[[#This Row],[Payment Date]],Holidays))</f>
        <v>5</v>
      </c>
      <c r="O73" s="25">
        <f>VLOOKUP(tbl_MC[[#This Row],[Over Due By]],$S$21:$T$25,2)</f>
        <v>5.5</v>
      </c>
      <c r="P73" s="34" t="str">
        <f>IF(AND(tbl_MC[[#This Row],[Over Due By]]&gt;0,tbl_MC[[#This Row],[Amount]]&gt;=500),"Action","")</f>
        <v>Action</v>
      </c>
      <c r="Q73" s="25">
        <f>tbl_MC[[#This Row],[Amount]]-_xlfn.XLOOKUP(tbl_MC[[#This Row],[Payment Ref]],Cust_Ref,Amount,0,0,1)</f>
        <v>0</v>
      </c>
    </row>
    <row r="74" spans="1:17" x14ac:dyDescent="0.25">
      <c r="A74" t="s">
        <v>116</v>
      </c>
      <c r="B74" s="23" t="s">
        <v>134</v>
      </c>
      <c r="C74" s="23">
        <v>545772</v>
      </c>
      <c r="D74" s="24">
        <v>43900</v>
      </c>
      <c r="E74" s="24">
        <f t="shared" si="6"/>
        <v>43931</v>
      </c>
      <c r="F74" s="24">
        <v>43931</v>
      </c>
      <c r="G74" s="23">
        <v>234487</v>
      </c>
      <c r="H74" s="23" t="s">
        <v>45</v>
      </c>
      <c r="I74" s="23" t="s">
        <v>46</v>
      </c>
      <c r="J74" s="26">
        <v>840.51</v>
      </c>
      <c r="K74" s="24" t="str">
        <f t="shared" si="7"/>
        <v>Mar</v>
      </c>
      <c r="L74" s="23">
        <f t="shared" si="8"/>
        <v>10</v>
      </c>
      <c r="M74" s="23" t="str">
        <f>IF(tbl_MC[[#This Row],[Payment Date]]&gt;tbl_MC[[#This Row],[Due Date]],"Yes","")</f>
        <v/>
      </c>
      <c r="N74" s="23">
        <f>IF(tbl_MC[[#This Row],[Over Due]]="",0,NETWORKDAYS(tbl_MC[[#This Row],[Due Date]],tbl_MC[[#This Row],[Payment Date]],Holidays))</f>
        <v>0</v>
      </c>
      <c r="O74" s="25">
        <f>VLOOKUP(tbl_MC[[#This Row],[Over Due By]],$S$21:$T$25,2)</f>
        <v>0</v>
      </c>
      <c r="P74" s="34" t="str">
        <f>IF(AND(tbl_MC[[#This Row],[Over Due By]]&gt;0,tbl_MC[[#This Row],[Amount]]&gt;=500),"Action","")</f>
        <v/>
      </c>
      <c r="Q74" s="25">
        <f>tbl_MC[[#This Row],[Amount]]-_xlfn.XLOOKUP(tbl_MC[[#This Row],[Payment Ref]],Cust_Ref,Amount,0,0,1)</f>
        <v>0</v>
      </c>
    </row>
    <row r="75" spans="1:17" x14ac:dyDescent="0.25">
      <c r="A75" t="s">
        <v>117</v>
      </c>
      <c r="B75" s="23" t="s">
        <v>134</v>
      </c>
      <c r="C75" s="23">
        <v>545773</v>
      </c>
      <c r="D75" s="24">
        <v>43923</v>
      </c>
      <c r="E75" s="24">
        <f t="shared" si="6"/>
        <v>43955</v>
      </c>
      <c r="F75" s="24">
        <v>43951</v>
      </c>
      <c r="G75" s="23">
        <v>231274</v>
      </c>
      <c r="H75" s="23" t="s">
        <v>45</v>
      </c>
      <c r="I75" s="23" t="s">
        <v>46</v>
      </c>
      <c r="J75" s="26">
        <v>603.57000000000005</v>
      </c>
      <c r="K75" s="24" t="str">
        <f t="shared" si="7"/>
        <v>Apr</v>
      </c>
      <c r="L75" s="23">
        <f t="shared" si="8"/>
        <v>2</v>
      </c>
      <c r="M75" s="23" t="str">
        <f>IF(tbl_MC[[#This Row],[Payment Date]]&gt;tbl_MC[[#This Row],[Due Date]],"Yes","")</f>
        <v/>
      </c>
      <c r="N75" s="23">
        <f>IF(tbl_MC[[#This Row],[Over Due]]="",0,NETWORKDAYS(tbl_MC[[#This Row],[Due Date]],tbl_MC[[#This Row],[Payment Date]],Holidays))</f>
        <v>0</v>
      </c>
      <c r="O75" s="25">
        <f>VLOOKUP(tbl_MC[[#This Row],[Over Due By]],$S$21:$T$25,2)</f>
        <v>0</v>
      </c>
      <c r="P75" s="34" t="str">
        <f>IF(AND(tbl_MC[[#This Row],[Over Due By]]&gt;0,tbl_MC[[#This Row],[Amount]]&gt;=500),"Action","")</f>
        <v/>
      </c>
      <c r="Q75" s="25">
        <f>tbl_MC[[#This Row],[Amount]]-_xlfn.XLOOKUP(tbl_MC[[#This Row],[Payment Ref]],Cust_Ref,Amount,0,0,1)</f>
        <v>0</v>
      </c>
    </row>
    <row r="76" spans="1:17" x14ac:dyDescent="0.25">
      <c r="A76" t="s">
        <v>118</v>
      </c>
      <c r="B76" s="23" t="s">
        <v>134</v>
      </c>
      <c r="C76" s="23">
        <v>545774</v>
      </c>
      <c r="D76" s="24">
        <v>43914</v>
      </c>
      <c r="E76" s="24">
        <f t="shared" si="6"/>
        <v>43945</v>
      </c>
      <c r="F76" s="24">
        <v>43944</v>
      </c>
      <c r="G76" s="23">
        <v>224955</v>
      </c>
      <c r="H76" s="23" t="s">
        <v>45</v>
      </c>
      <c r="I76" s="23" t="s">
        <v>46</v>
      </c>
      <c r="J76" s="26">
        <v>816.75</v>
      </c>
      <c r="K76" s="24" t="str">
        <f t="shared" si="7"/>
        <v>Mar</v>
      </c>
      <c r="L76" s="23">
        <f t="shared" si="8"/>
        <v>24</v>
      </c>
      <c r="M76" s="23" t="str">
        <f>IF(tbl_MC[[#This Row],[Payment Date]]&gt;tbl_MC[[#This Row],[Due Date]],"Yes","")</f>
        <v/>
      </c>
      <c r="N76" s="23">
        <f>IF(tbl_MC[[#This Row],[Over Due]]="",0,NETWORKDAYS(tbl_MC[[#This Row],[Due Date]],tbl_MC[[#This Row],[Payment Date]],Holidays))</f>
        <v>0</v>
      </c>
      <c r="O76" s="25">
        <f>VLOOKUP(tbl_MC[[#This Row],[Over Due By]],$S$21:$T$25,2)</f>
        <v>0</v>
      </c>
      <c r="P76" s="34" t="str">
        <f>IF(AND(tbl_MC[[#This Row],[Over Due By]]&gt;0,tbl_MC[[#This Row],[Amount]]&gt;=500),"Action","")</f>
        <v/>
      </c>
      <c r="Q76" s="25">
        <f>tbl_MC[[#This Row],[Amount]]-_xlfn.XLOOKUP(tbl_MC[[#This Row],[Payment Ref]],Cust_Ref,Amount,0,0,1)</f>
        <v>0</v>
      </c>
    </row>
    <row r="77" spans="1:17" x14ac:dyDescent="0.25">
      <c r="A77" t="s">
        <v>119</v>
      </c>
      <c r="B77" s="23" t="s">
        <v>134</v>
      </c>
      <c r="C77" s="23">
        <v>545775</v>
      </c>
      <c r="D77" s="24">
        <v>43912</v>
      </c>
      <c r="E77" s="24">
        <f t="shared" si="6"/>
        <v>43943</v>
      </c>
      <c r="F77" s="24">
        <v>43951</v>
      </c>
      <c r="G77" s="23">
        <v>217275</v>
      </c>
      <c r="H77" s="23" t="s">
        <v>45</v>
      </c>
      <c r="I77" s="23" t="s">
        <v>46</v>
      </c>
      <c r="J77" s="26">
        <v>1065.57</v>
      </c>
      <c r="K77" s="24" t="str">
        <f t="shared" si="7"/>
        <v>Mar</v>
      </c>
      <c r="L77" s="23">
        <f t="shared" si="8"/>
        <v>22</v>
      </c>
      <c r="M77" s="23" t="str">
        <f>IF(tbl_MC[[#This Row],[Payment Date]]&gt;tbl_MC[[#This Row],[Due Date]],"Yes","")</f>
        <v>Yes</v>
      </c>
      <c r="N77" s="23">
        <f>IF(tbl_MC[[#This Row],[Over Due]]="",0,NETWORKDAYS(tbl_MC[[#This Row],[Due Date]],tbl_MC[[#This Row],[Payment Date]],Holidays))</f>
        <v>7</v>
      </c>
      <c r="O77" s="25">
        <f>VLOOKUP(tbl_MC[[#This Row],[Over Due By]],$S$21:$T$25,2)</f>
        <v>5.5</v>
      </c>
      <c r="P77" s="34" t="str">
        <f>IF(AND(tbl_MC[[#This Row],[Over Due By]]&gt;0,tbl_MC[[#This Row],[Amount]]&gt;=500),"Action","")</f>
        <v>Action</v>
      </c>
      <c r="Q77" s="25">
        <f>tbl_MC[[#This Row],[Amount]]-_xlfn.XLOOKUP(tbl_MC[[#This Row],[Payment Ref]],Cust_Ref,Amount,0,0,1)</f>
        <v>0</v>
      </c>
    </row>
    <row r="78" spans="1:17" x14ac:dyDescent="0.25">
      <c r="A78" t="s">
        <v>120</v>
      </c>
      <c r="B78" s="23" t="s">
        <v>134</v>
      </c>
      <c r="C78" s="23">
        <v>545776</v>
      </c>
      <c r="D78" s="24">
        <v>43919</v>
      </c>
      <c r="E78" s="24">
        <f t="shared" si="6"/>
        <v>43950</v>
      </c>
      <c r="F78" s="24">
        <v>43925</v>
      </c>
      <c r="G78" s="23">
        <v>226240</v>
      </c>
      <c r="H78" s="23" t="s">
        <v>45</v>
      </c>
      <c r="I78" s="23" t="s">
        <v>46</v>
      </c>
      <c r="J78" s="26">
        <v>523.38</v>
      </c>
      <c r="K78" s="24" t="str">
        <f t="shared" si="7"/>
        <v>Mar</v>
      </c>
      <c r="L78" s="23">
        <f t="shared" si="8"/>
        <v>29</v>
      </c>
      <c r="M78" s="23" t="str">
        <f>IF(tbl_MC[[#This Row],[Payment Date]]&gt;tbl_MC[[#This Row],[Due Date]],"Yes","")</f>
        <v/>
      </c>
      <c r="N78" s="23">
        <f>IF(tbl_MC[[#This Row],[Over Due]]="",0,NETWORKDAYS(tbl_MC[[#This Row],[Due Date]],tbl_MC[[#This Row],[Payment Date]],Holidays))</f>
        <v>0</v>
      </c>
      <c r="O78" s="25">
        <f>VLOOKUP(tbl_MC[[#This Row],[Over Due By]],$S$21:$T$25,2)</f>
        <v>0</v>
      </c>
      <c r="P78" s="34" t="str">
        <f>IF(AND(tbl_MC[[#This Row],[Over Due By]]&gt;0,tbl_MC[[#This Row],[Amount]]&gt;=500),"Action","")</f>
        <v/>
      </c>
      <c r="Q78" s="25">
        <f>tbl_MC[[#This Row],[Amount]]-_xlfn.XLOOKUP(tbl_MC[[#This Row],[Payment Ref]],Cust_Ref,Amount,0,0,1)</f>
        <v>0</v>
      </c>
    </row>
    <row r="79" spans="1:17" x14ac:dyDescent="0.25">
      <c r="A79" t="s">
        <v>121</v>
      </c>
      <c r="B79" s="23" t="s">
        <v>134</v>
      </c>
      <c r="C79" s="23">
        <v>545778</v>
      </c>
      <c r="D79" s="24">
        <v>43890</v>
      </c>
      <c r="E79" s="24">
        <f t="shared" si="6"/>
        <v>43920</v>
      </c>
      <c r="F79" s="24">
        <v>43932</v>
      </c>
      <c r="G79" s="23">
        <v>325643</v>
      </c>
      <c r="H79" s="23" t="s">
        <v>47</v>
      </c>
      <c r="I79" s="23" t="s">
        <v>48</v>
      </c>
      <c r="J79" s="26">
        <v>650.42999999999995</v>
      </c>
      <c r="K79" s="24" t="str">
        <f t="shared" si="7"/>
        <v>Feb</v>
      </c>
      <c r="L79" s="23">
        <f t="shared" si="8"/>
        <v>29</v>
      </c>
      <c r="M79" s="23" t="str">
        <f>IF(tbl_MC[[#This Row],[Payment Date]]&gt;tbl_MC[[#This Row],[Due Date]],"Yes","")</f>
        <v>Yes</v>
      </c>
      <c r="N79" s="23">
        <f>IF(tbl_MC[[#This Row],[Over Due]]="",0,NETWORKDAYS(tbl_MC[[#This Row],[Due Date]],tbl_MC[[#This Row],[Payment Date]],Holidays))</f>
        <v>9</v>
      </c>
      <c r="O79" s="25">
        <f>VLOOKUP(tbl_MC[[#This Row],[Over Due By]],$S$21:$T$25,2)</f>
        <v>5.5</v>
      </c>
      <c r="P79" s="34" t="str">
        <f>IF(AND(tbl_MC[[#This Row],[Over Due By]]&gt;0,tbl_MC[[#This Row],[Amount]]&gt;=500),"Action","")</f>
        <v>Action</v>
      </c>
      <c r="Q79" s="25">
        <f>tbl_MC[[#This Row],[Amount]]-_xlfn.XLOOKUP(tbl_MC[[#This Row],[Payment Ref]],Cust_Ref,Amount,0,0,1)</f>
        <v>0</v>
      </c>
    </row>
    <row r="80" spans="1:17" x14ac:dyDescent="0.25">
      <c r="A80" t="s">
        <v>122</v>
      </c>
      <c r="B80" s="23" t="s">
        <v>134</v>
      </c>
      <c r="C80" s="23">
        <v>545780</v>
      </c>
      <c r="D80" s="24">
        <v>43934</v>
      </c>
      <c r="E80" s="24">
        <f t="shared" si="6"/>
        <v>43964</v>
      </c>
      <c r="F80" s="24">
        <v>43943</v>
      </c>
      <c r="G80" s="23">
        <v>312800</v>
      </c>
      <c r="H80" s="23" t="s">
        <v>47</v>
      </c>
      <c r="I80" s="23" t="s">
        <v>48</v>
      </c>
      <c r="J80" s="26">
        <v>809.49</v>
      </c>
      <c r="K80" s="24" t="str">
        <f t="shared" si="7"/>
        <v>Apr</v>
      </c>
      <c r="L80" s="23">
        <f t="shared" si="8"/>
        <v>13</v>
      </c>
      <c r="M80" s="23" t="str">
        <f>IF(tbl_MC[[#This Row],[Payment Date]]&gt;tbl_MC[[#This Row],[Due Date]],"Yes","")</f>
        <v/>
      </c>
      <c r="N80" s="23">
        <f>IF(tbl_MC[[#This Row],[Over Due]]="",0,NETWORKDAYS(tbl_MC[[#This Row],[Due Date]],tbl_MC[[#This Row],[Payment Date]],Holidays))</f>
        <v>0</v>
      </c>
      <c r="O80" s="25">
        <f>VLOOKUP(tbl_MC[[#This Row],[Over Due By]],$S$21:$T$25,2)</f>
        <v>0</v>
      </c>
      <c r="P80" s="34" t="str">
        <f>IF(AND(tbl_MC[[#This Row],[Over Due By]]&gt;0,tbl_MC[[#This Row],[Amount]]&gt;=500),"Action","")</f>
        <v/>
      </c>
      <c r="Q80" s="25">
        <f>tbl_MC[[#This Row],[Amount]]-_xlfn.XLOOKUP(tbl_MC[[#This Row],[Payment Ref]],Cust_Ref,Amount,0,0,1)</f>
        <v>0</v>
      </c>
    </row>
    <row r="81" spans="1:17" x14ac:dyDescent="0.25">
      <c r="A81" t="s">
        <v>123</v>
      </c>
      <c r="B81" s="23" t="s">
        <v>134</v>
      </c>
      <c r="C81" s="23">
        <v>545781</v>
      </c>
      <c r="D81" s="24">
        <v>43901</v>
      </c>
      <c r="E81" s="24">
        <f t="shared" si="6"/>
        <v>43934</v>
      </c>
      <c r="F81" s="24">
        <v>43943</v>
      </c>
      <c r="G81" s="23">
        <v>338807</v>
      </c>
      <c r="H81" s="23" t="s">
        <v>47</v>
      </c>
      <c r="I81" s="23" t="s">
        <v>48</v>
      </c>
      <c r="J81" s="26">
        <v>424.38</v>
      </c>
      <c r="K81" s="24" t="str">
        <f t="shared" si="7"/>
        <v>Mar</v>
      </c>
      <c r="L81" s="23">
        <f t="shared" si="8"/>
        <v>11</v>
      </c>
      <c r="M81" s="23" t="str">
        <f>IF(tbl_MC[[#This Row],[Payment Date]]&gt;tbl_MC[[#This Row],[Due Date]],"Yes","")</f>
        <v>Yes</v>
      </c>
      <c r="N81" s="23">
        <f>IF(tbl_MC[[#This Row],[Over Due]]="",0,NETWORKDAYS(tbl_MC[[#This Row],[Due Date]],tbl_MC[[#This Row],[Payment Date]],Holidays))</f>
        <v>7</v>
      </c>
      <c r="O81" s="25">
        <f>VLOOKUP(tbl_MC[[#This Row],[Over Due By]],$S$21:$T$25,2)</f>
        <v>5.5</v>
      </c>
      <c r="P81" s="34" t="str">
        <f>IF(AND(tbl_MC[[#This Row],[Over Due By]]&gt;0,tbl_MC[[#This Row],[Amount]]&gt;=500),"Action","")</f>
        <v/>
      </c>
      <c r="Q81" s="25">
        <f>tbl_MC[[#This Row],[Amount]]-_xlfn.XLOOKUP(tbl_MC[[#This Row],[Payment Ref]],Cust_Ref,Amount,0,0,1)</f>
        <v>0</v>
      </c>
    </row>
    <row r="82" spans="1:17" x14ac:dyDescent="0.25">
      <c r="A82" t="s">
        <v>124</v>
      </c>
      <c r="B82" s="23" t="s">
        <v>134</v>
      </c>
      <c r="C82" s="23">
        <v>545783</v>
      </c>
      <c r="D82" s="24">
        <v>43933</v>
      </c>
      <c r="E82" s="24">
        <f t="shared" si="6"/>
        <v>43963</v>
      </c>
      <c r="F82" s="24">
        <v>43935</v>
      </c>
      <c r="G82" s="23">
        <v>239476</v>
      </c>
      <c r="H82" s="23" t="s">
        <v>45</v>
      </c>
      <c r="I82" s="23" t="s">
        <v>46</v>
      </c>
      <c r="J82" s="26">
        <v>955.68</v>
      </c>
      <c r="K82" s="24" t="str">
        <f t="shared" si="7"/>
        <v>Apr</v>
      </c>
      <c r="L82" s="23">
        <f t="shared" si="8"/>
        <v>12</v>
      </c>
      <c r="M82" s="23" t="str">
        <f>IF(tbl_MC[[#This Row],[Payment Date]]&gt;tbl_MC[[#This Row],[Due Date]],"Yes","")</f>
        <v/>
      </c>
      <c r="N82" s="23">
        <f>IF(tbl_MC[[#This Row],[Over Due]]="",0,NETWORKDAYS(tbl_MC[[#This Row],[Due Date]],tbl_MC[[#This Row],[Payment Date]],Holidays))</f>
        <v>0</v>
      </c>
      <c r="O82" s="25">
        <f>VLOOKUP(tbl_MC[[#This Row],[Over Due By]],$S$21:$T$25,2)</f>
        <v>0</v>
      </c>
      <c r="P82" s="34" t="str">
        <f>IF(AND(tbl_MC[[#This Row],[Over Due By]]&gt;0,tbl_MC[[#This Row],[Amount]]&gt;=500),"Action","")</f>
        <v/>
      </c>
      <c r="Q82" s="25">
        <f>tbl_MC[[#This Row],[Amount]]-_xlfn.XLOOKUP(tbl_MC[[#This Row],[Payment Ref]],Cust_Ref,Amount,0,0,1)</f>
        <v>0</v>
      </c>
    </row>
    <row r="83" spans="1:17" x14ac:dyDescent="0.25">
      <c r="A83" t="s">
        <v>125</v>
      </c>
      <c r="B83" s="23" t="s">
        <v>134</v>
      </c>
      <c r="C83" s="23">
        <v>545784</v>
      </c>
      <c r="D83" s="24">
        <v>43942</v>
      </c>
      <c r="E83" s="24">
        <f t="shared" si="6"/>
        <v>43972</v>
      </c>
      <c r="F83" s="24">
        <v>43950</v>
      </c>
      <c r="G83" s="23">
        <v>213693</v>
      </c>
      <c r="H83" s="23" t="s">
        <v>45</v>
      </c>
      <c r="I83" s="23" t="s">
        <v>46</v>
      </c>
      <c r="J83" s="26">
        <v>764.28</v>
      </c>
      <c r="K83" s="24" t="str">
        <f t="shared" si="7"/>
        <v>Apr</v>
      </c>
      <c r="L83" s="23">
        <f t="shared" si="8"/>
        <v>21</v>
      </c>
      <c r="M83" s="23" t="str">
        <f>IF(tbl_MC[[#This Row],[Payment Date]]&gt;tbl_MC[[#This Row],[Due Date]],"Yes","")</f>
        <v/>
      </c>
      <c r="N83" s="23">
        <f>IF(tbl_MC[[#This Row],[Over Due]]="",0,NETWORKDAYS(tbl_MC[[#This Row],[Due Date]],tbl_MC[[#This Row],[Payment Date]],Holidays))</f>
        <v>0</v>
      </c>
      <c r="O83" s="25">
        <f>VLOOKUP(tbl_MC[[#This Row],[Over Due By]],$S$21:$T$25,2)</f>
        <v>0</v>
      </c>
      <c r="P83" s="34" t="str">
        <f>IF(AND(tbl_MC[[#This Row],[Over Due By]]&gt;0,tbl_MC[[#This Row],[Amount]]&gt;=500),"Action","")</f>
        <v/>
      </c>
      <c r="Q83" s="25">
        <f>tbl_MC[[#This Row],[Amount]]-_xlfn.XLOOKUP(tbl_MC[[#This Row],[Payment Ref]],Cust_Ref,Amount,0,0,1)</f>
        <v>0</v>
      </c>
    </row>
    <row r="84" spans="1:17" x14ac:dyDescent="0.25">
      <c r="A84" t="s">
        <v>126</v>
      </c>
      <c r="B84" s="23" t="s">
        <v>134</v>
      </c>
      <c r="C84" s="23">
        <v>545785</v>
      </c>
      <c r="D84" s="24">
        <v>43897</v>
      </c>
      <c r="E84" s="24">
        <f t="shared" si="6"/>
        <v>43928</v>
      </c>
      <c r="F84" s="24">
        <v>43926</v>
      </c>
      <c r="G84" s="23">
        <v>235040</v>
      </c>
      <c r="H84" s="23" t="s">
        <v>45</v>
      </c>
      <c r="I84" s="23" t="s">
        <v>46</v>
      </c>
      <c r="J84" s="26">
        <v>335.61</v>
      </c>
      <c r="K84" s="24" t="str">
        <f t="shared" si="7"/>
        <v>Mar</v>
      </c>
      <c r="L84" s="23">
        <f t="shared" si="8"/>
        <v>7</v>
      </c>
      <c r="M84" s="23" t="str">
        <f>IF(tbl_MC[[#This Row],[Payment Date]]&gt;tbl_MC[[#This Row],[Due Date]],"Yes","")</f>
        <v/>
      </c>
      <c r="N84" s="23">
        <f>IF(tbl_MC[[#This Row],[Over Due]]="",0,NETWORKDAYS(tbl_MC[[#This Row],[Due Date]],tbl_MC[[#This Row],[Payment Date]],Holidays))</f>
        <v>0</v>
      </c>
      <c r="O84" s="25">
        <f>VLOOKUP(tbl_MC[[#This Row],[Over Due By]],$S$21:$T$25,2)</f>
        <v>0</v>
      </c>
      <c r="P84" s="34" t="str">
        <f>IF(AND(tbl_MC[[#This Row],[Over Due By]]&gt;0,tbl_MC[[#This Row],[Amount]]&gt;=500),"Action","")</f>
        <v/>
      </c>
      <c r="Q84" s="25">
        <f>tbl_MC[[#This Row],[Amount]]-_xlfn.XLOOKUP(tbl_MC[[#This Row],[Payment Ref]],Cust_Ref,Amount,0,0,1)</f>
        <v>0</v>
      </c>
    </row>
    <row r="85" spans="1:17" x14ac:dyDescent="0.25">
      <c r="A85" t="s">
        <v>127</v>
      </c>
      <c r="B85" s="23" t="s">
        <v>134</v>
      </c>
      <c r="C85" s="23">
        <v>545786</v>
      </c>
      <c r="D85" s="24">
        <v>43898</v>
      </c>
      <c r="E85" s="24">
        <f t="shared" si="6"/>
        <v>43929</v>
      </c>
      <c r="F85" s="24">
        <v>43940</v>
      </c>
      <c r="G85" s="23">
        <v>211771</v>
      </c>
      <c r="H85" s="23" t="s">
        <v>45</v>
      </c>
      <c r="I85" s="23" t="s">
        <v>46</v>
      </c>
      <c r="J85" s="26">
        <v>763.29</v>
      </c>
      <c r="K85" s="24" t="str">
        <f t="shared" si="7"/>
        <v>Mar</v>
      </c>
      <c r="L85" s="23">
        <f t="shared" si="8"/>
        <v>8</v>
      </c>
      <c r="M85" s="23" t="str">
        <f>IF(tbl_MC[[#This Row],[Payment Date]]&gt;tbl_MC[[#This Row],[Due Date]],"Yes","")</f>
        <v>Yes</v>
      </c>
      <c r="N85" s="23">
        <f>IF(tbl_MC[[#This Row],[Over Due]]="",0,NETWORKDAYS(tbl_MC[[#This Row],[Due Date]],tbl_MC[[#This Row],[Payment Date]],Holidays))</f>
        <v>6</v>
      </c>
      <c r="O85" s="25">
        <f>VLOOKUP(tbl_MC[[#This Row],[Over Due By]],$S$21:$T$25,2)</f>
        <v>5.5</v>
      </c>
      <c r="P85" s="34" t="str">
        <f>IF(AND(tbl_MC[[#This Row],[Over Due By]]&gt;0,tbl_MC[[#This Row],[Amount]]&gt;=500),"Action","")</f>
        <v>Action</v>
      </c>
      <c r="Q85" s="25">
        <f>tbl_MC[[#This Row],[Amount]]-_xlfn.XLOOKUP(tbl_MC[[#This Row],[Payment Ref]],Cust_Ref,Amount,0,0,1)</f>
        <v>0</v>
      </c>
    </row>
    <row r="86" spans="1:17" x14ac:dyDescent="0.25">
      <c r="A86" t="s">
        <v>128</v>
      </c>
      <c r="B86" s="23" t="s">
        <v>134</v>
      </c>
      <c r="C86" s="23">
        <v>545788</v>
      </c>
      <c r="D86" s="24">
        <v>43919</v>
      </c>
      <c r="E86" s="24">
        <f t="shared" si="6"/>
        <v>43950</v>
      </c>
      <c r="F86" s="24">
        <v>43933</v>
      </c>
      <c r="G86" s="23">
        <v>326543</v>
      </c>
      <c r="H86" s="23" t="s">
        <v>47</v>
      </c>
      <c r="I86" s="23" t="s">
        <v>48</v>
      </c>
      <c r="J86" s="26">
        <v>446.16</v>
      </c>
      <c r="K86" s="24" t="str">
        <f t="shared" si="7"/>
        <v>Mar</v>
      </c>
      <c r="L86" s="23">
        <f t="shared" si="8"/>
        <v>29</v>
      </c>
      <c r="M86" s="23" t="str">
        <f>IF(tbl_MC[[#This Row],[Payment Date]]&gt;tbl_MC[[#This Row],[Due Date]],"Yes","")</f>
        <v/>
      </c>
      <c r="N86" s="23">
        <f>IF(tbl_MC[[#This Row],[Over Due]]="",0,NETWORKDAYS(tbl_MC[[#This Row],[Due Date]],tbl_MC[[#This Row],[Payment Date]],Holidays))</f>
        <v>0</v>
      </c>
      <c r="O86" s="25">
        <f>VLOOKUP(tbl_MC[[#This Row],[Over Due By]],$S$21:$T$25,2)</f>
        <v>0</v>
      </c>
      <c r="P86" s="34" t="str">
        <f>IF(AND(tbl_MC[[#This Row],[Over Due By]]&gt;0,tbl_MC[[#This Row],[Amount]]&gt;=500),"Action","")</f>
        <v/>
      </c>
      <c r="Q86" s="25">
        <f>tbl_MC[[#This Row],[Amount]]-_xlfn.XLOOKUP(tbl_MC[[#This Row],[Payment Ref]],Cust_Ref,Amount,0,0,1)</f>
        <v>0</v>
      </c>
    </row>
    <row r="87" spans="1:17" x14ac:dyDescent="0.25">
      <c r="A87" t="s">
        <v>129</v>
      </c>
      <c r="B87" s="23" t="s">
        <v>134</v>
      </c>
      <c r="C87" s="23">
        <v>545789</v>
      </c>
      <c r="D87" s="24">
        <v>43898</v>
      </c>
      <c r="E87" s="24">
        <f t="shared" si="6"/>
        <v>43929</v>
      </c>
      <c r="F87" s="24">
        <v>43941</v>
      </c>
      <c r="G87" s="23">
        <v>338553</v>
      </c>
      <c r="H87" s="23" t="s">
        <v>47</v>
      </c>
      <c r="I87" s="23" t="s">
        <v>48</v>
      </c>
      <c r="J87" s="26">
        <v>1032.24</v>
      </c>
      <c r="K87" s="24" t="str">
        <f t="shared" si="7"/>
        <v>Mar</v>
      </c>
      <c r="L87" s="23">
        <f t="shared" si="8"/>
        <v>8</v>
      </c>
      <c r="M87" s="23" t="str">
        <f>IF(tbl_MC[[#This Row],[Payment Date]]&gt;tbl_MC[[#This Row],[Due Date]],"Yes","")</f>
        <v>Yes</v>
      </c>
      <c r="N87" s="23">
        <f>IF(tbl_MC[[#This Row],[Over Due]]="",0,NETWORKDAYS(tbl_MC[[#This Row],[Due Date]],tbl_MC[[#This Row],[Payment Date]],Holidays))</f>
        <v>7</v>
      </c>
      <c r="O87" s="25">
        <f>VLOOKUP(tbl_MC[[#This Row],[Over Due By]],$S$21:$T$25,2)</f>
        <v>5.5</v>
      </c>
      <c r="P87" s="34" t="str">
        <f>IF(AND(tbl_MC[[#This Row],[Over Due By]]&gt;0,tbl_MC[[#This Row],[Amount]]&gt;=500),"Action","")</f>
        <v>Action</v>
      </c>
      <c r="Q87" s="25">
        <f>tbl_MC[[#This Row],[Amount]]-_xlfn.XLOOKUP(tbl_MC[[#This Row],[Payment Ref]],Cust_Ref,Amount,0,0,1)</f>
        <v>0</v>
      </c>
    </row>
    <row r="88" spans="1:17" x14ac:dyDescent="0.25">
      <c r="A88" t="s">
        <v>130</v>
      </c>
      <c r="B88" s="23" t="s">
        <v>134</v>
      </c>
      <c r="C88" s="23">
        <v>545790</v>
      </c>
      <c r="D88" s="24">
        <v>43915</v>
      </c>
      <c r="E88" s="24">
        <f t="shared" si="6"/>
        <v>43948</v>
      </c>
      <c r="F88" s="24">
        <v>43933</v>
      </c>
      <c r="G88" s="23">
        <v>213342</v>
      </c>
      <c r="H88" s="23" t="s">
        <v>45</v>
      </c>
      <c r="I88" s="23" t="s">
        <v>46</v>
      </c>
      <c r="J88" s="26">
        <v>533.28</v>
      </c>
      <c r="K88" s="24" t="str">
        <f t="shared" si="7"/>
        <v>Mar</v>
      </c>
      <c r="L88" s="23">
        <f t="shared" si="8"/>
        <v>25</v>
      </c>
      <c r="M88" s="23" t="str">
        <f>IF(tbl_MC[[#This Row],[Payment Date]]&gt;tbl_MC[[#This Row],[Due Date]],"Yes","")</f>
        <v/>
      </c>
      <c r="N88" s="23">
        <f>IF(tbl_MC[[#This Row],[Over Due]]="",0,NETWORKDAYS(tbl_MC[[#This Row],[Due Date]],tbl_MC[[#This Row],[Payment Date]],Holidays))</f>
        <v>0</v>
      </c>
      <c r="O88" s="25">
        <f>VLOOKUP(tbl_MC[[#This Row],[Over Due By]],$S$21:$T$25,2)</f>
        <v>0</v>
      </c>
      <c r="P88" s="34" t="str">
        <f>IF(AND(tbl_MC[[#This Row],[Over Due By]]&gt;0,tbl_MC[[#This Row],[Amount]]&gt;=500),"Action","")</f>
        <v/>
      </c>
      <c r="Q88" s="25">
        <f>tbl_MC[[#This Row],[Amount]]-_xlfn.XLOOKUP(tbl_MC[[#This Row],[Payment Ref]],Cust_Ref,Amount,0,0,1)</f>
        <v>0</v>
      </c>
    </row>
  </sheetData>
  <sortState xmlns:xlrd2="http://schemas.microsoft.com/office/spreadsheetml/2017/richdata2" ref="D5:F87">
    <sortCondition ref="F5:F87"/>
  </sortState>
  <mergeCells count="1">
    <mergeCell ref="S20:T20"/>
  </mergeCells>
  <phoneticPr fontId="4" type="noConversion"/>
  <conditionalFormatting sqref="B5:N88">
    <cfRule type="expression" dxfId="42" priority="16">
      <formula>$I5=$K$2</formula>
    </cfRule>
  </conditionalFormatting>
  <dataValidations disablePrompts="1" count="1">
    <dataValidation type="list" allowBlank="1" showInputMessage="1" showErrorMessage="1" sqref="K2" xr:uid="{DA0DBD6C-D839-48D2-B7C8-FC60EA5D0A58}">
      <formula1>Locations</formula1>
    </dataValidation>
  </dataValidations>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1EA9-9779-45DC-8275-7C6ACC2F16A5}">
  <dimension ref="A1:E9"/>
  <sheetViews>
    <sheetView zoomScale="115" zoomScaleNormal="115" workbookViewId="0">
      <selection activeCell="B5" sqref="B5"/>
    </sheetView>
  </sheetViews>
  <sheetFormatPr defaultRowHeight="15" x14ac:dyDescent="0.25"/>
  <cols>
    <col min="1" max="1" width="22.28515625" customWidth="1"/>
    <col min="2" max="2" width="18.5703125" customWidth="1"/>
    <col min="3" max="5" width="18" customWidth="1"/>
    <col min="6" max="6" width="21.28515625" customWidth="1"/>
  </cols>
  <sheetData>
    <row r="1" spans="1:5" ht="20.25" thickBot="1" x14ac:dyDescent="0.35">
      <c r="A1" s="9" t="s">
        <v>140</v>
      </c>
      <c r="B1" s="9"/>
      <c r="C1" s="9"/>
    </row>
    <row r="2" spans="1:5" ht="15.75" thickTop="1" x14ac:dyDescent="0.25"/>
    <row r="3" spans="1:5" x14ac:dyDescent="0.25">
      <c r="A3" t="s">
        <v>141</v>
      </c>
      <c r="B3" s="1">
        <f>SUM('Supplier Invoice Statement'!Q2:Q86)</f>
        <v>46110.429999999993</v>
      </c>
    </row>
    <row r="4" spans="1:5" x14ac:dyDescent="0.25">
      <c r="A4" t="s">
        <v>399</v>
      </c>
      <c r="B4" s="1">
        <f>SUM(Amount_Paid)</f>
        <v>45711.929999999993</v>
      </c>
    </row>
    <row r="5" spans="1:5" x14ac:dyDescent="0.25">
      <c r="A5" t="s">
        <v>142</v>
      </c>
      <c r="B5" s="1">
        <f>B3-B4</f>
        <v>398.5</v>
      </c>
    </row>
    <row r="7" spans="1:5" x14ac:dyDescent="0.25">
      <c r="A7" s="3" t="s">
        <v>188</v>
      </c>
      <c r="B7" s="7" t="s">
        <v>143</v>
      </c>
      <c r="C7" s="7" t="s">
        <v>144</v>
      </c>
      <c r="D7" s="7" t="s">
        <v>191</v>
      </c>
      <c r="E7" s="7" t="s">
        <v>137</v>
      </c>
    </row>
    <row r="8" spans="1:5" x14ac:dyDescent="0.25">
      <c r="A8" t="s">
        <v>46</v>
      </c>
      <c r="B8">
        <f>COUNTIFS(Location,A8)</f>
        <v>40</v>
      </c>
      <c r="C8" s="8">
        <f>SUMIFS(Amount_Paid,Location,A8)</f>
        <v>24082.739999999998</v>
      </c>
      <c r="D8">
        <f>SUMIFS(tbl_MC[Over Due By],Location,$A8)</f>
        <v>86</v>
      </c>
      <c r="E8" s="8">
        <f>SUMIFS(Late_Charge,Location,$A8)</f>
        <v>79.7</v>
      </c>
    </row>
    <row r="9" spans="1:5" x14ac:dyDescent="0.25">
      <c r="A9" t="s">
        <v>48</v>
      </c>
      <c r="B9">
        <f>COUNTIFS(Location,A9)</f>
        <v>44</v>
      </c>
      <c r="C9" s="8">
        <f>SUMIFS(Amount_Paid,Location,A9)</f>
        <v>21629.190000000006</v>
      </c>
      <c r="D9">
        <f>SUMIFS(tbl_MC[Over Due By],Location,$A9)</f>
        <v>131</v>
      </c>
      <c r="E9" s="8">
        <f>SUMIFS(Late_Charge,Location,$A9)</f>
        <v>108.39999999999999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BD081-91A7-4DE1-81D8-87D0B9859C69}">
  <dimension ref="A1:C35"/>
  <sheetViews>
    <sheetView workbookViewId="0">
      <selection activeCell="A4" sqref="A4:C15"/>
    </sheetView>
  </sheetViews>
  <sheetFormatPr defaultRowHeight="15" x14ac:dyDescent="0.25"/>
  <cols>
    <col min="1" max="1" width="13.28515625" style="12" customWidth="1"/>
    <col min="2" max="2" width="9.140625" style="4"/>
    <col min="3" max="3" width="24.5703125" customWidth="1"/>
  </cols>
  <sheetData>
    <row r="1" spans="1:3" ht="20.25" thickBot="1" x14ac:dyDescent="0.35">
      <c r="A1" s="16" t="s">
        <v>168</v>
      </c>
      <c r="B1" s="16"/>
      <c r="C1" s="16"/>
    </row>
    <row r="2" spans="1:3" ht="15.75" thickTop="1" x14ac:dyDescent="0.25"/>
    <row r="3" spans="1:3" x14ac:dyDescent="0.25">
      <c r="A3" s="13" t="s">
        <v>153</v>
      </c>
      <c r="B3" s="14" t="s">
        <v>154</v>
      </c>
      <c r="C3" s="15" t="s">
        <v>155</v>
      </c>
    </row>
    <row r="4" spans="1:3" x14ac:dyDescent="0.25">
      <c r="A4" s="12">
        <v>43831</v>
      </c>
      <c r="B4" s="4" t="str">
        <f>TEXT(A4,"ddd")</f>
        <v>Wed</v>
      </c>
      <c r="C4" t="s">
        <v>156</v>
      </c>
    </row>
    <row r="5" spans="1:3" x14ac:dyDescent="0.25">
      <c r="A5" s="12">
        <v>43857</v>
      </c>
      <c r="B5" s="4" t="str">
        <f t="shared" ref="B5:B15" si="0">TEXT(A5,"ddd")</f>
        <v>Mon</v>
      </c>
      <c r="C5" t="s">
        <v>157</v>
      </c>
    </row>
    <row r="6" spans="1:3" x14ac:dyDescent="0.25">
      <c r="A6" s="12">
        <v>43931</v>
      </c>
      <c r="B6" s="4" t="str">
        <f t="shared" si="0"/>
        <v>Fri</v>
      </c>
      <c r="C6" t="s">
        <v>159</v>
      </c>
    </row>
    <row r="7" spans="1:3" x14ac:dyDescent="0.25">
      <c r="A7" s="12">
        <v>43932</v>
      </c>
      <c r="B7" s="4" t="str">
        <f t="shared" si="0"/>
        <v>Sat</v>
      </c>
      <c r="C7" t="s">
        <v>160</v>
      </c>
    </row>
    <row r="8" spans="1:3" x14ac:dyDescent="0.25">
      <c r="A8" s="12">
        <v>43933</v>
      </c>
      <c r="B8" s="4" t="str">
        <f t="shared" si="0"/>
        <v>Sun</v>
      </c>
      <c r="C8" t="s">
        <v>161</v>
      </c>
    </row>
    <row r="9" spans="1:3" x14ac:dyDescent="0.25">
      <c r="A9" s="12">
        <v>43934</v>
      </c>
      <c r="B9" s="4" t="str">
        <f t="shared" si="0"/>
        <v>Mon</v>
      </c>
      <c r="C9" t="s">
        <v>162</v>
      </c>
    </row>
    <row r="10" spans="1:3" x14ac:dyDescent="0.25">
      <c r="A10" s="12">
        <v>43946</v>
      </c>
      <c r="B10" s="4" t="str">
        <f t="shared" si="0"/>
        <v>Sat</v>
      </c>
      <c r="C10" t="s">
        <v>163</v>
      </c>
    </row>
    <row r="11" spans="1:3" x14ac:dyDescent="0.25">
      <c r="A11" s="12">
        <v>43990</v>
      </c>
      <c r="B11" s="4" t="str">
        <f t="shared" si="0"/>
        <v>Mon</v>
      </c>
      <c r="C11" t="s">
        <v>164</v>
      </c>
    </row>
    <row r="12" spans="1:3" x14ac:dyDescent="0.25">
      <c r="A12" s="12">
        <v>44109</v>
      </c>
      <c r="B12" s="4" t="str">
        <f t="shared" si="0"/>
        <v>Mon</v>
      </c>
      <c r="C12" t="s">
        <v>158</v>
      </c>
    </row>
    <row r="13" spans="1:3" x14ac:dyDescent="0.25">
      <c r="A13" s="12">
        <v>44190</v>
      </c>
      <c r="B13" s="4" t="str">
        <f t="shared" si="0"/>
        <v>Fri</v>
      </c>
      <c r="C13" t="s">
        <v>165</v>
      </c>
    </row>
    <row r="14" spans="1:3" x14ac:dyDescent="0.25">
      <c r="A14" s="12">
        <v>44191</v>
      </c>
      <c r="B14" s="4" t="str">
        <f t="shared" si="0"/>
        <v>Sat</v>
      </c>
      <c r="C14" t="s">
        <v>166</v>
      </c>
    </row>
    <row r="15" spans="1:3" x14ac:dyDescent="0.25">
      <c r="A15" s="12">
        <v>44193</v>
      </c>
      <c r="B15" s="4" t="str">
        <f t="shared" si="0"/>
        <v>Mon</v>
      </c>
      <c r="C15" t="s">
        <v>167</v>
      </c>
    </row>
    <row r="19" spans="1:3" x14ac:dyDescent="0.25">
      <c r="A19" t="s">
        <v>184</v>
      </c>
      <c r="B19"/>
    </row>
    <row r="20" spans="1:3" x14ac:dyDescent="0.25">
      <c r="A20" s="15" t="s">
        <v>185</v>
      </c>
      <c r="B20" s="15" t="s">
        <v>186</v>
      </c>
      <c r="C20" s="15"/>
    </row>
    <row r="21" spans="1:3" x14ac:dyDescent="0.25">
      <c r="A21" t="s">
        <v>169</v>
      </c>
      <c r="B21" t="s">
        <v>170</v>
      </c>
    </row>
    <row r="22" spans="1:3" x14ac:dyDescent="0.25">
      <c r="A22">
        <v>2</v>
      </c>
      <c r="B22" t="s">
        <v>171</v>
      </c>
    </row>
    <row r="23" spans="1:3" x14ac:dyDescent="0.25">
      <c r="A23">
        <v>3</v>
      </c>
      <c r="B23" t="s">
        <v>172</v>
      </c>
    </row>
    <row r="24" spans="1:3" x14ac:dyDescent="0.25">
      <c r="A24">
        <v>4</v>
      </c>
      <c r="B24" t="s">
        <v>173</v>
      </c>
    </row>
    <row r="25" spans="1:3" x14ac:dyDescent="0.25">
      <c r="A25">
        <v>5</v>
      </c>
      <c r="B25" t="s">
        <v>174</v>
      </c>
    </row>
    <row r="26" spans="1:3" x14ac:dyDescent="0.25">
      <c r="A26">
        <v>6</v>
      </c>
      <c r="B26" t="s">
        <v>175</v>
      </c>
    </row>
    <row r="27" spans="1:3" x14ac:dyDescent="0.25">
      <c r="A27">
        <v>7</v>
      </c>
      <c r="B27" t="s">
        <v>176</v>
      </c>
    </row>
    <row r="28" spans="1:3" x14ac:dyDescent="0.25">
      <c r="A28">
        <v>11</v>
      </c>
      <c r="B28" t="s">
        <v>177</v>
      </c>
    </row>
    <row r="29" spans="1:3" x14ac:dyDescent="0.25">
      <c r="A29">
        <v>12</v>
      </c>
      <c r="B29" t="s">
        <v>178</v>
      </c>
    </row>
    <row r="30" spans="1:3" x14ac:dyDescent="0.25">
      <c r="A30">
        <v>13</v>
      </c>
      <c r="B30" t="s">
        <v>179</v>
      </c>
    </row>
    <row r="31" spans="1:3" x14ac:dyDescent="0.25">
      <c r="A31">
        <v>14</v>
      </c>
      <c r="B31" t="s">
        <v>180</v>
      </c>
    </row>
    <row r="32" spans="1:3" x14ac:dyDescent="0.25">
      <c r="A32">
        <v>15</v>
      </c>
      <c r="B32" t="s">
        <v>181</v>
      </c>
    </row>
    <row r="33" spans="1:2" x14ac:dyDescent="0.25">
      <c r="A33">
        <v>16</v>
      </c>
      <c r="B33" t="s">
        <v>182</v>
      </c>
    </row>
    <row r="34" spans="1:2" x14ac:dyDescent="0.25">
      <c r="A34">
        <v>17</v>
      </c>
      <c r="B34" t="s">
        <v>183</v>
      </c>
    </row>
    <row r="35" spans="1:2" x14ac:dyDescent="0.25">
      <c r="A35" s="12" t="s">
        <v>187</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20</vt:i4>
      </vt:variant>
    </vt:vector>
  </HeadingPairs>
  <TitlesOfParts>
    <vt:vector size="24" baseType="lpstr">
      <vt:lpstr>Supplier Invoice Statement</vt:lpstr>
      <vt:lpstr>MC Invoice Report</vt:lpstr>
      <vt:lpstr>Recon Analysis</vt:lpstr>
      <vt:lpstr>NSW Holidays 2020</vt:lpstr>
      <vt:lpstr>Amount</vt:lpstr>
      <vt:lpstr>Amount_Paid</vt:lpstr>
      <vt:lpstr>Bank_Details</vt:lpstr>
      <vt:lpstr>Cust_PO</vt:lpstr>
      <vt:lpstr>Cust_Ref</vt:lpstr>
      <vt:lpstr>Due_Date</vt:lpstr>
      <vt:lpstr>Holidays</vt:lpstr>
      <vt:lpstr>Invoice_Date</vt:lpstr>
      <vt:lpstr>Invoice_Day</vt:lpstr>
      <vt:lpstr>Invoice_Month</vt:lpstr>
      <vt:lpstr>Late_Charge</vt:lpstr>
      <vt:lpstr>Location</vt:lpstr>
      <vt:lpstr>Locations</vt:lpstr>
      <vt:lpstr>Over_Due_By</vt:lpstr>
      <vt:lpstr>Payment_Date</vt:lpstr>
      <vt:lpstr>Payment_No.</vt:lpstr>
      <vt:lpstr>Payment_Ref</vt:lpstr>
      <vt:lpstr>Penalty_Rate</vt:lpstr>
      <vt:lpstr>PO_Number</vt:lpstr>
      <vt:lpstr>Supplier_Code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Carlos Eduardo Aragão Simões</cp:lastModifiedBy>
  <dcterms:created xsi:type="dcterms:W3CDTF">2019-12-02T06:01:41Z</dcterms:created>
  <dcterms:modified xsi:type="dcterms:W3CDTF">2023-02-01T16:52:18Z</dcterms:modified>
</cp:coreProperties>
</file>