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a" sheetId="1" r:id="rId3"/>
    <sheet state="visible" name="Deudas" sheetId="2" r:id="rId4"/>
    <sheet state="visible" name="Número de estudiantes" sheetId="3" r:id="rId5"/>
  </sheets>
  <definedNames/>
  <calcPr/>
</workbook>
</file>

<file path=xl/sharedStrings.xml><?xml version="1.0" encoding="utf-8"?>
<sst xmlns="http://schemas.openxmlformats.org/spreadsheetml/2006/main" count="380" uniqueCount="82">
  <si>
    <t>NOTA</t>
  </si>
  <si>
    <t>Universidad</t>
  </si>
  <si>
    <t>La información contenida en este archivo ha sido obtenida por la Unidad de Datos de El Confidencial.</t>
  </si>
  <si>
    <t xml:space="preserve">Se trata de información pública que ponemos a disposición de las personas interesadas en un formato accesible. </t>
  </si>
  <si>
    <t>Por favor. cita la autoría (Unidad de Datos de El Confidencial) de este trabajo con enlace a la noticia original si reutilizas los datos. Para cualquier consulta. escribe a datos@elconfidencial.com</t>
  </si>
  <si>
    <t>La base de datos se origina a partir de los balances económicos anuales disponibles en los portales de transparencia de las universidades públicas españolas.</t>
  </si>
  <si>
    <t>Titularidad</t>
  </si>
  <si>
    <t>Tipo de estudios</t>
  </si>
  <si>
    <t>2008-2009</t>
  </si>
  <si>
    <t>Los datos se han consultado y extraído a lo largo de los meses de julio y agosto de 2016.</t>
  </si>
  <si>
    <t>2009-2010</t>
  </si>
  <si>
    <t>2010-2011</t>
  </si>
  <si>
    <t>2011-2012</t>
  </si>
  <si>
    <t>2012-2013</t>
  </si>
  <si>
    <t>2013-2014</t>
  </si>
  <si>
    <t>2014-2015</t>
  </si>
  <si>
    <t>2015-2016*</t>
  </si>
  <si>
    <t>A Coruña</t>
  </si>
  <si>
    <t>Pública</t>
  </si>
  <si>
    <t>Presencial</t>
  </si>
  <si>
    <t>Alcalá</t>
  </si>
  <si>
    <t>Alicante</t>
  </si>
  <si>
    <t>Almería</t>
  </si>
  <si>
    <t>Autónoma de Barcelona</t>
  </si>
  <si>
    <t>Autónoma de Madrid</t>
  </si>
  <si>
    <t>Barcelona</t>
  </si>
  <si>
    <t>Burgos</t>
  </si>
  <si>
    <t>Cádiz</t>
  </si>
  <si>
    <t>Cantabria</t>
  </si>
  <si>
    <t>Carlos III de Madrid</t>
  </si>
  <si>
    <t>Castilla-La Mancha</t>
  </si>
  <si>
    <t>Complutense de Madrid</t>
  </si>
  <si>
    <t>Córdoba</t>
  </si>
  <si>
    <t>Extremadura</t>
  </si>
  <si>
    <t>Girona</t>
  </si>
  <si>
    <t>Granada</t>
  </si>
  <si>
    <t>Huelva</t>
  </si>
  <si>
    <t>Illes Balears (Les)</t>
  </si>
  <si>
    <t>Internacional de Andalucía</t>
  </si>
  <si>
    <t>Especial</t>
  </si>
  <si>
    <t>Internacional Menéndez Pelayo</t>
  </si>
  <si>
    <t>Jaén</t>
  </si>
  <si>
    <t>Jaume I de Castellón</t>
  </si>
  <si>
    <t>La Laguna</t>
  </si>
  <si>
    <t>La Rioja</t>
  </si>
  <si>
    <t>Las Palmas de Gran Canaria</t>
  </si>
  <si>
    <t>León</t>
  </si>
  <si>
    <t>Lleida</t>
  </si>
  <si>
    <t>Entidades crédito l/p</t>
  </si>
  <si>
    <t>Málaga</t>
  </si>
  <si>
    <t>Miguel Hernández de Elche</t>
  </si>
  <si>
    <t>Murcia</t>
  </si>
  <si>
    <t>Total acreedores l/p</t>
  </si>
  <si>
    <t>Entidades crédito c/p</t>
  </si>
  <si>
    <t>Acreedores c/p</t>
  </si>
  <si>
    <t>Total acreedores c/p (sin periodificación)</t>
  </si>
  <si>
    <t>Total entidades crédito</t>
  </si>
  <si>
    <t>Nacional de Educación a Distancia</t>
  </si>
  <si>
    <t>Total deuda (sin periodificación)</t>
  </si>
  <si>
    <t>No presencial</t>
  </si>
  <si>
    <t>Oviedo</t>
  </si>
  <si>
    <t>Pablo de Olavide</t>
  </si>
  <si>
    <t>País Vasco/Euskal Herriko Unibertsitatea</t>
  </si>
  <si>
    <t>Politécnica de Cartagena</t>
  </si>
  <si>
    <t>Politécnica de Catalunya</t>
  </si>
  <si>
    <t>Politécnica de Madrid</t>
  </si>
  <si>
    <t>Politècnica de València</t>
  </si>
  <si>
    <t>Pompeu Fabra</t>
  </si>
  <si>
    <t>Pública de Navarra</t>
  </si>
  <si>
    <t>Enlace</t>
  </si>
  <si>
    <t>Rey Juan Carlos</t>
  </si>
  <si>
    <t>Rovira i Virgili</t>
  </si>
  <si>
    <t>Salamanca</t>
  </si>
  <si>
    <t>Santiago de Compostela</t>
  </si>
  <si>
    <t>Sevilla</t>
  </si>
  <si>
    <t>València (Estudi General)</t>
  </si>
  <si>
    <t>Valladolid</t>
  </si>
  <si>
    <t>Vigo</t>
  </si>
  <si>
    <t>Zaragoza</t>
  </si>
  <si>
    <t>Email (faltaría balance a 31 de diciembre de 2015; los datos de 2015 son a 30 de junio de 2015)</t>
  </si>
  <si>
    <t>http://www.boe.es/buscar/boe.php?campo%5B0%5D=ORI&amp;dato%5B0%5D=3&amp;operador%5B0%5D=and&amp;campo%5B1%5D=DOC&amp;dato%5B1%5D=&amp;operador%5B1%5D=and&amp;campo%5B2%5D=TIT&amp;dato%5B2%5D=cuentas+anuales+y+universidad&amp;operador%5B2%5D=and&amp;campo%5B3%5D=DEM&amp;dato%5B3%5D=Ministerio+de+Educaci%F3n%2C+Cultura+y+Deporte&amp;operador%5B3%5D=and&amp;campo%5B4%5D=NBO&amp;dato%5B4%5D=&amp;operador%5B4%5D=and&amp;campo%5B5%5D=NOF&amp;dato%5B5%5D=&amp;operador%5B5%5D=and&amp;operador%5B6%5D=and&amp;campo%5B6%5D=FPU&amp;dato%5B6%5D%5B0%5D=&amp;dato%5B6%5D%5B1%5D=&amp;page_hits=40&amp;sort_field%5B0%5D=fpu&amp;sort_order%5B0%5D=desc&amp;sort_field%5B1%5D=ori&amp;sort_order%5B1%5D=asc&amp;sort_field%5B2%5D=ref&amp;sort_order%5B2%5D=asc&amp;accion=Buscar</t>
  </si>
  <si>
    <t>https://vgeconomica.unizar.es/memoria-economica y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</si>
</sst>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Calibri"/>
    </font>
    <font>
      <b/>
      <name val="Arial"/>
    </font>
    <font>
      <sz val="11.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</font>
    <font/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Border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4" numFmtId="49" xfId="0" applyAlignment="1" applyFont="1" applyNumberFormat="1">
      <alignment/>
    </xf>
    <xf borderId="0" fillId="2" fontId="3" numFmtId="0" xfId="0" applyAlignment="1" applyFill="1" applyFont="1">
      <alignment horizontal="left"/>
    </xf>
    <xf borderId="0" fillId="0" fontId="5" numFmtId="49" xfId="0" applyAlignment="1" applyFont="1" applyNumberFormat="1">
      <alignment/>
    </xf>
    <xf borderId="0" fillId="0" fontId="6" numFmtId="0" xfId="0" applyFont="1"/>
    <xf borderId="0" fillId="0" fontId="5" numFmtId="3" xfId="0" applyAlignment="1" applyFont="1" applyNumberFormat="1">
      <alignment horizontal="right"/>
    </xf>
    <xf borderId="0" fillId="3" fontId="4" numFmtId="0" xfId="0" applyAlignment="1" applyBorder="1" applyFill="1" applyFont="1">
      <alignment horizontal="center"/>
    </xf>
    <xf borderId="0" fillId="0" fontId="7" numFmtId="0" xfId="0" applyBorder="1" applyFont="1"/>
    <xf borderId="0" fillId="0" fontId="7" numFmtId="0" xfId="0" applyBorder="1" applyFont="1"/>
    <xf borderId="0" fillId="4" fontId="4" numFmtId="0" xfId="0" applyAlignment="1" applyBorder="1" applyFill="1" applyFont="1">
      <alignment horizontal="center"/>
    </xf>
    <xf borderId="0" fillId="0" fontId="4" numFmtId="0" xfId="0" applyAlignment="1" applyBorder="1" applyFont="1">
      <alignment/>
    </xf>
    <xf borderId="0" fillId="0" fontId="4" numFmtId="0" xfId="0" applyAlignment="1" applyBorder="1" applyFont="1">
      <alignment/>
    </xf>
    <xf borderId="0" fillId="3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5" numFmtId="49" xfId="0" applyAlignment="1" applyBorder="1" applyFont="1" applyNumberFormat="1">
      <alignment/>
    </xf>
    <xf borderId="0" fillId="0" fontId="1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5" numFmtId="0" xfId="0" applyAlignment="1" applyFont="1">
      <alignment/>
    </xf>
    <xf borderId="0" fillId="0" fontId="5" numFmtId="49" xfId="0" applyAlignment="1" applyBorder="1" applyFont="1" applyNumberFormat="1">
      <alignment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diarium.usal.es/transparencia/economia-y-patrimonio/" TargetMode="External"/><Relationship Id="rId20" Type="http://schemas.openxmlformats.org/officeDocument/2006/relationships/hyperlink" Target="http://www10.ujaen.es/conocenos/organos-gobierno/gerencia/cuentasanuales" TargetMode="External"/><Relationship Id="rId42" Type="http://schemas.openxmlformats.org/officeDocument/2006/relationships/hyperlink" Target="http://www.uv.es/uvweb/transparencia-uv/es/economia-presupuesto/cuentas-anuales-/cuentas-anuales-auditorias-1285925135411.html" TargetMode="External"/><Relationship Id="rId41" Type="http://schemas.openxmlformats.org/officeDocument/2006/relationships/hyperlink" Target="http://www.usc.es/gl/goberno/xerencia/info_economica.html" TargetMode="External"/><Relationship Id="rId22" Type="http://schemas.openxmlformats.org/officeDocument/2006/relationships/hyperlink" Target="http://www.unirioja.es/transparencia/presupuesto.shtml" TargetMode="External"/><Relationship Id="rId44" Type="http://schemas.openxmlformats.org/officeDocument/2006/relationships/hyperlink" Target="http://xerencia.uvigo.es/xerencia_gl/economica/" TargetMode="External"/><Relationship Id="rId21" Type="http://schemas.openxmlformats.org/officeDocument/2006/relationships/hyperlink" Target="http://www.ull.es/view/institucional/ull/Economico-Financiera/es" TargetMode="External"/><Relationship Id="rId43" Type="http://schemas.openxmlformats.org/officeDocument/2006/relationships/hyperlink" Target="http://portaldetransparencia.uva.es/export/sites/transparencia/5.Informacion_Economica/" TargetMode="External"/><Relationship Id="rId24" Type="http://schemas.openxmlformats.org/officeDocument/2006/relationships/hyperlink" Target="http://transparencia.unileon.es/index.php/homepage/informacion-economica/memoria-explicativa" TargetMode="External"/><Relationship Id="rId23" Type="http://schemas.openxmlformats.org/officeDocument/2006/relationships/hyperlink" Target="http://transparencia.ulpgc.es/informacioncontable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://www.udc.es/transparencia/informacion_economica/index.html" TargetMode="External"/><Relationship Id="rId2" Type="http://schemas.openxmlformats.org/officeDocument/2006/relationships/hyperlink" Target="http://gerencia.uah.es/AAEE/memoriaeconomica.asp" TargetMode="External"/><Relationship Id="rId3" Type="http://schemas.openxmlformats.org/officeDocument/2006/relationships/hyperlink" Target="http://web.ua.es/es/control-presupuestario/cuentas-anuales-ua.html" TargetMode="External"/><Relationship Id="rId4" Type="http://schemas.openxmlformats.org/officeDocument/2006/relationships/hyperlink" Target="http://cms.ual.es/UAL/universidad/serviciosgenerales/asuntoseconomicos/presupuestos/index.htm" TargetMode="External"/><Relationship Id="rId9" Type="http://schemas.openxmlformats.org/officeDocument/2006/relationships/hyperlink" Target="http://presupuestos.uca.es/descargas/" TargetMode="External"/><Relationship Id="rId26" Type="http://schemas.openxmlformats.org/officeDocument/2006/relationships/hyperlink" Target="http://www.uma.es/gestion-economica/cms/menu/presupuestos-y-cuentas-anuales/" TargetMode="External"/><Relationship Id="rId25" Type="http://schemas.openxmlformats.org/officeDocument/2006/relationships/hyperlink" Target="http://www.udl.cat/ca/serveis/afin/comptesanuals/" TargetMode="External"/><Relationship Id="rId28" Type="http://schemas.openxmlformats.org/officeDocument/2006/relationships/hyperlink" Target="http://www.um.es/web/transparencia/contenido/economia/cuentas-anuales" TargetMode="External"/><Relationship Id="rId27" Type="http://schemas.openxmlformats.org/officeDocument/2006/relationships/hyperlink" Target="http://sicgef.umh.es/informacion-contable/restitucional/cuentas-anuales/" TargetMode="External"/><Relationship Id="rId5" Type="http://schemas.openxmlformats.org/officeDocument/2006/relationships/hyperlink" Target="http://www.uab.cat/web/conoce-la-uab-cei/transparencia-de-datos/informacion-economica/cuentas-anuales-de-la-uab-1345692720118.html" TargetMode="External"/><Relationship Id="rId6" Type="http://schemas.openxmlformats.org/officeDocument/2006/relationships/hyperlink" Target="https://www.uam.es/ss/Satellite/es/1242656765343/listadoCategorizado/Informacion_economica_y_financiera.htm" TargetMode="External"/><Relationship Id="rId29" Type="http://schemas.openxmlformats.org/officeDocument/2006/relationships/hyperlink" Target="http://portal.uned.es/portal/page?_pageid=93,23278608&amp;_dad=portal&amp;_schema=PORTAL" TargetMode="External"/><Relationship Id="rId7" Type="http://schemas.openxmlformats.org/officeDocument/2006/relationships/hyperlink" Target="http://www.ub.edu/web/ub/ca/sites/transparencia/economia_pressupost/comptes/index.html" TargetMode="External"/><Relationship Id="rId8" Type="http://schemas.openxmlformats.org/officeDocument/2006/relationships/hyperlink" Target="http://wwww.ubu.es/portal-de-transparencia/informacion-economica/estados-financieros" TargetMode="External"/><Relationship Id="rId31" Type="http://schemas.openxmlformats.org/officeDocument/2006/relationships/hyperlink" Target="http://www.upo.es/transparencia/tema/informacion-economica/memorias-de-liquidacion/" TargetMode="External"/><Relationship Id="rId30" Type="http://schemas.openxmlformats.org/officeDocument/2006/relationships/hyperlink" Target="http://www.uniovi.es/gobiernoservicios/gobierno/gerencia/cuentasanuales" TargetMode="External"/><Relationship Id="rId11" Type="http://schemas.openxmlformats.org/officeDocument/2006/relationships/hyperlink" Target="http://www.uc3m.es/ss/Satellite/UC3MInstitucional/es/TextoMixta/1371206732890/Memoria_anual" TargetMode="External"/><Relationship Id="rId33" Type="http://schemas.openxmlformats.org/officeDocument/2006/relationships/hyperlink" Target="https://www.upc.edu/economia/ca/comptes-anuals/comptes-anuals" TargetMode="External"/><Relationship Id="rId10" Type="http://schemas.openxmlformats.org/officeDocument/2006/relationships/hyperlink" Target="http://web.unican.es/transparencia-informativa/informacion-economica" TargetMode="External"/><Relationship Id="rId32" Type="http://schemas.openxmlformats.org/officeDocument/2006/relationships/hyperlink" Target="http://www.upct.es/~uae/secciones.php?id_categoria=2" TargetMode="External"/><Relationship Id="rId13" Type="http://schemas.openxmlformats.org/officeDocument/2006/relationships/hyperlink" Target="https://www.ucm.es/portaldetransparencia/memorias-de-ejecucion-de-ejercicios" TargetMode="External"/><Relationship Id="rId35" Type="http://schemas.openxmlformats.org/officeDocument/2006/relationships/hyperlink" Target="http://www.upv.es/entidades/GER/info/791601normalc.html" TargetMode="External"/><Relationship Id="rId12" Type="http://schemas.openxmlformats.org/officeDocument/2006/relationships/hyperlink" Target="http://www.uclm.es/organos/vic_economia/presupuesto.asp" TargetMode="External"/><Relationship Id="rId34" Type="http://schemas.openxmlformats.org/officeDocument/2006/relationships/hyperlink" Target="http://www.upm.es/UPM/DatosEconomicos/CuentasAnuales" TargetMode="External"/><Relationship Id="rId15" Type="http://schemas.openxmlformats.org/officeDocument/2006/relationships/hyperlink" Target="https://www.udg.edu/tabid/23113/default.aspx" TargetMode="External"/><Relationship Id="rId37" Type="http://schemas.openxmlformats.org/officeDocument/2006/relationships/hyperlink" Target="https://www.unavarra.es/portal-transparencia/informacion-economica/presupuestos/memorias" TargetMode="External"/><Relationship Id="rId14" Type="http://schemas.openxmlformats.org/officeDocument/2006/relationships/hyperlink" Target="http://www.uco.es/transparencia/index.php/informacion-economica-y-presupuestaria/liquidacion-del-presupuesto" TargetMode="External"/><Relationship Id="rId36" Type="http://schemas.openxmlformats.org/officeDocument/2006/relationships/hyperlink" Target="https://portal.upf.edu/web/transparencia/auditories-externes" TargetMode="External"/><Relationship Id="rId17" Type="http://schemas.openxmlformats.org/officeDocument/2006/relationships/hyperlink" Target="http://www.uhu.es/tr/cuentas.php" TargetMode="External"/><Relationship Id="rId39" Type="http://schemas.openxmlformats.org/officeDocument/2006/relationships/hyperlink" Target="http://transparencia.urv.cat/economia/memoria-economica/" TargetMode="External"/><Relationship Id="rId16" Type="http://schemas.openxmlformats.org/officeDocument/2006/relationships/hyperlink" Target="http://gerencia.ugr.es/pages/vger_eco/cuentas-anuales/cuentas-anuales" TargetMode="External"/><Relationship Id="rId38" Type="http://schemas.openxmlformats.org/officeDocument/2006/relationships/hyperlink" Target="https://transparencia.urjc.es/informacion-economica/" TargetMode="External"/><Relationship Id="rId19" Type="http://schemas.openxmlformats.org/officeDocument/2006/relationships/hyperlink" Target="http://www.unia.es/informacion-economica/cuentas-anuales" TargetMode="External"/><Relationship Id="rId18" Type="http://schemas.openxmlformats.org/officeDocument/2006/relationships/hyperlink" Target="http://www.uib.es/es/lauib/transparencia/informes.cid30939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4" t="s">
        <v>2</v>
      </c>
    </row>
    <row r="3">
      <c r="A3" s="4" t="s">
        <v>3</v>
      </c>
    </row>
    <row r="4">
      <c r="A4" s="4" t="s">
        <v>4</v>
      </c>
    </row>
    <row r="5">
      <c r="A5" s="4"/>
    </row>
    <row r="6">
      <c r="A6" s="4"/>
    </row>
    <row r="7">
      <c r="A7" s="6" t="s">
        <v>5</v>
      </c>
    </row>
    <row r="8">
      <c r="A8" s="4"/>
    </row>
    <row r="9">
      <c r="A9" s="8" t="s">
        <v>9</v>
      </c>
    </row>
    <row r="10">
      <c r="A1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3"/>
      <c r="D1" s="12">
        <v>2008.0</v>
      </c>
      <c r="E1" s="13"/>
      <c r="F1" s="13"/>
      <c r="G1" s="13"/>
      <c r="H1" s="13"/>
      <c r="I1" s="13"/>
      <c r="J1" s="14"/>
      <c r="K1" s="15">
        <v>2009.0</v>
      </c>
      <c r="L1" s="13"/>
      <c r="M1" s="13"/>
      <c r="N1" s="13"/>
      <c r="O1" s="13"/>
      <c r="P1" s="13"/>
      <c r="Q1" s="14"/>
      <c r="R1" s="12">
        <v>2010.0</v>
      </c>
      <c r="S1" s="13"/>
      <c r="T1" s="13"/>
      <c r="U1" s="13"/>
      <c r="V1" s="13"/>
      <c r="W1" s="13"/>
      <c r="X1" s="14"/>
      <c r="Y1" s="15">
        <v>2011.0</v>
      </c>
      <c r="Z1" s="13"/>
      <c r="AA1" s="13"/>
      <c r="AB1" s="13"/>
      <c r="AC1" s="13"/>
      <c r="AD1" s="13"/>
      <c r="AE1" s="14"/>
      <c r="AF1" s="12">
        <v>2012.0</v>
      </c>
      <c r="AG1" s="13"/>
      <c r="AH1" s="13"/>
      <c r="AI1" s="13"/>
      <c r="AJ1" s="13"/>
      <c r="AK1" s="13"/>
      <c r="AL1" s="14"/>
      <c r="AM1" s="15">
        <v>2013.0</v>
      </c>
      <c r="AN1" s="13"/>
      <c r="AO1" s="13"/>
      <c r="AP1" s="13"/>
      <c r="AQ1" s="13"/>
      <c r="AR1" s="13"/>
      <c r="AS1" s="14"/>
      <c r="AT1" s="12">
        <v>2014.0</v>
      </c>
      <c r="AU1" s="13"/>
      <c r="AV1" s="13"/>
      <c r="AW1" s="13"/>
      <c r="AX1" s="13"/>
      <c r="AY1" s="13"/>
      <c r="AZ1" s="14"/>
      <c r="BA1" s="15">
        <v>2015.0</v>
      </c>
      <c r="BB1" s="13"/>
      <c r="BC1" s="13"/>
      <c r="BD1" s="13"/>
      <c r="BE1" s="13"/>
      <c r="BF1" s="13"/>
      <c r="BG1" s="14"/>
      <c r="BH1" s="1"/>
    </row>
    <row r="2">
      <c r="A2" s="16" t="s">
        <v>1</v>
      </c>
      <c r="B2" s="5" t="s">
        <v>6</v>
      </c>
      <c r="C2" s="17" t="s">
        <v>7</v>
      </c>
      <c r="D2" s="18" t="s">
        <v>48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58</v>
      </c>
      <c r="K2" s="19" t="s">
        <v>48</v>
      </c>
      <c r="L2" s="19" t="s">
        <v>52</v>
      </c>
      <c r="M2" s="19" t="s">
        <v>53</v>
      </c>
      <c r="N2" s="19" t="s">
        <v>54</v>
      </c>
      <c r="O2" s="19" t="s">
        <v>55</v>
      </c>
      <c r="P2" s="19" t="s">
        <v>56</v>
      </c>
      <c r="Q2" s="19" t="s">
        <v>58</v>
      </c>
      <c r="R2" s="18" t="s">
        <v>48</v>
      </c>
      <c r="S2" s="18" t="s">
        <v>52</v>
      </c>
      <c r="T2" s="18" t="s">
        <v>53</v>
      </c>
      <c r="U2" s="18" t="s">
        <v>54</v>
      </c>
      <c r="V2" s="18" t="s">
        <v>55</v>
      </c>
      <c r="W2" s="18" t="s">
        <v>56</v>
      </c>
      <c r="X2" s="18" t="s">
        <v>58</v>
      </c>
      <c r="Y2" s="19" t="s">
        <v>48</v>
      </c>
      <c r="Z2" s="19" t="s">
        <v>52</v>
      </c>
      <c r="AA2" s="19" t="s">
        <v>53</v>
      </c>
      <c r="AB2" s="19" t="s">
        <v>54</v>
      </c>
      <c r="AC2" s="19" t="s">
        <v>55</v>
      </c>
      <c r="AD2" s="19" t="s">
        <v>56</v>
      </c>
      <c r="AE2" s="19" t="s">
        <v>58</v>
      </c>
      <c r="AF2" s="18" t="s">
        <v>48</v>
      </c>
      <c r="AG2" s="18" t="s">
        <v>52</v>
      </c>
      <c r="AH2" s="18" t="s">
        <v>53</v>
      </c>
      <c r="AI2" s="18" t="s">
        <v>54</v>
      </c>
      <c r="AJ2" s="18" t="s">
        <v>55</v>
      </c>
      <c r="AK2" s="18" t="s">
        <v>56</v>
      </c>
      <c r="AL2" s="18" t="s">
        <v>58</v>
      </c>
      <c r="AM2" s="19" t="s">
        <v>48</v>
      </c>
      <c r="AN2" s="19" t="s">
        <v>52</v>
      </c>
      <c r="AO2" s="19" t="s">
        <v>53</v>
      </c>
      <c r="AP2" s="19" t="s">
        <v>54</v>
      </c>
      <c r="AQ2" s="19" t="s">
        <v>55</v>
      </c>
      <c r="AR2" s="19" t="s">
        <v>56</v>
      </c>
      <c r="AS2" s="19" t="s">
        <v>58</v>
      </c>
      <c r="AT2" s="18" t="s">
        <v>48</v>
      </c>
      <c r="AU2" s="18" t="s">
        <v>52</v>
      </c>
      <c r="AV2" s="18" t="s">
        <v>53</v>
      </c>
      <c r="AW2" s="18" t="s">
        <v>54</v>
      </c>
      <c r="AX2" s="18" t="s">
        <v>55</v>
      </c>
      <c r="AY2" s="18" t="s">
        <v>56</v>
      </c>
      <c r="AZ2" s="18" t="s">
        <v>58</v>
      </c>
      <c r="BA2" s="19" t="s">
        <v>48</v>
      </c>
      <c r="BB2" s="19" t="s">
        <v>52</v>
      </c>
      <c r="BC2" s="19" t="s">
        <v>53</v>
      </c>
      <c r="BD2" s="19" t="s">
        <v>54</v>
      </c>
      <c r="BE2" s="19" t="s">
        <v>55</v>
      </c>
      <c r="BF2" s="19" t="s">
        <v>56</v>
      </c>
      <c r="BG2" s="19" t="s">
        <v>58</v>
      </c>
      <c r="BH2" s="5" t="s">
        <v>69</v>
      </c>
    </row>
    <row r="3">
      <c r="A3" s="20" t="s">
        <v>17</v>
      </c>
      <c r="B3" s="9" t="s">
        <v>18</v>
      </c>
      <c r="C3" s="9" t="s">
        <v>19</v>
      </c>
      <c r="D3" s="21"/>
      <c r="E3" s="21"/>
      <c r="F3" s="21"/>
      <c r="G3" s="21"/>
      <c r="H3" s="22" t="str">
        <f t="shared" ref="H3:H6" si="1">F3+G3</f>
        <v>0.00</v>
      </c>
      <c r="I3" s="22" t="str">
        <f t="shared" ref="I3:I52" si="2">D3+F3</f>
        <v>0.00</v>
      </c>
      <c r="J3" s="22" t="str">
        <f t="shared" ref="J3:J52" si="3">E3+H3</f>
        <v>0.00</v>
      </c>
      <c r="K3" s="21"/>
      <c r="L3" s="21"/>
      <c r="M3" s="21"/>
      <c r="N3" s="21"/>
      <c r="O3" s="22" t="str">
        <f t="shared" ref="O3:O6" si="4">M3+N3</f>
        <v>0.00</v>
      </c>
      <c r="P3" s="22" t="str">
        <f t="shared" ref="P3:P52" si="5">K3+M3</f>
        <v>0.00</v>
      </c>
      <c r="Q3" s="22" t="str">
        <f t="shared" ref="Q3:Q52" si="6">L3+O3</f>
        <v>0.00</v>
      </c>
      <c r="R3" s="21"/>
      <c r="S3" s="21"/>
      <c r="T3" s="21"/>
      <c r="U3" s="21"/>
      <c r="V3" s="22" t="str">
        <f t="shared" ref="V3:V6" si="7">T3+U3</f>
        <v>0.00</v>
      </c>
      <c r="W3" s="22" t="str">
        <f t="shared" ref="W3:W52" si="8">R3+T3</f>
        <v>0.00</v>
      </c>
      <c r="X3" s="22" t="str">
        <f t="shared" ref="X3:X52" si="9">S3+V3</f>
        <v>0.00</v>
      </c>
      <c r="Y3" s="21"/>
      <c r="Z3" s="21"/>
      <c r="AA3" s="21"/>
      <c r="AB3" s="21"/>
      <c r="AC3" s="22" t="str">
        <f t="shared" ref="AC3:AC6" si="10">AA3+AB3</f>
        <v>0.00</v>
      </c>
      <c r="AD3" s="22" t="str">
        <f t="shared" ref="AD3:AD52" si="11">Y3+AA3</f>
        <v>0.00</v>
      </c>
      <c r="AE3" s="22" t="str">
        <f t="shared" ref="AE3:AE52" si="12">Z3+AC3</f>
        <v>0.00</v>
      </c>
      <c r="AF3" s="21"/>
      <c r="AG3" s="21"/>
      <c r="AH3" s="21"/>
      <c r="AI3" s="21"/>
      <c r="AJ3" s="22" t="str">
        <f t="shared" ref="AJ3:AJ6" si="13">AH3+AI3</f>
        <v>0.00</v>
      </c>
      <c r="AK3" s="22" t="str">
        <f t="shared" ref="AK3:AK52" si="14">AF3+AH3</f>
        <v>0.00</v>
      </c>
      <c r="AL3" s="22" t="str">
        <f t="shared" ref="AL3:AL52" si="15">AG3+AJ3</f>
        <v>0.00</v>
      </c>
      <c r="AM3" s="22">
        <v>3291566.89</v>
      </c>
      <c r="AN3" s="22">
        <v>4831684.2</v>
      </c>
      <c r="AO3" s="22">
        <v>1115792.49</v>
      </c>
      <c r="AP3" s="22">
        <v>5642374.99</v>
      </c>
      <c r="AQ3" s="22" t="str">
        <f t="shared" ref="AQ3:AQ6" si="16">AO3+AP3</f>
        <v>6,758,167.48</v>
      </c>
      <c r="AR3" s="22" t="str">
        <f t="shared" ref="AR3:AR52" si="17">AM3+AO3</f>
        <v>4,407,359.38</v>
      </c>
      <c r="AS3" s="22" t="str">
        <f t="shared" ref="AS3:AS52" si="18">AN3+AQ3</f>
        <v>11,589,851.68</v>
      </c>
      <c r="AT3" s="22">
        <v>5214425.69</v>
      </c>
      <c r="AU3" s="22">
        <v>6767575.25</v>
      </c>
      <c r="AV3" s="22">
        <v>2446681.09</v>
      </c>
      <c r="AW3" s="22">
        <v>1.022114755E7</v>
      </c>
      <c r="AX3" s="22" t="str">
        <f t="shared" ref="AX3:AX4" si="19">AV3+AW3</f>
        <v>12,667,828.64</v>
      </c>
      <c r="AY3" s="22" t="str">
        <f t="shared" ref="AY3:AY52" si="20">AT3+AV3</f>
        <v>7,661,106.78</v>
      </c>
      <c r="AZ3" s="22" t="str">
        <f t="shared" ref="AZ3:AZ52" si="21">AU3+AX3</f>
        <v>19,435,403.89</v>
      </c>
      <c r="BA3" s="21"/>
      <c r="BB3" s="21"/>
      <c r="BC3" s="21"/>
      <c r="BD3" s="21"/>
      <c r="BE3" s="22" t="str">
        <f t="shared" ref="BE3:BE4" si="22">BC3+BD3</f>
        <v>0.00</v>
      </c>
      <c r="BF3" s="22" t="str">
        <f t="shared" ref="BF3:BF52" si="23">BA3+BC3</f>
        <v>0.00</v>
      </c>
      <c r="BG3" s="22" t="str">
        <f t="shared" ref="BG3:BG52" si="24">BB3+BE3</f>
        <v>0.00</v>
      </c>
      <c r="BH3" s="23" t="str">
        <f>HYPERLINK("http://www.udc.es/transparencia/informacion_economica/index.html#m2","http://www.udc.es/transparencia/informacion_economica/index.html#m2")</f>
        <v>http://www.udc.es/transparencia/informacion_economica/index.html#m2</v>
      </c>
    </row>
    <row r="4">
      <c r="A4" s="20" t="s">
        <v>20</v>
      </c>
      <c r="B4" s="9" t="s">
        <v>18</v>
      </c>
      <c r="C4" s="9" t="s">
        <v>19</v>
      </c>
      <c r="D4" s="22">
        <v>1.189853751E7</v>
      </c>
      <c r="E4" s="22">
        <v>1.202330397E7</v>
      </c>
      <c r="F4" s="22">
        <v>6244467.6</v>
      </c>
      <c r="G4" s="22">
        <v>2.61003038E7</v>
      </c>
      <c r="H4" s="22" t="str">
        <f t="shared" si="1"/>
        <v>32,344,771.40</v>
      </c>
      <c r="I4" s="22" t="str">
        <f t="shared" si="2"/>
        <v>18,143,005.11</v>
      </c>
      <c r="J4" s="22" t="str">
        <f t="shared" si="3"/>
        <v>44,368,075.37</v>
      </c>
      <c r="K4" s="22">
        <v>1.187317151E7</v>
      </c>
      <c r="L4" s="22">
        <v>1.199673797E7</v>
      </c>
      <c r="M4" s="22">
        <v>3000000.16</v>
      </c>
      <c r="N4" s="22">
        <v>2.116165425E7</v>
      </c>
      <c r="O4" s="22" t="str">
        <f t="shared" si="4"/>
        <v>24,161,654.41</v>
      </c>
      <c r="P4" s="22" t="str">
        <f t="shared" si="5"/>
        <v>14,873,171.67</v>
      </c>
      <c r="Q4" s="22" t="str">
        <f t="shared" si="6"/>
        <v>36,158,392.38</v>
      </c>
      <c r="R4" s="22">
        <v>7873171.51</v>
      </c>
      <c r="S4" s="22">
        <v>7876737.31</v>
      </c>
      <c r="T4" s="22">
        <v>4000000.16</v>
      </c>
      <c r="U4" s="22">
        <v>1.854136103E7</v>
      </c>
      <c r="V4" s="22" t="str">
        <f t="shared" si="7"/>
        <v>22,541,361.19</v>
      </c>
      <c r="W4" s="22" t="str">
        <f t="shared" si="8"/>
        <v>11,873,171.67</v>
      </c>
      <c r="X4" s="22" t="str">
        <f t="shared" si="9"/>
        <v>30,418,098.50</v>
      </c>
      <c r="Y4" s="22">
        <v>3873171.51</v>
      </c>
      <c r="Z4" s="22">
        <v>3876737.31</v>
      </c>
      <c r="AA4" s="22">
        <v>4000000.16</v>
      </c>
      <c r="AB4" s="22">
        <v>2.75538195E7</v>
      </c>
      <c r="AC4" s="22" t="str">
        <f t="shared" si="10"/>
        <v>31,553,819.66</v>
      </c>
      <c r="AD4" s="22" t="str">
        <f t="shared" si="11"/>
        <v>7,873,171.67</v>
      </c>
      <c r="AE4" s="22" t="str">
        <f t="shared" si="12"/>
        <v>35,430,556.97</v>
      </c>
      <c r="AF4" s="22">
        <v>0.0</v>
      </c>
      <c r="AG4" s="22">
        <v>3565.8</v>
      </c>
      <c r="AH4" s="22">
        <v>3873171.67</v>
      </c>
      <c r="AI4" s="22">
        <v>2.20710472E7</v>
      </c>
      <c r="AJ4" s="22" t="str">
        <f t="shared" si="13"/>
        <v>25,944,218.87</v>
      </c>
      <c r="AK4" s="22" t="str">
        <f t="shared" si="14"/>
        <v>3,873,171.67</v>
      </c>
      <c r="AL4" s="22" t="str">
        <f t="shared" si="15"/>
        <v>25,947,784.67</v>
      </c>
      <c r="AM4" s="22">
        <v>0.0</v>
      </c>
      <c r="AN4" s="22">
        <v>5615.8</v>
      </c>
      <c r="AO4" s="22">
        <v>0.0</v>
      </c>
      <c r="AP4" s="22">
        <v>1.863720906E7</v>
      </c>
      <c r="AQ4" s="22" t="str">
        <f t="shared" si="16"/>
        <v>18,637,209.06</v>
      </c>
      <c r="AR4" s="22" t="str">
        <f t="shared" si="17"/>
        <v>0.00</v>
      </c>
      <c r="AS4" s="22" t="str">
        <f t="shared" si="18"/>
        <v>18,642,824.86</v>
      </c>
      <c r="AT4" s="22">
        <v>0.0</v>
      </c>
      <c r="AU4" s="22">
        <v>3565.8</v>
      </c>
      <c r="AV4" s="22">
        <v>0.0</v>
      </c>
      <c r="AW4" s="22">
        <v>1.431121227E7</v>
      </c>
      <c r="AX4" s="22" t="str">
        <f t="shared" si="19"/>
        <v>14,311,212.27</v>
      </c>
      <c r="AY4" s="22" t="str">
        <f t="shared" si="20"/>
        <v>0.00</v>
      </c>
      <c r="AZ4" s="22" t="str">
        <f t="shared" si="21"/>
        <v>14,314,778.07</v>
      </c>
      <c r="BA4" s="22">
        <v>0.0</v>
      </c>
      <c r="BB4" s="22">
        <v>3565.8</v>
      </c>
      <c r="BC4" s="22">
        <v>0.0</v>
      </c>
      <c r="BD4" s="22">
        <v>1.433083912E7</v>
      </c>
      <c r="BE4" s="22" t="str">
        <f t="shared" si="22"/>
        <v>14,330,839.12</v>
      </c>
      <c r="BF4" s="22" t="str">
        <f t="shared" si="23"/>
        <v>0.00</v>
      </c>
      <c r="BG4" s="22" t="str">
        <f t="shared" si="24"/>
        <v>14,334,404.92</v>
      </c>
      <c r="BH4" s="23" t="str">
        <f>HYPERLINK("http://gerencia.uah.es/AAEE/memoriaeconomica.asp","http://gerencia.uah.es/AAEE/memoriaeconomica.asp")</f>
        <v>http://gerencia.uah.es/AAEE/memoriaeconomica.asp</v>
      </c>
    </row>
    <row r="5">
      <c r="A5" s="20" t="s">
        <v>21</v>
      </c>
      <c r="B5" s="9" t="s">
        <v>18</v>
      </c>
      <c r="C5" s="9" t="s">
        <v>19</v>
      </c>
      <c r="D5" s="21"/>
      <c r="E5" s="21"/>
      <c r="F5" s="21"/>
      <c r="G5" s="21"/>
      <c r="H5" s="22" t="str">
        <f t="shared" si="1"/>
        <v>0.00</v>
      </c>
      <c r="I5" s="22" t="str">
        <f t="shared" si="2"/>
        <v>0.00</v>
      </c>
      <c r="J5" s="22" t="str">
        <f t="shared" si="3"/>
        <v>0.00</v>
      </c>
      <c r="K5" s="22">
        <v>2.186637444E7</v>
      </c>
      <c r="L5" s="22">
        <v>8.660145743E7</v>
      </c>
      <c r="M5" s="22">
        <v>214647.18</v>
      </c>
      <c r="N5" s="22">
        <v>2.134741417E7</v>
      </c>
      <c r="O5" s="22" t="str">
        <f t="shared" si="4"/>
        <v>21,562,061.35</v>
      </c>
      <c r="P5" s="22" t="str">
        <f t="shared" si="5"/>
        <v>22,081,021.62</v>
      </c>
      <c r="Q5" s="22" t="str">
        <f t="shared" si="6"/>
        <v>108,163,518.78</v>
      </c>
      <c r="R5" s="22">
        <v>1.86453874E7</v>
      </c>
      <c r="S5" s="22">
        <v>8.607288147E7</v>
      </c>
      <c r="T5" s="22">
        <v>1643218.61</v>
      </c>
      <c r="U5" s="22">
        <v>8110085.9</v>
      </c>
      <c r="V5" s="22" t="str">
        <f t="shared" si="7"/>
        <v>9,753,304.51</v>
      </c>
      <c r="W5" s="22" t="str">
        <f t="shared" si="8"/>
        <v>20,288,606.01</v>
      </c>
      <c r="X5" s="22" t="str">
        <f t="shared" si="9"/>
        <v>95,826,185.98</v>
      </c>
      <c r="Y5" s="22">
        <v>1.700216819E7</v>
      </c>
      <c r="Z5" s="22">
        <v>8.406273083E7</v>
      </c>
      <c r="AA5" s="22">
        <v>1.826480219E7</v>
      </c>
      <c r="AB5" s="22">
        <v>1.807989792E7</v>
      </c>
      <c r="AC5" s="22" t="str">
        <f t="shared" si="10"/>
        <v>36,344,700.11</v>
      </c>
      <c r="AD5" s="22" t="str">
        <f t="shared" si="11"/>
        <v>35,266,970.38</v>
      </c>
      <c r="AE5" s="22" t="str">
        <f t="shared" si="12"/>
        <v>120,407,430.94</v>
      </c>
      <c r="AF5" s="22">
        <v>1.535895018E7</v>
      </c>
      <c r="AG5" s="22">
        <v>8.205258019E7</v>
      </c>
      <c r="AH5" s="22">
        <v>2.4895553E7</v>
      </c>
      <c r="AI5" s="22">
        <v>1.36786149E7</v>
      </c>
      <c r="AJ5" s="22" t="str">
        <f t="shared" si="13"/>
        <v>38,574,167.90</v>
      </c>
      <c r="AK5" s="22" t="str">
        <f t="shared" si="14"/>
        <v>40,254,503.18</v>
      </c>
      <c r="AL5" s="22" t="str">
        <f t="shared" si="15"/>
        <v>120,626,748.09</v>
      </c>
      <c r="AM5" s="22">
        <v>1.371573157E7</v>
      </c>
      <c r="AN5" s="22">
        <v>8.004242955E7</v>
      </c>
      <c r="AO5" s="22">
        <v>2.172715064E7</v>
      </c>
      <c r="AP5" s="22">
        <v>1.981694547E7</v>
      </c>
      <c r="AQ5" s="22" t="str">
        <f t="shared" si="16"/>
        <v>41,544,096.11</v>
      </c>
      <c r="AR5" s="22" t="str">
        <f t="shared" si="17"/>
        <v>35,442,882.21</v>
      </c>
      <c r="AS5" s="22" t="str">
        <f t="shared" si="18"/>
        <v>121,586,525.66</v>
      </c>
      <c r="AT5" s="22">
        <v>0.0</v>
      </c>
      <c r="AU5" s="22">
        <v>6.324074204E7</v>
      </c>
      <c r="AV5" s="22">
        <v>0.0</v>
      </c>
      <c r="AW5" s="22">
        <v>1.231948922E7</v>
      </c>
      <c r="AX5" s="22" t="str">
        <f>AV5+AW5+150089.27</f>
        <v>12,469,578.49</v>
      </c>
      <c r="AY5" s="22" t="str">
        <f t="shared" si="20"/>
        <v>0.00</v>
      </c>
      <c r="AZ5" s="22" t="str">
        <f t="shared" si="21"/>
        <v>75,710,320.53</v>
      </c>
      <c r="BA5" s="22">
        <v>0.0</v>
      </c>
      <c r="BB5" s="22">
        <v>6.44066263E7</v>
      </c>
      <c r="BC5" s="22">
        <v>0.0</v>
      </c>
      <c r="BD5" s="22">
        <v>1.267699617E7</v>
      </c>
      <c r="BE5" s="22" t="str">
        <f>BC5+BD5+147510.56</f>
        <v>12,824,506.73</v>
      </c>
      <c r="BF5" s="22" t="str">
        <f t="shared" si="23"/>
        <v>0.00</v>
      </c>
      <c r="BG5" s="22" t="str">
        <f t="shared" si="24"/>
        <v>77,231,133.03</v>
      </c>
      <c r="BH5" s="23" t="str">
        <f>HYPERLINK("http://web.ua.es/es/control-presupuestario/cuentas-anuales-ua.html","http://web.ua.es/es/control-presupuestario/cuentas-anuales-ua.html")</f>
        <v>http://web.ua.es/es/control-presupuestario/cuentas-anuales-ua.html</v>
      </c>
    </row>
    <row r="6">
      <c r="A6" s="20" t="s">
        <v>22</v>
      </c>
      <c r="B6" s="9" t="s">
        <v>18</v>
      </c>
      <c r="C6" s="9" t="s">
        <v>19</v>
      </c>
      <c r="D6" s="22">
        <v>7134540.0</v>
      </c>
      <c r="E6" s="22">
        <v>8970674.28</v>
      </c>
      <c r="F6" s="22">
        <v>2972035.0</v>
      </c>
      <c r="G6" s="22">
        <v>3588068.18</v>
      </c>
      <c r="H6" s="22" t="str">
        <f t="shared" si="1"/>
        <v>6,560,103.18</v>
      </c>
      <c r="I6" s="22" t="str">
        <f t="shared" si="2"/>
        <v>10,106,575.00</v>
      </c>
      <c r="J6" s="22" t="str">
        <f t="shared" si="3"/>
        <v>15,530,777.46</v>
      </c>
      <c r="K6" s="22">
        <v>3566492.0</v>
      </c>
      <c r="L6" s="22">
        <v>6829531.35</v>
      </c>
      <c r="M6" s="22">
        <v>3568048.0</v>
      </c>
      <c r="N6" s="22">
        <v>5752092.43</v>
      </c>
      <c r="O6" s="22" t="str">
        <f t="shared" si="4"/>
        <v>9,320,140.43</v>
      </c>
      <c r="P6" s="22" t="str">
        <f t="shared" si="5"/>
        <v>7,134,540.00</v>
      </c>
      <c r="Q6" s="22" t="str">
        <f t="shared" si="6"/>
        <v>16,149,671.78</v>
      </c>
      <c r="R6" s="21"/>
      <c r="S6" s="22">
        <v>6573392.76</v>
      </c>
      <c r="T6" s="22">
        <v>3566492.0</v>
      </c>
      <c r="U6" s="22">
        <v>3970907.4</v>
      </c>
      <c r="V6" s="22" t="str">
        <f t="shared" si="7"/>
        <v>7,537,399.40</v>
      </c>
      <c r="W6" s="22" t="str">
        <f t="shared" si="8"/>
        <v>3,566,492.00</v>
      </c>
      <c r="X6" s="22" t="str">
        <f t="shared" si="9"/>
        <v>14,110,792.16</v>
      </c>
      <c r="Y6" s="21"/>
      <c r="Z6" s="22">
        <v>7139442.87</v>
      </c>
      <c r="AA6" s="22">
        <v>3000000.0</v>
      </c>
      <c r="AB6" s="22">
        <v>4659912.26</v>
      </c>
      <c r="AC6" s="22" t="str">
        <f t="shared" si="10"/>
        <v>7,659,912.26</v>
      </c>
      <c r="AD6" s="22" t="str">
        <f t="shared" si="11"/>
        <v>3,000,000.00</v>
      </c>
      <c r="AE6" s="22" t="str">
        <f t="shared" si="12"/>
        <v>14,799,355.13</v>
      </c>
      <c r="AF6" s="21"/>
      <c r="AG6" s="22">
        <v>7810693.93</v>
      </c>
      <c r="AH6" s="22">
        <v>1163316.0</v>
      </c>
      <c r="AI6" s="22">
        <v>5722536.53</v>
      </c>
      <c r="AJ6" s="22" t="str">
        <f t="shared" si="13"/>
        <v>6,885,852.53</v>
      </c>
      <c r="AK6" s="22" t="str">
        <f t="shared" si="14"/>
        <v>1,163,316.00</v>
      </c>
      <c r="AL6" s="22" t="str">
        <f t="shared" si="15"/>
        <v>14,696,546.46</v>
      </c>
      <c r="AM6" s="21"/>
      <c r="AN6" s="22">
        <v>8233537.08</v>
      </c>
      <c r="AO6" s="22">
        <v>0.0</v>
      </c>
      <c r="AP6" s="22">
        <v>4878955.4</v>
      </c>
      <c r="AQ6" s="22" t="str">
        <f t="shared" si="16"/>
        <v>4,878,955.40</v>
      </c>
      <c r="AR6" s="22" t="str">
        <f t="shared" si="17"/>
        <v>0.00</v>
      </c>
      <c r="AS6" s="22" t="str">
        <f t="shared" si="18"/>
        <v>13,112,492.48</v>
      </c>
      <c r="AT6" s="22">
        <v>0.0</v>
      </c>
      <c r="AU6" s="22">
        <v>9269817.12</v>
      </c>
      <c r="AV6" s="22">
        <v>0.0</v>
      </c>
      <c r="AW6" s="22">
        <v>3393773.94</v>
      </c>
      <c r="AX6" s="22" t="str">
        <f>AV6+AW6</f>
        <v>3,393,773.94</v>
      </c>
      <c r="AY6" s="22" t="str">
        <f t="shared" si="20"/>
        <v>0.00</v>
      </c>
      <c r="AZ6" s="22" t="str">
        <f t="shared" si="21"/>
        <v>12,663,591.06</v>
      </c>
      <c r="BA6" s="21"/>
      <c r="BB6" s="22">
        <v>1.347956544E7</v>
      </c>
      <c r="BC6" s="22">
        <v>63823.79</v>
      </c>
      <c r="BD6" s="22">
        <v>2716160.89</v>
      </c>
      <c r="BE6" s="22" t="str">
        <f>BC6+BD6</f>
        <v>2,779,984.68</v>
      </c>
      <c r="BF6" s="22" t="str">
        <f t="shared" si="23"/>
        <v>63,823.79</v>
      </c>
      <c r="BG6" s="22" t="str">
        <f t="shared" si="24"/>
        <v>16,259,550.12</v>
      </c>
      <c r="BH6" s="23" t="str">
        <f>HYPERLINK("http://cms.ual.es/UAL/universidad/serviciosgenerales/asuntoseconomicos/presupuestos/index.htm","http://cms.ual.es/UAL/universidad/serviciosgenerales/asuntoseconomicos/presupuestos/index.htm")</f>
        <v>http://cms.ual.es/UAL/universidad/serviciosgenerales/asuntoseconomicos/presupuestos/index.htm</v>
      </c>
    </row>
    <row r="7">
      <c r="A7" s="20" t="s">
        <v>23</v>
      </c>
      <c r="B7" s="9" t="s">
        <v>18</v>
      </c>
      <c r="C7" s="9" t="s">
        <v>19</v>
      </c>
      <c r="D7" s="22">
        <v>0.0</v>
      </c>
      <c r="E7" s="22">
        <v>3.6485402E7</v>
      </c>
      <c r="F7" s="22">
        <v>0.0</v>
      </c>
      <c r="G7" s="22">
        <v>3.9859479E7</v>
      </c>
      <c r="H7" s="22" t="str">
        <f>F7+G7+7467287</f>
        <v>47,326,766.00</v>
      </c>
      <c r="I7" s="22" t="str">
        <f t="shared" si="2"/>
        <v>0.00</v>
      </c>
      <c r="J7" s="22" t="str">
        <f t="shared" si="3"/>
        <v>83,812,168.00</v>
      </c>
      <c r="K7" s="22">
        <v>0.0</v>
      </c>
      <c r="L7" s="22">
        <v>3.6044429E7</v>
      </c>
      <c r="M7" s="22">
        <v>0.0</v>
      </c>
      <c r="N7" s="22">
        <v>4.3063489E7</v>
      </c>
      <c r="O7" s="22" t="str">
        <f>M7+N7+7813475</f>
        <v>50,876,964.00</v>
      </c>
      <c r="P7" s="22" t="str">
        <f t="shared" si="5"/>
        <v>0.00</v>
      </c>
      <c r="Q7" s="22" t="str">
        <f t="shared" si="6"/>
        <v>86,921,393.00</v>
      </c>
      <c r="R7" s="22">
        <v>0.0</v>
      </c>
      <c r="S7" s="22">
        <v>3.0278952E7</v>
      </c>
      <c r="T7" s="22">
        <v>0.0</v>
      </c>
      <c r="U7" s="22">
        <v>3.6263659E7</v>
      </c>
      <c r="V7" s="22" t="str">
        <f>T7+U7+8327187</f>
        <v>44,590,846.00</v>
      </c>
      <c r="W7" s="22" t="str">
        <f t="shared" si="8"/>
        <v>0.00</v>
      </c>
      <c r="X7" s="22" t="str">
        <f t="shared" si="9"/>
        <v>74,869,798.00</v>
      </c>
      <c r="Y7" s="22">
        <v>0.0</v>
      </c>
      <c r="Z7" s="22">
        <v>2.6573594E7</v>
      </c>
      <c r="AA7" s="22">
        <v>0.0</v>
      </c>
      <c r="AB7" s="22">
        <v>3.589566E7</v>
      </c>
      <c r="AC7" s="22" t="str">
        <f>AA7+AB7+5811281</f>
        <v>41,706,941.00</v>
      </c>
      <c r="AD7" s="22" t="str">
        <f t="shared" si="11"/>
        <v>0.00</v>
      </c>
      <c r="AE7" s="22" t="str">
        <f t="shared" si="12"/>
        <v>68,280,535.00</v>
      </c>
      <c r="AF7" s="22">
        <v>0.0</v>
      </c>
      <c r="AG7" s="22">
        <v>2.4523285E7</v>
      </c>
      <c r="AH7" s="22">
        <v>0.0</v>
      </c>
      <c r="AI7" s="22">
        <v>5.3957785E7</v>
      </c>
      <c r="AJ7" s="22" t="str">
        <f>AH7+AI7+5796243</f>
        <v>59,754,028.00</v>
      </c>
      <c r="AK7" s="22" t="str">
        <f t="shared" si="14"/>
        <v>0.00</v>
      </c>
      <c r="AL7" s="22" t="str">
        <f t="shared" si="15"/>
        <v>84,277,313.00</v>
      </c>
      <c r="AM7" s="22">
        <v>0.0</v>
      </c>
      <c r="AN7" s="22">
        <v>2.2630186E7</v>
      </c>
      <c r="AO7" s="22">
        <v>2117647.0</v>
      </c>
      <c r="AP7" s="22">
        <v>6.0816153E7</v>
      </c>
      <c r="AQ7" s="22" t="str">
        <f>AO7+AP7+5439814</f>
        <v>68,373,614.00</v>
      </c>
      <c r="AR7" s="22" t="str">
        <f t="shared" si="17"/>
        <v>2,117,647.00</v>
      </c>
      <c r="AS7" s="22" t="str">
        <f t="shared" si="18"/>
        <v>91,003,800.00</v>
      </c>
      <c r="AT7" s="22">
        <v>0.0</v>
      </c>
      <c r="AU7" s="22">
        <v>1.2457981E7</v>
      </c>
      <c r="AV7" s="22">
        <v>9768288.0</v>
      </c>
      <c r="AW7" s="22">
        <v>3.3591084E7</v>
      </c>
      <c r="AX7" s="22" t="str">
        <f>AV7+AW7+12575562</f>
        <v>55,934,934.00</v>
      </c>
      <c r="AY7" s="22" t="str">
        <f t="shared" si="20"/>
        <v>9,768,288.00</v>
      </c>
      <c r="AZ7" s="22" t="str">
        <f t="shared" si="21"/>
        <v>68,392,915.00</v>
      </c>
      <c r="BA7" s="22">
        <v>0.0</v>
      </c>
      <c r="BB7" s="22">
        <v>1.4934109E7</v>
      </c>
      <c r="BC7" s="22">
        <v>909267.0</v>
      </c>
      <c r="BD7" s="22">
        <v>3.4012124E7</v>
      </c>
      <c r="BE7" s="22" t="str">
        <f>BC7+BD7+8304848</f>
        <v>43,226,239.00</v>
      </c>
      <c r="BF7" s="22" t="str">
        <f t="shared" si="23"/>
        <v>909,267.00</v>
      </c>
      <c r="BG7" s="22" t="str">
        <f t="shared" si="24"/>
        <v>58,160,348.00</v>
      </c>
      <c r="BH7" s="23" t="str">
        <f>HYPERLINK("http://www.uab.cat/web/conoce-la-uab-cei/transparencia-de-datos/informacion-economica/cuentas-anuales-de-la-uab-1345692720118.html","http://www.uab.cat/web/conoce-la-uab-cei/transparencia-de-datos/informacion-economica/cuentas-anuales-de-la-uab-1345692720118.html")</f>
        <v>http://www.uab.cat/web/conoce-la-uab-cei/transparencia-de-datos/informacion-economica/cuentas-anuales-de-la-uab-1345692720118.html</v>
      </c>
    </row>
    <row r="8">
      <c r="A8" s="20" t="s">
        <v>24</v>
      </c>
      <c r="B8" s="9" t="s">
        <v>18</v>
      </c>
      <c r="C8" s="9" t="s">
        <v>19</v>
      </c>
      <c r="D8" s="21"/>
      <c r="E8" s="21"/>
      <c r="F8" s="21"/>
      <c r="G8" s="21"/>
      <c r="H8" s="22" t="str">
        <f>F8+G8</f>
        <v>0.00</v>
      </c>
      <c r="I8" s="22" t="str">
        <f t="shared" si="2"/>
        <v>0.00</v>
      </c>
      <c r="J8" s="22" t="str">
        <f t="shared" si="3"/>
        <v>0.00</v>
      </c>
      <c r="K8" s="22">
        <v>1652782.52</v>
      </c>
      <c r="L8" s="22">
        <v>1.746403598E7</v>
      </c>
      <c r="M8" s="22">
        <v>1652783.28</v>
      </c>
      <c r="N8" s="22">
        <v>2.900816053E7</v>
      </c>
      <c r="O8" s="22" t="str">
        <f>M8+N8</f>
        <v>30,660,943.81</v>
      </c>
      <c r="P8" s="22" t="str">
        <f t="shared" si="5"/>
        <v>3,305,565.80</v>
      </c>
      <c r="Q8" s="22" t="str">
        <f t="shared" si="6"/>
        <v>48,124,979.79</v>
      </c>
      <c r="R8" s="22">
        <v>0.0</v>
      </c>
      <c r="S8" s="22">
        <v>2.265552038E7</v>
      </c>
      <c r="T8" s="22">
        <v>1652782.52</v>
      </c>
      <c r="U8" s="22">
        <v>3.516172402E7</v>
      </c>
      <c r="V8" s="22" t="str">
        <f>T8+U8</f>
        <v>36,814,506.54</v>
      </c>
      <c r="W8" s="22" t="str">
        <f t="shared" si="8"/>
        <v>1,652,782.52</v>
      </c>
      <c r="X8" s="22" t="str">
        <f t="shared" si="9"/>
        <v>59,470,026.92</v>
      </c>
      <c r="Y8" s="22">
        <v>0.0</v>
      </c>
      <c r="Z8" s="22">
        <v>2.483123793E7</v>
      </c>
      <c r="AA8" s="22">
        <v>0.0</v>
      </c>
      <c r="AB8" s="22">
        <v>3.686902057E7</v>
      </c>
      <c r="AC8" s="22" t="str">
        <f>AA8+AB8</f>
        <v>36,869,020.57</v>
      </c>
      <c r="AD8" s="22" t="str">
        <f t="shared" si="11"/>
        <v>0.00</v>
      </c>
      <c r="AE8" s="22" t="str">
        <f t="shared" si="12"/>
        <v>61,700,258.50</v>
      </c>
      <c r="AF8" s="22">
        <v>0.0</v>
      </c>
      <c r="AG8" s="22">
        <v>2.24641381E7</v>
      </c>
      <c r="AH8" s="22">
        <v>0.0</v>
      </c>
      <c r="AI8" s="22">
        <v>2.512621454E7</v>
      </c>
      <c r="AJ8" s="22" t="str">
        <f>AH8+AI8</f>
        <v>25,126,214.54</v>
      </c>
      <c r="AK8" s="22" t="str">
        <f t="shared" si="14"/>
        <v>0.00</v>
      </c>
      <c r="AL8" s="22" t="str">
        <f t="shared" si="15"/>
        <v>47,590,352.64</v>
      </c>
      <c r="AM8" s="22">
        <v>0.0</v>
      </c>
      <c r="AN8" s="22">
        <v>1.988311635E7</v>
      </c>
      <c r="AO8" s="22">
        <v>0.0</v>
      </c>
      <c r="AP8" s="22">
        <v>2.542070395E7</v>
      </c>
      <c r="AQ8" s="22" t="str">
        <f>AO8+AP8</f>
        <v>25,420,703.95</v>
      </c>
      <c r="AR8" s="22" t="str">
        <f t="shared" si="17"/>
        <v>0.00</v>
      </c>
      <c r="AS8" s="22" t="str">
        <f t="shared" si="18"/>
        <v>45,303,820.30</v>
      </c>
      <c r="AT8" s="22">
        <v>0.0</v>
      </c>
      <c r="AU8" s="22">
        <v>1.683200674E7</v>
      </c>
      <c r="AV8" s="22">
        <v>0.0</v>
      </c>
      <c r="AW8" s="22">
        <v>2.683527665E7</v>
      </c>
      <c r="AX8" s="22" t="str">
        <f>AV8+AW8</f>
        <v>26,835,276.65</v>
      </c>
      <c r="AY8" s="22" t="str">
        <f t="shared" si="20"/>
        <v>0.00</v>
      </c>
      <c r="AZ8" s="22" t="str">
        <f t="shared" si="21"/>
        <v>43,667,283.39</v>
      </c>
      <c r="BA8" s="22">
        <v>0.0</v>
      </c>
      <c r="BB8" s="22">
        <v>2.049819808E7</v>
      </c>
      <c r="BC8" s="22">
        <v>0.0</v>
      </c>
      <c r="BD8" s="22">
        <v>2.962174135E7</v>
      </c>
      <c r="BE8" s="22" t="str">
        <f t="shared" ref="BE8:BE15" si="25">BC8+BD8</f>
        <v>29,621,741.35</v>
      </c>
      <c r="BF8" s="22" t="str">
        <f t="shared" si="23"/>
        <v>0.00</v>
      </c>
      <c r="BG8" s="22" t="str">
        <f t="shared" si="24"/>
        <v>50,119,939.43</v>
      </c>
      <c r="BH8" s="23" t="str">
        <f>HYPERLINK("https://www.uam.es/ss/Satellite/es/1242656765343/listadoCategorizado/Informacion_economica_y_financiera.htm","https://www.uam.es/ss/Satellite/es/1242656765343/listadoCategorizado/Informacion_economica_y_financiera.htm")</f>
        <v>https://www.uam.es/ss/Satellite/es/1242656765343/listadoCategorizado/Informacion_economica_y_financiera.htm</v>
      </c>
    </row>
    <row r="9">
      <c r="A9" s="20" t="s">
        <v>25</v>
      </c>
      <c r="B9" s="9" t="s">
        <v>18</v>
      </c>
      <c r="C9" s="9" t="s">
        <v>19</v>
      </c>
      <c r="D9" s="22">
        <v>0.0</v>
      </c>
      <c r="E9" s="22">
        <v>3.643476687E7</v>
      </c>
      <c r="F9" s="22">
        <v>0.0</v>
      </c>
      <c r="G9" s="22">
        <v>4.206157932E7</v>
      </c>
      <c r="H9" s="22" t="str">
        <f>F9+G9+3735853.46</f>
        <v>45,797,432.78</v>
      </c>
      <c r="I9" s="22" t="str">
        <f t="shared" si="2"/>
        <v>0.00</v>
      </c>
      <c r="J9" s="22" t="str">
        <f t="shared" si="3"/>
        <v>82,232,199.65</v>
      </c>
      <c r="K9" s="22">
        <v>0.0</v>
      </c>
      <c r="L9" s="22">
        <v>4.304641744E7</v>
      </c>
      <c r="M9" s="22">
        <v>0.0</v>
      </c>
      <c r="N9" s="22">
        <v>4.360901481E7</v>
      </c>
      <c r="O9" s="22" t="str">
        <f>M9+N9+2669370.73</f>
        <v>46,278,385.54</v>
      </c>
      <c r="P9" s="22" t="str">
        <f t="shared" si="5"/>
        <v>0.00</v>
      </c>
      <c r="Q9" s="22" t="str">
        <f t="shared" si="6"/>
        <v>89,324,802.98</v>
      </c>
      <c r="R9" s="22">
        <v>0.0</v>
      </c>
      <c r="S9" s="22">
        <v>5.394060776E7</v>
      </c>
      <c r="T9" s="22">
        <v>0.0</v>
      </c>
      <c r="U9" s="22">
        <v>5.01546476E7</v>
      </c>
      <c r="V9" s="22" t="str">
        <f>T9+U9+2321782.8</f>
        <v>52,476,430.40</v>
      </c>
      <c r="W9" s="22" t="str">
        <f t="shared" si="8"/>
        <v>0.00</v>
      </c>
      <c r="X9" s="22" t="str">
        <f t="shared" si="9"/>
        <v>106,417,038.16</v>
      </c>
      <c r="Y9" s="22">
        <v>0.0</v>
      </c>
      <c r="Z9" s="22">
        <v>5.91838465E7</v>
      </c>
      <c r="AA9" s="22">
        <v>0.0</v>
      </c>
      <c r="AB9" s="22">
        <v>4.632621077E7</v>
      </c>
      <c r="AC9" s="22" t="str">
        <f>AA9+AB9+7371961.85</f>
        <v>53,698,172.62</v>
      </c>
      <c r="AD9" s="22" t="str">
        <f t="shared" si="11"/>
        <v>0.00</v>
      </c>
      <c r="AE9" s="22" t="str">
        <f t="shared" si="12"/>
        <v>112,882,019.12</v>
      </c>
      <c r="AF9" s="22">
        <v>0.0</v>
      </c>
      <c r="AG9" s="22">
        <v>5.613078085E7</v>
      </c>
      <c r="AH9" s="22">
        <v>0.0</v>
      </c>
      <c r="AI9" s="22">
        <v>6.202886287E7</v>
      </c>
      <c r="AJ9" s="22" t="str">
        <f>AH9+AI9+3130476.45</f>
        <v>65,159,339.32</v>
      </c>
      <c r="AK9" s="22" t="str">
        <f t="shared" si="14"/>
        <v>0.00</v>
      </c>
      <c r="AL9" s="22" t="str">
        <f t="shared" si="15"/>
        <v>121,290,120.17</v>
      </c>
      <c r="AM9" s="22">
        <v>0.0</v>
      </c>
      <c r="AN9" s="22">
        <v>5.401139547E7</v>
      </c>
      <c r="AO9" s="22">
        <v>0.0</v>
      </c>
      <c r="AP9" s="22">
        <v>5.932291662E7</v>
      </c>
      <c r="AQ9" s="22" t="str">
        <f>AO9+AP9+4538290.8</f>
        <v>63,861,207.42</v>
      </c>
      <c r="AR9" s="22" t="str">
        <f t="shared" si="17"/>
        <v>0.00</v>
      </c>
      <c r="AS9" s="22" t="str">
        <f t="shared" si="18"/>
        <v>117,872,602.89</v>
      </c>
      <c r="AT9" s="22">
        <v>0.0</v>
      </c>
      <c r="AU9" s="22">
        <v>3.194148331E7</v>
      </c>
      <c r="AV9" s="22">
        <v>0.0</v>
      </c>
      <c r="AW9" s="22">
        <v>4.855365465E7</v>
      </c>
      <c r="AX9" s="22" t="str">
        <f>AV9+AW9+22740513.66</f>
        <v>71,294,168.31</v>
      </c>
      <c r="AY9" s="22" t="str">
        <f t="shared" si="20"/>
        <v>0.00</v>
      </c>
      <c r="AZ9" s="22" t="str">
        <f t="shared" si="21"/>
        <v>103,235,651.62</v>
      </c>
      <c r="BA9" s="21"/>
      <c r="BB9" s="21"/>
      <c r="BC9" s="21"/>
      <c r="BD9" s="21"/>
      <c r="BE9" s="22" t="str">
        <f t="shared" si="25"/>
        <v>0.00</v>
      </c>
      <c r="BF9" s="22" t="str">
        <f t="shared" si="23"/>
        <v>0.00</v>
      </c>
      <c r="BG9" s="22" t="str">
        <f t="shared" si="24"/>
        <v>0.00</v>
      </c>
      <c r="BH9" s="23" t="str">
        <f>HYPERLINK("http://www.ub.edu/web/ub/ca/sites/transparencia/economia_pressupost/comptes/index.html","http://www.ub.edu/web/ub/ca/sites/transparencia/economia_pressupost/comptes/index.html")</f>
        <v>http://www.ub.edu/web/ub/ca/sites/transparencia/economia_pressupost/comptes/index.html</v>
      </c>
    </row>
    <row r="10">
      <c r="A10" s="20" t="s">
        <v>26</v>
      </c>
      <c r="B10" s="9" t="s">
        <v>18</v>
      </c>
      <c r="C10" s="9" t="s">
        <v>19</v>
      </c>
      <c r="D10" s="21"/>
      <c r="E10" s="21"/>
      <c r="F10" s="21"/>
      <c r="G10" s="21"/>
      <c r="H10" s="22" t="str">
        <f t="shared" ref="H10:H38" si="26">F10+G10</f>
        <v>0.00</v>
      </c>
      <c r="I10" s="22" t="str">
        <f t="shared" si="2"/>
        <v>0.00</v>
      </c>
      <c r="J10" s="22" t="str">
        <f t="shared" si="3"/>
        <v>0.00</v>
      </c>
      <c r="K10" s="21"/>
      <c r="L10" s="21"/>
      <c r="M10" s="21"/>
      <c r="N10" s="21"/>
      <c r="O10" s="22" t="str">
        <f t="shared" ref="O10:O34" si="27">M10+N10</f>
        <v>0.00</v>
      </c>
      <c r="P10" s="22" t="str">
        <f t="shared" si="5"/>
        <v>0.00</v>
      </c>
      <c r="Q10" s="22" t="str">
        <f t="shared" si="6"/>
        <v>0.00</v>
      </c>
      <c r="R10" s="21"/>
      <c r="S10" s="21"/>
      <c r="T10" s="21"/>
      <c r="U10" s="21"/>
      <c r="V10" s="22" t="str">
        <f t="shared" ref="V10:V34" si="28">T10+U10</f>
        <v>0.00</v>
      </c>
      <c r="W10" s="22" t="str">
        <f t="shared" si="8"/>
        <v>0.00</v>
      </c>
      <c r="X10" s="22" t="str">
        <f t="shared" si="9"/>
        <v>0.00</v>
      </c>
      <c r="Y10" s="22">
        <v>7094049.38</v>
      </c>
      <c r="Z10" s="22">
        <v>9068954.9</v>
      </c>
      <c r="AA10" s="22">
        <v>360628.08</v>
      </c>
      <c r="AB10" s="22">
        <v>6201426.93</v>
      </c>
      <c r="AC10" s="22" t="str">
        <f t="shared" ref="AC10:AC13" si="29">AA10+AB10</f>
        <v>6,562,055.01</v>
      </c>
      <c r="AD10" s="22" t="str">
        <f t="shared" si="11"/>
        <v>7,454,677.46</v>
      </c>
      <c r="AE10" s="22" t="str">
        <f t="shared" si="12"/>
        <v>15,631,009.91</v>
      </c>
      <c r="AF10" s="22">
        <v>6408126.99</v>
      </c>
      <c r="AG10" s="22">
        <v>8481697.17</v>
      </c>
      <c r="AH10" s="22">
        <v>760950.22</v>
      </c>
      <c r="AI10" s="22">
        <v>5025293.9</v>
      </c>
      <c r="AJ10" s="22" t="str">
        <f t="shared" ref="AJ10:AJ13" si="30">AH10+AI10</f>
        <v>5,786,244.12</v>
      </c>
      <c r="AK10" s="22" t="str">
        <f t="shared" si="14"/>
        <v>7,169,077.21</v>
      </c>
      <c r="AL10" s="22" t="str">
        <f t="shared" si="15"/>
        <v>14,267,941.29</v>
      </c>
      <c r="AM10" s="22">
        <v>5722204.6</v>
      </c>
      <c r="AN10" s="22">
        <v>7730549.17</v>
      </c>
      <c r="AO10" s="22">
        <v>738224.5</v>
      </c>
      <c r="AP10" s="22">
        <v>3497261.69</v>
      </c>
      <c r="AQ10" s="22" t="str">
        <f t="shared" ref="AQ10:AQ13" si="31">AO10+AP10</f>
        <v>4,235,486.19</v>
      </c>
      <c r="AR10" s="22" t="str">
        <f t="shared" si="17"/>
        <v>6,460,429.10</v>
      </c>
      <c r="AS10" s="22" t="str">
        <f t="shared" si="18"/>
        <v>11,966,035.36</v>
      </c>
      <c r="AT10" s="22">
        <v>5036282.22</v>
      </c>
      <c r="AU10" s="22">
        <v>7836820.19</v>
      </c>
      <c r="AV10" s="22">
        <v>733823.93</v>
      </c>
      <c r="AW10" s="22">
        <v>3612957.83</v>
      </c>
      <c r="AX10" s="22" t="str">
        <f t="shared" ref="AX10:AX13" si="32">AV10+AW10</f>
        <v>4,346,781.76</v>
      </c>
      <c r="AY10" s="22" t="str">
        <f t="shared" si="20"/>
        <v>5,770,106.15</v>
      </c>
      <c r="AZ10" s="22" t="str">
        <f t="shared" si="21"/>
        <v>12,183,601.95</v>
      </c>
      <c r="BA10" s="22">
        <v>4350359.84</v>
      </c>
      <c r="BB10" s="22">
        <v>7413121.6</v>
      </c>
      <c r="BC10" s="22">
        <v>722577.16</v>
      </c>
      <c r="BD10" s="22">
        <v>5769626.48</v>
      </c>
      <c r="BE10" s="22" t="str">
        <f t="shared" si="25"/>
        <v>6,492,203.64</v>
      </c>
      <c r="BF10" s="22" t="str">
        <f t="shared" si="23"/>
        <v>5,072,937.00</v>
      </c>
      <c r="BG10" s="22" t="str">
        <f t="shared" si="24"/>
        <v>13,905,325.24</v>
      </c>
      <c r="BH10" s="23" t="str">
        <f>HYPERLINK("http://wwww.ubu.es/portal-de-transparencia/informacion-economica/estados-financieros","http://wwww.ubu.es/portal-de-transparencia/informacion-economica/estados-financieros")</f>
        <v>http://wwww.ubu.es/portal-de-transparencia/informacion-economica/estados-financieros</v>
      </c>
    </row>
    <row r="11">
      <c r="A11" s="20" t="s">
        <v>27</v>
      </c>
      <c r="B11" s="9" t="s">
        <v>18</v>
      </c>
      <c r="C11" s="9" t="s">
        <v>19</v>
      </c>
      <c r="D11" s="22">
        <v>4.135920301E7</v>
      </c>
      <c r="E11" s="22">
        <v>4.135920301E7</v>
      </c>
      <c r="F11" s="22">
        <v>0.0</v>
      </c>
      <c r="G11" s="22">
        <v>8401389.6</v>
      </c>
      <c r="H11" s="22" t="str">
        <f t="shared" si="26"/>
        <v>8,401,389.60</v>
      </c>
      <c r="I11" s="22" t="str">
        <f t="shared" si="2"/>
        <v>41,359,203.01</v>
      </c>
      <c r="J11" s="22" t="str">
        <f t="shared" si="3"/>
        <v>49,760,592.61</v>
      </c>
      <c r="K11" s="22">
        <v>3.677759601E7</v>
      </c>
      <c r="L11" s="22">
        <v>3.677759601E7</v>
      </c>
      <c r="M11" s="22">
        <v>0.0</v>
      </c>
      <c r="N11" s="22">
        <v>8648460.87</v>
      </c>
      <c r="O11" s="22" t="str">
        <f t="shared" si="27"/>
        <v>8,648,460.87</v>
      </c>
      <c r="P11" s="22" t="str">
        <f t="shared" si="5"/>
        <v>36,777,596.01</v>
      </c>
      <c r="Q11" s="22" t="str">
        <f t="shared" si="6"/>
        <v>45,426,056.88</v>
      </c>
      <c r="R11" s="22">
        <v>3.148806676E7</v>
      </c>
      <c r="S11" s="22">
        <v>3.148806676E7</v>
      </c>
      <c r="T11" s="22">
        <v>0.0</v>
      </c>
      <c r="U11" s="22">
        <v>1.18078456E7</v>
      </c>
      <c r="V11" s="22" t="str">
        <f t="shared" si="28"/>
        <v>11,807,845.60</v>
      </c>
      <c r="W11" s="22" t="str">
        <f t="shared" si="8"/>
        <v>31,488,066.76</v>
      </c>
      <c r="X11" s="22" t="str">
        <f t="shared" si="9"/>
        <v>43,295,912.36</v>
      </c>
      <c r="Y11" s="22">
        <v>2.534006351E7</v>
      </c>
      <c r="Z11" s="22">
        <v>2.534006351E7</v>
      </c>
      <c r="AA11" s="22">
        <v>0.0</v>
      </c>
      <c r="AB11" s="22">
        <v>1.383091145E7</v>
      </c>
      <c r="AC11" s="22" t="str">
        <f t="shared" si="29"/>
        <v>13,830,911.45</v>
      </c>
      <c r="AD11" s="22" t="str">
        <f t="shared" si="11"/>
        <v>25,340,063.51</v>
      </c>
      <c r="AE11" s="22" t="str">
        <f t="shared" si="12"/>
        <v>39,170,974.96</v>
      </c>
      <c r="AF11" s="22">
        <v>642393.24</v>
      </c>
      <c r="AG11" s="22">
        <v>1.822445293E7</v>
      </c>
      <c r="AH11" s="22">
        <v>1.8259561E7</v>
      </c>
      <c r="AI11" s="22">
        <v>1.288390493E7</v>
      </c>
      <c r="AJ11" s="22" t="str">
        <f t="shared" si="30"/>
        <v>31,143,465.93</v>
      </c>
      <c r="AK11" s="22" t="str">
        <f t="shared" si="14"/>
        <v>18,901,954.24</v>
      </c>
      <c r="AL11" s="22" t="str">
        <f t="shared" si="15"/>
        <v>49,367,918.86</v>
      </c>
      <c r="AM11" s="22">
        <v>1.220425086E7</v>
      </c>
      <c r="AN11" s="22">
        <v>2.867027216E7</v>
      </c>
      <c r="AO11" s="22">
        <v>2896400.0</v>
      </c>
      <c r="AP11" s="22">
        <v>1.134509938E7</v>
      </c>
      <c r="AQ11" s="22" t="str">
        <f t="shared" si="31"/>
        <v>14,241,499.38</v>
      </c>
      <c r="AR11" s="22" t="str">
        <f t="shared" si="17"/>
        <v>15,100,650.86</v>
      </c>
      <c r="AS11" s="22" t="str">
        <f t="shared" si="18"/>
        <v>42,911,771.54</v>
      </c>
      <c r="AT11" s="22">
        <v>9283081.28</v>
      </c>
      <c r="AU11" s="22">
        <v>2.794942311E7</v>
      </c>
      <c r="AV11" s="22">
        <v>2896400.0</v>
      </c>
      <c r="AW11" s="22">
        <v>8058317.88</v>
      </c>
      <c r="AX11" s="22" t="str">
        <f t="shared" si="32"/>
        <v>10,954,717.88</v>
      </c>
      <c r="AY11" s="22" t="str">
        <f t="shared" si="20"/>
        <v>12,179,481.28</v>
      </c>
      <c r="AZ11" s="22" t="str">
        <f t="shared" si="21"/>
        <v>38,904,140.99</v>
      </c>
      <c r="BA11" s="21"/>
      <c r="BB11" s="21"/>
      <c r="BC11" s="21"/>
      <c r="BD11" s="21"/>
      <c r="BE11" s="22" t="str">
        <f t="shared" si="25"/>
        <v>0.00</v>
      </c>
      <c r="BF11" s="22" t="str">
        <f t="shared" si="23"/>
        <v>0.00</v>
      </c>
      <c r="BG11" s="22" t="str">
        <f t="shared" si="24"/>
        <v>0.00</v>
      </c>
      <c r="BH11" s="23" t="str">
        <f>HYPERLINK("http://presupuestos.uca.es/descargas/","http://presupuestos.uca.es/descargas/")</f>
        <v>http://presupuestos.uca.es/descargas/</v>
      </c>
    </row>
    <row r="12">
      <c r="A12" s="20" t="s">
        <v>28</v>
      </c>
      <c r="B12" s="9" t="s">
        <v>18</v>
      </c>
      <c r="C12" s="9" t="s">
        <v>19</v>
      </c>
      <c r="D12" s="21"/>
      <c r="E12" s="22">
        <v>500790.0</v>
      </c>
      <c r="F12" s="22">
        <v>0.0</v>
      </c>
      <c r="G12" s="22">
        <v>9757579.0</v>
      </c>
      <c r="H12" s="22" t="str">
        <f t="shared" si="26"/>
        <v>9,757,579.00</v>
      </c>
      <c r="I12" s="22" t="str">
        <f t="shared" si="2"/>
        <v>0.00</v>
      </c>
      <c r="J12" s="22" t="str">
        <f t="shared" si="3"/>
        <v>10,258,369.00</v>
      </c>
      <c r="K12" s="21"/>
      <c r="L12" s="22">
        <v>1398574.0</v>
      </c>
      <c r="M12" s="22">
        <v>0.0</v>
      </c>
      <c r="N12" s="22">
        <v>8454579.0</v>
      </c>
      <c r="O12" s="22" t="str">
        <f t="shared" si="27"/>
        <v>8,454,579.00</v>
      </c>
      <c r="P12" s="22" t="str">
        <f t="shared" si="5"/>
        <v>0.00</v>
      </c>
      <c r="Q12" s="22" t="str">
        <f t="shared" si="6"/>
        <v>9,853,153.00</v>
      </c>
      <c r="R12" s="21"/>
      <c r="S12" s="22">
        <v>1.9695791E7</v>
      </c>
      <c r="T12" s="22">
        <v>0.0</v>
      </c>
      <c r="U12" s="22">
        <v>1.4282808E7</v>
      </c>
      <c r="V12" s="22" t="str">
        <f t="shared" si="28"/>
        <v>14,282,808.00</v>
      </c>
      <c r="W12" s="22" t="str">
        <f t="shared" si="8"/>
        <v>0.00</v>
      </c>
      <c r="X12" s="22" t="str">
        <f t="shared" si="9"/>
        <v>33,978,599.00</v>
      </c>
      <c r="Y12" s="21"/>
      <c r="Z12" s="22">
        <v>1.8633457E7</v>
      </c>
      <c r="AA12" s="22">
        <v>0.0</v>
      </c>
      <c r="AB12" s="22">
        <v>1.7544703E7</v>
      </c>
      <c r="AC12" s="22" t="str">
        <f t="shared" si="29"/>
        <v>17,544,703.00</v>
      </c>
      <c r="AD12" s="22" t="str">
        <f t="shared" si="11"/>
        <v>0.00</v>
      </c>
      <c r="AE12" s="22" t="str">
        <f t="shared" si="12"/>
        <v>36,178,160.00</v>
      </c>
      <c r="AF12" s="21"/>
      <c r="AG12" s="22">
        <v>2.0682528E7</v>
      </c>
      <c r="AH12" s="22">
        <v>0.0</v>
      </c>
      <c r="AI12" s="22">
        <v>1.1343178E7</v>
      </c>
      <c r="AJ12" s="22" t="str">
        <f t="shared" si="30"/>
        <v>11,343,178.00</v>
      </c>
      <c r="AK12" s="22" t="str">
        <f t="shared" si="14"/>
        <v>0.00</v>
      </c>
      <c r="AL12" s="22" t="str">
        <f t="shared" si="15"/>
        <v>32,025,706.00</v>
      </c>
      <c r="AM12" s="21"/>
      <c r="AN12" s="22">
        <v>2.1196633E7</v>
      </c>
      <c r="AO12" s="22">
        <v>0.0</v>
      </c>
      <c r="AP12" s="22">
        <v>9107513.0</v>
      </c>
      <c r="AQ12" s="22" t="str">
        <f t="shared" si="31"/>
        <v>9,107,513.00</v>
      </c>
      <c r="AR12" s="22" t="str">
        <f t="shared" si="17"/>
        <v>0.00</v>
      </c>
      <c r="AS12" s="22" t="str">
        <f t="shared" si="18"/>
        <v>30,304,146.00</v>
      </c>
      <c r="AT12" s="21"/>
      <c r="AU12" s="22">
        <v>1.9548823E7</v>
      </c>
      <c r="AV12" s="22">
        <v>0.0</v>
      </c>
      <c r="AW12" s="22">
        <v>7476100.0</v>
      </c>
      <c r="AX12" s="22" t="str">
        <f t="shared" si="32"/>
        <v>7,476,100.00</v>
      </c>
      <c r="AY12" s="22" t="str">
        <f t="shared" si="20"/>
        <v>0.00</v>
      </c>
      <c r="AZ12" s="22" t="str">
        <f t="shared" si="21"/>
        <v>27,024,923.00</v>
      </c>
      <c r="BA12" s="21"/>
      <c r="BB12" s="22">
        <v>1.7803603E7</v>
      </c>
      <c r="BC12" s="22">
        <v>0.0</v>
      </c>
      <c r="BD12" s="22">
        <v>9660074.0</v>
      </c>
      <c r="BE12" s="22" t="str">
        <f t="shared" si="25"/>
        <v>9,660,074.00</v>
      </c>
      <c r="BF12" s="22" t="str">
        <f t="shared" si="23"/>
        <v>0.00</v>
      </c>
      <c r="BG12" s="22" t="str">
        <f t="shared" si="24"/>
        <v>27,463,677.00</v>
      </c>
      <c r="BH12" s="23" t="str">
        <f>HYPERLINK("http://web.unican.es/transparencia-informativa/informacion-economica","http://web.unican.es/transparencia-informativa/informacion-economica")</f>
        <v>http://web.unican.es/transparencia-informativa/informacion-economica</v>
      </c>
    </row>
    <row r="13">
      <c r="A13" s="20" t="s">
        <v>29</v>
      </c>
      <c r="B13" s="9" t="s">
        <v>18</v>
      </c>
      <c r="C13" s="9" t="s">
        <v>19</v>
      </c>
      <c r="D13" s="21"/>
      <c r="E13" s="21"/>
      <c r="F13" s="21"/>
      <c r="G13" s="21"/>
      <c r="H13" s="22" t="str">
        <f t="shared" si="26"/>
        <v>0.00</v>
      </c>
      <c r="I13" s="22" t="str">
        <f t="shared" si="2"/>
        <v>0.00</v>
      </c>
      <c r="J13" s="22" t="str">
        <f t="shared" si="3"/>
        <v>0.00</v>
      </c>
      <c r="K13" s="21"/>
      <c r="L13" s="21"/>
      <c r="M13" s="21"/>
      <c r="N13" s="21"/>
      <c r="O13" s="22" t="str">
        <f t="shared" si="27"/>
        <v>0.00</v>
      </c>
      <c r="P13" s="22" t="str">
        <f t="shared" si="5"/>
        <v>0.00</v>
      </c>
      <c r="Q13" s="22" t="str">
        <f t="shared" si="6"/>
        <v>0.00</v>
      </c>
      <c r="R13" s="21"/>
      <c r="S13" s="21"/>
      <c r="T13" s="21"/>
      <c r="U13" s="21"/>
      <c r="V13" s="22" t="str">
        <f t="shared" si="28"/>
        <v>0.00</v>
      </c>
      <c r="W13" s="22" t="str">
        <f t="shared" si="8"/>
        <v>0.00</v>
      </c>
      <c r="X13" s="22" t="str">
        <f t="shared" si="9"/>
        <v>0.00</v>
      </c>
      <c r="Y13" s="22">
        <v>0.0</v>
      </c>
      <c r="Z13" s="22">
        <v>2.803579627E7</v>
      </c>
      <c r="AA13" s="22">
        <v>0.0</v>
      </c>
      <c r="AB13" s="22">
        <v>9822138.29</v>
      </c>
      <c r="AC13" s="22" t="str">
        <f t="shared" si="29"/>
        <v>9,822,138.29</v>
      </c>
      <c r="AD13" s="22" t="str">
        <f t="shared" si="11"/>
        <v>0.00</v>
      </c>
      <c r="AE13" s="22" t="str">
        <f t="shared" si="12"/>
        <v>37,857,934.56</v>
      </c>
      <c r="AF13" s="22">
        <v>0.0</v>
      </c>
      <c r="AG13" s="22">
        <v>2.675052742E7</v>
      </c>
      <c r="AH13" s="22">
        <v>0.0</v>
      </c>
      <c r="AI13" s="22">
        <v>7496655.93</v>
      </c>
      <c r="AJ13" s="22" t="str">
        <f t="shared" si="30"/>
        <v>7,496,655.93</v>
      </c>
      <c r="AK13" s="22" t="str">
        <f t="shared" si="14"/>
        <v>0.00</v>
      </c>
      <c r="AL13" s="22" t="str">
        <f t="shared" si="15"/>
        <v>34,247,183.35</v>
      </c>
      <c r="AM13" s="22">
        <v>0.0</v>
      </c>
      <c r="AN13" s="22">
        <v>2.556887165E7</v>
      </c>
      <c r="AO13" s="22">
        <v>0.0</v>
      </c>
      <c r="AP13" s="22">
        <v>1.11961934E7</v>
      </c>
      <c r="AQ13" s="22" t="str">
        <f t="shared" si="31"/>
        <v>11,196,193.40</v>
      </c>
      <c r="AR13" s="22" t="str">
        <f t="shared" si="17"/>
        <v>0.00</v>
      </c>
      <c r="AS13" s="22" t="str">
        <f t="shared" si="18"/>
        <v>36,765,065.05</v>
      </c>
      <c r="AT13" s="22">
        <v>0.0</v>
      </c>
      <c r="AU13" s="22">
        <v>2.420675041E7</v>
      </c>
      <c r="AV13" s="22">
        <v>0.0</v>
      </c>
      <c r="AW13" s="22">
        <v>1.036770246E7</v>
      </c>
      <c r="AX13" s="22" t="str">
        <f t="shared" si="32"/>
        <v>10,367,702.46</v>
      </c>
      <c r="AY13" s="22" t="str">
        <f t="shared" si="20"/>
        <v>0.00</v>
      </c>
      <c r="AZ13" s="22" t="str">
        <f t="shared" si="21"/>
        <v>34,574,452.87</v>
      </c>
      <c r="BA13" s="22">
        <v>0.0</v>
      </c>
      <c r="BB13" s="22">
        <v>2.122045511E7</v>
      </c>
      <c r="BC13" s="22">
        <v>0.0</v>
      </c>
      <c r="BD13" s="22">
        <v>1.435748795E7</v>
      </c>
      <c r="BE13" s="22" t="str">
        <f t="shared" si="25"/>
        <v>14,357,487.95</v>
      </c>
      <c r="BF13" s="22" t="str">
        <f t="shared" si="23"/>
        <v>0.00</v>
      </c>
      <c r="BG13" s="22" t="str">
        <f t="shared" si="24"/>
        <v>35,577,943.06</v>
      </c>
      <c r="BH13" s="23" t="str">
        <f>HYPERLINK("http://www.uc3m.es/ss/Satellite/UC3MInstitucional/es/TextoMixta/1371206732890/Memoria_anual","http://www.uc3m.es/ss/Satellite/UC3MInstitucional/es/TextoMixta/1371206732890/Memoria_anual")</f>
        <v>http://www.uc3m.es/ss/Satellite/UC3MInstitucional/es/TextoMixta/1371206732890/Memoria_anual</v>
      </c>
    </row>
    <row r="14">
      <c r="A14" s="20" t="s">
        <v>30</v>
      </c>
      <c r="B14" s="9" t="s">
        <v>18</v>
      </c>
      <c r="C14" s="9" t="s">
        <v>19</v>
      </c>
      <c r="D14" s="21"/>
      <c r="E14" s="21"/>
      <c r="F14" s="21"/>
      <c r="G14" s="21"/>
      <c r="H14" s="22" t="str">
        <f t="shared" si="26"/>
        <v>0.00</v>
      </c>
      <c r="I14" s="22" t="str">
        <f t="shared" si="2"/>
        <v>0.00</v>
      </c>
      <c r="J14" s="22" t="str">
        <f t="shared" si="3"/>
        <v>0.00</v>
      </c>
      <c r="K14" s="21"/>
      <c r="L14" s="21"/>
      <c r="M14" s="21"/>
      <c r="N14" s="21"/>
      <c r="O14" s="22" t="str">
        <f t="shared" si="27"/>
        <v>0.00</v>
      </c>
      <c r="P14" s="22" t="str">
        <f t="shared" si="5"/>
        <v>0.00</v>
      </c>
      <c r="Q14" s="22" t="str">
        <f t="shared" si="6"/>
        <v>0.00</v>
      </c>
      <c r="R14" s="21"/>
      <c r="S14" s="21"/>
      <c r="T14" s="21"/>
      <c r="U14" s="21"/>
      <c r="V14" s="22" t="str">
        <f t="shared" si="28"/>
        <v>0.00</v>
      </c>
      <c r="W14" s="22" t="str">
        <f t="shared" si="8"/>
        <v>0.00</v>
      </c>
      <c r="X14" s="22" t="str">
        <f t="shared" si="9"/>
        <v>0.00</v>
      </c>
      <c r="Y14" s="22">
        <v>4958711.87</v>
      </c>
      <c r="Z14" s="22">
        <v>3.032776441E7</v>
      </c>
      <c r="AA14" s="22">
        <v>4957420.42</v>
      </c>
      <c r="AB14" s="22">
        <v>3.536033424E7</v>
      </c>
      <c r="AC14" s="22" t="str">
        <f>AA14+AB14+2540177.37</f>
        <v>42,857,932.03</v>
      </c>
      <c r="AD14" s="22" t="str">
        <f t="shared" si="11"/>
        <v>9,916,132.29</v>
      </c>
      <c r="AE14" s="22" t="str">
        <f t="shared" si="12"/>
        <v>73,185,696.44</v>
      </c>
      <c r="AF14" s="22">
        <v>1262045.67</v>
      </c>
      <c r="AG14" s="22">
        <v>2.826519707E7</v>
      </c>
      <c r="AH14" s="22">
        <v>3704660.11</v>
      </c>
      <c r="AI14" s="22">
        <v>2.775478442E7</v>
      </c>
      <c r="AJ14" s="22" t="str">
        <f>AH14+AI14+6673665.26</f>
        <v>38,133,109.79</v>
      </c>
      <c r="AK14" s="22" t="str">
        <f t="shared" si="14"/>
        <v>4,966,705.78</v>
      </c>
      <c r="AL14" s="22" t="str">
        <f t="shared" si="15"/>
        <v>66,398,306.86</v>
      </c>
      <c r="AM14" s="22">
        <v>0.0</v>
      </c>
      <c r="AN14" s="22">
        <v>2.95258032E7</v>
      </c>
      <c r="AO14" s="22">
        <v>1262554.45</v>
      </c>
      <c r="AP14" s="22">
        <v>2.467540623E7</v>
      </c>
      <c r="AQ14" s="22" t="str">
        <f>AO14+AP14+2878780.35</f>
        <v>28,816,741.03</v>
      </c>
      <c r="AR14" s="22" t="str">
        <f t="shared" si="17"/>
        <v>1,262,554.45</v>
      </c>
      <c r="AS14" s="22" t="str">
        <f t="shared" si="18"/>
        <v>58,342,544.23</v>
      </c>
      <c r="AT14" s="22">
        <v>0.0</v>
      </c>
      <c r="AU14" s="22">
        <v>3.846426494E7</v>
      </c>
      <c r="AV14" s="22">
        <v>0.0</v>
      </c>
      <c r="AW14" s="22">
        <v>2.720139543E7</v>
      </c>
      <c r="AX14" s="22" t="str">
        <f>AV14+AW14+3629678.13</f>
        <v>30,831,073.56</v>
      </c>
      <c r="AY14" s="22" t="str">
        <f t="shared" si="20"/>
        <v>0.00</v>
      </c>
      <c r="AZ14" s="22" t="str">
        <f t="shared" si="21"/>
        <v>69,295,338.50</v>
      </c>
      <c r="BA14" s="21"/>
      <c r="BB14" s="21"/>
      <c r="BC14" s="21"/>
      <c r="BD14" s="21"/>
      <c r="BE14" s="22" t="str">
        <f t="shared" si="25"/>
        <v>0.00</v>
      </c>
      <c r="BF14" s="22" t="str">
        <f t="shared" si="23"/>
        <v>0.00</v>
      </c>
      <c r="BG14" s="22" t="str">
        <f t="shared" si="24"/>
        <v>0.00</v>
      </c>
      <c r="BH14" s="23" t="str">
        <f>HYPERLINK("http://www.uclm.es/organos/vic_economia/presupuesto.asp","http://www.uclm.es/organos/vic_economia/presupuesto.asp")</f>
        <v>http://www.uclm.es/organos/vic_economia/presupuesto.asp</v>
      </c>
    </row>
    <row r="15">
      <c r="A15" s="20" t="s">
        <v>31</v>
      </c>
      <c r="B15" s="9" t="s">
        <v>18</v>
      </c>
      <c r="C15" s="9" t="s">
        <v>19</v>
      </c>
      <c r="D15" s="21"/>
      <c r="E15" s="21"/>
      <c r="F15" s="21"/>
      <c r="G15" s="21"/>
      <c r="H15" s="22" t="str">
        <f t="shared" si="26"/>
        <v>0.00</v>
      </c>
      <c r="I15" s="22" t="str">
        <f t="shared" si="2"/>
        <v>0.00</v>
      </c>
      <c r="J15" s="22" t="str">
        <f t="shared" si="3"/>
        <v>0.00</v>
      </c>
      <c r="K15" s="21"/>
      <c r="L15" s="21"/>
      <c r="M15" s="21"/>
      <c r="N15" s="21"/>
      <c r="O15" s="22" t="str">
        <f t="shared" si="27"/>
        <v>0.00</v>
      </c>
      <c r="P15" s="22" t="str">
        <f t="shared" si="5"/>
        <v>0.00</v>
      </c>
      <c r="Q15" s="22" t="str">
        <f t="shared" si="6"/>
        <v>0.00</v>
      </c>
      <c r="R15" s="22">
        <v>0.0</v>
      </c>
      <c r="S15" s="22">
        <v>1.866207116E7</v>
      </c>
      <c r="T15" s="22">
        <v>9567401.36</v>
      </c>
      <c r="U15" s="22">
        <v>1.4962848404E8</v>
      </c>
      <c r="V15" s="22" t="str">
        <f t="shared" si="28"/>
        <v>159,195,885.40</v>
      </c>
      <c r="W15" s="22" t="str">
        <f t="shared" si="8"/>
        <v>9,567,401.36</v>
      </c>
      <c r="X15" s="22" t="str">
        <f t="shared" si="9"/>
        <v>177,857,956.56</v>
      </c>
      <c r="Y15" s="22">
        <v>0.39</v>
      </c>
      <c r="Z15" s="22">
        <v>2.685929155E7</v>
      </c>
      <c r="AA15" s="22">
        <v>1662800.36</v>
      </c>
      <c r="AB15" s="22">
        <v>1.7093316404E8</v>
      </c>
      <c r="AC15" s="22" t="str">
        <f t="shared" ref="AC15:AC22" si="33">AA15+AB15</f>
        <v>172,595,964.40</v>
      </c>
      <c r="AD15" s="22" t="str">
        <f t="shared" si="11"/>
        <v>1,662,800.75</v>
      </c>
      <c r="AE15" s="22" t="str">
        <f t="shared" si="12"/>
        <v>199,455,255.95</v>
      </c>
      <c r="AF15" s="22">
        <v>0.37</v>
      </c>
      <c r="AG15" s="22">
        <v>2.468171237E7</v>
      </c>
      <c r="AH15" s="22">
        <v>1747669.36</v>
      </c>
      <c r="AI15" s="22">
        <v>1.5998234086E8</v>
      </c>
      <c r="AJ15" s="22" t="str">
        <f t="shared" ref="AJ15:AJ22" si="34">AH15+AI15</f>
        <v>161,730,010.22</v>
      </c>
      <c r="AK15" s="22" t="str">
        <f t="shared" si="14"/>
        <v>1,747,669.73</v>
      </c>
      <c r="AL15" s="22" t="str">
        <f t="shared" si="15"/>
        <v>186,411,722.59</v>
      </c>
      <c r="AM15" s="22">
        <v>0.35</v>
      </c>
      <c r="AN15" s="22">
        <v>7.677526748E7</v>
      </c>
      <c r="AO15" s="22">
        <v>2671901.23</v>
      </c>
      <c r="AP15" s="22">
        <v>9.483915744E7</v>
      </c>
      <c r="AQ15" s="22" t="str">
        <f t="shared" ref="AQ15:AQ22" si="35">AO15+AP15</f>
        <v>97,511,058.67</v>
      </c>
      <c r="AR15" s="22" t="str">
        <f t="shared" si="17"/>
        <v>2,671,901.58</v>
      </c>
      <c r="AS15" s="22" t="str">
        <f t="shared" si="18"/>
        <v>174,286,326.15</v>
      </c>
      <c r="AT15" s="22">
        <v>0.0</v>
      </c>
      <c r="AU15" s="22">
        <v>7.534129967E7</v>
      </c>
      <c r="AV15" s="22">
        <v>1820207.73</v>
      </c>
      <c r="AW15" s="22">
        <v>8.457609283E7</v>
      </c>
      <c r="AX15" s="22" t="str">
        <f t="shared" ref="AX15:AX18" si="36">AV15+AW15</f>
        <v>86,396,300.56</v>
      </c>
      <c r="AY15" s="22" t="str">
        <f t="shared" si="20"/>
        <v>1,820,207.73</v>
      </c>
      <c r="AZ15" s="22" t="str">
        <f t="shared" si="21"/>
        <v>161,737,600.23</v>
      </c>
      <c r="BA15" s="22">
        <v>6.475670457E7</v>
      </c>
      <c r="BB15" s="22">
        <v>6.475670457E7</v>
      </c>
      <c r="BC15" s="22">
        <v>1820207.73</v>
      </c>
      <c r="BD15" s="22">
        <v>8.993727339E7</v>
      </c>
      <c r="BE15" s="22" t="str">
        <f t="shared" si="25"/>
        <v>91,757,481.12</v>
      </c>
      <c r="BF15" s="22" t="str">
        <f t="shared" si="23"/>
        <v>66,576,912.30</v>
      </c>
      <c r="BG15" s="22" t="str">
        <f t="shared" si="24"/>
        <v>156,514,185.69</v>
      </c>
      <c r="BH15" s="23" t="str">
        <f>HYPERLINK("https://www.ucm.es/portaldetransparencia/memorias-de-ejecucion-de-ejercicios","https://www.ucm.es/portaldetransparencia/memorias-de-ejecucion-de-ejercicios")</f>
        <v>https://www.ucm.es/portaldetransparencia/memorias-de-ejecucion-de-ejercicios</v>
      </c>
    </row>
    <row r="16">
      <c r="A16" s="20" t="s">
        <v>32</v>
      </c>
      <c r="B16" s="9" t="s">
        <v>18</v>
      </c>
      <c r="C16" s="9" t="s">
        <v>19</v>
      </c>
      <c r="D16" s="21"/>
      <c r="E16" s="21"/>
      <c r="F16" s="21"/>
      <c r="G16" s="21"/>
      <c r="H16" s="22" t="str">
        <f t="shared" si="26"/>
        <v>0.00</v>
      </c>
      <c r="I16" s="22" t="str">
        <f t="shared" si="2"/>
        <v>0.00</v>
      </c>
      <c r="J16" s="22" t="str">
        <f t="shared" si="3"/>
        <v>0.00</v>
      </c>
      <c r="K16" s="21"/>
      <c r="L16" s="21"/>
      <c r="M16" s="21"/>
      <c r="N16" s="21"/>
      <c r="O16" s="22" t="str">
        <f t="shared" si="27"/>
        <v>0.00</v>
      </c>
      <c r="P16" s="22" t="str">
        <f t="shared" si="5"/>
        <v>0.00</v>
      </c>
      <c r="Q16" s="22" t="str">
        <f t="shared" si="6"/>
        <v>0.00</v>
      </c>
      <c r="R16" s="21"/>
      <c r="S16" s="21"/>
      <c r="T16" s="21"/>
      <c r="U16" s="21"/>
      <c r="V16" s="22" t="str">
        <f t="shared" si="28"/>
        <v>0.00</v>
      </c>
      <c r="W16" s="22" t="str">
        <f t="shared" si="8"/>
        <v>0.00</v>
      </c>
      <c r="X16" s="22" t="str">
        <f t="shared" si="9"/>
        <v>0.00</v>
      </c>
      <c r="Y16" s="21"/>
      <c r="Z16" s="21"/>
      <c r="AA16" s="21"/>
      <c r="AB16" s="21"/>
      <c r="AC16" s="22" t="str">
        <f t="shared" si="33"/>
        <v>0.00</v>
      </c>
      <c r="AD16" s="22" t="str">
        <f t="shared" si="11"/>
        <v>0.00</v>
      </c>
      <c r="AE16" s="22" t="str">
        <f t="shared" si="12"/>
        <v>0.00</v>
      </c>
      <c r="AF16" s="21"/>
      <c r="AG16" s="21"/>
      <c r="AH16" s="21"/>
      <c r="AI16" s="21"/>
      <c r="AJ16" s="22" t="str">
        <f t="shared" si="34"/>
        <v>0.00</v>
      </c>
      <c r="AK16" s="22" t="str">
        <f t="shared" si="14"/>
        <v>0.00</v>
      </c>
      <c r="AL16" s="22" t="str">
        <f t="shared" si="15"/>
        <v>0.00</v>
      </c>
      <c r="AM16" s="21"/>
      <c r="AN16" s="21"/>
      <c r="AO16" s="21"/>
      <c r="AP16" s="21"/>
      <c r="AQ16" s="22" t="str">
        <f t="shared" si="35"/>
        <v>0.00</v>
      </c>
      <c r="AR16" s="22" t="str">
        <f t="shared" si="17"/>
        <v>0.00</v>
      </c>
      <c r="AS16" s="22" t="str">
        <f t="shared" si="18"/>
        <v>0.00</v>
      </c>
      <c r="AT16" s="21"/>
      <c r="AU16" s="21"/>
      <c r="AV16" s="21"/>
      <c r="AW16" s="21"/>
      <c r="AX16" s="22" t="str">
        <f t="shared" si="36"/>
        <v>0.00</v>
      </c>
      <c r="AY16" s="22" t="str">
        <f t="shared" si="20"/>
        <v>0.00</v>
      </c>
      <c r="AZ16" s="22" t="str">
        <f t="shared" si="21"/>
        <v>0.00</v>
      </c>
      <c r="BA16" s="22">
        <v>4814702.78</v>
      </c>
      <c r="BB16" s="22">
        <v>1.021955151E7</v>
      </c>
      <c r="BC16" s="22">
        <v>1876170.9</v>
      </c>
      <c r="BD16" s="22">
        <v>1.960430418E7</v>
      </c>
      <c r="BE16" s="22" t="str">
        <f>BC16+BD16+523494.43</f>
        <v>22,003,969.51</v>
      </c>
      <c r="BF16" s="22" t="str">
        <f t="shared" si="23"/>
        <v>6,690,873.68</v>
      </c>
      <c r="BG16" s="22" t="str">
        <f t="shared" si="24"/>
        <v>32,223,521.02</v>
      </c>
      <c r="BH16" s="23" t="str">
        <f>HYPERLINK("http://www.uco.es/transparencia/index.php/informacion-economica-y-presupuestaria/liquidacion-del-presupuesto","http://www.uco.es/transparencia/index.php/informacion-economica-y-presupuestaria/liquidacion-del-presupuesto")</f>
        <v>http://www.uco.es/transparencia/index.php/informacion-economica-y-presupuestaria/liquidacion-del-presupuesto</v>
      </c>
    </row>
    <row r="17">
      <c r="A17" s="20" t="s">
        <v>33</v>
      </c>
      <c r="B17" s="9" t="s">
        <v>18</v>
      </c>
      <c r="C17" s="9" t="s">
        <v>19</v>
      </c>
      <c r="D17" s="22">
        <v>0.0</v>
      </c>
      <c r="E17" s="22">
        <v>0.0</v>
      </c>
      <c r="F17" s="22">
        <v>0.0</v>
      </c>
      <c r="G17" s="22">
        <v>6245139.34</v>
      </c>
      <c r="H17" s="22" t="str">
        <f t="shared" si="26"/>
        <v>6,245,139.34</v>
      </c>
      <c r="I17" s="22" t="str">
        <f t="shared" si="2"/>
        <v>0.00</v>
      </c>
      <c r="J17" s="22" t="str">
        <f t="shared" si="3"/>
        <v>6,245,139.34</v>
      </c>
      <c r="K17" s="22">
        <v>0.0</v>
      </c>
      <c r="L17" s="22">
        <v>4523214.71</v>
      </c>
      <c r="M17" s="22">
        <v>0.0</v>
      </c>
      <c r="N17" s="22">
        <v>7362325.82</v>
      </c>
      <c r="O17" s="22" t="str">
        <f t="shared" si="27"/>
        <v>7,362,325.82</v>
      </c>
      <c r="P17" s="22" t="str">
        <f t="shared" si="5"/>
        <v>0.00</v>
      </c>
      <c r="Q17" s="22" t="str">
        <f t="shared" si="6"/>
        <v>11,885,540.53</v>
      </c>
      <c r="R17" s="22">
        <v>0.0</v>
      </c>
      <c r="S17" s="22">
        <v>2.715130426E7</v>
      </c>
      <c r="T17" s="22">
        <v>0.0</v>
      </c>
      <c r="U17" s="22">
        <v>5104534.35</v>
      </c>
      <c r="V17" s="22" t="str">
        <f t="shared" si="28"/>
        <v>5,104,534.35</v>
      </c>
      <c r="W17" s="22" t="str">
        <f t="shared" si="8"/>
        <v>0.00</v>
      </c>
      <c r="X17" s="22" t="str">
        <f t="shared" si="9"/>
        <v>32,255,838.61</v>
      </c>
      <c r="Y17" s="22">
        <v>0.0</v>
      </c>
      <c r="Z17" s="22">
        <v>2.701560781E7</v>
      </c>
      <c r="AA17" s="22">
        <v>0.0</v>
      </c>
      <c r="AB17" s="22">
        <v>5809254.45</v>
      </c>
      <c r="AC17" s="22" t="str">
        <f t="shared" si="33"/>
        <v>5,809,254.45</v>
      </c>
      <c r="AD17" s="22" t="str">
        <f t="shared" si="11"/>
        <v>0.00</v>
      </c>
      <c r="AE17" s="22" t="str">
        <f t="shared" si="12"/>
        <v>32,824,862.26</v>
      </c>
      <c r="AF17" s="22">
        <v>0.0</v>
      </c>
      <c r="AG17" s="22">
        <v>2.626204603E7</v>
      </c>
      <c r="AH17" s="22">
        <v>0.0</v>
      </c>
      <c r="AI17" s="22">
        <v>4612218.56</v>
      </c>
      <c r="AJ17" s="22" t="str">
        <f t="shared" si="34"/>
        <v>4,612,218.56</v>
      </c>
      <c r="AK17" s="22" t="str">
        <f t="shared" si="14"/>
        <v>0.00</v>
      </c>
      <c r="AL17" s="22" t="str">
        <f t="shared" si="15"/>
        <v>30,874,264.59</v>
      </c>
      <c r="AM17" s="22">
        <v>0.0</v>
      </c>
      <c r="AN17" s="22">
        <v>2.219114895E7</v>
      </c>
      <c r="AO17" s="22">
        <v>0.0</v>
      </c>
      <c r="AP17" s="22">
        <v>9453695.23</v>
      </c>
      <c r="AQ17" s="22" t="str">
        <f t="shared" si="35"/>
        <v>9,453,695.23</v>
      </c>
      <c r="AR17" s="22" t="str">
        <f t="shared" si="17"/>
        <v>0.00</v>
      </c>
      <c r="AS17" s="22" t="str">
        <f t="shared" si="18"/>
        <v>31,644,844.18</v>
      </c>
      <c r="AT17" s="22">
        <v>0.0</v>
      </c>
      <c r="AU17" s="22">
        <v>2.816427176E7</v>
      </c>
      <c r="AV17" s="22">
        <v>0.0</v>
      </c>
      <c r="AW17" s="22">
        <v>1.347765912E7</v>
      </c>
      <c r="AX17" s="22" t="str">
        <f t="shared" si="36"/>
        <v>13,477,659.12</v>
      </c>
      <c r="AY17" s="22" t="str">
        <f t="shared" si="20"/>
        <v>0.00</v>
      </c>
      <c r="AZ17" s="22" t="str">
        <f t="shared" si="21"/>
        <v>41,641,930.88</v>
      </c>
      <c r="BA17" s="22">
        <v>0.0</v>
      </c>
      <c r="BB17" s="22">
        <v>2.816427176E7</v>
      </c>
      <c r="BC17" s="22">
        <v>0.0</v>
      </c>
      <c r="BD17" s="22">
        <v>4018641.98</v>
      </c>
      <c r="BE17" s="22" t="str">
        <f t="shared" ref="BE17:BE18" si="37">BC17+BD17</f>
        <v>4,018,641.98</v>
      </c>
      <c r="BF17" s="22" t="str">
        <f t="shared" si="23"/>
        <v>0.00</v>
      </c>
      <c r="BG17" s="22" t="str">
        <f t="shared" si="24"/>
        <v>32,182,913.74</v>
      </c>
      <c r="BH17" s="24" t="s">
        <v>79</v>
      </c>
    </row>
    <row r="18">
      <c r="A18" s="20" t="s">
        <v>34</v>
      </c>
      <c r="B18" s="9" t="s">
        <v>18</v>
      </c>
      <c r="C18" s="9" t="s">
        <v>19</v>
      </c>
      <c r="D18" s="21"/>
      <c r="E18" s="21"/>
      <c r="F18" s="21"/>
      <c r="G18" s="21"/>
      <c r="H18" s="22" t="str">
        <f t="shared" si="26"/>
        <v>0.00</v>
      </c>
      <c r="I18" s="22" t="str">
        <f t="shared" si="2"/>
        <v>0.00</v>
      </c>
      <c r="J18" s="22" t="str">
        <f t="shared" si="3"/>
        <v>0.00</v>
      </c>
      <c r="K18" s="21"/>
      <c r="L18" s="21"/>
      <c r="M18" s="21"/>
      <c r="N18" s="21"/>
      <c r="O18" s="22" t="str">
        <f t="shared" si="27"/>
        <v>0.00</v>
      </c>
      <c r="P18" s="22" t="str">
        <f t="shared" si="5"/>
        <v>0.00</v>
      </c>
      <c r="Q18" s="22" t="str">
        <f t="shared" si="6"/>
        <v>0.00</v>
      </c>
      <c r="R18" s="21"/>
      <c r="S18" s="21"/>
      <c r="T18" s="21"/>
      <c r="U18" s="21"/>
      <c r="V18" s="22" t="str">
        <f t="shared" si="28"/>
        <v>0.00</v>
      </c>
      <c r="W18" s="22" t="str">
        <f t="shared" si="8"/>
        <v>0.00</v>
      </c>
      <c r="X18" s="22" t="str">
        <f t="shared" si="9"/>
        <v>0.00</v>
      </c>
      <c r="Y18" s="21"/>
      <c r="Z18" s="21"/>
      <c r="AA18" s="21"/>
      <c r="AB18" s="21"/>
      <c r="AC18" s="22" t="str">
        <f t="shared" si="33"/>
        <v>0.00</v>
      </c>
      <c r="AD18" s="22" t="str">
        <f t="shared" si="11"/>
        <v>0.00</v>
      </c>
      <c r="AE18" s="22" t="str">
        <f t="shared" si="12"/>
        <v>0.00</v>
      </c>
      <c r="AF18" s="21"/>
      <c r="AG18" s="21"/>
      <c r="AH18" s="21"/>
      <c r="AI18" s="21"/>
      <c r="AJ18" s="22" t="str">
        <f t="shared" si="34"/>
        <v>0.00</v>
      </c>
      <c r="AK18" s="22" t="str">
        <f t="shared" si="14"/>
        <v>0.00</v>
      </c>
      <c r="AL18" s="22" t="str">
        <f t="shared" si="15"/>
        <v>0.00</v>
      </c>
      <c r="AM18" s="21"/>
      <c r="AN18" s="21"/>
      <c r="AO18" s="21"/>
      <c r="AP18" s="21"/>
      <c r="AQ18" s="22" t="str">
        <f t="shared" si="35"/>
        <v>0.00</v>
      </c>
      <c r="AR18" s="22" t="str">
        <f t="shared" si="17"/>
        <v>0.00</v>
      </c>
      <c r="AS18" s="22" t="str">
        <f t="shared" si="18"/>
        <v>0.00</v>
      </c>
      <c r="AT18" s="22">
        <v>0.0</v>
      </c>
      <c r="AU18" s="22">
        <v>4915606.55</v>
      </c>
      <c r="AV18" s="22">
        <v>0.0</v>
      </c>
      <c r="AW18" s="22">
        <v>1.530296312E7</v>
      </c>
      <c r="AX18" s="22" t="str">
        <f t="shared" si="36"/>
        <v>15,302,963.12</v>
      </c>
      <c r="AY18" s="22" t="str">
        <f t="shared" si="20"/>
        <v>0.00</v>
      </c>
      <c r="AZ18" s="22" t="str">
        <f t="shared" si="21"/>
        <v>20,218,569.67</v>
      </c>
      <c r="BA18" s="22">
        <v>0.0</v>
      </c>
      <c r="BB18" s="22">
        <v>5659253.23</v>
      </c>
      <c r="BC18" s="22">
        <v>0.0</v>
      </c>
      <c r="BD18" s="22">
        <v>9875572.9</v>
      </c>
      <c r="BE18" s="22" t="str">
        <f t="shared" si="37"/>
        <v>9,875,572.90</v>
      </c>
      <c r="BF18" s="22" t="str">
        <f t="shared" si="23"/>
        <v>0.00</v>
      </c>
      <c r="BG18" s="22" t="str">
        <f t="shared" si="24"/>
        <v>15,534,826.13</v>
      </c>
      <c r="BH18" s="23" t="str">
        <f>HYPERLINK("https://www.udg.edu/tabid/23113/default.aspx","https://www.udg.edu/tabid/23113/default.aspx")</f>
        <v>https://www.udg.edu/tabid/23113/default.aspx</v>
      </c>
    </row>
    <row r="19">
      <c r="A19" s="20" t="s">
        <v>35</v>
      </c>
      <c r="B19" s="9" t="s">
        <v>18</v>
      </c>
      <c r="C19" s="9" t="s">
        <v>19</v>
      </c>
      <c r="D19" s="21"/>
      <c r="E19" s="21"/>
      <c r="F19" s="21"/>
      <c r="G19" s="21"/>
      <c r="H19" s="22" t="str">
        <f t="shared" si="26"/>
        <v>0.00</v>
      </c>
      <c r="I19" s="22" t="str">
        <f t="shared" si="2"/>
        <v>0.00</v>
      </c>
      <c r="J19" s="22" t="str">
        <f t="shared" si="3"/>
        <v>0.00</v>
      </c>
      <c r="K19" s="21"/>
      <c r="L19" s="21"/>
      <c r="M19" s="21"/>
      <c r="N19" s="21"/>
      <c r="O19" s="22" t="str">
        <f t="shared" si="27"/>
        <v>0.00</v>
      </c>
      <c r="P19" s="22" t="str">
        <f t="shared" si="5"/>
        <v>0.00</v>
      </c>
      <c r="Q19" s="22" t="str">
        <f t="shared" si="6"/>
        <v>0.00</v>
      </c>
      <c r="R19" s="21"/>
      <c r="S19" s="21"/>
      <c r="T19" s="21"/>
      <c r="U19" s="21"/>
      <c r="V19" s="22" t="str">
        <f t="shared" si="28"/>
        <v>0.00</v>
      </c>
      <c r="W19" s="22" t="str">
        <f t="shared" si="8"/>
        <v>0.00</v>
      </c>
      <c r="X19" s="22" t="str">
        <f t="shared" si="9"/>
        <v>0.00</v>
      </c>
      <c r="Y19" s="21"/>
      <c r="Z19" s="21"/>
      <c r="AA19" s="21"/>
      <c r="AB19" s="21"/>
      <c r="AC19" s="22" t="str">
        <f t="shared" si="33"/>
        <v>0.00</v>
      </c>
      <c r="AD19" s="22" t="str">
        <f t="shared" si="11"/>
        <v>0.00</v>
      </c>
      <c r="AE19" s="22" t="str">
        <f t="shared" si="12"/>
        <v>0.00</v>
      </c>
      <c r="AF19" s="21"/>
      <c r="AG19" s="21"/>
      <c r="AH19" s="21"/>
      <c r="AI19" s="21"/>
      <c r="AJ19" s="22" t="str">
        <f t="shared" si="34"/>
        <v>0.00</v>
      </c>
      <c r="AK19" s="22" t="str">
        <f t="shared" si="14"/>
        <v>0.00</v>
      </c>
      <c r="AL19" s="22" t="str">
        <f t="shared" si="15"/>
        <v>0.00</v>
      </c>
      <c r="AM19" s="21"/>
      <c r="AN19" s="21"/>
      <c r="AO19" s="21"/>
      <c r="AP19" s="21"/>
      <c r="AQ19" s="22" t="str">
        <f t="shared" si="35"/>
        <v>0.00</v>
      </c>
      <c r="AR19" s="22" t="str">
        <f t="shared" si="17"/>
        <v>0.00</v>
      </c>
      <c r="AS19" s="22" t="str">
        <f t="shared" si="18"/>
        <v>0.00</v>
      </c>
      <c r="AT19" s="22">
        <v>0.0</v>
      </c>
      <c r="AU19" s="22">
        <v>4.904833154E7</v>
      </c>
      <c r="AV19" s="22">
        <v>0.0</v>
      </c>
      <c r="AW19" s="22">
        <v>6.945268841E7</v>
      </c>
      <c r="AX19" s="22" t="str">
        <f>AV19+AW19+9620396.94+832436.64</f>
        <v>79,905,521.99</v>
      </c>
      <c r="AY19" s="22" t="str">
        <f t="shared" si="20"/>
        <v>0.00</v>
      </c>
      <c r="AZ19" s="22" t="str">
        <f t="shared" si="21"/>
        <v>128,953,853.53</v>
      </c>
      <c r="BA19" s="22">
        <v>0.0</v>
      </c>
      <c r="BB19" s="22">
        <v>4.111780569E7</v>
      </c>
      <c r="BC19" s="22">
        <v>0.0</v>
      </c>
      <c r="BD19" s="22">
        <v>6.166946581E7</v>
      </c>
      <c r="BE19" s="22" t="str">
        <f>BC19+BD19+13322258.89+832204.24</f>
        <v>75,823,928.94</v>
      </c>
      <c r="BF19" s="22" t="str">
        <f t="shared" si="23"/>
        <v>0.00</v>
      </c>
      <c r="BG19" s="22" t="str">
        <f t="shared" si="24"/>
        <v>116,941,734.63</v>
      </c>
      <c r="BH19" s="23" t="str">
        <f>HYPERLINK("http://gerencia.ugr.es/pages/vger_eco/cuentas-anuales/cuentas-anuales","http://gerencia.ugr.es/pages/vger_eco/cuentas-anuales/cuentas-anuales")</f>
        <v>http://gerencia.ugr.es/pages/vger_eco/cuentas-anuales/cuentas-anuales</v>
      </c>
    </row>
    <row r="20">
      <c r="A20" s="20" t="s">
        <v>36</v>
      </c>
      <c r="B20" s="9" t="s">
        <v>18</v>
      </c>
      <c r="C20" s="9" t="s">
        <v>19</v>
      </c>
      <c r="D20" s="22">
        <v>2.666254484E7</v>
      </c>
      <c r="E20" s="22">
        <v>2.666254484E7</v>
      </c>
      <c r="F20" s="22">
        <v>6665635.0</v>
      </c>
      <c r="G20" s="22">
        <v>7614502.7</v>
      </c>
      <c r="H20" s="22" t="str">
        <f t="shared" si="26"/>
        <v>14,280,137.70</v>
      </c>
      <c r="I20" s="22" t="str">
        <f t="shared" si="2"/>
        <v>33,328,179.84</v>
      </c>
      <c r="J20" s="22" t="str">
        <f t="shared" si="3"/>
        <v>40,942,682.54</v>
      </c>
      <c r="K20" s="22">
        <v>1.999690684E7</v>
      </c>
      <c r="L20" s="22">
        <v>2.35151745E7</v>
      </c>
      <c r="M20" s="22">
        <v>6665635.0</v>
      </c>
      <c r="N20" s="22">
        <v>9177498.61</v>
      </c>
      <c r="O20" s="22" t="str">
        <f t="shared" si="27"/>
        <v>15,843,133.61</v>
      </c>
      <c r="P20" s="22" t="str">
        <f t="shared" si="5"/>
        <v>26,662,541.84</v>
      </c>
      <c r="Q20" s="22" t="str">
        <f t="shared" si="6"/>
        <v>39,358,308.11</v>
      </c>
      <c r="R20" s="22">
        <v>1.333126884E7</v>
      </c>
      <c r="S20" s="22">
        <v>2.118725195E7</v>
      </c>
      <c r="T20" s="22">
        <v>6665635.0</v>
      </c>
      <c r="U20" s="22">
        <v>1.091903194E7</v>
      </c>
      <c r="V20" s="22" t="str">
        <f t="shared" si="28"/>
        <v>17,584,666.94</v>
      </c>
      <c r="W20" s="22" t="str">
        <f t="shared" si="8"/>
        <v>19,996,903.84</v>
      </c>
      <c r="X20" s="22" t="str">
        <f t="shared" si="9"/>
        <v>38,771,918.89</v>
      </c>
      <c r="Y20" s="22">
        <v>6665630.84</v>
      </c>
      <c r="Z20" s="22">
        <v>2.351578131E7</v>
      </c>
      <c r="AA20" s="22">
        <v>6665635.0</v>
      </c>
      <c r="AB20" s="22">
        <v>1.925096132E7</v>
      </c>
      <c r="AC20" s="22" t="str">
        <f t="shared" si="33"/>
        <v>25,916,596.32</v>
      </c>
      <c r="AD20" s="22" t="str">
        <f t="shared" si="11"/>
        <v>13,331,265.84</v>
      </c>
      <c r="AE20" s="22" t="str">
        <f t="shared" si="12"/>
        <v>49,432,377.63</v>
      </c>
      <c r="AF20" s="22">
        <v>0.0</v>
      </c>
      <c r="AG20" s="22">
        <v>1.057646078E7</v>
      </c>
      <c r="AH20" s="22">
        <v>6665635.0</v>
      </c>
      <c r="AI20" s="22">
        <v>2.731069248E7</v>
      </c>
      <c r="AJ20" s="22" t="str">
        <f t="shared" si="34"/>
        <v>33,976,327.48</v>
      </c>
      <c r="AK20" s="22" t="str">
        <f t="shared" si="14"/>
        <v>6,665,635.00</v>
      </c>
      <c r="AL20" s="22" t="str">
        <f t="shared" si="15"/>
        <v>44,552,788.26</v>
      </c>
      <c r="AM20" s="22">
        <v>0.0</v>
      </c>
      <c r="AN20" s="22">
        <v>9928026.47</v>
      </c>
      <c r="AO20" s="22">
        <v>947830.0</v>
      </c>
      <c r="AP20" s="22">
        <v>2.131650025E7</v>
      </c>
      <c r="AQ20" s="22" t="str">
        <f t="shared" si="35"/>
        <v>22,264,330.25</v>
      </c>
      <c r="AR20" s="22" t="str">
        <f t="shared" si="17"/>
        <v>947,830.00</v>
      </c>
      <c r="AS20" s="22" t="str">
        <f t="shared" si="18"/>
        <v>32,192,356.72</v>
      </c>
      <c r="AT20" s="21"/>
      <c r="AU20" s="21"/>
      <c r="AV20" s="21"/>
      <c r="AW20" s="21"/>
      <c r="AX20" s="22" t="str">
        <f t="shared" ref="AX20:AX21" si="38">AV20+AW20</f>
        <v>0.00</v>
      </c>
      <c r="AY20" s="22" t="str">
        <f t="shared" si="20"/>
        <v>0.00</v>
      </c>
      <c r="AZ20" s="22" t="str">
        <f t="shared" si="21"/>
        <v>0.00</v>
      </c>
      <c r="BA20" s="21"/>
      <c r="BB20" s="21"/>
      <c r="BC20" s="21"/>
      <c r="BD20" s="21"/>
      <c r="BE20" s="22" t="str">
        <f t="shared" ref="BE20:BE23" si="39">BC20+BD20</f>
        <v>0.00</v>
      </c>
      <c r="BF20" s="22" t="str">
        <f t="shared" si="23"/>
        <v>0.00</v>
      </c>
      <c r="BG20" s="22" t="str">
        <f t="shared" si="24"/>
        <v>0.00</v>
      </c>
      <c r="BH20" s="23" t="str">
        <f>HYPERLINK("http://www.uhu.es/tr/cuentas.php","http://www.uhu.es/tr/cuentas.php")</f>
        <v>http://www.uhu.es/tr/cuentas.php</v>
      </c>
    </row>
    <row r="21">
      <c r="A21" s="20" t="s">
        <v>37</v>
      </c>
      <c r="B21" s="9" t="s">
        <v>18</v>
      </c>
      <c r="C21" s="9" t="s">
        <v>19</v>
      </c>
      <c r="D21" s="21"/>
      <c r="E21" s="21"/>
      <c r="F21" s="21"/>
      <c r="G21" s="21"/>
      <c r="H21" s="22" t="str">
        <f t="shared" si="26"/>
        <v>0.00</v>
      </c>
      <c r="I21" s="22" t="str">
        <f t="shared" si="2"/>
        <v>0.00</v>
      </c>
      <c r="J21" s="22" t="str">
        <f t="shared" si="3"/>
        <v>0.00</v>
      </c>
      <c r="K21" s="22">
        <v>2575765.82</v>
      </c>
      <c r="L21" s="22">
        <v>2575765.82</v>
      </c>
      <c r="M21" s="22">
        <v>257576.98</v>
      </c>
      <c r="N21" s="22">
        <v>8100046.87</v>
      </c>
      <c r="O21" s="22" t="str">
        <f t="shared" si="27"/>
        <v>8,357,623.85</v>
      </c>
      <c r="P21" s="22" t="str">
        <f t="shared" si="5"/>
        <v>2,833,342.80</v>
      </c>
      <c r="Q21" s="22" t="str">
        <f t="shared" si="6"/>
        <v>10,933,389.67</v>
      </c>
      <c r="R21" s="22">
        <v>2318189.58</v>
      </c>
      <c r="S21" s="22">
        <v>2318189.58</v>
      </c>
      <c r="T21" s="22">
        <v>257576.61</v>
      </c>
      <c r="U21" s="22">
        <v>1.294735958E7</v>
      </c>
      <c r="V21" s="22" t="str">
        <f t="shared" si="28"/>
        <v>13,204,936.19</v>
      </c>
      <c r="W21" s="22" t="str">
        <f t="shared" si="8"/>
        <v>2,575,766.19</v>
      </c>
      <c r="X21" s="22" t="str">
        <f t="shared" si="9"/>
        <v>15,523,125.77</v>
      </c>
      <c r="Y21" s="22">
        <v>2402985.94</v>
      </c>
      <c r="Z21" s="22">
        <v>2.096803489E7</v>
      </c>
      <c r="AA21" s="22">
        <v>822911.37</v>
      </c>
      <c r="AB21" s="22">
        <v>1.892405996E7</v>
      </c>
      <c r="AC21" s="22" t="str">
        <f t="shared" si="33"/>
        <v>19,746,971.33</v>
      </c>
      <c r="AD21" s="22" t="str">
        <f t="shared" si="11"/>
        <v>3,225,897.31</v>
      </c>
      <c r="AE21" s="22" t="str">
        <f t="shared" si="12"/>
        <v>40,715,006.22</v>
      </c>
      <c r="AF21" s="22">
        <v>1803036.36</v>
      </c>
      <c r="AG21" s="22">
        <v>2.195058047E7</v>
      </c>
      <c r="AH21" s="22">
        <v>257576.61</v>
      </c>
      <c r="AI21" s="22">
        <v>1.179564539E7</v>
      </c>
      <c r="AJ21" s="22" t="str">
        <f t="shared" si="34"/>
        <v>12,053,222.00</v>
      </c>
      <c r="AK21" s="22" t="str">
        <f t="shared" si="14"/>
        <v>2,060,612.97</v>
      </c>
      <c r="AL21" s="22" t="str">
        <f t="shared" si="15"/>
        <v>34,003,802.47</v>
      </c>
      <c r="AM21" s="22">
        <v>1545459.75</v>
      </c>
      <c r="AN21" s="22">
        <v>2.150284668E7</v>
      </c>
      <c r="AO21" s="22">
        <v>808924.28</v>
      </c>
      <c r="AP21" s="22">
        <v>1.200683196E7</v>
      </c>
      <c r="AQ21" s="22" t="str">
        <f t="shared" si="35"/>
        <v>12,815,756.24</v>
      </c>
      <c r="AR21" s="22" t="str">
        <f t="shared" si="17"/>
        <v>2,354,384.03</v>
      </c>
      <c r="AS21" s="22" t="str">
        <f t="shared" si="18"/>
        <v>34,318,602.92</v>
      </c>
      <c r="AT21" s="22">
        <v>9431493.73</v>
      </c>
      <c r="AU21" s="22">
        <v>2.000088863E7</v>
      </c>
      <c r="AV21" s="22">
        <v>1401760.8</v>
      </c>
      <c r="AW21" s="22">
        <v>1.093251466E7</v>
      </c>
      <c r="AX21" s="22" t="str">
        <f t="shared" si="38"/>
        <v>12,334,275.46</v>
      </c>
      <c r="AY21" s="22" t="str">
        <f t="shared" si="20"/>
        <v>10,833,254.53</v>
      </c>
      <c r="AZ21" s="22" t="str">
        <f t="shared" si="21"/>
        <v>32,335,164.09</v>
      </c>
      <c r="BA21" s="21"/>
      <c r="BB21" s="21"/>
      <c r="BC21" s="21"/>
      <c r="BD21" s="21"/>
      <c r="BE21" s="22" t="str">
        <f t="shared" si="39"/>
        <v>0.00</v>
      </c>
      <c r="BF21" s="22" t="str">
        <f t="shared" si="23"/>
        <v>0.00</v>
      </c>
      <c r="BG21" s="22" t="str">
        <f t="shared" si="24"/>
        <v>0.00</v>
      </c>
      <c r="BH21" s="23" t="str">
        <f>HYPERLINK("http://www.uib.es/es/lauib/transparencia/informes.cid309390","http://www.uib.es/es/lauib/transparencia/informes.cid309390")</f>
        <v>http://www.uib.es/es/lauib/transparencia/informes.cid309390</v>
      </c>
    </row>
    <row r="22">
      <c r="A22" s="20" t="s">
        <v>38</v>
      </c>
      <c r="B22" s="9" t="s">
        <v>18</v>
      </c>
      <c r="C22" s="9" t="s">
        <v>39</v>
      </c>
      <c r="D22" s="22">
        <v>0.0</v>
      </c>
      <c r="E22" s="22">
        <v>0.0</v>
      </c>
      <c r="F22" s="22">
        <v>0.0</v>
      </c>
      <c r="G22" s="22">
        <v>1267445.46</v>
      </c>
      <c r="H22" s="22" t="str">
        <f t="shared" si="26"/>
        <v>1,267,445.46</v>
      </c>
      <c r="I22" s="22" t="str">
        <f t="shared" si="2"/>
        <v>0.00</v>
      </c>
      <c r="J22" s="22" t="str">
        <f t="shared" si="3"/>
        <v>1,267,445.46</v>
      </c>
      <c r="K22" s="22">
        <v>0.0</v>
      </c>
      <c r="L22" s="22">
        <v>0.0</v>
      </c>
      <c r="M22" s="22">
        <v>0.0</v>
      </c>
      <c r="N22" s="22">
        <v>856755.37</v>
      </c>
      <c r="O22" s="22" t="str">
        <f t="shared" si="27"/>
        <v>856,755.37</v>
      </c>
      <c r="P22" s="22" t="str">
        <f t="shared" si="5"/>
        <v>0.00</v>
      </c>
      <c r="Q22" s="22" t="str">
        <f t="shared" si="6"/>
        <v>856,755.37</v>
      </c>
      <c r="R22" s="22">
        <v>0.0</v>
      </c>
      <c r="S22" s="22">
        <v>0.0</v>
      </c>
      <c r="T22" s="22">
        <v>0.0</v>
      </c>
      <c r="U22" s="22">
        <v>1180676.58</v>
      </c>
      <c r="V22" s="22" t="str">
        <f t="shared" si="28"/>
        <v>1,180,676.58</v>
      </c>
      <c r="W22" s="22" t="str">
        <f t="shared" si="8"/>
        <v>0.00</v>
      </c>
      <c r="X22" s="22" t="str">
        <f t="shared" si="9"/>
        <v>1,180,676.58</v>
      </c>
      <c r="Y22" s="22">
        <v>0.0</v>
      </c>
      <c r="Z22" s="22">
        <v>0.0</v>
      </c>
      <c r="AA22" s="22">
        <v>0.0</v>
      </c>
      <c r="AB22" s="22">
        <v>1314174.6</v>
      </c>
      <c r="AC22" s="22" t="str">
        <f t="shared" si="33"/>
        <v>1,314,174.60</v>
      </c>
      <c r="AD22" s="22" t="str">
        <f t="shared" si="11"/>
        <v>0.00</v>
      </c>
      <c r="AE22" s="22" t="str">
        <f t="shared" si="12"/>
        <v>1,314,174.60</v>
      </c>
      <c r="AF22" s="22">
        <v>0.0</v>
      </c>
      <c r="AG22" s="22">
        <v>0.0</v>
      </c>
      <c r="AH22" s="22">
        <v>0.0</v>
      </c>
      <c r="AI22" s="22">
        <v>1810552.51</v>
      </c>
      <c r="AJ22" s="22" t="str">
        <f t="shared" si="34"/>
        <v>1,810,552.51</v>
      </c>
      <c r="AK22" s="22" t="str">
        <f t="shared" si="14"/>
        <v>0.00</v>
      </c>
      <c r="AL22" s="22" t="str">
        <f t="shared" si="15"/>
        <v>1,810,552.51</v>
      </c>
      <c r="AM22" s="22">
        <v>0.0</v>
      </c>
      <c r="AN22" s="22">
        <v>0.0</v>
      </c>
      <c r="AO22" s="22">
        <v>0.0</v>
      </c>
      <c r="AP22" s="22">
        <v>1573665.64</v>
      </c>
      <c r="AQ22" s="22" t="str">
        <f t="shared" si="35"/>
        <v>1,573,665.64</v>
      </c>
      <c r="AR22" s="22" t="str">
        <f t="shared" si="17"/>
        <v>0.00</v>
      </c>
      <c r="AS22" s="22" t="str">
        <f t="shared" si="18"/>
        <v>1,573,665.64</v>
      </c>
      <c r="AT22" s="21"/>
      <c r="AU22" s="22">
        <v>1264475.17</v>
      </c>
      <c r="AV22" s="21"/>
      <c r="AW22" s="22">
        <v>1870660.81</v>
      </c>
      <c r="AX22" s="22" t="str">
        <f>AV22+AW22+708913.19+56794.47</f>
        <v>2,636,368.47</v>
      </c>
      <c r="AY22" s="22" t="str">
        <f t="shared" si="20"/>
        <v>0.00</v>
      </c>
      <c r="AZ22" s="22" t="str">
        <f t="shared" si="21"/>
        <v>3,900,843.64</v>
      </c>
      <c r="BA22" s="21"/>
      <c r="BB22" s="21"/>
      <c r="BC22" s="21"/>
      <c r="BD22" s="21"/>
      <c r="BE22" s="22" t="str">
        <f t="shared" si="39"/>
        <v>0.00</v>
      </c>
      <c r="BF22" s="22" t="str">
        <f t="shared" si="23"/>
        <v>0.00</v>
      </c>
      <c r="BG22" s="22" t="str">
        <f t="shared" si="24"/>
        <v>0.00</v>
      </c>
      <c r="BH22" s="23" t="str">
        <f>HYPERLINK("http://www.unia.es/informacion-economica/cuentas-anuales","http://www.unia.es/informacion-economica/cuentas-anuales")</f>
        <v>http://www.unia.es/informacion-economica/cuentas-anuales</v>
      </c>
    </row>
    <row r="23">
      <c r="A23" s="20" t="s">
        <v>40</v>
      </c>
      <c r="B23" s="9" t="s">
        <v>18</v>
      </c>
      <c r="C23" s="9" t="s">
        <v>39</v>
      </c>
      <c r="D23" s="21"/>
      <c r="E23" s="21"/>
      <c r="F23" s="21"/>
      <c r="G23" s="21"/>
      <c r="H23" s="22" t="str">
        <f t="shared" si="26"/>
        <v>0.00</v>
      </c>
      <c r="I23" s="22" t="str">
        <f t="shared" si="2"/>
        <v>0.00</v>
      </c>
      <c r="J23" s="22" t="str">
        <f t="shared" si="3"/>
        <v>0.00</v>
      </c>
      <c r="K23" s="21"/>
      <c r="L23" s="21"/>
      <c r="M23" s="21"/>
      <c r="N23" s="21"/>
      <c r="O23" s="22" t="str">
        <f t="shared" si="27"/>
        <v>0.00</v>
      </c>
      <c r="P23" s="22" t="str">
        <f t="shared" si="5"/>
        <v>0.00</v>
      </c>
      <c r="Q23" s="22" t="str">
        <f t="shared" si="6"/>
        <v>0.00</v>
      </c>
      <c r="R23" s="21"/>
      <c r="S23" s="21"/>
      <c r="T23" s="21"/>
      <c r="U23" s="21"/>
      <c r="V23" s="22" t="str">
        <f t="shared" si="28"/>
        <v>0.00</v>
      </c>
      <c r="W23" s="22" t="str">
        <f t="shared" si="8"/>
        <v>0.00</v>
      </c>
      <c r="X23" s="22" t="str">
        <f t="shared" si="9"/>
        <v>0.00</v>
      </c>
      <c r="Y23" s="22">
        <v>0.0</v>
      </c>
      <c r="Z23" s="22">
        <v>0.0</v>
      </c>
      <c r="AA23" s="22">
        <v>0.0</v>
      </c>
      <c r="AB23" s="22">
        <v>846280.49</v>
      </c>
      <c r="AC23" s="22" t="str">
        <f>AA23+AB23+431724.86</f>
        <v>1,278,005.35</v>
      </c>
      <c r="AD23" s="22" t="str">
        <f t="shared" si="11"/>
        <v>0.00</v>
      </c>
      <c r="AE23" s="22" t="str">
        <f t="shared" si="12"/>
        <v>1,278,005.35</v>
      </c>
      <c r="AF23" s="22">
        <v>0.0</v>
      </c>
      <c r="AG23" s="22">
        <v>0.0</v>
      </c>
      <c r="AH23" s="22">
        <v>0.0</v>
      </c>
      <c r="AI23" s="22">
        <v>5262351.46</v>
      </c>
      <c r="AJ23" s="22" t="str">
        <f>AH23+AI23+157107.92</f>
        <v>5,419,459.38</v>
      </c>
      <c r="AK23" s="22" t="str">
        <f t="shared" si="14"/>
        <v>0.00</v>
      </c>
      <c r="AL23" s="22" t="str">
        <f t="shared" si="15"/>
        <v>5,419,459.38</v>
      </c>
      <c r="AM23" s="22">
        <v>0.0</v>
      </c>
      <c r="AN23" s="22">
        <v>0.0</v>
      </c>
      <c r="AO23" s="22">
        <v>0.0</v>
      </c>
      <c r="AP23" s="22">
        <v>3158793.52</v>
      </c>
      <c r="AQ23" s="22" t="str">
        <f>AO23+AP23+165821.76</f>
        <v>3,324,615.28</v>
      </c>
      <c r="AR23" s="22" t="str">
        <f t="shared" si="17"/>
        <v>0.00</v>
      </c>
      <c r="AS23" s="22" t="str">
        <f t="shared" si="18"/>
        <v>3,324,615.28</v>
      </c>
      <c r="AT23" s="22">
        <v>0.0</v>
      </c>
      <c r="AU23" s="22">
        <v>0.0</v>
      </c>
      <c r="AV23" s="22">
        <v>0.0</v>
      </c>
      <c r="AW23" s="22">
        <v>3303417.43</v>
      </c>
      <c r="AX23" s="22" t="str">
        <f>AV23+AW23+445252.56+18959.52</f>
        <v>3,767,629.51</v>
      </c>
      <c r="AY23" s="22" t="str">
        <f t="shared" si="20"/>
        <v>0.00</v>
      </c>
      <c r="AZ23" s="22" t="str">
        <f t="shared" si="21"/>
        <v>3,767,629.51</v>
      </c>
      <c r="BA23" s="21"/>
      <c r="BB23" s="21"/>
      <c r="BC23" s="21"/>
      <c r="BD23" s="21"/>
      <c r="BE23" s="22" t="str">
        <f t="shared" si="39"/>
        <v>0.00</v>
      </c>
      <c r="BF23" s="22" t="str">
        <f t="shared" si="23"/>
        <v>0.00</v>
      </c>
      <c r="BG23" s="22" t="str">
        <f t="shared" si="24"/>
        <v>0.00</v>
      </c>
      <c r="BH23" s="24" t="s">
        <v>80</v>
      </c>
    </row>
    <row r="24">
      <c r="A24" s="20" t="s">
        <v>41</v>
      </c>
      <c r="B24" s="9" t="s">
        <v>18</v>
      </c>
      <c r="C24" s="9" t="s">
        <v>19</v>
      </c>
      <c r="D24" s="21"/>
      <c r="E24" s="21"/>
      <c r="F24" s="21"/>
      <c r="G24" s="21"/>
      <c r="H24" s="22" t="str">
        <f t="shared" si="26"/>
        <v>0.00</v>
      </c>
      <c r="I24" s="22" t="str">
        <f t="shared" si="2"/>
        <v>0.00</v>
      </c>
      <c r="J24" s="22" t="str">
        <f t="shared" si="3"/>
        <v>0.00</v>
      </c>
      <c r="K24" s="21"/>
      <c r="L24" s="21"/>
      <c r="M24" s="21"/>
      <c r="N24" s="21"/>
      <c r="O24" s="22" t="str">
        <f t="shared" si="27"/>
        <v>0.00</v>
      </c>
      <c r="P24" s="22" t="str">
        <f t="shared" si="5"/>
        <v>0.00</v>
      </c>
      <c r="Q24" s="22" t="str">
        <f t="shared" si="6"/>
        <v>0.00</v>
      </c>
      <c r="R24" s="22">
        <v>0.0</v>
      </c>
      <c r="S24" s="22">
        <v>6283884.96</v>
      </c>
      <c r="T24" s="22">
        <v>1365897.0</v>
      </c>
      <c r="U24" s="22">
        <v>1.038626814E7</v>
      </c>
      <c r="V24" s="22" t="str">
        <f t="shared" si="28"/>
        <v>11,752,165.14</v>
      </c>
      <c r="W24" s="22" t="str">
        <f t="shared" si="8"/>
        <v>1,365,897.00</v>
      </c>
      <c r="X24" s="22" t="str">
        <f t="shared" si="9"/>
        <v>18,036,050.10</v>
      </c>
      <c r="Y24" s="22">
        <v>0.0</v>
      </c>
      <c r="Z24" s="22">
        <v>5980139.05</v>
      </c>
      <c r="AA24" s="22">
        <v>1365897.0</v>
      </c>
      <c r="AB24" s="22">
        <v>1.126314187E7</v>
      </c>
      <c r="AC24" s="22" t="str">
        <f t="shared" ref="AC24:AC33" si="40">AA24+AB24</f>
        <v>12,629,038.87</v>
      </c>
      <c r="AD24" s="22" t="str">
        <f t="shared" si="11"/>
        <v>1,365,897.00</v>
      </c>
      <c r="AE24" s="22" t="str">
        <f t="shared" si="12"/>
        <v>18,609,177.92</v>
      </c>
      <c r="AF24" s="22">
        <v>0.0</v>
      </c>
      <c r="AG24" s="22">
        <v>7933694.63</v>
      </c>
      <c r="AH24" s="22">
        <v>1365897.0</v>
      </c>
      <c r="AI24" s="22">
        <v>8675687.37</v>
      </c>
      <c r="AJ24" s="22" t="str">
        <f t="shared" ref="AJ24:AJ26" si="41">AH24+AI24</f>
        <v>10,041,584.37</v>
      </c>
      <c r="AK24" s="22" t="str">
        <f t="shared" si="14"/>
        <v>1,365,897.00</v>
      </c>
      <c r="AL24" s="22" t="str">
        <f t="shared" si="15"/>
        <v>17,975,279.00</v>
      </c>
      <c r="AM24" s="22">
        <v>0.0</v>
      </c>
      <c r="AN24" s="22">
        <v>7561185.96</v>
      </c>
      <c r="AO24" s="22">
        <v>0.0</v>
      </c>
      <c r="AP24" s="22">
        <v>6874358.85</v>
      </c>
      <c r="AQ24" s="22" t="str">
        <f t="shared" ref="AQ24:AQ26" si="42">AO24+AP24</f>
        <v>6,874,358.85</v>
      </c>
      <c r="AR24" s="22" t="str">
        <f t="shared" si="17"/>
        <v>0.00</v>
      </c>
      <c r="AS24" s="22" t="str">
        <f t="shared" si="18"/>
        <v>14,435,544.81</v>
      </c>
      <c r="AT24" s="22">
        <v>0.0</v>
      </c>
      <c r="AU24" s="22">
        <v>1.050148105E7</v>
      </c>
      <c r="AV24" s="22">
        <v>0.0</v>
      </c>
      <c r="AW24" s="22">
        <v>9777913.91</v>
      </c>
      <c r="AX24" s="22" t="str">
        <f t="shared" ref="AX24:AX26" si="43">AV24+AW24</f>
        <v>9,777,913.91</v>
      </c>
      <c r="AY24" s="22" t="str">
        <f t="shared" si="20"/>
        <v>0.00</v>
      </c>
      <c r="AZ24" s="22" t="str">
        <f t="shared" si="21"/>
        <v>20,279,394.96</v>
      </c>
      <c r="BA24" s="22">
        <v>0.01</v>
      </c>
      <c r="BB24" s="22">
        <v>1.015038087E7</v>
      </c>
      <c r="BC24" s="22">
        <v>0.0</v>
      </c>
      <c r="BD24" s="22">
        <v>7365498.02</v>
      </c>
      <c r="BE24" s="22" t="str">
        <f>BC24+BD24+484999.15+1511328.04</f>
        <v>9,361,825.21</v>
      </c>
      <c r="BF24" s="22" t="str">
        <f t="shared" si="23"/>
        <v>0.01</v>
      </c>
      <c r="BG24" s="22" t="str">
        <f t="shared" si="24"/>
        <v>19,512,206.08</v>
      </c>
      <c r="BH24" s="23" t="str">
        <f>HYPERLINK("http://www10.ujaen.es/conocenos/organos-gobierno/gerencia/cuentasanuales","http://www10.ujaen.es/conocenos/organos-gobierno/gerencia/cuentasanuales")</f>
        <v>http://www10.ujaen.es/conocenos/organos-gobierno/gerencia/cuentasanuales</v>
      </c>
    </row>
    <row r="25">
      <c r="A25" s="25" t="s">
        <v>42</v>
      </c>
      <c r="B25" s="9" t="s">
        <v>18</v>
      </c>
      <c r="C25" s="9" t="s">
        <v>19</v>
      </c>
      <c r="D25" s="21"/>
      <c r="E25" s="21"/>
      <c r="F25" s="21"/>
      <c r="G25" s="21"/>
      <c r="H25" s="22" t="str">
        <f t="shared" si="26"/>
        <v>0.00</v>
      </c>
      <c r="I25" s="22" t="str">
        <f t="shared" si="2"/>
        <v>0.00</v>
      </c>
      <c r="J25" s="22" t="str">
        <f t="shared" si="3"/>
        <v>0.00</v>
      </c>
      <c r="K25" s="21"/>
      <c r="L25" s="21"/>
      <c r="M25" s="21"/>
      <c r="N25" s="21"/>
      <c r="O25" s="22" t="str">
        <f t="shared" si="27"/>
        <v>0.00</v>
      </c>
      <c r="P25" s="22" t="str">
        <f t="shared" si="5"/>
        <v>0.00</v>
      </c>
      <c r="Q25" s="22" t="str">
        <f t="shared" si="6"/>
        <v>0.00</v>
      </c>
      <c r="R25" s="21"/>
      <c r="S25" s="21"/>
      <c r="T25" s="21"/>
      <c r="U25" s="21"/>
      <c r="V25" s="22" t="str">
        <f t="shared" si="28"/>
        <v>0.00</v>
      </c>
      <c r="W25" s="22" t="str">
        <f t="shared" si="8"/>
        <v>0.00</v>
      </c>
      <c r="X25" s="22" t="str">
        <f t="shared" si="9"/>
        <v>0.00</v>
      </c>
      <c r="Y25" s="21"/>
      <c r="Z25" s="21"/>
      <c r="AA25" s="21"/>
      <c r="AB25" s="21"/>
      <c r="AC25" s="22" t="str">
        <f t="shared" si="40"/>
        <v>0.00</v>
      </c>
      <c r="AD25" s="22" t="str">
        <f t="shared" si="11"/>
        <v>0.00</v>
      </c>
      <c r="AE25" s="22" t="str">
        <f t="shared" si="12"/>
        <v>0.00</v>
      </c>
      <c r="AF25" s="21"/>
      <c r="AG25" s="21"/>
      <c r="AH25" s="21"/>
      <c r="AI25" s="21"/>
      <c r="AJ25" s="22" t="str">
        <f t="shared" si="41"/>
        <v>0.00</v>
      </c>
      <c r="AK25" s="22" t="str">
        <f t="shared" si="14"/>
        <v>0.00</v>
      </c>
      <c r="AL25" s="22" t="str">
        <f t="shared" si="15"/>
        <v>0.00</v>
      </c>
      <c r="AM25" s="21"/>
      <c r="AN25" s="21"/>
      <c r="AO25" s="21"/>
      <c r="AP25" s="21"/>
      <c r="AQ25" s="22" t="str">
        <f t="shared" si="42"/>
        <v>0.00</v>
      </c>
      <c r="AR25" s="22" t="str">
        <f t="shared" si="17"/>
        <v>0.00</v>
      </c>
      <c r="AS25" s="22" t="str">
        <f t="shared" si="18"/>
        <v>0.00</v>
      </c>
      <c r="AT25" s="21"/>
      <c r="AU25" s="21"/>
      <c r="AV25" s="21"/>
      <c r="AW25" s="21"/>
      <c r="AX25" s="22" t="str">
        <f t="shared" si="43"/>
        <v>0.00</v>
      </c>
      <c r="AY25" s="22" t="str">
        <f t="shared" si="20"/>
        <v>0.00</v>
      </c>
      <c r="AZ25" s="22" t="str">
        <f t="shared" si="21"/>
        <v>0.00</v>
      </c>
      <c r="BA25" s="21"/>
      <c r="BB25" s="21"/>
      <c r="BC25" s="21"/>
      <c r="BD25" s="21"/>
      <c r="BE25" s="22" t="str">
        <f t="shared" ref="BE25:BE26" si="44">BC25+BD25</f>
        <v>0.00</v>
      </c>
      <c r="BF25" s="22" t="str">
        <f t="shared" si="23"/>
        <v>0.00</v>
      </c>
      <c r="BG25" s="22" t="str">
        <f t="shared" si="24"/>
        <v>0.00</v>
      </c>
      <c r="BH25" s="1"/>
    </row>
    <row r="26">
      <c r="A26" s="20" t="s">
        <v>43</v>
      </c>
      <c r="B26" s="9" t="s">
        <v>18</v>
      </c>
      <c r="C26" s="9" t="s">
        <v>19</v>
      </c>
      <c r="D26" s="21"/>
      <c r="E26" s="21"/>
      <c r="F26" s="21"/>
      <c r="G26" s="21"/>
      <c r="H26" s="22" t="str">
        <f t="shared" si="26"/>
        <v>0.00</v>
      </c>
      <c r="I26" s="22" t="str">
        <f t="shared" si="2"/>
        <v>0.00</v>
      </c>
      <c r="J26" s="22" t="str">
        <f t="shared" si="3"/>
        <v>0.00</v>
      </c>
      <c r="K26" s="22">
        <v>0.0</v>
      </c>
      <c r="L26" s="22">
        <v>3402734.13</v>
      </c>
      <c r="M26" s="22">
        <v>0.0</v>
      </c>
      <c r="N26" s="22">
        <v>1.587304407E7</v>
      </c>
      <c r="O26" s="22" t="str">
        <f t="shared" si="27"/>
        <v>15,873,044.07</v>
      </c>
      <c r="P26" s="22" t="str">
        <f t="shared" si="5"/>
        <v>0.00</v>
      </c>
      <c r="Q26" s="22" t="str">
        <f t="shared" si="6"/>
        <v>19,275,778.20</v>
      </c>
      <c r="R26" s="22">
        <v>0.0</v>
      </c>
      <c r="S26" s="22">
        <v>3426734.13</v>
      </c>
      <c r="T26" s="22">
        <v>0.0</v>
      </c>
      <c r="U26" s="22">
        <v>1.666752319E7</v>
      </c>
      <c r="V26" s="22" t="str">
        <f t="shared" si="28"/>
        <v>16,667,523.19</v>
      </c>
      <c r="W26" s="22" t="str">
        <f t="shared" si="8"/>
        <v>0.00</v>
      </c>
      <c r="X26" s="22" t="str">
        <f t="shared" si="9"/>
        <v>20,094,257.32</v>
      </c>
      <c r="Y26" s="22">
        <v>803633.22</v>
      </c>
      <c r="Z26" s="22">
        <v>1.288773413E7</v>
      </c>
      <c r="AA26" s="22">
        <v>0.0</v>
      </c>
      <c r="AB26" s="22">
        <v>1.531849473E7</v>
      </c>
      <c r="AC26" s="22" t="str">
        <f t="shared" si="40"/>
        <v>15,318,494.73</v>
      </c>
      <c r="AD26" s="22" t="str">
        <f t="shared" si="11"/>
        <v>803,633.22</v>
      </c>
      <c r="AE26" s="22" t="str">
        <f t="shared" si="12"/>
        <v>28,206,228.86</v>
      </c>
      <c r="AF26" s="22">
        <v>0.0</v>
      </c>
      <c r="AG26" s="22">
        <v>1.385118657E7</v>
      </c>
      <c r="AH26" s="22">
        <v>0.0</v>
      </c>
      <c r="AI26" s="22">
        <v>9990526.29</v>
      </c>
      <c r="AJ26" s="22" t="str">
        <f t="shared" si="41"/>
        <v>9,990,526.29</v>
      </c>
      <c r="AK26" s="22" t="str">
        <f t="shared" si="14"/>
        <v>0.00</v>
      </c>
      <c r="AL26" s="22" t="str">
        <f t="shared" si="15"/>
        <v>23,841,712.86</v>
      </c>
      <c r="AM26" s="22">
        <v>0.0</v>
      </c>
      <c r="AN26" s="22">
        <v>1.215686066E7</v>
      </c>
      <c r="AO26" s="22">
        <v>0.0</v>
      </c>
      <c r="AP26" s="22">
        <v>1.265957737E7</v>
      </c>
      <c r="AQ26" s="22" t="str">
        <f t="shared" si="42"/>
        <v>12,659,577.37</v>
      </c>
      <c r="AR26" s="22" t="str">
        <f t="shared" si="17"/>
        <v>0.00</v>
      </c>
      <c r="AS26" s="22" t="str">
        <f t="shared" si="18"/>
        <v>24,816,438.03</v>
      </c>
      <c r="AT26" s="22">
        <v>0.0</v>
      </c>
      <c r="AU26" s="22">
        <v>1.363850614E7</v>
      </c>
      <c r="AV26" s="22">
        <v>0.0</v>
      </c>
      <c r="AW26" s="22">
        <v>9715548.9</v>
      </c>
      <c r="AX26" s="22" t="str">
        <f t="shared" si="43"/>
        <v>9,715,548.90</v>
      </c>
      <c r="AY26" s="22" t="str">
        <f t="shared" si="20"/>
        <v>0.00</v>
      </c>
      <c r="AZ26" s="22" t="str">
        <f t="shared" si="21"/>
        <v>23,354,055.04</v>
      </c>
      <c r="BA26" s="21"/>
      <c r="BB26" s="21"/>
      <c r="BC26" s="21"/>
      <c r="BD26" s="21"/>
      <c r="BE26" s="22" t="str">
        <f t="shared" si="44"/>
        <v>0.00</v>
      </c>
      <c r="BF26" s="22" t="str">
        <f t="shared" si="23"/>
        <v>0.00</v>
      </c>
      <c r="BG26" s="22" t="str">
        <f t="shared" si="24"/>
        <v>0.00</v>
      </c>
      <c r="BH26" s="23" t="str">
        <f>HYPERLINK("http://www.ull.es/view/institucional/ull/Economico-Financiera/es","http://www.ull.es/view/institucional/ull/Economico-Financiera/es")</f>
        <v>http://www.ull.es/view/institucional/ull/Economico-Financiera/es</v>
      </c>
    </row>
    <row r="27">
      <c r="A27" s="20" t="s">
        <v>44</v>
      </c>
      <c r="B27" s="9" t="s">
        <v>18</v>
      </c>
      <c r="C27" s="9" t="s">
        <v>19</v>
      </c>
      <c r="D27" s="21"/>
      <c r="E27" s="21"/>
      <c r="F27" s="21"/>
      <c r="G27" s="21"/>
      <c r="H27" s="22" t="str">
        <f t="shared" si="26"/>
        <v>0.00</v>
      </c>
      <c r="I27" s="22" t="str">
        <f t="shared" si="2"/>
        <v>0.00</v>
      </c>
      <c r="J27" s="22" t="str">
        <f t="shared" si="3"/>
        <v>0.00</v>
      </c>
      <c r="K27" s="21"/>
      <c r="L27" s="21"/>
      <c r="M27" s="21"/>
      <c r="N27" s="21"/>
      <c r="O27" s="22" t="str">
        <f t="shared" si="27"/>
        <v>0.00</v>
      </c>
      <c r="P27" s="22" t="str">
        <f t="shared" si="5"/>
        <v>0.00</v>
      </c>
      <c r="Q27" s="22" t="str">
        <f t="shared" si="6"/>
        <v>0.00</v>
      </c>
      <c r="R27" s="21"/>
      <c r="S27" s="21"/>
      <c r="T27" s="21"/>
      <c r="U27" s="21"/>
      <c r="V27" s="22" t="str">
        <f t="shared" si="28"/>
        <v>0.00</v>
      </c>
      <c r="W27" s="22" t="str">
        <f t="shared" si="8"/>
        <v>0.00</v>
      </c>
      <c r="X27" s="22" t="str">
        <f t="shared" si="9"/>
        <v>0.00</v>
      </c>
      <c r="Y27" s="21"/>
      <c r="Z27" s="21"/>
      <c r="AA27" s="21"/>
      <c r="AB27" s="21"/>
      <c r="AC27" s="22" t="str">
        <f t="shared" si="40"/>
        <v>0.00</v>
      </c>
      <c r="AD27" s="22" t="str">
        <f t="shared" si="11"/>
        <v>0.00</v>
      </c>
      <c r="AE27" s="22" t="str">
        <f t="shared" si="12"/>
        <v>0.00</v>
      </c>
      <c r="AF27" s="22">
        <v>3080000.0</v>
      </c>
      <c r="AG27" s="22">
        <v>7803057.76</v>
      </c>
      <c r="AH27" s="22">
        <v>2531883.23</v>
      </c>
      <c r="AI27" s="22">
        <v>3763485.3</v>
      </c>
      <c r="AJ27" s="22" t="str">
        <f>AH27+AI27+1631697.83+19392.12</f>
        <v>7,946,458.48</v>
      </c>
      <c r="AK27" s="22" t="str">
        <f t="shared" si="14"/>
        <v>5,611,883.23</v>
      </c>
      <c r="AL27" s="22" t="str">
        <f t="shared" si="15"/>
        <v>15,749,516.24</v>
      </c>
      <c r="AM27" s="22">
        <v>2695000.0</v>
      </c>
      <c r="AN27" s="22">
        <v>7306403.36</v>
      </c>
      <c r="AO27" s="22">
        <v>385000.0</v>
      </c>
      <c r="AP27" s="22">
        <v>3590284.49</v>
      </c>
      <c r="AQ27" s="22" t="str">
        <f>AO27+AP27+1165686.36+7393.8</f>
        <v>5,148,364.65</v>
      </c>
      <c r="AR27" s="22" t="str">
        <f t="shared" si="17"/>
        <v>3,080,000.00</v>
      </c>
      <c r="AS27" s="22" t="str">
        <f t="shared" si="18"/>
        <v>12,454,768.01</v>
      </c>
      <c r="AT27" s="22">
        <v>2310000.0</v>
      </c>
      <c r="AU27" s="22">
        <v>1.051511394E7</v>
      </c>
      <c r="AV27" s="22">
        <v>385000.0</v>
      </c>
      <c r="AW27" s="22">
        <v>3556166.56</v>
      </c>
      <c r="AX27" s="22" t="str">
        <f>AV27+AW27+717237.53+393826.54</f>
        <v>5,052,230.63</v>
      </c>
      <c r="AY27" s="22" t="str">
        <f t="shared" si="20"/>
        <v>2,695,000.00</v>
      </c>
      <c r="AZ27" s="22" t="str">
        <f t="shared" si="21"/>
        <v>15,567,344.57</v>
      </c>
      <c r="BA27" s="22">
        <v>1925000.0</v>
      </c>
      <c r="BB27" s="22">
        <v>7891058.98</v>
      </c>
      <c r="BC27" s="22">
        <v>1884999.12</v>
      </c>
      <c r="BD27" s="22">
        <v>4254659.64</v>
      </c>
      <c r="BE27" s="22" t="str">
        <f>BC27+BD27+1529463.5+830777.89</f>
        <v>8,499,900.15</v>
      </c>
      <c r="BF27" s="22" t="str">
        <f t="shared" si="23"/>
        <v>3,809,999.12</v>
      </c>
      <c r="BG27" s="22" t="str">
        <f t="shared" si="24"/>
        <v>16,390,959.13</v>
      </c>
      <c r="BH27" s="23" t="str">
        <f>HYPERLINK("http://www.unirioja.es/transparencia/presupuesto.shtml","http://www.unirioja.es/transparencia/presupuesto.shtml")</f>
        <v>http://www.unirioja.es/transparencia/presupuesto.shtml</v>
      </c>
    </row>
    <row r="28">
      <c r="A28" s="20" t="s">
        <v>45</v>
      </c>
      <c r="B28" s="9" t="s">
        <v>18</v>
      </c>
      <c r="C28" s="9" t="s">
        <v>19</v>
      </c>
      <c r="D28" s="22">
        <v>0.0</v>
      </c>
      <c r="E28" s="22">
        <v>468639.2</v>
      </c>
      <c r="F28" s="22">
        <v>0.0</v>
      </c>
      <c r="G28" s="22">
        <v>1.714186558E7</v>
      </c>
      <c r="H28" s="22" t="str">
        <f t="shared" si="26"/>
        <v>17,141,865.58</v>
      </c>
      <c r="I28" s="22" t="str">
        <f t="shared" si="2"/>
        <v>0.00</v>
      </c>
      <c r="J28" s="22" t="str">
        <f t="shared" si="3"/>
        <v>17,610,504.78</v>
      </c>
      <c r="K28" s="22">
        <v>0.0</v>
      </c>
      <c r="L28" s="22">
        <v>2102783.51</v>
      </c>
      <c r="M28" s="22">
        <v>0.0</v>
      </c>
      <c r="N28" s="22">
        <v>1.768400087E7</v>
      </c>
      <c r="O28" s="22" t="str">
        <f t="shared" si="27"/>
        <v>17,684,000.87</v>
      </c>
      <c r="P28" s="22" t="str">
        <f t="shared" si="5"/>
        <v>0.00</v>
      </c>
      <c r="Q28" s="22" t="str">
        <f t="shared" si="6"/>
        <v>19,786,784.38</v>
      </c>
      <c r="R28" s="22">
        <v>0.0</v>
      </c>
      <c r="S28" s="22">
        <v>2521720.77</v>
      </c>
      <c r="T28" s="22">
        <v>0.0</v>
      </c>
      <c r="U28" s="22">
        <v>1.553626821E7</v>
      </c>
      <c r="V28" s="22" t="str">
        <f t="shared" si="28"/>
        <v>15,536,268.21</v>
      </c>
      <c r="W28" s="22" t="str">
        <f t="shared" si="8"/>
        <v>0.00</v>
      </c>
      <c r="X28" s="22" t="str">
        <f t="shared" si="9"/>
        <v>18,057,988.98</v>
      </c>
      <c r="Y28" s="22">
        <v>0.0</v>
      </c>
      <c r="Z28" s="22">
        <v>7690658.03</v>
      </c>
      <c r="AA28" s="22">
        <v>0.0</v>
      </c>
      <c r="AB28" s="22">
        <v>1.309007656E7</v>
      </c>
      <c r="AC28" s="22" t="str">
        <f t="shared" si="40"/>
        <v>13,090,076.56</v>
      </c>
      <c r="AD28" s="22" t="str">
        <f t="shared" si="11"/>
        <v>0.00</v>
      </c>
      <c r="AE28" s="22" t="str">
        <f t="shared" si="12"/>
        <v>20,780,734.59</v>
      </c>
      <c r="AF28" s="22">
        <v>0.0</v>
      </c>
      <c r="AG28" s="22">
        <v>7635908.59</v>
      </c>
      <c r="AH28" s="22">
        <v>0.0</v>
      </c>
      <c r="AI28" s="22">
        <v>1.207292974E7</v>
      </c>
      <c r="AJ28" s="22" t="str">
        <f t="shared" ref="AJ28:AJ33" si="45">AH28+AI28</f>
        <v>12,072,929.74</v>
      </c>
      <c r="AK28" s="22" t="str">
        <f t="shared" si="14"/>
        <v>0.00</v>
      </c>
      <c r="AL28" s="22" t="str">
        <f t="shared" si="15"/>
        <v>19,708,838.33</v>
      </c>
      <c r="AM28" s="22">
        <v>0.0</v>
      </c>
      <c r="AN28" s="22">
        <v>7073514.79</v>
      </c>
      <c r="AO28" s="22">
        <v>0.0</v>
      </c>
      <c r="AP28" s="22">
        <v>1.051881831E7</v>
      </c>
      <c r="AQ28" s="22" t="str">
        <f t="shared" ref="AQ28:AQ33" si="46">AO28+AP28</f>
        <v>10,518,818.31</v>
      </c>
      <c r="AR28" s="22" t="str">
        <f t="shared" si="17"/>
        <v>0.00</v>
      </c>
      <c r="AS28" s="22" t="str">
        <f t="shared" si="18"/>
        <v>17,592,333.10</v>
      </c>
      <c r="AT28" s="22">
        <v>0.0</v>
      </c>
      <c r="AU28" s="22">
        <v>1.401226032E7</v>
      </c>
      <c r="AV28" s="22">
        <v>0.0</v>
      </c>
      <c r="AW28" s="22">
        <v>1.197730491E7</v>
      </c>
      <c r="AX28" s="22" t="str">
        <f t="shared" ref="AX28:AX30" si="47">AV28+AW28</f>
        <v>11,977,304.91</v>
      </c>
      <c r="AY28" s="22" t="str">
        <f t="shared" si="20"/>
        <v>0.00</v>
      </c>
      <c r="AZ28" s="22" t="str">
        <f t="shared" si="21"/>
        <v>25,989,565.23</v>
      </c>
      <c r="BA28" s="22">
        <v>0.0</v>
      </c>
      <c r="BB28" s="22">
        <v>1.072544394E7</v>
      </c>
      <c r="BC28" s="22">
        <v>0.0</v>
      </c>
      <c r="BD28" s="22">
        <v>1.137731573E7</v>
      </c>
      <c r="BE28" s="22" t="str">
        <f t="shared" ref="BE28:BE30" si="48">BC28+BD28</f>
        <v>11,377,315.73</v>
      </c>
      <c r="BF28" s="22" t="str">
        <f t="shared" si="23"/>
        <v>0.00</v>
      </c>
      <c r="BG28" s="22" t="str">
        <f t="shared" si="24"/>
        <v>22,102,759.67</v>
      </c>
      <c r="BH28" s="23" t="str">
        <f>HYPERLINK("http://transparencia.ulpgc.es/informacioncontable","http://transparencia.ulpgc.es/informacioncontable")</f>
        <v>http://transparencia.ulpgc.es/informacioncontable</v>
      </c>
    </row>
    <row r="29">
      <c r="A29" s="20" t="s">
        <v>46</v>
      </c>
      <c r="B29" s="9" t="s">
        <v>18</v>
      </c>
      <c r="C29" s="9" t="s">
        <v>19</v>
      </c>
      <c r="D29" s="21"/>
      <c r="E29" s="21"/>
      <c r="F29" s="21"/>
      <c r="G29" s="21"/>
      <c r="H29" s="22" t="str">
        <f t="shared" si="26"/>
        <v>0.00</v>
      </c>
      <c r="I29" s="22" t="str">
        <f t="shared" si="2"/>
        <v>0.00</v>
      </c>
      <c r="J29" s="22" t="str">
        <f t="shared" si="3"/>
        <v>0.00</v>
      </c>
      <c r="K29" s="22">
        <v>9800000.0</v>
      </c>
      <c r="L29" s="22">
        <v>1.500286268E7</v>
      </c>
      <c r="M29" s="22">
        <v>2658.38</v>
      </c>
      <c r="N29" s="22">
        <v>9451999.94</v>
      </c>
      <c r="O29" s="22" t="str">
        <f t="shared" si="27"/>
        <v>9,454,658.32</v>
      </c>
      <c r="P29" s="22" t="str">
        <f t="shared" si="5"/>
        <v>9,802,658.38</v>
      </c>
      <c r="Q29" s="22" t="str">
        <f t="shared" si="6"/>
        <v>24,457,521.00</v>
      </c>
      <c r="R29" s="22">
        <v>1.4E7</v>
      </c>
      <c r="S29" s="22">
        <v>1.753645653E7</v>
      </c>
      <c r="T29" s="22">
        <v>0.0</v>
      </c>
      <c r="U29" s="22">
        <v>9479851.51</v>
      </c>
      <c r="V29" s="22" t="str">
        <f t="shared" si="28"/>
        <v>9,479,851.51</v>
      </c>
      <c r="W29" s="22" t="str">
        <f t="shared" si="8"/>
        <v>14,000,000.00</v>
      </c>
      <c r="X29" s="22" t="str">
        <f t="shared" si="9"/>
        <v>27,016,308.04</v>
      </c>
      <c r="Y29" s="22">
        <v>1.293353808E7</v>
      </c>
      <c r="Z29" s="22">
        <v>1.578256825E7</v>
      </c>
      <c r="AA29" s="22">
        <v>966461.92</v>
      </c>
      <c r="AB29" s="22">
        <v>8883246.28</v>
      </c>
      <c r="AC29" s="22" t="str">
        <f t="shared" si="40"/>
        <v>9,849,708.20</v>
      </c>
      <c r="AD29" s="22" t="str">
        <f t="shared" si="11"/>
        <v>13,900,000.00</v>
      </c>
      <c r="AE29" s="22" t="str">
        <f t="shared" si="12"/>
        <v>25,632,276.45</v>
      </c>
      <c r="AF29" s="22">
        <v>1.175865517E7</v>
      </c>
      <c r="AG29" s="22">
        <v>1.431162262E7</v>
      </c>
      <c r="AH29" s="22">
        <v>1077117.06</v>
      </c>
      <c r="AI29" s="22">
        <v>9172210.25</v>
      </c>
      <c r="AJ29" s="22" t="str">
        <f t="shared" si="45"/>
        <v>10,249,327.31</v>
      </c>
      <c r="AK29" s="22" t="str">
        <f t="shared" si="14"/>
        <v>12,835,772.23</v>
      </c>
      <c r="AL29" s="22" t="str">
        <f t="shared" si="15"/>
        <v>24,560,949.93</v>
      </c>
      <c r="AM29" s="22">
        <v>1.056066402E7</v>
      </c>
      <c r="AN29" s="22">
        <v>1.218487387E7</v>
      </c>
      <c r="AO29" s="22">
        <v>1200000.0</v>
      </c>
      <c r="AP29" s="22">
        <v>1.155654528E7</v>
      </c>
      <c r="AQ29" s="22" t="str">
        <f t="shared" si="46"/>
        <v>12,756,545.28</v>
      </c>
      <c r="AR29" s="22" t="str">
        <f t="shared" si="17"/>
        <v>11,760,664.02</v>
      </c>
      <c r="AS29" s="22" t="str">
        <f t="shared" si="18"/>
        <v>24,941,419.15</v>
      </c>
      <c r="AT29" s="21"/>
      <c r="AU29" s="21"/>
      <c r="AV29" s="21"/>
      <c r="AW29" s="21"/>
      <c r="AX29" s="22" t="str">
        <f t="shared" si="47"/>
        <v>0.00</v>
      </c>
      <c r="AY29" s="22" t="str">
        <f t="shared" si="20"/>
        <v>0.00</v>
      </c>
      <c r="AZ29" s="22" t="str">
        <f t="shared" si="21"/>
        <v>0.00</v>
      </c>
      <c r="BA29" s="21"/>
      <c r="BB29" s="21"/>
      <c r="BC29" s="21"/>
      <c r="BD29" s="21"/>
      <c r="BE29" s="22" t="str">
        <f t="shared" si="48"/>
        <v>0.00</v>
      </c>
      <c r="BF29" s="22" t="str">
        <f t="shared" si="23"/>
        <v>0.00</v>
      </c>
      <c r="BG29" s="22" t="str">
        <f t="shared" si="24"/>
        <v>0.00</v>
      </c>
      <c r="BH29" s="23" t="str">
        <f>HYPERLINK("http://transparencia.unileon.es/index.php/homepage/informacion-economica/memoria-explicativa","http://transparencia.unileon.es/index.php/homepage/informacion-economica/memoria-explicativa")</f>
        <v>http://transparencia.unileon.es/index.php/homepage/informacion-economica/memoria-explicativa</v>
      </c>
    </row>
    <row r="30">
      <c r="A30" s="20" t="s">
        <v>47</v>
      </c>
      <c r="B30" s="9" t="s">
        <v>18</v>
      </c>
      <c r="C30" s="9" t="s">
        <v>19</v>
      </c>
      <c r="D30" s="21"/>
      <c r="E30" s="21"/>
      <c r="F30" s="21"/>
      <c r="G30" s="21"/>
      <c r="H30" s="22" t="str">
        <f t="shared" si="26"/>
        <v>0.00</v>
      </c>
      <c r="I30" s="22" t="str">
        <f t="shared" si="2"/>
        <v>0.00</v>
      </c>
      <c r="J30" s="22" t="str">
        <f t="shared" si="3"/>
        <v>0.00</v>
      </c>
      <c r="K30" s="21"/>
      <c r="L30" s="21"/>
      <c r="M30" s="21"/>
      <c r="N30" s="21"/>
      <c r="O30" s="22" t="str">
        <f t="shared" si="27"/>
        <v>0.00</v>
      </c>
      <c r="P30" s="22" t="str">
        <f t="shared" si="5"/>
        <v>0.00</v>
      </c>
      <c r="Q30" s="22" t="str">
        <f t="shared" si="6"/>
        <v>0.00</v>
      </c>
      <c r="R30" s="21"/>
      <c r="S30" s="21"/>
      <c r="T30" s="21"/>
      <c r="U30" s="21"/>
      <c r="V30" s="22" t="str">
        <f t="shared" si="28"/>
        <v>0.00</v>
      </c>
      <c r="W30" s="22" t="str">
        <f t="shared" si="8"/>
        <v>0.00</v>
      </c>
      <c r="X30" s="22" t="str">
        <f t="shared" si="9"/>
        <v>0.00</v>
      </c>
      <c r="Y30" s="21"/>
      <c r="Z30" s="21"/>
      <c r="AA30" s="21"/>
      <c r="AB30" s="21"/>
      <c r="AC30" s="22" t="str">
        <f t="shared" si="40"/>
        <v>0.00</v>
      </c>
      <c r="AD30" s="22" t="str">
        <f t="shared" si="11"/>
        <v>0.00</v>
      </c>
      <c r="AE30" s="22" t="str">
        <f t="shared" si="12"/>
        <v>0.00</v>
      </c>
      <c r="AF30" s="21"/>
      <c r="AG30" s="21"/>
      <c r="AH30" s="21"/>
      <c r="AI30" s="21"/>
      <c r="AJ30" s="22" t="str">
        <f t="shared" si="45"/>
        <v>0.00</v>
      </c>
      <c r="AK30" s="22" t="str">
        <f t="shared" si="14"/>
        <v>0.00</v>
      </c>
      <c r="AL30" s="22" t="str">
        <f t="shared" si="15"/>
        <v>0.00</v>
      </c>
      <c r="AM30" s="22">
        <v>0.0</v>
      </c>
      <c r="AN30" s="22">
        <v>1.083945428E7</v>
      </c>
      <c r="AO30" s="22">
        <v>0.0</v>
      </c>
      <c r="AP30" s="22">
        <v>7956702.02</v>
      </c>
      <c r="AQ30" s="22" t="str">
        <f t="shared" si="46"/>
        <v>7,956,702.02</v>
      </c>
      <c r="AR30" s="22" t="str">
        <f t="shared" si="17"/>
        <v>0.00</v>
      </c>
      <c r="AS30" s="22" t="str">
        <f t="shared" si="18"/>
        <v>18,796,156.30</v>
      </c>
      <c r="AT30" s="22">
        <v>0.0</v>
      </c>
      <c r="AU30" s="22">
        <v>9841443.92</v>
      </c>
      <c r="AV30" s="22">
        <v>0.0</v>
      </c>
      <c r="AW30" s="22">
        <v>7028807.38</v>
      </c>
      <c r="AX30" s="22" t="str">
        <f t="shared" si="47"/>
        <v>7,028,807.38</v>
      </c>
      <c r="AY30" s="22" t="str">
        <f t="shared" si="20"/>
        <v>0.00</v>
      </c>
      <c r="AZ30" s="22" t="str">
        <f t="shared" si="21"/>
        <v>16,870,251.30</v>
      </c>
      <c r="BA30" s="22">
        <v>0.0</v>
      </c>
      <c r="BB30" s="22">
        <v>1.195571174E7</v>
      </c>
      <c r="BC30" s="22">
        <v>0.0</v>
      </c>
      <c r="BD30" s="22">
        <v>7468768.6</v>
      </c>
      <c r="BE30" s="22" t="str">
        <f t="shared" si="48"/>
        <v>7,468,768.60</v>
      </c>
      <c r="BF30" s="22" t="str">
        <f t="shared" si="23"/>
        <v>0.00</v>
      </c>
      <c r="BG30" s="22" t="str">
        <f t="shared" si="24"/>
        <v>19,424,480.34</v>
      </c>
      <c r="BH30" s="23" t="str">
        <f>HYPERLINK("http://www.udl.cat/ca/serveis/afin/comptesanuals/","http://www.udl.cat/ca/serveis/afin/comptesanuals/")</f>
        <v>http://www.udl.cat/ca/serveis/afin/comptesanuals/</v>
      </c>
    </row>
    <row r="31">
      <c r="A31" s="20" t="s">
        <v>49</v>
      </c>
      <c r="B31" s="9" t="s">
        <v>18</v>
      </c>
      <c r="C31" s="9" t="s">
        <v>19</v>
      </c>
      <c r="D31" s="22">
        <v>3.068325688E7</v>
      </c>
      <c r="E31" s="22">
        <v>3.988521276E7</v>
      </c>
      <c r="F31" s="22">
        <v>7099440.96</v>
      </c>
      <c r="G31" s="22">
        <v>2.365082163E7</v>
      </c>
      <c r="H31" s="22" t="str">
        <f t="shared" si="26"/>
        <v>30,750,262.59</v>
      </c>
      <c r="I31" s="22" t="str">
        <f t="shared" si="2"/>
        <v>37,782,697.84</v>
      </c>
      <c r="J31" s="22" t="str">
        <f t="shared" si="3"/>
        <v>70,635,475.35</v>
      </c>
      <c r="K31" s="22">
        <v>2.318729997E7</v>
      </c>
      <c r="L31" s="22">
        <v>4.489925284E7</v>
      </c>
      <c r="M31" s="22">
        <v>7473601.38</v>
      </c>
      <c r="N31" s="22">
        <v>2.035068589E7</v>
      </c>
      <c r="O31" s="22" t="str">
        <f t="shared" si="27"/>
        <v>27,824,287.27</v>
      </c>
      <c r="P31" s="22" t="str">
        <f t="shared" si="5"/>
        <v>30,660,901.35</v>
      </c>
      <c r="Q31" s="22" t="str">
        <f t="shared" si="6"/>
        <v>72,723,540.11</v>
      </c>
      <c r="R31" s="22">
        <v>1.561867855E7</v>
      </c>
      <c r="S31" s="22">
        <v>4.612010209E7</v>
      </c>
      <c r="T31" s="22">
        <v>7556514.6</v>
      </c>
      <c r="U31" s="22">
        <v>2.185985149E7</v>
      </c>
      <c r="V31" s="22" t="str">
        <f t="shared" si="28"/>
        <v>29,416,366.09</v>
      </c>
      <c r="W31" s="22" t="str">
        <f t="shared" si="8"/>
        <v>23,175,193.15</v>
      </c>
      <c r="X31" s="22" t="str">
        <f t="shared" si="9"/>
        <v>75,536,468.18</v>
      </c>
      <c r="Y31" s="22">
        <v>7892611.12</v>
      </c>
      <c r="Z31" s="22">
        <v>4.388800133E7</v>
      </c>
      <c r="AA31" s="22">
        <v>7723612.16</v>
      </c>
      <c r="AB31" s="22">
        <v>1.961779955E7</v>
      </c>
      <c r="AC31" s="22" t="str">
        <f t="shared" si="40"/>
        <v>27,341,411.71</v>
      </c>
      <c r="AD31" s="22" t="str">
        <f t="shared" si="11"/>
        <v>15,616,223.28</v>
      </c>
      <c r="AE31" s="22" t="str">
        <f t="shared" si="12"/>
        <v>71,229,413.04</v>
      </c>
      <c r="AF31" s="22">
        <v>0.0</v>
      </c>
      <c r="AG31" s="22">
        <v>4.027664688E7</v>
      </c>
      <c r="AH31" s="22">
        <v>7881341.31</v>
      </c>
      <c r="AI31" s="22">
        <v>2.194026448E7</v>
      </c>
      <c r="AJ31" s="22" t="str">
        <f t="shared" si="45"/>
        <v>29,821,605.79</v>
      </c>
      <c r="AK31" s="22" t="str">
        <f t="shared" si="14"/>
        <v>7,881,341.31</v>
      </c>
      <c r="AL31" s="22" t="str">
        <f t="shared" si="15"/>
        <v>70,098,252.67</v>
      </c>
      <c r="AM31" s="22">
        <v>0.0</v>
      </c>
      <c r="AN31" s="22">
        <v>4.134676945E7</v>
      </c>
      <c r="AO31" s="22">
        <v>0.0</v>
      </c>
      <c r="AP31" s="22">
        <v>1.945260441E7</v>
      </c>
      <c r="AQ31" s="22" t="str">
        <f t="shared" si="46"/>
        <v>19,452,604.41</v>
      </c>
      <c r="AR31" s="22" t="str">
        <f t="shared" si="17"/>
        <v>0.00</v>
      </c>
      <c r="AS31" s="22" t="str">
        <f t="shared" si="18"/>
        <v>60,799,373.86</v>
      </c>
      <c r="AT31" s="22">
        <v>0.0</v>
      </c>
      <c r="AU31" s="22">
        <v>4.173700612E7</v>
      </c>
      <c r="AV31" s="22">
        <v>0.0</v>
      </c>
      <c r="AW31" s="22">
        <v>1.455109911E7</v>
      </c>
      <c r="AX31" s="22" t="str">
        <f>AV31+AW31+6263226.11</f>
        <v>20,814,325.22</v>
      </c>
      <c r="AY31" s="22" t="str">
        <f t="shared" si="20"/>
        <v>0.00</v>
      </c>
      <c r="AZ31" s="22" t="str">
        <f t="shared" si="21"/>
        <v>62,551,331.34</v>
      </c>
      <c r="BA31" s="22">
        <v>0.0</v>
      </c>
      <c r="BB31" s="22">
        <v>4.191601293E7</v>
      </c>
      <c r="BC31" s="22">
        <v>0.0</v>
      </c>
      <c r="BD31" s="22">
        <v>2.133146663E7</v>
      </c>
      <c r="BE31" s="22" t="str">
        <f>BC31+BD31+13869799.15</f>
        <v>35,201,265.78</v>
      </c>
      <c r="BF31" s="22" t="str">
        <f t="shared" si="23"/>
        <v>0.00</v>
      </c>
      <c r="BG31" s="22" t="str">
        <f t="shared" si="24"/>
        <v>77,117,278.71</v>
      </c>
      <c r="BH31" s="23" t="str">
        <f>HYPERLINK("http://www.uma.es/gestion-economica/cms/menu/presupuestos-y-cuentas-anuales/","http://www.uma.es/gestion-economica/cms/menu/presupuestos-y-cuentas-anuales/")</f>
        <v>http://www.uma.es/gestion-economica/cms/menu/presupuestos-y-cuentas-anuales/</v>
      </c>
    </row>
    <row r="32">
      <c r="A32" s="20" t="s">
        <v>50</v>
      </c>
      <c r="B32" s="9" t="s">
        <v>18</v>
      </c>
      <c r="C32" s="9" t="s">
        <v>19</v>
      </c>
      <c r="D32" s="22">
        <v>6.930010516E7</v>
      </c>
      <c r="E32" s="22">
        <v>8.323036123E7</v>
      </c>
      <c r="F32" s="22">
        <v>7028402.42</v>
      </c>
      <c r="G32" s="22">
        <v>2.033232507E7</v>
      </c>
      <c r="H32" s="22" t="str">
        <f t="shared" si="26"/>
        <v>27,360,727.49</v>
      </c>
      <c r="I32" s="22" t="str">
        <f t="shared" si="2"/>
        <v>76,328,507.58</v>
      </c>
      <c r="J32" s="22" t="str">
        <f t="shared" si="3"/>
        <v>110,591,088.72</v>
      </c>
      <c r="K32" s="22">
        <v>6.270125834E7</v>
      </c>
      <c r="L32" s="22">
        <v>7.655066916E7</v>
      </c>
      <c r="M32" s="22">
        <v>825457.3</v>
      </c>
      <c r="N32" s="22">
        <v>1.790411471E7</v>
      </c>
      <c r="O32" s="22" t="str">
        <f t="shared" si="27"/>
        <v>18,729,572.01</v>
      </c>
      <c r="P32" s="22" t="str">
        <f t="shared" si="5"/>
        <v>63,526,715.64</v>
      </c>
      <c r="Q32" s="22" t="str">
        <f t="shared" si="6"/>
        <v>95,280,241.17</v>
      </c>
      <c r="R32" s="22">
        <v>5.610241152E7</v>
      </c>
      <c r="S32" s="22">
        <v>6.544497301E7</v>
      </c>
      <c r="T32" s="22">
        <v>790941.24</v>
      </c>
      <c r="U32" s="22">
        <v>1.677781402E7</v>
      </c>
      <c r="V32" s="22" t="str">
        <f t="shared" si="28"/>
        <v>17,568,755.26</v>
      </c>
      <c r="W32" s="22" t="str">
        <f t="shared" si="8"/>
        <v>56,893,352.76</v>
      </c>
      <c r="X32" s="22" t="str">
        <f t="shared" si="9"/>
        <v>83,013,728.27</v>
      </c>
      <c r="Y32" s="22">
        <v>4.95035647E7</v>
      </c>
      <c r="Z32" s="22">
        <v>5.734411774E7</v>
      </c>
      <c r="AA32" s="22">
        <v>2039596.25</v>
      </c>
      <c r="AB32" s="22">
        <v>1.830511187E7</v>
      </c>
      <c r="AC32" s="22" t="str">
        <f t="shared" si="40"/>
        <v>20,344,708.12</v>
      </c>
      <c r="AD32" s="22" t="str">
        <f t="shared" si="11"/>
        <v>51,543,160.95</v>
      </c>
      <c r="AE32" s="22" t="str">
        <f t="shared" si="12"/>
        <v>77,688,825.86</v>
      </c>
      <c r="AF32" s="22">
        <v>4.290471788E7</v>
      </c>
      <c r="AG32" s="22">
        <v>4.982192365E7</v>
      </c>
      <c r="AH32" s="22">
        <v>1065583.68</v>
      </c>
      <c r="AI32" s="22">
        <v>1.576994831E7</v>
      </c>
      <c r="AJ32" s="22" t="str">
        <f t="shared" si="45"/>
        <v>16,835,531.99</v>
      </c>
      <c r="AK32" s="22" t="str">
        <f t="shared" si="14"/>
        <v>43,970,301.56</v>
      </c>
      <c r="AL32" s="22" t="str">
        <f t="shared" si="15"/>
        <v>66,657,455.64</v>
      </c>
      <c r="AM32" s="22">
        <v>3.630587106E7</v>
      </c>
      <c r="AN32" s="22">
        <v>4.226292899E7</v>
      </c>
      <c r="AO32" s="22">
        <v>925032.3</v>
      </c>
      <c r="AP32" s="22">
        <v>1.503083885E7</v>
      </c>
      <c r="AQ32" s="22" t="str">
        <f t="shared" si="46"/>
        <v>15,955,871.15</v>
      </c>
      <c r="AR32" s="22" t="str">
        <f t="shared" si="17"/>
        <v>37,230,903.36</v>
      </c>
      <c r="AS32" s="22" t="str">
        <f t="shared" si="18"/>
        <v>58,218,800.14</v>
      </c>
      <c r="AT32" s="22">
        <v>2.970702424E7</v>
      </c>
      <c r="AU32" s="22">
        <v>3.355254502E7</v>
      </c>
      <c r="AV32" s="22">
        <v>8166736.69</v>
      </c>
      <c r="AW32" s="22">
        <v>6782309.03</v>
      </c>
      <c r="AX32" s="22" t="str">
        <f t="shared" ref="AX32:AX33" si="49">AV32+AW32</f>
        <v>14,949,045.72</v>
      </c>
      <c r="AY32" s="22" t="str">
        <f t="shared" si="20"/>
        <v>37,873,760.93</v>
      </c>
      <c r="AZ32" s="22" t="str">
        <f t="shared" si="21"/>
        <v>48,501,590.74</v>
      </c>
      <c r="BA32" s="22">
        <v>2.310817742E7</v>
      </c>
      <c r="BB32" s="22">
        <v>2.615542381E7</v>
      </c>
      <c r="BC32" s="22">
        <v>8007179.48</v>
      </c>
      <c r="BD32" s="22">
        <v>9169201.71</v>
      </c>
      <c r="BE32" s="22" t="str">
        <f t="shared" ref="BE32:BE35" si="50">BC32+BD32</f>
        <v>17,176,381.19</v>
      </c>
      <c r="BF32" s="22" t="str">
        <f t="shared" si="23"/>
        <v>31,115,356.90</v>
      </c>
      <c r="BG32" s="22" t="str">
        <f t="shared" si="24"/>
        <v>43,331,805.00</v>
      </c>
      <c r="BH32" s="23" t="str">
        <f>HYPERLINK("http://sicgef.umh.es/informacion-contable/restitucional/cuentas-anuales/","http://sicgef.umh.es/informacion-contable/restitucional/cuentas-anuales/")</f>
        <v>http://sicgef.umh.es/informacion-contable/restitucional/cuentas-anuales/</v>
      </c>
    </row>
    <row r="33">
      <c r="A33" s="20" t="s">
        <v>51</v>
      </c>
      <c r="B33" s="9" t="s">
        <v>18</v>
      </c>
      <c r="C33" s="9" t="s">
        <v>19</v>
      </c>
      <c r="D33" s="21"/>
      <c r="E33" s="21"/>
      <c r="F33" s="21"/>
      <c r="G33" s="21"/>
      <c r="H33" s="22" t="str">
        <f t="shared" si="26"/>
        <v>0.00</v>
      </c>
      <c r="I33" s="22" t="str">
        <f t="shared" si="2"/>
        <v>0.00</v>
      </c>
      <c r="J33" s="22" t="str">
        <f t="shared" si="3"/>
        <v>0.00</v>
      </c>
      <c r="K33" s="22">
        <v>296498.2</v>
      </c>
      <c r="L33" s="22">
        <v>1.737590243E7</v>
      </c>
      <c r="M33" s="22">
        <v>1162259.0</v>
      </c>
      <c r="N33" s="22">
        <v>3.15335931E7</v>
      </c>
      <c r="O33" s="22" t="str">
        <f t="shared" si="27"/>
        <v>32,695,852.10</v>
      </c>
      <c r="P33" s="22" t="str">
        <f t="shared" si="5"/>
        <v>1,458,757.20</v>
      </c>
      <c r="Q33" s="22" t="str">
        <f t="shared" si="6"/>
        <v>50,071,754.53</v>
      </c>
      <c r="R33" s="22">
        <v>0.0</v>
      </c>
      <c r="S33" s="22">
        <v>2.230535569E7</v>
      </c>
      <c r="T33" s="22">
        <v>296450.54</v>
      </c>
      <c r="U33" s="22">
        <v>3.751017213E7</v>
      </c>
      <c r="V33" s="22" t="str">
        <f t="shared" si="28"/>
        <v>37,806,622.67</v>
      </c>
      <c r="W33" s="22" t="str">
        <f t="shared" si="8"/>
        <v>296,450.54</v>
      </c>
      <c r="X33" s="22" t="str">
        <f t="shared" si="9"/>
        <v>60,111,978.36</v>
      </c>
      <c r="Y33" s="22">
        <v>0.0</v>
      </c>
      <c r="Z33" s="22">
        <v>3.093804706E7</v>
      </c>
      <c r="AA33" s="22">
        <v>987001.51</v>
      </c>
      <c r="AB33" s="22">
        <v>2.554141276E7</v>
      </c>
      <c r="AC33" s="22" t="str">
        <f t="shared" si="40"/>
        <v>26,528,414.27</v>
      </c>
      <c r="AD33" s="22" t="str">
        <f t="shared" si="11"/>
        <v>987,001.51</v>
      </c>
      <c r="AE33" s="22" t="str">
        <f t="shared" si="12"/>
        <v>57,466,461.33</v>
      </c>
      <c r="AF33" s="22">
        <v>0.0</v>
      </c>
      <c r="AG33" s="22">
        <v>3.350572744E7</v>
      </c>
      <c r="AH33" s="22">
        <v>318664.13</v>
      </c>
      <c r="AI33" s="22">
        <v>1.959792315E7</v>
      </c>
      <c r="AJ33" s="22" t="str">
        <f t="shared" si="45"/>
        <v>19,916,587.28</v>
      </c>
      <c r="AK33" s="22" t="str">
        <f t="shared" si="14"/>
        <v>318,664.13</v>
      </c>
      <c r="AL33" s="22" t="str">
        <f t="shared" si="15"/>
        <v>53,422,314.72</v>
      </c>
      <c r="AM33" s="22">
        <v>0.0</v>
      </c>
      <c r="AN33" s="22">
        <v>3.478069916E7</v>
      </c>
      <c r="AO33" s="22">
        <v>2087616.11</v>
      </c>
      <c r="AP33" s="22">
        <v>2.323683106E7</v>
      </c>
      <c r="AQ33" s="22" t="str">
        <f t="shared" si="46"/>
        <v>25,324,447.17</v>
      </c>
      <c r="AR33" s="22" t="str">
        <f t="shared" si="17"/>
        <v>2,087,616.11</v>
      </c>
      <c r="AS33" s="22" t="str">
        <f t="shared" si="18"/>
        <v>60,105,146.33</v>
      </c>
      <c r="AT33" s="22">
        <v>0.0</v>
      </c>
      <c r="AU33" s="22">
        <v>2.788325694E7</v>
      </c>
      <c r="AV33" s="22">
        <v>38028.26</v>
      </c>
      <c r="AW33" s="22">
        <v>2.823703744E7</v>
      </c>
      <c r="AX33" s="22" t="str">
        <f t="shared" si="49"/>
        <v>28,275,065.70</v>
      </c>
      <c r="AY33" s="22" t="str">
        <f t="shared" si="20"/>
        <v>38,028.26</v>
      </c>
      <c r="AZ33" s="22" t="str">
        <f t="shared" si="21"/>
        <v>56,158,322.64</v>
      </c>
      <c r="BA33" s="21"/>
      <c r="BB33" s="21"/>
      <c r="BC33" s="21"/>
      <c r="BD33" s="21"/>
      <c r="BE33" s="22" t="str">
        <f t="shared" si="50"/>
        <v>0.00</v>
      </c>
      <c r="BF33" s="22" t="str">
        <f t="shared" si="23"/>
        <v>0.00</v>
      </c>
      <c r="BG33" s="22" t="str">
        <f t="shared" si="24"/>
        <v>0.00</v>
      </c>
      <c r="BH33" s="23" t="str">
        <f>HYPERLINK("http://www.um.es/web/transparencia/contenido/economia/cuentas-anuales","http://www.um.es/web/transparencia/contenido/economia/cuentas-anuales")</f>
        <v>http://www.um.es/web/transparencia/contenido/economia/cuentas-anuales</v>
      </c>
    </row>
    <row r="34">
      <c r="A34" s="20" t="s">
        <v>57</v>
      </c>
      <c r="B34" s="9" t="s">
        <v>18</v>
      </c>
      <c r="C34" s="9" t="s">
        <v>59</v>
      </c>
      <c r="D34" s="22">
        <v>3.392427712E7</v>
      </c>
      <c r="E34" s="22">
        <v>4.288925445E7</v>
      </c>
      <c r="F34" s="22">
        <v>6419490.34</v>
      </c>
      <c r="G34" s="22">
        <v>1.390999943E7</v>
      </c>
      <c r="H34" s="22" t="str">
        <f t="shared" si="26"/>
        <v>20,329,489.77</v>
      </c>
      <c r="I34" s="22" t="str">
        <f t="shared" si="2"/>
        <v>40,343,767.46</v>
      </c>
      <c r="J34" s="22" t="str">
        <f t="shared" si="3"/>
        <v>63,218,744.22</v>
      </c>
      <c r="K34" s="22">
        <v>2.674187323E7</v>
      </c>
      <c r="L34" s="22">
        <v>5.038490967E7</v>
      </c>
      <c r="M34" s="22">
        <v>7011313.11</v>
      </c>
      <c r="N34" s="22">
        <v>1.471991335E7</v>
      </c>
      <c r="O34" s="22" t="str">
        <f t="shared" si="27"/>
        <v>21,731,226.46</v>
      </c>
      <c r="P34" s="22" t="str">
        <f t="shared" si="5"/>
        <v>33,753,186.34</v>
      </c>
      <c r="Q34" s="22" t="str">
        <f t="shared" si="6"/>
        <v>72,116,136.13</v>
      </c>
      <c r="R34" s="22">
        <v>1.942244122E7</v>
      </c>
      <c r="S34" s="22">
        <v>4.584353677E7</v>
      </c>
      <c r="T34" s="22">
        <v>7294666.32</v>
      </c>
      <c r="U34" s="22">
        <v>1.523321103E7</v>
      </c>
      <c r="V34" s="22" t="str">
        <f t="shared" si="28"/>
        <v>22,527,877.35</v>
      </c>
      <c r="W34" s="22" t="str">
        <f t="shared" si="8"/>
        <v>26,717,107.54</v>
      </c>
      <c r="X34" s="22" t="str">
        <f t="shared" si="9"/>
        <v>68,371,414.12</v>
      </c>
      <c r="Y34" s="22">
        <v>1.591904258E7</v>
      </c>
      <c r="Z34" s="22">
        <v>4.387278335E7</v>
      </c>
      <c r="AA34" s="22">
        <v>3543731.18</v>
      </c>
      <c r="AB34" s="22">
        <v>1.691324219E7</v>
      </c>
      <c r="AC34" s="22" t="str">
        <f>AA34+AB34+2071366.12+70470.51</f>
        <v>22,598,810.00</v>
      </c>
      <c r="AD34" s="22" t="str">
        <f t="shared" si="11"/>
        <v>19,462,773.76</v>
      </c>
      <c r="AE34" s="22" t="str">
        <f t="shared" si="12"/>
        <v>66,471,593.35</v>
      </c>
      <c r="AF34" s="22">
        <v>1.310324157E7</v>
      </c>
      <c r="AG34" s="22">
        <v>3.844784932E7</v>
      </c>
      <c r="AH34" s="22">
        <v>2780443.23</v>
      </c>
      <c r="AI34" s="22">
        <v>1.065015227E7</v>
      </c>
      <c r="AJ34" s="22" t="str">
        <f>AH34+AI34+8174764.18+43521.58</f>
        <v>21,648,881.26</v>
      </c>
      <c r="AK34" s="22" t="str">
        <f t="shared" si="14"/>
        <v>15,883,684.80</v>
      </c>
      <c r="AL34" s="22" t="str">
        <f t="shared" si="15"/>
        <v>60,096,730.58</v>
      </c>
      <c r="AM34" s="22">
        <v>1.022078756E7</v>
      </c>
      <c r="AN34" s="22">
        <v>3.419112043E7</v>
      </c>
      <c r="AO34" s="22">
        <v>2859016.85</v>
      </c>
      <c r="AP34" s="22">
        <v>1.472168101E7</v>
      </c>
      <c r="AQ34" s="22" t="str">
        <f>AO34+AP34+8617614.6+43521.58</f>
        <v>26,241,834.04</v>
      </c>
      <c r="AR34" s="22" t="str">
        <f t="shared" si="17"/>
        <v>13,079,804.41</v>
      </c>
      <c r="AS34" s="22" t="str">
        <f t="shared" si="18"/>
        <v>60,432,954.47</v>
      </c>
      <c r="AT34" s="22">
        <v>7337119.36</v>
      </c>
      <c r="AU34" s="22">
        <v>2.600390185E7</v>
      </c>
      <c r="AV34" s="22">
        <v>2884752.99</v>
      </c>
      <c r="AW34" s="22">
        <v>1.438865203E7</v>
      </c>
      <c r="AX34" s="22" t="str">
        <f>AV34+AW34+9349626.97+3554516.21</f>
        <v>30,177,548.20</v>
      </c>
      <c r="AY34" s="22" t="str">
        <f t="shared" si="20"/>
        <v>10,221,872.35</v>
      </c>
      <c r="AZ34" s="22" t="str">
        <f t="shared" si="21"/>
        <v>56,181,450.05</v>
      </c>
      <c r="BA34" s="21"/>
      <c r="BB34" s="21"/>
      <c r="BC34" s="21"/>
      <c r="BD34" s="21"/>
      <c r="BE34" s="22" t="str">
        <f t="shared" si="50"/>
        <v>0.00</v>
      </c>
      <c r="BF34" s="22" t="str">
        <f t="shared" si="23"/>
        <v>0.00</v>
      </c>
      <c r="BG34" s="22" t="str">
        <f t="shared" si="24"/>
        <v>0.00</v>
      </c>
      <c r="BH34" s="23" t="str">
        <f>HYPERLINK("http://portal.uned.es/portal/page?_pageid=93,23278608&amp;_dad=portal&amp;_schema=PORTAL","http://portal.uned.es/portal/page?_pageid=93,23278608&amp;_dad=portal&amp;_schema=PORTAL")</f>
        <v>http://portal.uned.es/portal/page?_pageid=93,23278608&amp;_dad=portal&amp;_schema=PORTAL</v>
      </c>
    </row>
    <row r="35">
      <c r="A35" s="20" t="s">
        <v>60</v>
      </c>
      <c r="B35" s="9" t="s">
        <v>18</v>
      </c>
      <c r="C35" s="9" t="s">
        <v>19</v>
      </c>
      <c r="D35" s="22">
        <v>1.53579277E7</v>
      </c>
      <c r="E35" s="22">
        <v>1.54083764E7</v>
      </c>
      <c r="F35" s="22">
        <v>3355857.53</v>
      </c>
      <c r="G35" s="22">
        <v>2.544313301E7</v>
      </c>
      <c r="H35" s="22" t="str">
        <f t="shared" si="26"/>
        <v>28,798,990.54</v>
      </c>
      <c r="I35" s="22" t="str">
        <f t="shared" si="2"/>
        <v>18,713,785.23</v>
      </c>
      <c r="J35" s="22" t="str">
        <f t="shared" si="3"/>
        <v>44,207,366.94</v>
      </c>
      <c r="K35" s="22">
        <v>1.20977977E7</v>
      </c>
      <c r="L35" s="22">
        <v>1.21482464E7</v>
      </c>
      <c r="M35" s="22">
        <v>3457012.48</v>
      </c>
      <c r="N35" s="22">
        <v>2.822998393E7</v>
      </c>
      <c r="O35" s="22" t="str">
        <f>M35+N35+36717.73</f>
        <v>31,723,714.14</v>
      </c>
      <c r="P35" s="22" t="str">
        <f t="shared" si="5"/>
        <v>15,554,810.18</v>
      </c>
      <c r="Q35" s="22" t="str">
        <f t="shared" si="6"/>
        <v>43,871,960.54</v>
      </c>
      <c r="R35" s="22">
        <v>8922443.41</v>
      </c>
      <c r="S35" s="22">
        <v>1.414029598E7</v>
      </c>
      <c r="T35" s="22">
        <v>3650996.42</v>
      </c>
      <c r="U35" s="22">
        <v>3.318284193E7</v>
      </c>
      <c r="V35" s="22" t="str">
        <f>T35+U35+7429.59</f>
        <v>36,841,267.94</v>
      </c>
      <c r="W35" s="22" t="str">
        <f t="shared" si="8"/>
        <v>12,573,439.83</v>
      </c>
      <c r="X35" s="22" t="str">
        <f t="shared" si="9"/>
        <v>50,981,563.92</v>
      </c>
      <c r="Y35" s="22">
        <v>4781624.4</v>
      </c>
      <c r="Z35" s="22">
        <v>1.267362373E7</v>
      </c>
      <c r="AA35" s="22">
        <v>3851698.32</v>
      </c>
      <c r="AB35" s="22">
        <v>2.690099555E7</v>
      </c>
      <c r="AC35" s="22" t="str">
        <f>AA35+AB35+25073.19</f>
        <v>30,777,767.06</v>
      </c>
      <c r="AD35" s="22" t="str">
        <f t="shared" si="11"/>
        <v>8,633,322.72</v>
      </c>
      <c r="AE35" s="22" t="str">
        <f t="shared" si="12"/>
        <v>43,451,390.79</v>
      </c>
      <c r="AF35" s="22">
        <v>1175392.66</v>
      </c>
      <c r="AG35" s="22">
        <v>1.576064518E7</v>
      </c>
      <c r="AH35" s="22">
        <v>4078712.86</v>
      </c>
      <c r="AI35" s="22">
        <v>2.675327547E7</v>
      </c>
      <c r="AJ35" s="22" t="str">
        <f>AH35+AI35+34152.85</f>
        <v>30,866,141.18</v>
      </c>
      <c r="AK35" s="22" t="str">
        <f t="shared" si="14"/>
        <v>5,254,105.52</v>
      </c>
      <c r="AL35" s="22" t="str">
        <f t="shared" si="15"/>
        <v>46,626,786.36</v>
      </c>
      <c r="AM35" s="22">
        <v>505000.0</v>
      </c>
      <c r="AN35" s="22">
        <v>8495000.0</v>
      </c>
      <c r="AO35" s="22">
        <v>1040000.0</v>
      </c>
      <c r="AP35" s="22">
        <v>2.5512E7</v>
      </c>
      <c r="AQ35" s="22" t="str">
        <f t="shared" ref="AQ35:AQ38" si="51">AO35+AP35</f>
        <v>26,552,000.00</v>
      </c>
      <c r="AR35" s="22" t="str">
        <f t="shared" si="17"/>
        <v>1,545,000.00</v>
      </c>
      <c r="AS35" s="22" t="str">
        <f t="shared" si="18"/>
        <v>35,047,000.00</v>
      </c>
      <c r="AT35" s="22">
        <v>0.0</v>
      </c>
      <c r="AU35" s="22">
        <v>7620000.0</v>
      </c>
      <c r="AV35" s="22">
        <v>875000.0</v>
      </c>
      <c r="AW35" s="22">
        <v>1.6898E7</v>
      </c>
      <c r="AX35" s="22" t="str">
        <f t="shared" ref="AX35:AX38" si="52">AV35+AW35</f>
        <v>17,773,000.00</v>
      </c>
      <c r="AY35" s="22" t="str">
        <f t="shared" si="20"/>
        <v>875,000.00</v>
      </c>
      <c r="AZ35" s="22" t="str">
        <f t="shared" si="21"/>
        <v>25,393,000.00</v>
      </c>
      <c r="BA35" s="22">
        <v>0.0</v>
      </c>
      <c r="BB35" s="22">
        <v>7858000.0</v>
      </c>
      <c r="BC35" s="22">
        <v>429000.0</v>
      </c>
      <c r="BD35" s="22">
        <v>1.7119E7</v>
      </c>
      <c r="BE35" s="22" t="str">
        <f t="shared" si="50"/>
        <v>17,548,000.00</v>
      </c>
      <c r="BF35" s="22" t="str">
        <f t="shared" si="23"/>
        <v>429,000.00</v>
      </c>
      <c r="BG35" s="22" t="str">
        <f t="shared" si="24"/>
        <v>25,406,000.00</v>
      </c>
      <c r="BH35" s="23" t="str">
        <f>HYPERLINK("http://www.uniovi.es/gobiernoservicios/gobierno/gerencia/cuentasanuales","http://www.uniovi.es/gobiernoservicios/gobierno/gerencia/cuentasanuales")</f>
        <v>http://www.uniovi.es/gobiernoservicios/gobierno/gerencia/cuentasanuales</v>
      </c>
    </row>
    <row r="36">
      <c r="A36" s="20" t="s">
        <v>61</v>
      </c>
      <c r="B36" s="9" t="s">
        <v>18</v>
      </c>
      <c r="C36" s="9" t="s">
        <v>19</v>
      </c>
      <c r="D36" s="21"/>
      <c r="E36" s="21"/>
      <c r="F36" s="21"/>
      <c r="G36" s="21"/>
      <c r="H36" s="22" t="str">
        <f t="shared" si="26"/>
        <v>0.00</v>
      </c>
      <c r="I36" s="22" t="str">
        <f t="shared" si="2"/>
        <v>0.00</v>
      </c>
      <c r="J36" s="22" t="str">
        <f t="shared" si="3"/>
        <v>0.00</v>
      </c>
      <c r="K36" s="21"/>
      <c r="L36" s="21"/>
      <c r="M36" s="21"/>
      <c r="N36" s="21"/>
      <c r="O36" s="22" t="str">
        <f t="shared" ref="O36:O38" si="53">M36+N36</f>
        <v>0.00</v>
      </c>
      <c r="P36" s="22" t="str">
        <f t="shared" si="5"/>
        <v>0.00</v>
      </c>
      <c r="Q36" s="22" t="str">
        <f t="shared" si="6"/>
        <v>0.00</v>
      </c>
      <c r="R36" s="21"/>
      <c r="S36" s="21"/>
      <c r="T36" s="21"/>
      <c r="U36" s="21"/>
      <c r="V36" s="22" t="str">
        <f t="shared" ref="V36:V38" si="54">T36+U36</f>
        <v>0.00</v>
      </c>
      <c r="W36" s="22" t="str">
        <f t="shared" si="8"/>
        <v>0.00</v>
      </c>
      <c r="X36" s="22" t="str">
        <f t="shared" si="9"/>
        <v>0.00</v>
      </c>
      <c r="Y36" s="22">
        <v>9664164.62</v>
      </c>
      <c r="Z36" s="22">
        <v>1.907702141E7</v>
      </c>
      <c r="AA36" s="22">
        <v>0.0</v>
      </c>
      <c r="AB36" s="22">
        <v>1.86607226E7</v>
      </c>
      <c r="AC36" s="22" t="str">
        <f t="shared" ref="AC36:AC38" si="55">AA36+AB36</f>
        <v>18,660,722.60</v>
      </c>
      <c r="AD36" s="22" t="str">
        <f t="shared" si="11"/>
        <v>9,664,164.62</v>
      </c>
      <c r="AE36" s="22" t="str">
        <f t="shared" si="12"/>
        <v>37,737,744.01</v>
      </c>
      <c r="AF36" s="22">
        <v>4833085.6</v>
      </c>
      <c r="AG36" s="22">
        <v>1.552131173E7</v>
      </c>
      <c r="AH36" s="22">
        <v>1714910.17</v>
      </c>
      <c r="AI36" s="22">
        <v>2.252863866E7</v>
      </c>
      <c r="AJ36" s="22" t="str">
        <f t="shared" ref="AJ36:AJ38" si="56">AH36+AI36</f>
        <v>24,243,548.83</v>
      </c>
      <c r="AK36" s="22" t="str">
        <f t="shared" si="14"/>
        <v>6,547,995.77</v>
      </c>
      <c r="AL36" s="22" t="str">
        <f t="shared" si="15"/>
        <v>39,764,860.56</v>
      </c>
      <c r="AM36" s="22">
        <v>4600414.11</v>
      </c>
      <c r="AN36" s="22">
        <v>1.600165816E7</v>
      </c>
      <c r="AO36" s="22">
        <v>232671.49</v>
      </c>
      <c r="AP36" s="22">
        <v>1.591191799E7</v>
      </c>
      <c r="AQ36" s="22" t="str">
        <f t="shared" si="51"/>
        <v>16,144,589.48</v>
      </c>
      <c r="AR36" s="22" t="str">
        <f t="shared" si="17"/>
        <v>4,833,085.60</v>
      </c>
      <c r="AS36" s="22" t="str">
        <f t="shared" si="18"/>
        <v>32,146,247.64</v>
      </c>
      <c r="AT36" s="22">
        <v>4341474.32</v>
      </c>
      <c r="AU36" s="22">
        <v>1.945825781E7</v>
      </c>
      <c r="AV36" s="22">
        <v>247263.48</v>
      </c>
      <c r="AW36" s="22">
        <v>1.26761039E7</v>
      </c>
      <c r="AX36" s="22" t="str">
        <f t="shared" si="52"/>
        <v>12,923,367.38</v>
      </c>
      <c r="AY36" s="22" t="str">
        <f t="shared" si="20"/>
        <v>4,588,737.80</v>
      </c>
      <c r="AZ36" s="22" t="str">
        <f t="shared" si="21"/>
        <v>32,381,625.19</v>
      </c>
      <c r="BA36" s="22">
        <v>4076347.28</v>
      </c>
      <c r="BB36" s="22">
        <v>2.388531712E7</v>
      </c>
      <c r="BC36" s="22">
        <v>265126.04</v>
      </c>
      <c r="BD36" s="22">
        <v>8179192.75</v>
      </c>
      <c r="BE36" s="22" t="str">
        <f>BC36+BD36+2175333.65+264532.58</f>
        <v>10,884,185.02</v>
      </c>
      <c r="BF36" s="22" t="str">
        <f t="shared" si="23"/>
        <v>4,341,473.32</v>
      </c>
      <c r="BG36" s="22" t="str">
        <f t="shared" si="24"/>
        <v>34,769,502.14</v>
      </c>
      <c r="BH36" s="23" t="str">
        <f>HYPERLINK("http://www.upo.es/transparencia/tema/informacion-economica/memorias-de-liquidacion/","http://www.upo.es/transparencia/tema/informacion-economica/memorias-de-liquidacion/")</f>
        <v>http://www.upo.es/transparencia/tema/informacion-economica/memorias-de-liquidacion/</v>
      </c>
    </row>
    <row r="37">
      <c r="A37" s="25" t="s">
        <v>62</v>
      </c>
      <c r="B37" s="9" t="s">
        <v>18</v>
      </c>
      <c r="C37" s="9" t="s">
        <v>19</v>
      </c>
      <c r="D37" s="21"/>
      <c r="E37" s="21"/>
      <c r="F37" s="21"/>
      <c r="G37" s="21"/>
      <c r="H37" s="22" t="str">
        <f t="shared" si="26"/>
        <v>0.00</v>
      </c>
      <c r="I37" s="22" t="str">
        <f t="shared" si="2"/>
        <v>0.00</v>
      </c>
      <c r="J37" s="22" t="str">
        <f t="shared" si="3"/>
        <v>0.00</v>
      </c>
      <c r="K37" s="21"/>
      <c r="L37" s="21"/>
      <c r="M37" s="21"/>
      <c r="N37" s="21"/>
      <c r="O37" s="22" t="str">
        <f t="shared" si="53"/>
        <v>0.00</v>
      </c>
      <c r="P37" s="22" t="str">
        <f t="shared" si="5"/>
        <v>0.00</v>
      </c>
      <c r="Q37" s="22" t="str">
        <f t="shared" si="6"/>
        <v>0.00</v>
      </c>
      <c r="R37" s="21"/>
      <c r="S37" s="21"/>
      <c r="T37" s="21"/>
      <c r="U37" s="21"/>
      <c r="V37" s="22" t="str">
        <f t="shared" si="54"/>
        <v>0.00</v>
      </c>
      <c r="W37" s="22" t="str">
        <f t="shared" si="8"/>
        <v>0.00</v>
      </c>
      <c r="X37" s="22" t="str">
        <f t="shared" si="9"/>
        <v>0.00</v>
      </c>
      <c r="Y37" s="21"/>
      <c r="Z37" s="21"/>
      <c r="AA37" s="21"/>
      <c r="AB37" s="21"/>
      <c r="AC37" s="22" t="str">
        <f t="shared" si="55"/>
        <v>0.00</v>
      </c>
      <c r="AD37" s="22" t="str">
        <f t="shared" si="11"/>
        <v>0.00</v>
      </c>
      <c r="AE37" s="22" t="str">
        <f t="shared" si="12"/>
        <v>0.00</v>
      </c>
      <c r="AF37" s="21"/>
      <c r="AG37" s="21"/>
      <c r="AH37" s="21"/>
      <c r="AI37" s="21"/>
      <c r="AJ37" s="22" t="str">
        <f t="shared" si="56"/>
        <v>0.00</v>
      </c>
      <c r="AK37" s="22" t="str">
        <f t="shared" si="14"/>
        <v>0.00</v>
      </c>
      <c r="AL37" s="22" t="str">
        <f t="shared" si="15"/>
        <v>0.00</v>
      </c>
      <c r="AM37" s="21"/>
      <c r="AN37" s="21"/>
      <c r="AO37" s="21"/>
      <c r="AP37" s="21"/>
      <c r="AQ37" s="22" t="str">
        <f t="shared" si="51"/>
        <v>0.00</v>
      </c>
      <c r="AR37" s="22" t="str">
        <f t="shared" si="17"/>
        <v>0.00</v>
      </c>
      <c r="AS37" s="22" t="str">
        <f t="shared" si="18"/>
        <v>0.00</v>
      </c>
      <c r="AT37" s="21"/>
      <c r="AU37" s="21"/>
      <c r="AV37" s="21"/>
      <c r="AW37" s="21"/>
      <c r="AX37" s="22" t="str">
        <f t="shared" si="52"/>
        <v>0.00</v>
      </c>
      <c r="AY37" s="22" t="str">
        <f t="shared" si="20"/>
        <v>0.00</v>
      </c>
      <c r="AZ37" s="22" t="str">
        <f t="shared" si="21"/>
        <v>0.00</v>
      </c>
      <c r="BA37" s="21"/>
      <c r="BB37" s="21"/>
      <c r="BC37" s="21"/>
      <c r="BD37" s="21"/>
      <c r="BE37" s="22" t="str">
        <f t="shared" ref="BE37:BE40" si="57">BC37+BD37</f>
        <v>0.00</v>
      </c>
      <c r="BF37" s="22" t="str">
        <f t="shared" si="23"/>
        <v>0.00</v>
      </c>
      <c r="BG37" s="22" t="str">
        <f t="shared" si="24"/>
        <v>0.00</v>
      </c>
      <c r="BH37" s="1"/>
    </row>
    <row r="38">
      <c r="A38" s="20" t="s">
        <v>63</v>
      </c>
      <c r="B38" s="9" t="s">
        <v>18</v>
      </c>
      <c r="C38" s="9" t="s">
        <v>19</v>
      </c>
      <c r="D38" s="22">
        <v>7158722.38</v>
      </c>
      <c r="E38" s="22">
        <v>1.405540293E7</v>
      </c>
      <c r="F38" s="22">
        <v>2023500.07</v>
      </c>
      <c r="G38" s="22">
        <v>5411875.71</v>
      </c>
      <c r="H38" s="22" t="str">
        <f t="shared" si="26"/>
        <v>7,435,375.78</v>
      </c>
      <c r="I38" s="22" t="str">
        <f t="shared" si="2"/>
        <v>9,182,222.45</v>
      </c>
      <c r="J38" s="22" t="str">
        <f t="shared" si="3"/>
        <v>21,490,778.71</v>
      </c>
      <c r="K38" s="22">
        <v>5743005.0</v>
      </c>
      <c r="L38" s="22">
        <v>1.842917335E7</v>
      </c>
      <c r="M38" s="22">
        <v>1422727.38</v>
      </c>
      <c r="N38" s="22">
        <v>7522185.54</v>
      </c>
      <c r="O38" s="22" t="str">
        <f t="shared" si="53"/>
        <v>8,944,912.92</v>
      </c>
      <c r="P38" s="22" t="str">
        <f t="shared" si="5"/>
        <v>7,165,732.38</v>
      </c>
      <c r="Q38" s="22" t="str">
        <f t="shared" si="6"/>
        <v>27,374,086.27</v>
      </c>
      <c r="R38" s="22">
        <v>4327287.15</v>
      </c>
      <c r="S38" s="22">
        <v>2.152764723E7</v>
      </c>
      <c r="T38" s="22">
        <v>1421386.33</v>
      </c>
      <c r="U38" s="22">
        <v>7791669.82</v>
      </c>
      <c r="V38" s="22" t="str">
        <f t="shared" si="54"/>
        <v>9,213,056.15</v>
      </c>
      <c r="W38" s="22" t="str">
        <f t="shared" si="8"/>
        <v>5,748,673.48</v>
      </c>
      <c r="X38" s="22" t="str">
        <f t="shared" si="9"/>
        <v>30,740,703.38</v>
      </c>
      <c r="Y38" s="22">
        <v>3245465.37</v>
      </c>
      <c r="Z38" s="22">
        <v>1.927858442E7</v>
      </c>
      <c r="AA38" s="22">
        <v>1083955.81</v>
      </c>
      <c r="AB38" s="22">
        <v>1.082533829E7</v>
      </c>
      <c r="AC38" s="22" t="str">
        <f t="shared" si="55"/>
        <v>11,909,294.10</v>
      </c>
      <c r="AD38" s="22" t="str">
        <f t="shared" si="11"/>
        <v>4,329,421.18</v>
      </c>
      <c r="AE38" s="22" t="str">
        <f t="shared" si="12"/>
        <v>31,187,878.52</v>
      </c>
      <c r="AF38" s="22">
        <v>2163643.59</v>
      </c>
      <c r="AG38" s="22">
        <v>1.292511461E7</v>
      </c>
      <c r="AH38" s="22">
        <v>1082316.37</v>
      </c>
      <c r="AI38" s="22">
        <v>1.274038163E7</v>
      </c>
      <c r="AJ38" s="22" t="str">
        <f t="shared" si="56"/>
        <v>13,822,698.00</v>
      </c>
      <c r="AK38" s="22" t="str">
        <f t="shared" si="14"/>
        <v>3,245,959.96</v>
      </c>
      <c r="AL38" s="22" t="str">
        <f t="shared" si="15"/>
        <v>26,747,812.61</v>
      </c>
      <c r="AM38" s="22">
        <v>1081821.81</v>
      </c>
      <c r="AN38" s="22">
        <v>1.954933784E7</v>
      </c>
      <c r="AO38" s="22">
        <v>1082164.21</v>
      </c>
      <c r="AP38" s="22">
        <v>6376191.33</v>
      </c>
      <c r="AQ38" s="22" t="str">
        <f t="shared" si="51"/>
        <v>7,458,355.54</v>
      </c>
      <c r="AR38" s="22" t="str">
        <f t="shared" si="17"/>
        <v>2,163,986.02</v>
      </c>
      <c r="AS38" s="22" t="str">
        <f t="shared" si="18"/>
        <v>27,007,693.38</v>
      </c>
      <c r="AT38" s="22">
        <v>0.0</v>
      </c>
      <c r="AU38" s="22">
        <v>1.230386454E7</v>
      </c>
      <c r="AV38" s="22">
        <v>1084802.17</v>
      </c>
      <c r="AW38" s="22">
        <v>5152520.86</v>
      </c>
      <c r="AX38" s="22" t="str">
        <f t="shared" si="52"/>
        <v>6,237,323.03</v>
      </c>
      <c r="AY38" s="22" t="str">
        <f t="shared" si="20"/>
        <v>1,084,802.17</v>
      </c>
      <c r="AZ38" s="22" t="str">
        <f t="shared" si="21"/>
        <v>18,541,187.57</v>
      </c>
      <c r="BA38" s="22">
        <v>0.0</v>
      </c>
      <c r="BB38" s="22">
        <v>1.278957061E7</v>
      </c>
      <c r="BC38" s="22">
        <v>2574.05</v>
      </c>
      <c r="BD38" s="22">
        <v>7065794.66</v>
      </c>
      <c r="BE38" s="22" t="str">
        <f t="shared" si="57"/>
        <v>7,068,368.71</v>
      </c>
      <c r="BF38" s="22" t="str">
        <f t="shared" si="23"/>
        <v>2,574.05</v>
      </c>
      <c r="BG38" s="22" t="str">
        <f t="shared" si="24"/>
        <v>19,857,939.32</v>
      </c>
      <c r="BH38" s="23" t="str">
        <f>HYPERLINK("http://www.upct.es/~uae/secciones.php?id_categoria=2","http://www.upct.es/~uae/secciones.php?id_categoria=2")</f>
        <v>http://www.upct.es/~uae/secciones.php?id_categoria=2</v>
      </c>
    </row>
    <row r="39">
      <c r="A39" s="20" t="s">
        <v>64</v>
      </c>
      <c r="B39" s="9" t="s">
        <v>18</v>
      </c>
      <c r="C39" s="9" t="s">
        <v>19</v>
      </c>
      <c r="D39" s="21"/>
      <c r="E39" s="22">
        <v>4.7264293E7</v>
      </c>
      <c r="F39" s="21"/>
      <c r="G39" s="21"/>
      <c r="H39" s="22" t="str">
        <f>75001942</f>
        <v>75,001,942.00</v>
      </c>
      <c r="I39" s="22" t="str">
        <f t="shared" si="2"/>
        <v>0.00</v>
      </c>
      <c r="J39" s="22" t="str">
        <f t="shared" si="3"/>
        <v>122,266,235.00</v>
      </c>
      <c r="K39" s="21"/>
      <c r="L39" s="22">
        <v>4.7611808E7</v>
      </c>
      <c r="M39" s="21"/>
      <c r="N39" s="21"/>
      <c r="O39" s="22" t="str">
        <f>76092200</f>
        <v>76,092,200.00</v>
      </c>
      <c r="P39" s="22" t="str">
        <f t="shared" si="5"/>
        <v>0.00</v>
      </c>
      <c r="Q39" s="22" t="str">
        <f t="shared" si="6"/>
        <v>123,704,008.00</v>
      </c>
      <c r="R39" s="21"/>
      <c r="S39" s="22">
        <v>4.5623718E7</v>
      </c>
      <c r="T39" s="21"/>
      <c r="U39" s="21"/>
      <c r="V39" s="22" t="str">
        <f>76547742</f>
        <v>76,547,742.00</v>
      </c>
      <c r="W39" s="22" t="str">
        <f t="shared" si="8"/>
        <v>0.00</v>
      </c>
      <c r="X39" s="22" t="str">
        <f t="shared" si="9"/>
        <v>122,171,460.00</v>
      </c>
      <c r="Y39" s="21"/>
      <c r="Z39" s="22">
        <v>7.1861774E7</v>
      </c>
      <c r="AA39" s="22">
        <v>0.0</v>
      </c>
      <c r="AB39" s="21"/>
      <c r="AC39" s="22" t="str">
        <f>75921053</f>
        <v>75,921,053.00</v>
      </c>
      <c r="AD39" s="22" t="str">
        <f t="shared" si="11"/>
        <v>0.00</v>
      </c>
      <c r="AE39" s="22" t="str">
        <f t="shared" si="12"/>
        <v>147,782,827.00</v>
      </c>
      <c r="AF39" s="21"/>
      <c r="AG39" s="22">
        <v>6.6393269E7</v>
      </c>
      <c r="AH39" s="22">
        <v>2.4067878E7</v>
      </c>
      <c r="AI39" s="21"/>
      <c r="AJ39" s="22" t="str">
        <f>103122319</f>
        <v>103,122,319.00</v>
      </c>
      <c r="AK39" s="22" t="str">
        <f t="shared" si="14"/>
        <v>24,067,878.00</v>
      </c>
      <c r="AL39" s="22" t="str">
        <f t="shared" si="15"/>
        <v>169,515,588.00</v>
      </c>
      <c r="AM39" s="21"/>
      <c r="AN39" s="22">
        <v>6.2511851E7</v>
      </c>
      <c r="AO39" s="22">
        <v>1.1050402E7</v>
      </c>
      <c r="AP39" s="21"/>
      <c r="AQ39" s="22" t="str">
        <f>102531611</f>
        <v>102,531,611.00</v>
      </c>
      <c r="AR39" s="22" t="str">
        <f t="shared" si="17"/>
        <v>11,050,402.00</v>
      </c>
      <c r="AS39" s="22" t="str">
        <f t="shared" si="18"/>
        <v>165,043,462.00</v>
      </c>
      <c r="AT39" s="21"/>
      <c r="AU39" s="22">
        <v>5.6949557E7</v>
      </c>
      <c r="AV39" s="22">
        <v>2.8162632E7</v>
      </c>
      <c r="AW39" s="21"/>
      <c r="AX39" s="22" t="str">
        <f>85907201</f>
        <v>85,907,201.00</v>
      </c>
      <c r="AY39" s="22" t="str">
        <f t="shared" si="20"/>
        <v>28,162,632.00</v>
      </c>
      <c r="AZ39" s="22" t="str">
        <f t="shared" si="21"/>
        <v>142,856,758.00</v>
      </c>
      <c r="BA39" s="21"/>
      <c r="BB39" s="21"/>
      <c r="BC39" s="21"/>
      <c r="BD39" s="21"/>
      <c r="BE39" s="22" t="str">
        <f t="shared" si="57"/>
        <v>0.00</v>
      </c>
      <c r="BF39" s="22" t="str">
        <f t="shared" si="23"/>
        <v>0.00</v>
      </c>
      <c r="BG39" s="22" t="str">
        <f t="shared" si="24"/>
        <v>0.00</v>
      </c>
      <c r="BH39" s="23" t="str">
        <f>HYPERLINK("https://www.upc.edu/economia/ca/comptes-anuals/comptes-anuals","https://www.upc.edu/economia/ca/comptes-anuals/comptes-anuals")</f>
        <v>https://www.upc.edu/economia/ca/comptes-anuals/comptes-anuals</v>
      </c>
    </row>
    <row r="40">
      <c r="A40" s="20" t="s">
        <v>65</v>
      </c>
      <c r="B40" s="9" t="s">
        <v>18</v>
      </c>
      <c r="C40" s="9" t="s">
        <v>19</v>
      </c>
      <c r="D40" s="22">
        <v>3168836.32</v>
      </c>
      <c r="E40" s="22">
        <v>4.141468491E7</v>
      </c>
      <c r="F40" s="22">
        <v>1584418.16</v>
      </c>
      <c r="G40" s="22">
        <v>4.359392959E7</v>
      </c>
      <c r="H40" s="22" t="str">
        <f t="shared" ref="H40:H51" si="58">F40+G40</f>
        <v>45,178,347.75</v>
      </c>
      <c r="I40" s="22" t="str">
        <f t="shared" si="2"/>
        <v>4,753,254.48</v>
      </c>
      <c r="J40" s="22" t="str">
        <f t="shared" si="3"/>
        <v>86,593,032.66</v>
      </c>
      <c r="K40" s="22">
        <v>1584418.16</v>
      </c>
      <c r="L40" s="22">
        <v>3.987598389E7</v>
      </c>
      <c r="M40" s="22">
        <v>1584418.16</v>
      </c>
      <c r="N40" s="22">
        <v>4.666483519E7</v>
      </c>
      <c r="O40" s="22" t="str">
        <f>M40+N40</f>
        <v>48,249,253.35</v>
      </c>
      <c r="P40" s="22" t="str">
        <f t="shared" si="5"/>
        <v>3,168,836.32</v>
      </c>
      <c r="Q40" s="22" t="str">
        <f t="shared" si="6"/>
        <v>88,125,237.24</v>
      </c>
      <c r="R40" s="22">
        <v>0.0</v>
      </c>
      <c r="S40" s="22">
        <v>7.102497971E7</v>
      </c>
      <c r="T40" s="22">
        <v>1584418.16</v>
      </c>
      <c r="U40" s="22">
        <v>4.40253293E7</v>
      </c>
      <c r="V40" s="22" t="str">
        <f>T40+U40</f>
        <v>45,609,747.46</v>
      </c>
      <c r="W40" s="22" t="str">
        <f t="shared" si="8"/>
        <v>1,584,418.16</v>
      </c>
      <c r="X40" s="22" t="str">
        <f t="shared" si="9"/>
        <v>116,634,727.17</v>
      </c>
      <c r="Y40" s="22">
        <v>0.0</v>
      </c>
      <c r="Z40" s="22">
        <v>8.763769187E7</v>
      </c>
      <c r="AA40" s="22">
        <v>0.0</v>
      </c>
      <c r="AB40" s="22">
        <v>5.903411005E7</v>
      </c>
      <c r="AC40" s="22" t="str">
        <f>AA40+AB40</f>
        <v>59,034,110.05</v>
      </c>
      <c r="AD40" s="22" t="str">
        <f t="shared" si="11"/>
        <v>0.00</v>
      </c>
      <c r="AE40" s="22" t="str">
        <f t="shared" si="12"/>
        <v>146,671,801.92</v>
      </c>
      <c r="AF40" s="22">
        <v>0.0</v>
      </c>
      <c r="AG40" s="22">
        <v>8.215544268E7</v>
      </c>
      <c r="AH40" s="22">
        <v>0.0</v>
      </c>
      <c r="AI40" s="22">
        <v>6.651058208E7</v>
      </c>
      <c r="AJ40" s="22" t="str">
        <f>AH40+AI40</f>
        <v>66,510,582.08</v>
      </c>
      <c r="AK40" s="22" t="str">
        <f t="shared" si="14"/>
        <v>0.00</v>
      </c>
      <c r="AL40" s="22" t="str">
        <f t="shared" si="15"/>
        <v>148,666,024.76</v>
      </c>
      <c r="AM40" s="22">
        <v>0.0</v>
      </c>
      <c r="AN40" s="22">
        <v>9.217839461E7</v>
      </c>
      <c r="AO40" s="22">
        <v>0.0</v>
      </c>
      <c r="AP40" s="22">
        <v>5.398165501E7</v>
      </c>
      <c r="AQ40" s="22" t="str">
        <f>AO40+AP40</f>
        <v>53,981,655.01</v>
      </c>
      <c r="AR40" s="22" t="str">
        <f t="shared" si="17"/>
        <v>0.00</v>
      </c>
      <c r="AS40" s="22" t="str">
        <f t="shared" si="18"/>
        <v>146,160,049.62</v>
      </c>
      <c r="AT40" s="22">
        <v>0.0</v>
      </c>
      <c r="AU40" s="22">
        <v>9.348513147E7</v>
      </c>
      <c r="AV40" s="22">
        <v>0.0</v>
      </c>
      <c r="AW40" s="22">
        <v>4.908869593E7</v>
      </c>
      <c r="AX40" s="22" t="str">
        <f>AV40+AW40</f>
        <v>49,088,695.93</v>
      </c>
      <c r="AY40" s="22" t="str">
        <f t="shared" si="20"/>
        <v>0.00</v>
      </c>
      <c r="AZ40" s="22" t="str">
        <f t="shared" si="21"/>
        <v>142,573,827.40</v>
      </c>
      <c r="BA40" s="22">
        <v>0.0</v>
      </c>
      <c r="BB40" s="22">
        <v>8.020303928E7</v>
      </c>
      <c r="BC40" s="22">
        <v>0.0</v>
      </c>
      <c r="BD40" s="22">
        <v>4.257185302E7</v>
      </c>
      <c r="BE40" s="22" t="str">
        <f t="shared" si="57"/>
        <v>42,571,853.02</v>
      </c>
      <c r="BF40" s="22" t="str">
        <f t="shared" si="23"/>
        <v>0.00</v>
      </c>
      <c r="BG40" s="22" t="str">
        <f t="shared" si="24"/>
        <v>122,774,892.30</v>
      </c>
      <c r="BH40" s="23" t="str">
        <f>HYPERLINK("http://www.upm.es/UPM/DatosEconomicos/CuentasAnuales","http://www.upm.es/UPM/DatosEconomicos/CuentasAnuales")</f>
        <v>http://www.upm.es/UPM/DatosEconomicos/CuentasAnuales</v>
      </c>
    </row>
    <row r="41">
      <c r="A41" s="20" t="s">
        <v>66</v>
      </c>
      <c r="B41" s="9" t="s">
        <v>18</v>
      </c>
      <c r="C41" s="9" t="s">
        <v>19</v>
      </c>
      <c r="D41" s="21"/>
      <c r="E41" s="21"/>
      <c r="F41" s="21"/>
      <c r="G41" s="21"/>
      <c r="H41" s="22" t="str">
        <f t="shared" si="58"/>
        <v>0.00</v>
      </c>
      <c r="I41" s="22" t="str">
        <f t="shared" si="2"/>
        <v>0.00</v>
      </c>
      <c r="J41" s="22" t="str">
        <f t="shared" si="3"/>
        <v>0.00</v>
      </c>
      <c r="K41" s="22">
        <v>5.504113918E7</v>
      </c>
      <c r="L41" s="22">
        <v>2.1144366431E8</v>
      </c>
      <c r="M41" s="22">
        <v>8.061218978E7</v>
      </c>
      <c r="N41" s="22">
        <v>5.549506455E7</v>
      </c>
      <c r="O41" s="22" t="str">
        <f>M41+N41+252988.53</f>
        <v>136,360,242.86</v>
      </c>
      <c r="P41" s="22" t="str">
        <f t="shared" si="5"/>
        <v>135,653,328.96</v>
      </c>
      <c r="Q41" s="22" t="str">
        <f t="shared" si="6"/>
        <v>347,803,907.17</v>
      </c>
      <c r="R41" s="22">
        <v>5.23225785E7</v>
      </c>
      <c r="S41" s="22">
        <v>2.144993386E8</v>
      </c>
      <c r="T41" s="22">
        <v>6.797399004E7</v>
      </c>
      <c r="U41" s="22">
        <v>5.173235854E7</v>
      </c>
      <c r="V41" s="22" t="str">
        <f>T41+U41+252988.53</f>
        <v>119,959,337.11</v>
      </c>
      <c r="W41" s="22" t="str">
        <f t="shared" si="8"/>
        <v>120,296,568.54</v>
      </c>
      <c r="X41" s="22" t="str">
        <f t="shared" si="9"/>
        <v>334,458,675.71</v>
      </c>
      <c r="Y41" s="22">
        <v>4.681329816E7</v>
      </c>
      <c r="Z41" s="22">
        <v>2.1369415077E8</v>
      </c>
      <c r="AA41" s="22">
        <v>9.947529943E7</v>
      </c>
      <c r="AB41" s="22">
        <v>4.886131307E7</v>
      </c>
      <c r="AC41" s="22" t="str">
        <f>AA41+AB41+252988.53</f>
        <v>148,589,601.03</v>
      </c>
      <c r="AD41" s="22" t="str">
        <f t="shared" si="11"/>
        <v>146,288,597.59</v>
      </c>
      <c r="AE41" s="22" t="str">
        <f t="shared" si="12"/>
        <v>362,283,751.80</v>
      </c>
      <c r="AF41" s="22">
        <v>4.130401782E7</v>
      </c>
      <c r="AG41" s="22">
        <v>1.6171247123E8</v>
      </c>
      <c r="AH41" s="22">
        <v>1.0187521546E8</v>
      </c>
      <c r="AI41" s="22">
        <v>4.679083223E7</v>
      </c>
      <c r="AJ41" s="22" t="str">
        <f>AH41+AI41+45328896.36</f>
        <v>193,994,944.05</v>
      </c>
      <c r="AK41" s="22" t="str">
        <f t="shared" si="14"/>
        <v>143,179,233.28</v>
      </c>
      <c r="AL41" s="22" t="str">
        <f t="shared" si="15"/>
        <v>355,707,415.28</v>
      </c>
      <c r="AM41" s="22">
        <v>3.579473748E7</v>
      </c>
      <c r="AN41" s="22">
        <v>1.5546674114E8</v>
      </c>
      <c r="AO41" s="22">
        <v>9.761301852E7</v>
      </c>
      <c r="AP41" s="22">
        <v>4.404286507E7</v>
      </c>
      <c r="AQ41" s="22" t="str">
        <f>AO41+AP41+148750.5</f>
        <v>141,804,634.09</v>
      </c>
      <c r="AR41" s="22" t="str">
        <f t="shared" si="17"/>
        <v>133,407,756.00</v>
      </c>
      <c r="AS41" s="22" t="str">
        <f t="shared" si="18"/>
        <v>297,271,375.23</v>
      </c>
      <c r="AT41" s="22">
        <v>2300000.0</v>
      </c>
      <c r="AU41" s="22">
        <v>1.0570297371E8</v>
      </c>
      <c r="AV41" s="22">
        <v>2511950.04</v>
      </c>
      <c r="AW41" s="22">
        <v>3.158353062E7</v>
      </c>
      <c r="AX41" s="22" t="str">
        <f>AV41+AW41+148750.5</f>
        <v>34,244,231.16</v>
      </c>
      <c r="AY41" s="22" t="str">
        <f t="shared" si="20"/>
        <v>4,811,950.04</v>
      </c>
      <c r="AZ41" s="22" t="str">
        <f t="shared" si="21"/>
        <v>139,947,204.87</v>
      </c>
      <c r="BA41" s="22">
        <v>1300000.0</v>
      </c>
      <c r="BB41" s="22">
        <v>1.098711966E8</v>
      </c>
      <c r="BC41" s="22">
        <v>2007594.09</v>
      </c>
      <c r="BD41" s="22">
        <v>3.686766778E7</v>
      </c>
      <c r="BE41" s="22" t="str">
        <f>BC41+BD41+148750.5</f>
        <v>39,024,012.37</v>
      </c>
      <c r="BF41" s="22" t="str">
        <f t="shared" si="23"/>
        <v>3,307,594.09</v>
      </c>
      <c r="BG41" s="22" t="str">
        <f t="shared" si="24"/>
        <v>148,895,208.97</v>
      </c>
      <c r="BH41" s="23" t="str">
        <f>HYPERLINK("http://www.upv.es/entidades/GER/info/791601normalc.html","http://www.upv.es/entidades/GER/info/791601normalc.html")</f>
        <v>http://www.upv.es/entidades/GER/info/791601normalc.html</v>
      </c>
    </row>
    <row r="42">
      <c r="A42" s="20" t="s">
        <v>67</v>
      </c>
      <c r="B42" s="9" t="s">
        <v>18</v>
      </c>
      <c r="C42" s="9" t="s">
        <v>19</v>
      </c>
      <c r="D42" s="21"/>
      <c r="E42" s="21"/>
      <c r="F42" s="21"/>
      <c r="G42" s="21"/>
      <c r="H42" s="22" t="str">
        <f t="shared" si="58"/>
        <v>0.00</v>
      </c>
      <c r="I42" s="22" t="str">
        <f t="shared" si="2"/>
        <v>0.00</v>
      </c>
      <c r="J42" s="22" t="str">
        <f t="shared" si="3"/>
        <v>0.00</v>
      </c>
      <c r="K42" s="21"/>
      <c r="L42" s="21"/>
      <c r="M42" s="21"/>
      <c r="N42" s="21"/>
      <c r="O42" s="22" t="str">
        <f t="shared" ref="O42:O48" si="59">M42+N42</f>
        <v>0.00</v>
      </c>
      <c r="P42" s="22" t="str">
        <f t="shared" si="5"/>
        <v>0.00</v>
      </c>
      <c r="Q42" s="22" t="str">
        <f t="shared" si="6"/>
        <v>0.00</v>
      </c>
      <c r="R42" s="22">
        <v>0.0</v>
      </c>
      <c r="S42" s="22">
        <v>3.310811534E7</v>
      </c>
      <c r="T42" s="22">
        <v>0.0</v>
      </c>
      <c r="U42" s="22">
        <v>2.168184076E7</v>
      </c>
      <c r="V42" s="22" t="str">
        <f t="shared" ref="V42:V48" si="60">T42+U42</f>
        <v>21,681,840.76</v>
      </c>
      <c r="W42" s="22" t="str">
        <f t="shared" si="8"/>
        <v>0.00</v>
      </c>
      <c r="X42" s="22" t="str">
        <f t="shared" si="9"/>
        <v>54,789,956.10</v>
      </c>
      <c r="Y42" s="22">
        <v>0.0</v>
      </c>
      <c r="Z42" s="22">
        <v>3.803279769E7</v>
      </c>
      <c r="AA42" s="22">
        <v>0.0</v>
      </c>
      <c r="AB42" s="22">
        <v>1.399992629E7</v>
      </c>
      <c r="AC42" s="22" t="str">
        <f t="shared" ref="AC42:AC46" si="61">AA42+AB42</f>
        <v>13,999,926.29</v>
      </c>
      <c r="AD42" s="22" t="str">
        <f t="shared" si="11"/>
        <v>0.00</v>
      </c>
      <c r="AE42" s="22" t="str">
        <f t="shared" si="12"/>
        <v>52,032,723.98</v>
      </c>
      <c r="AF42" s="22">
        <v>0.0</v>
      </c>
      <c r="AG42" s="22">
        <v>3.322989279E7</v>
      </c>
      <c r="AH42" s="22">
        <v>0.0</v>
      </c>
      <c r="AI42" s="22">
        <v>2.480206312E7</v>
      </c>
      <c r="AJ42" s="22" t="str">
        <f t="shared" ref="AJ42:AJ46" si="62">AH42+AI42</f>
        <v>24,802,063.12</v>
      </c>
      <c r="AK42" s="22" t="str">
        <f t="shared" si="14"/>
        <v>0.00</v>
      </c>
      <c r="AL42" s="22" t="str">
        <f t="shared" si="15"/>
        <v>58,031,955.91</v>
      </c>
      <c r="AM42" s="22">
        <v>5200000.0</v>
      </c>
      <c r="AN42" s="22">
        <v>3.60547365E7</v>
      </c>
      <c r="AO42" s="22">
        <v>6916.43</v>
      </c>
      <c r="AP42" s="22">
        <v>2.639924112E7</v>
      </c>
      <c r="AQ42" s="22" t="str">
        <f t="shared" ref="AQ42:AQ46" si="63">AO42+AP42</f>
        <v>26,406,157.55</v>
      </c>
      <c r="AR42" s="22" t="str">
        <f t="shared" si="17"/>
        <v>5,206,916.43</v>
      </c>
      <c r="AS42" s="22" t="str">
        <f t="shared" si="18"/>
        <v>62,460,894.05</v>
      </c>
      <c r="AT42" s="22">
        <v>1709561.45</v>
      </c>
      <c r="AU42" s="22">
        <v>2.800394189E7</v>
      </c>
      <c r="AV42" s="22">
        <v>4496761.53</v>
      </c>
      <c r="AW42" s="22">
        <v>2.884677378E7</v>
      </c>
      <c r="AX42" s="22" t="str">
        <f t="shared" ref="AX42:AX46" si="64">AV42+AW42</f>
        <v>33,343,535.31</v>
      </c>
      <c r="AY42" s="22" t="str">
        <f t="shared" si="20"/>
        <v>6,206,322.98</v>
      </c>
      <c r="AZ42" s="22" t="str">
        <f t="shared" si="21"/>
        <v>61,347,477.20</v>
      </c>
      <c r="BA42" s="21"/>
      <c r="BB42" s="21"/>
      <c r="BC42" s="21"/>
      <c r="BD42" s="21"/>
      <c r="BE42" s="22" t="str">
        <f t="shared" ref="BE42:BE46" si="65">BC42+BD42</f>
        <v>0.00</v>
      </c>
      <c r="BF42" s="22" t="str">
        <f t="shared" si="23"/>
        <v>0.00</v>
      </c>
      <c r="BG42" s="22" t="str">
        <f t="shared" si="24"/>
        <v>0.00</v>
      </c>
      <c r="BH42" s="23" t="str">
        <f>HYPERLINK("https://portal.upf.edu/web/transparencia/auditories-externes","https://portal.upf.edu/web/transparencia/auditories-externes")</f>
        <v>https://portal.upf.edu/web/transparencia/auditories-externes</v>
      </c>
    </row>
    <row r="43">
      <c r="A43" s="20" t="s">
        <v>68</v>
      </c>
      <c r="B43" s="9" t="s">
        <v>18</v>
      </c>
      <c r="C43" s="9" t="s">
        <v>19</v>
      </c>
      <c r="D43" s="21"/>
      <c r="E43" s="21"/>
      <c r="F43" s="21"/>
      <c r="G43" s="21"/>
      <c r="H43" s="22" t="str">
        <f t="shared" si="58"/>
        <v>0.00</v>
      </c>
      <c r="I43" s="22" t="str">
        <f t="shared" si="2"/>
        <v>0.00</v>
      </c>
      <c r="J43" s="22" t="str">
        <f t="shared" si="3"/>
        <v>0.00</v>
      </c>
      <c r="K43" s="22">
        <v>0.0</v>
      </c>
      <c r="L43" s="22">
        <v>227715.0</v>
      </c>
      <c r="M43" s="22">
        <v>0.0</v>
      </c>
      <c r="N43" s="22">
        <v>7056483.08</v>
      </c>
      <c r="O43" s="22" t="str">
        <f t="shared" si="59"/>
        <v>7,056,483.08</v>
      </c>
      <c r="P43" s="22" t="str">
        <f t="shared" si="5"/>
        <v>0.00</v>
      </c>
      <c r="Q43" s="22" t="str">
        <f t="shared" si="6"/>
        <v>7,284,198.08</v>
      </c>
      <c r="R43" s="22">
        <v>0.0</v>
      </c>
      <c r="S43" s="22">
        <v>215730.0</v>
      </c>
      <c r="T43" s="22">
        <v>0.0</v>
      </c>
      <c r="U43" s="22">
        <v>5944027.27</v>
      </c>
      <c r="V43" s="22" t="str">
        <f t="shared" si="60"/>
        <v>5,944,027.27</v>
      </c>
      <c r="W43" s="22" t="str">
        <f t="shared" si="8"/>
        <v>0.00</v>
      </c>
      <c r="X43" s="22" t="str">
        <f t="shared" si="9"/>
        <v>6,159,757.27</v>
      </c>
      <c r="Y43" s="22">
        <v>0.0</v>
      </c>
      <c r="Z43" s="22">
        <v>2566326.15</v>
      </c>
      <c r="AA43" s="22">
        <v>0.0</v>
      </c>
      <c r="AB43" s="22">
        <v>5256613.4</v>
      </c>
      <c r="AC43" s="22" t="str">
        <f t="shared" si="61"/>
        <v>5,256,613.40</v>
      </c>
      <c r="AD43" s="22" t="str">
        <f t="shared" si="11"/>
        <v>0.00</v>
      </c>
      <c r="AE43" s="22" t="str">
        <f t="shared" si="12"/>
        <v>7,822,939.55</v>
      </c>
      <c r="AF43" s="22">
        <v>0.0</v>
      </c>
      <c r="AG43" s="22">
        <v>2648542.56</v>
      </c>
      <c r="AH43" s="22">
        <v>0.0</v>
      </c>
      <c r="AI43" s="22">
        <v>4822122.35</v>
      </c>
      <c r="AJ43" s="22" t="str">
        <f t="shared" si="62"/>
        <v>4,822,122.35</v>
      </c>
      <c r="AK43" s="22" t="str">
        <f t="shared" si="14"/>
        <v>0.00</v>
      </c>
      <c r="AL43" s="22" t="str">
        <f t="shared" si="15"/>
        <v>7,470,664.91</v>
      </c>
      <c r="AM43" s="22">
        <v>0.0</v>
      </c>
      <c r="AN43" s="22">
        <v>2552861.92</v>
      </c>
      <c r="AO43" s="22">
        <v>0.0</v>
      </c>
      <c r="AP43" s="22">
        <v>4097487.0</v>
      </c>
      <c r="AQ43" s="22" t="str">
        <f t="shared" si="63"/>
        <v>4,097,487.00</v>
      </c>
      <c r="AR43" s="22" t="str">
        <f t="shared" si="17"/>
        <v>0.00</v>
      </c>
      <c r="AS43" s="22" t="str">
        <f t="shared" si="18"/>
        <v>6,650,348.92</v>
      </c>
      <c r="AT43" s="22">
        <v>0.0</v>
      </c>
      <c r="AU43" s="22">
        <v>2415173.67</v>
      </c>
      <c r="AV43" s="22">
        <v>0.0</v>
      </c>
      <c r="AW43" s="22">
        <v>4818892.65</v>
      </c>
      <c r="AX43" s="22" t="str">
        <f t="shared" si="64"/>
        <v>4,818,892.65</v>
      </c>
      <c r="AY43" s="22" t="str">
        <f t="shared" si="20"/>
        <v>0.00</v>
      </c>
      <c r="AZ43" s="22" t="str">
        <f t="shared" si="21"/>
        <v>7,234,066.32</v>
      </c>
      <c r="BA43" s="22">
        <v>0.0</v>
      </c>
      <c r="BB43" s="22">
        <v>2739837.41</v>
      </c>
      <c r="BC43" s="22">
        <v>0.0</v>
      </c>
      <c r="BD43" s="22">
        <v>4675283.8</v>
      </c>
      <c r="BE43" s="22" t="str">
        <f t="shared" si="65"/>
        <v>4,675,283.80</v>
      </c>
      <c r="BF43" s="22" t="str">
        <f t="shared" si="23"/>
        <v>0.00</v>
      </c>
      <c r="BG43" s="22" t="str">
        <f t="shared" si="24"/>
        <v>7,415,121.21</v>
      </c>
      <c r="BH43" s="23" t="str">
        <f>HYPERLINK("https://www.unavarra.es/portal-transparencia/informacion-economica/presupuestos/memorias","https://www.unavarra.es/portal-transparencia/informacion-economica/presupuestos/memorias")</f>
        <v>https://www.unavarra.es/portal-transparencia/informacion-economica/presupuestos/memorias</v>
      </c>
    </row>
    <row r="44">
      <c r="A44" s="20" t="s">
        <v>70</v>
      </c>
      <c r="B44" s="9" t="s">
        <v>18</v>
      </c>
      <c r="C44" s="9" t="s">
        <v>19</v>
      </c>
      <c r="D44" s="21"/>
      <c r="E44" s="21"/>
      <c r="F44" s="21"/>
      <c r="G44" s="21"/>
      <c r="H44" s="22" t="str">
        <f t="shared" si="58"/>
        <v>0.00</v>
      </c>
      <c r="I44" s="22" t="str">
        <f t="shared" si="2"/>
        <v>0.00</v>
      </c>
      <c r="J44" s="22" t="str">
        <f t="shared" si="3"/>
        <v>0.00</v>
      </c>
      <c r="K44" s="21"/>
      <c r="L44" s="21"/>
      <c r="M44" s="21"/>
      <c r="N44" s="21"/>
      <c r="O44" s="22" t="str">
        <f t="shared" si="59"/>
        <v>0.00</v>
      </c>
      <c r="P44" s="22" t="str">
        <f t="shared" si="5"/>
        <v>0.00</v>
      </c>
      <c r="Q44" s="22" t="str">
        <f t="shared" si="6"/>
        <v>0.00</v>
      </c>
      <c r="R44" s="21"/>
      <c r="S44" s="21"/>
      <c r="T44" s="21"/>
      <c r="U44" s="21"/>
      <c r="V44" s="22" t="str">
        <f t="shared" si="60"/>
        <v>0.00</v>
      </c>
      <c r="W44" s="22" t="str">
        <f t="shared" si="8"/>
        <v>0.00</v>
      </c>
      <c r="X44" s="22" t="str">
        <f t="shared" si="9"/>
        <v>0.00</v>
      </c>
      <c r="Y44" s="21"/>
      <c r="Z44" s="21"/>
      <c r="AA44" s="21"/>
      <c r="AB44" s="21"/>
      <c r="AC44" s="22" t="str">
        <f t="shared" si="61"/>
        <v>0.00</v>
      </c>
      <c r="AD44" s="22" t="str">
        <f t="shared" si="11"/>
        <v>0.00</v>
      </c>
      <c r="AE44" s="22" t="str">
        <f t="shared" si="12"/>
        <v>0.00</v>
      </c>
      <c r="AF44" s="22">
        <v>1396103.39</v>
      </c>
      <c r="AG44" s="22">
        <v>1270733.02</v>
      </c>
      <c r="AH44" s="22">
        <v>0.0</v>
      </c>
      <c r="AI44" s="22">
        <v>1.573805747E7</v>
      </c>
      <c r="AJ44" s="22" t="str">
        <f t="shared" si="62"/>
        <v>15,738,057.47</v>
      </c>
      <c r="AK44" s="22" t="str">
        <f t="shared" si="14"/>
        <v>1,396,103.39</v>
      </c>
      <c r="AL44" s="22" t="str">
        <f t="shared" si="15"/>
        <v>17,008,790.49</v>
      </c>
      <c r="AM44" s="22">
        <v>0.0</v>
      </c>
      <c r="AN44" s="22">
        <v>838790.34</v>
      </c>
      <c r="AO44" s="22">
        <v>0.0</v>
      </c>
      <c r="AP44" s="22">
        <v>1.350719443E7</v>
      </c>
      <c r="AQ44" s="22" t="str">
        <f t="shared" si="63"/>
        <v>13,507,194.43</v>
      </c>
      <c r="AR44" s="22" t="str">
        <f t="shared" si="17"/>
        <v>0.00</v>
      </c>
      <c r="AS44" s="22" t="str">
        <f t="shared" si="18"/>
        <v>14,345,984.77</v>
      </c>
      <c r="AT44" s="22">
        <v>0.0</v>
      </c>
      <c r="AU44" s="22">
        <v>232919.05</v>
      </c>
      <c r="AV44" s="22">
        <v>0.0</v>
      </c>
      <c r="AW44" s="22">
        <v>1.322583727E7</v>
      </c>
      <c r="AX44" s="22" t="str">
        <f t="shared" si="64"/>
        <v>13,225,837.27</v>
      </c>
      <c r="AY44" s="22" t="str">
        <f t="shared" si="20"/>
        <v>0.00</v>
      </c>
      <c r="AZ44" s="22" t="str">
        <f t="shared" si="21"/>
        <v>13,458,756.32</v>
      </c>
      <c r="BA44" s="22">
        <v>0.0</v>
      </c>
      <c r="BB44" s="22">
        <v>453678.65</v>
      </c>
      <c r="BC44" s="22">
        <v>0.0</v>
      </c>
      <c r="BD44" s="22">
        <v>1.182097384E7</v>
      </c>
      <c r="BE44" s="22" t="str">
        <f t="shared" si="65"/>
        <v>11,820,973.84</v>
      </c>
      <c r="BF44" s="22" t="str">
        <f t="shared" si="23"/>
        <v>0.00</v>
      </c>
      <c r="BG44" s="22" t="str">
        <f t="shared" si="24"/>
        <v>12,274,652.49</v>
      </c>
      <c r="BH44" s="23" t="str">
        <f>HYPERLINK("https://transparencia.urjc.es/informacion-economica/","https://transparencia.urjc.es/informacion-economica/")</f>
        <v>https://transparencia.urjc.es/informacion-economica/</v>
      </c>
    </row>
    <row r="45">
      <c r="A45" s="20" t="s">
        <v>71</v>
      </c>
      <c r="B45" s="9" t="s">
        <v>18</v>
      </c>
      <c r="C45" s="9" t="s">
        <v>19</v>
      </c>
      <c r="D45" s="21"/>
      <c r="E45" s="21"/>
      <c r="F45" s="21"/>
      <c r="G45" s="21"/>
      <c r="H45" s="22" t="str">
        <f t="shared" si="58"/>
        <v>0.00</v>
      </c>
      <c r="I45" s="22" t="str">
        <f t="shared" si="2"/>
        <v>0.00</v>
      </c>
      <c r="J45" s="22" t="str">
        <f t="shared" si="3"/>
        <v>0.00</v>
      </c>
      <c r="K45" s="21"/>
      <c r="L45" s="21"/>
      <c r="M45" s="21"/>
      <c r="N45" s="21"/>
      <c r="O45" s="22" t="str">
        <f t="shared" si="59"/>
        <v>0.00</v>
      </c>
      <c r="P45" s="22" t="str">
        <f t="shared" si="5"/>
        <v>0.00</v>
      </c>
      <c r="Q45" s="22" t="str">
        <f t="shared" si="6"/>
        <v>0.00</v>
      </c>
      <c r="R45" s="21"/>
      <c r="S45" s="21"/>
      <c r="T45" s="21"/>
      <c r="U45" s="21"/>
      <c r="V45" s="22" t="str">
        <f t="shared" si="60"/>
        <v>0.00</v>
      </c>
      <c r="W45" s="22" t="str">
        <f t="shared" si="8"/>
        <v>0.00</v>
      </c>
      <c r="X45" s="22" t="str">
        <f t="shared" si="9"/>
        <v>0.00</v>
      </c>
      <c r="Y45" s="21"/>
      <c r="Z45" s="21"/>
      <c r="AA45" s="21"/>
      <c r="AB45" s="21"/>
      <c r="AC45" s="22" t="str">
        <f t="shared" si="61"/>
        <v>0.00</v>
      </c>
      <c r="AD45" s="22" t="str">
        <f t="shared" si="11"/>
        <v>0.00</v>
      </c>
      <c r="AE45" s="22" t="str">
        <f t="shared" si="12"/>
        <v>0.00</v>
      </c>
      <c r="AF45" s="21"/>
      <c r="AG45" s="21"/>
      <c r="AH45" s="21"/>
      <c r="AI45" s="21"/>
      <c r="AJ45" s="22" t="str">
        <f t="shared" si="62"/>
        <v>0.00</v>
      </c>
      <c r="AK45" s="22" t="str">
        <f t="shared" si="14"/>
        <v>0.00</v>
      </c>
      <c r="AL45" s="22" t="str">
        <f t="shared" si="15"/>
        <v>0.00</v>
      </c>
      <c r="AM45" s="21"/>
      <c r="AN45" s="21"/>
      <c r="AO45" s="21"/>
      <c r="AP45" s="21"/>
      <c r="AQ45" s="22" t="str">
        <f t="shared" si="63"/>
        <v>0.00</v>
      </c>
      <c r="AR45" s="22" t="str">
        <f t="shared" si="17"/>
        <v>0.00</v>
      </c>
      <c r="AS45" s="22" t="str">
        <f t="shared" si="18"/>
        <v>0.00</v>
      </c>
      <c r="AT45" s="22">
        <v>0.0</v>
      </c>
      <c r="AU45" s="22">
        <v>1.546820884E7</v>
      </c>
      <c r="AV45" s="22">
        <v>0.0</v>
      </c>
      <c r="AW45" s="22">
        <v>2.242252792E7</v>
      </c>
      <c r="AX45" s="22" t="str">
        <f t="shared" si="64"/>
        <v>22,422,527.92</v>
      </c>
      <c r="AY45" s="22" t="str">
        <f t="shared" si="20"/>
        <v>0.00</v>
      </c>
      <c r="AZ45" s="22" t="str">
        <f t="shared" si="21"/>
        <v>37,890,736.76</v>
      </c>
      <c r="BA45" s="22">
        <v>0.0</v>
      </c>
      <c r="BB45" s="22">
        <v>1.44821455E7</v>
      </c>
      <c r="BC45" s="22">
        <v>0.0</v>
      </c>
      <c r="BD45" s="22">
        <v>1.403867815E7</v>
      </c>
      <c r="BE45" s="22" t="str">
        <f t="shared" si="65"/>
        <v>14,038,678.15</v>
      </c>
      <c r="BF45" s="22" t="str">
        <f t="shared" si="23"/>
        <v>0.00</v>
      </c>
      <c r="BG45" s="22" t="str">
        <f t="shared" si="24"/>
        <v>28,520,823.65</v>
      </c>
      <c r="BH45" s="23" t="str">
        <f>HYPERLINK("http://transparencia.urv.cat/economia/memoria-economica/","http://transparencia.urv.cat/economia/memoria-economica/")</f>
        <v>http://transparencia.urv.cat/economia/memoria-economica/</v>
      </c>
    </row>
    <row r="46">
      <c r="A46" s="20" t="s">
        <v>72</v>
      </c>
      <c r="B46" s="9" t="s">
        <v>18</v>
      </c>
      <c r="C46" s="9" t="s">
        <v>19</v>
      </c>
      <c r="D46" s="21"/>
      <c r="E46" s="21"/>
      <c r="F46" s="21"/>
      <c r="G46" s="21"/>
      <c r="H46" s="22" t="str">
        <f t="shared" si="58"/>
        <v>0.00</v>
      </c>
      <c r="I46" s="22" t="str">
        <f t="shared" si="2"/>
        <v>0.00</v>
      </c>
      <c r="J46" s="22" t="str">
        <f t="shared" si="3"/>
        <v>0.00</v>
      </c>
      <c r="K46" s="21"/>
      <c r="L46" s="21"/>
      <c r="M46" s="21"/>
      <c r="N46" s="21"/>
      <c r="O46" s="22" t="str">
        <f t="shared" si="59"/>
        <v>0.00</v>
      </c>
      <c r="P46" s="22" t="str">
        <f t="shared" si="5"/>
        <v>0.00</v>
      </c>
      <c r="Q46" s="22" t="str">
        <f t="shared" si="6"/>
        <v>0.00</v>
      </c>
      <c r="R46" s="21"/>
      <c r="S46" s="21"/>
      <c r="T46" s="21"/>
      <c r="U46" s="21"/>
      <c r="V46" s="22" t="str">
        <f t="shared" si="60"/>
        <v>0.00</v>
      </c>
      <c r="W46" s="22" t="str">
        <f t="shared" si="8"/>
        <v>0.00</v>
      </c>
      <c r="X46" s="22" t="str">
        <f t="shared" si="9"/>
        <v>0.00</v>
      </c>
      <c r="Y46" s="21"/>
      <c r="Z46" s="21"/>
      <c r="AA46" s="21"/>
      <c r="AB46" s="21"/>
      <c r="AC46" s="22" t="str">
        <f t="shared" si="61"/>
        <v>0.00</v>
      </c>
      <c r="AD46" s="22" t="str">
        <f t="shared" si="11"/>
        <v>0.00</v>
      </c>
      <c r="AE46" s="22" t="str">
        <f t="shared" si="12"/>
        <v>0.00</v>
      </c>
      <c r="AF46" s="21"/>
      <c r="AG46" s="21"/>
      <c r="AH46" s="21"/>
      <c r="AI46" s="21"/>
      <c r="AJ46" s="22" t="str">
        <f t="shared" si="62"/>
        <v>0.00</v>
      </c>
      <c r="AK46" s="22" t="str">
        <f t="shared" si="14"/>
        <v>0.00</v>
      </c>
      <c r="AL46" s="22" t="str">
        <f t="shared" si="15"/>
        <v>0.00</v>
      </c>
      <c r="AM46" s="21"/>
      <c r="AN46" s="21"/>
      <c r="AO46" s="21"/>
      <c r="AP46" s="21"/>
      <c r="AQ46" s="22" t="str">
        <f t="shared" si="63"/>
        <v>0.00</v>
      </c>
      <c r="AR46" s="22" t="str">
        <f t="shared" si="17"/>
        <v>0.00</v>
      </c>
      <c r="AS46" s="22" t="str">
        <f t="shared" si="18"/>
        <v>0.00</v>
      </c>
      <c r="AT46" s="22">
        <v>9742998.31</v>
      </c>
      <c r="AU46" s="22">
        <v>2.233907635E7</v>
      </c>
      <c r="AV46" s="22">
        <v>3023092.0</v>
      </c>
      <c r="AW46" s="22">
        <v>1.596618272E7</v>
      </c>
      <c r="AX46" s="22" t="str">
        <f t="shared" si="64"/>
        <v>18,989,274.72</v>
      </c>
      <c r="AY46" s="22" t="str">
        <f t="shared" si="20"/>
        <v>12,766,090.31</v>
      </c>
      <c r="AZ46" s="22" t="str">
        <f t="shared" si="21"/>
        <v>41,328,351.07</v>
      </c>
      <c r="BA46" s="22">
        <v>6795301.8</v>
      </c>
      <c r="BB46" s="22">
        <v>2.159299987E7</v>
      </c>
      <c r="BC46" s="22">
        <v>2939028.0</v>
      </c>
      <c r="BD46" s="22">
        <v>1.385317756E7</v>
      </c>
      <c r="BE46" s="22" t="str">
        <f t="shared" si="65"/>
        <v>16,792,205.56</v>
      </c>
      <c r="BF46" s="22" t="str">
        <f t="shared" si="23"/>
        <v>9,734,329.80</v>
      </c>
      <c r="BG46" s="22" t="str">
        <f t="shared" si="24"/>
        <v>38,385,205.43</v>
      </c>
      <c r="BH46" s="23" t="str">
        <f>HYPERLINK("http://diarium.usal.es/transparencia/economia-y-patrimonio/","http://diarium.usal.es/transparencia/economia-y-patrimonio/")</f>
        <v>http://diarium.usal.es/transparencia/economia-y-patrimonio/</v>
      </c>
    </row>
    <row r="47">
      <c r="A47" s="20" t="s">
        <v>73</v>
      </c>
      <c r="B47" s="9" t="s">
        <v>18</v>
      </c>
      <c r="C47" s="9" t="s">
        <v>19</v>
      </c>
      <c r="D47" s="22">
        <v>3.397339782E7</v>
      </c>
      <c r="E47" s="22">
        <v>6.931448474E7</v>
      </c>
      <c r="F47" s="22">
        <v>3191918.13</v>
      </c>
      <c r="G47" s="22">
        <v>1.988585643E7</v>
      </c>
      <c r="H47" s="22" t="str">
        <f t="shared" si="58"/>
        <v>23,077,774.56</v>
      </c>
      <c r="I47" s="22" t="str">
        <f t="shared" si="2"/>
        <v>37,165,315.95</v>
      </c>
      <c r="J47" s="22" t="str">
        <f t="shared" si="3"/>
        <v>92,392,259.30</v>
      </c>
      <c r="K47" s="22">
        <v>3.069045457E7</v>
      </c>
      <c r="L47" s="22">
        <v>7.664970147E7</v>
      </c>
      <c r="M47" s="22">
        <v>3282943.31</v>
      </c>
      <c r="N47" s="22">
        <v>2.139401626E7</v>
      </c>
      <c r="O47" s="22" t="str">
        <f t="shared" si="59"/>
        <v>24,676,959.57</v>
      </c>
      <c r="P47" s="22" t="str">
        <f t="shared" si="5"/>
        <v>33,973,397.88</v>
      </c>
      <c r="Q47" s="22" t="str">
        <f t="shared" si="6"/>
        <v>101,326,661.04</v>
      </c>
      <c r="R47" s="22">
        <v>3.739612736E7</v>
      </c>
      <c r="S47" s="22">
        <v>8.904808719E7</v>
      </c>
      <c r="T47" s="22">
        <v>3294327.22</v>
      </c>
      <c r="U47" s="22">
        <v>1.737694159E7</v>
      </c>
      <c r="V47" s="22" t="str">
        <f t="shared" si="60"/>
        <v>20,671,268.81</v>
      </c>
      <c r="W47" s="22" t="str">
        <f t="shared" si="8"/>
        <v>40,690,454.58</v>
      </c>
      <c r="X47" s="22" t="str">
        <f t="shared" si="9"/>
        <v>109,719,356.00</v>
      </c>
      <c r="Y47" s="22">
        <v>3.409014053E7</v>
      </c>
      <c r="Z47" s="22">
        <v>8.557303756E7</v>
      </c>
      <c r="AA47" s="22">
        <v>3305986.83</v>
      </c>
      <c r="AB47" s="22">
        <v>1.421686723E7</v>
      </c>
      <c r="AC47" s="22" t="str">
        <f>AA47+AB47+6369453.71</f>
        <v>23,892,307.77</v>
      </c>
      <c r="AD47" s="22" t="str">
        <f t="shared" si="11"/>
        <v>37,396,127.36</v>
      </c>
      <c r="AE47" s="22" t="str">
        <f t="shared" si="12"/>
        <v>109,465,345.33</v>
      </c>
      <c r="AF47" s="22">
        <v>3.000298085E7</v>
      </c>
      <c r="AG47" s="22">
        <v>8.582247644E7</v>
      </c>
      <c r="AH47" s="22">
        <v>4087159.55</v>
      </c>
      <c r="AI47" s="22">
        <v>1.292674249E7</v>
      </c>
      <c r="AJ47" s="22" t="str">
        <f>AH47+AI47+9062828.37</f>
        <v>26,076,730.41</v>
      </c>
      <c r="AK47" s="22" t="str">
        <f t="shared" si="14"/>
        <v>34,090,140.40</v>
      </c>
      <c r="AL47" s="22" t="str">
        <f t="shared" si="15"/>
        <v>111,899,206.85</v>
      </c>
      <c r="AM47" s="22">
        <v>2.590359013E7</v>
      </c>
      <c r="AN47" s="22">
        <v>7.826715057E7</v>
      </c>
      <c r="AO47" s="22">
        <v>4099390.72</v>
      </c>
      <c r="AP47" s="22">
        <v>1.36529646E7</v>
      </c>
      <c r="AQ47" s="22" t="str">
        <f>AO47+AP47+9084583.41</f>
        <v>26,836,938.73</v>
      </c>
      <c r="AR47" s="22" t="str">
        <f t="shared" si="17"/>
        <v>30,002,980.85</v>
      </c>
      <c r="AS47" s="22" t="str">
        <f t="shared" si="18"/>
        <v>105,104,089.30</v>
      </c>
      <c r="AT47" s="22">
        <v>2.590359016E7</v>
      </c>
      <c r="AU47" s="22">
        <v>7.669607584E7</v>
      </c>
      <c r="AV47" s="22">
        <v>0.0</v>
      </c>
      <c r="AW47" s="22">
        <v>2.000947942E7</v>
      </c>
      <c r="AX47" s="22" t="str">
        <f>AV47+AW47+9031520.4</f>
        <v>29,040,999.82</v>
      </c>
      <c r="AY47" s="22" t="str">
        <f t="shared" si="20"/>
        <v>25,903,590.16</v>
      </c>
      <c r="AZ47" s="22" t="str">
        <f t="shared" si="21"/>
        <v>105,737,075.66</v>
      </c>
      <c r="BA47" s="22">
        <v>2.590359016E7</v>
      </c>
      <c r="BB47" s="22">
        <v>7.563984466E7</v>
      </c>
      <c r="BC47" s="22">
        <v>0.0</v>
      </c>
      <c r="BD47" s="22">
        <v>1.95056039E7</v>
      </c>
      <c r="BE47" s="22" t="str">
        <f>BC47+BD47+10825865.52</f>
        <v>30,331,469.42</v>
      </c>
      <c r="BF47" s="22" t="str">
        <f t="shared" si="23"/>
        <v>25,903,590.16</v>
      </c>
      <c r="BG47" s="22" t="str">
        <f t="shared" si="24"/>
        <v>105,971,314.08</v>
      </c>
      <c r="BH47" s="23" t="str">
        <f>HYPERLINK("http://www.usc.es/gl/goberno/xerencia/info_economica.html","http://www.usc.es/gl/goberno/xerencia/info_economica.html")</f>
        <v>http://www.usc.es/gl/goberno/xerencia/info_economica.html</v>
      </c>
    </row>
    <row r="48">
      <c r="A48" s="25" t="s">
        <v>74</v>
      </c>
      <c r="B48" s="9" t="s">
        <v>18</v>
      </c>
      <c r="C48" s="9" t="s">
        <v>19</v>
      </c>
      <c r="D48" s="21"/>
      <c r="E48" s="21"/>
      <c r="F48" s="21"/>
      <c r="G48" s="21"/>
      <c r="H48" s="22" t="str">
        <f t="shared" si="58"/>
        <v>0.00</v>
      </c>
      <c r="I48" s="22" t="str">
        <f t="shared" si="2"/>
        <v>0.00</v>
      </c>
      <c r="J48" s="22" t="str">
        <f t="shared" si="3"/>
        <v>0.00</v>
      </c>
      <c r="K48" s="21"/>
      <c r="L48" s="21"/>
      <c r="M48" s="21"/>
      <c r="N48" s="21"/>
      <c r="O48" s="22" t="str">
        <f t="shared" si="59"/>
        <v>0.00</v>
      </c>
      <c r="P48" s="22" t="str">
        <f t="shared" si="5"/>
        <v>0.00</v>
      </c>
      <c r="Q48" s="22" t="str">
        <f t="shared" si="6"/>
        <v>0.00</v>
      </c>
      <c r="R48" s="21"/>
      <c r="S48" s="21"/>
      <c r="T48" s="21"/>
      <c r="U48" s="21"/>
      <c r="V48" s="22" t="str">
        <f t="shared" si="60"/>
        <v>0.00</v>
      </c>
      <c r="W48" s="22" t="str">
        <f t="shared" si="8"/>
        <v>0.00</v>
      </c>
      <c r="X48" s="22" t="str">
        <f t="shared" si="9"/>
        <v>0.00</v>
      </c>
      <c r="Y48" s="21"/>
      <c r="Z48" s="21"/>
      <c r="AA48" s="21"/>
      <c r="AB48" s="21"/>
      <c r="AC48" s="22" t="str">
        <f>AA48+AB48</f>
        <v>0.00</v>
      </c>
      <c r="AD48" s="22" t="str">
        <f t="shared" si="11"/>
        <v>0.00</v>
      </c>
      <c r="AE48" s="22" t="str">
        <f t="shared" si="12"/>
        <v>0.00</v>
      </c>
      <c r="AF48" s="21"/>
      <c r="AG48" s="21"/>
      <c r="AH48" s="21"/>
      <c r="AI48" s="21"/>
      <c r="AJ48" s="22" t="str">
        <f>AH48+AI48</f>
        <v>0.00</v>
      </c>
      <c r="AK48" s="22" t="str">
        <f t="shared" si="14"/>
        <v>0.00</v>
      </c>
      <c r="AL48" s="22" t="str">
        <f t="shared" si="15"/>
        <v>0.00</v>
      </c>
      <c r="AM48" s="21"/>
      <c r="AN48" s="21"/>
      <c r="AO48" s="21"/>
      <c r="AP48" s="21"/>
      <c r="AQ48" s="22" t="str">
        <f>AO48+AP48</f>
        <v>0.00</v>
      </c>
      <c r="AR48" s="22" t="str">
        <f t="shared" si="17"/>
        <v>0.00</v>
      </c>
      <c r="AS48" s="22" t="str">
        <f t="shared" si="18"/>
        <v>0.00</v>
      </c>
      <c r="AT48" s="21"/>
      <c r="AU48" s="21"/>
      <c r="AV48" s="21"/>
      <c r="AW48" s="21"/>
      <c r="AX48" s="22" t="str">
        <f>AV48+AW48</f>
        <v>0.00</v>
      </c>
      <c r="AY48" s="22" t="str">
        <f t="shared" si="20"/>
        <v>0.00</v>
      </c>
      <c r="AZ48" s="22" t="str">
        <f t="shared" si="21"/>
        <v>0.00</v>
      </c>
      <c r="BA48" s="21"/>
      <c r="BB48" s="21"/>
      <c r="BC48" s="21"/>
      <c r="BD48" s="21"/>
      <c r="BE48" s="22" t="str">
        <f>BC48+BD48</f>
        <v>0.00</v>
      </c>
      <c r="BF48" s="22" t="str">
        <f t="shared" si="23"/>
        <v>0.00</v>
      </c>
      <c r="BG48" s="22" t="str">
        <f t="shared" si="24"/>
        <v>0.00</v>
      </c>
      <c r="BH48" s="1"/>
    </row>
    <row r="49">
      <c r="A49" s="20" t="s">
        <v>75</v>
      </c>
      <c r="B49" s="9" t="s">
        <v>18</v>
      </c>
      <c r="C49" s="9" t="s">
        <v>19</v>
      </c>
      <c r="D49" s="22">
        <v>1.0034575723E8</v>
      </c>
      <c r="E49" s="22">
        <v>2.3533152054E8</v>
      </c>
      <c r="F49" s="22">
        <v>3.70227948E7</v>
      </c>
      <c r="G49" s="22">
        <v>9.531576716E7</v>
      </c>
      <c r="H49" s="22" t="str">
        <f t="shared" si="58"/>
        <v>132,338,561.96</v>
      </c>
      <c r="I49" s="22" t="str">
        <f t="shared" si="2"/>
        <v>137,368,552.03</v>
      </c>
      <c r="J49" s="22" t="str">
        <f t="shared" si="3"/>
        <v>367,670,082.50</v>
      </c>
      <c r="K49" s="22">
        <v>5.621615138E7</v>
      </c>
      <c r="L49" s="22">
        <v>1.9394536166E8</v>
      </c>
      <c r="M49" s="22">
        <v>6537078.23</v>
      </c>
      <c r="N49" s="22">
        <v>9.949129084E7</v>
      </c>
      <c r="O49" s="22" t="str">
        <f>M49+N49+247386.46</f>
        <v>106,275,755.53</v>
      </c>
      <c r="P49" s="22" t="str">
        <f t="shared" si="5"/>
        <v>62,753,229.61</v>
      </c>
      <c r="Q49" s="22" t="str">
        <f t="shared" si="6"/>
        <v>300,221,117.19</v>
      </c>
      <c r="R49" s="22">
        <v>5.088136274E7</v>
      </c>
      <c r="S49" s="22">
        <v>1.9600934197E8</v>
      </c>
      <c r="T49" s="22">
        <v>7632255.94</v>
      </c>
      <c r="U49" s="22">
        <v>7.408073392E7</v>
      </c>
      <c r="V49" s="22" t="str">
        <f>T49+U49+494772.92</f>
        <v>82,207,762.78</v>
      </c>
      <c r="W49" s="22" t="str">
        <f t="shared" si="8"/>
        <v>58,513,618.68</v>
      </c>
      <c r="X49" s="22" t="str">
        <f t="shared" si="9"/>
        <v>278,217,104.75</v>
      </c>
      <c r="Y49" s="22">
        <v>4.55465741E7</v>
      </c>
      <c r="Z49" s="22">
        <v>1.8145553647E8</v>
      </c>
      <c r="AA49" s="22">
        <v>3.209040414E7</v>
      </c>
      <c r="AB49" s="22">
        <v>9.762972461E7</v>
      </c>
      <c r="AC49" s="22" t="str">
        <f>AA49+AB49+247386.46</f>
        <v>129,967,515.21</v>
      </c>
      <c r="AD49" s="22" t="str">
        <f t="shared" si="11"/>
        <v>77,636,978.24</v>
      </c>
      <c r="AE49" s="22" t="str">
        <f t="shared" si="12"/>
        <v>311,423,051.68</v>
      </c>
      <c r="AF49" s="22">
        <v>4.021178546E7</v>
      </c>
      <c r="AG49" s="22">
        <v>1.4165148428E8</v>
      </c>
      <c r="AH49" s="22">
        <v>6.119858712E7</v>
      </c>
      <c r="AI49" s="22">
        <v>6.752625236E7</v>
      </c>
      <c r="AJ49" s="22" t="str">
        <f>AH49+AI49+48328354.81</f>
        <v>177,053,194.29</v>
      </c>
      <c r="AK49" s="22" t="str">
        <f t="shared" si="14"/>
        <v>101,410,372.58</v>
      </c>
      <c r="AL49" s="22" t="str">
        <f t="shared" si="15"/>
        <v>318,704,678.57</v>
      </c>
      <c r="AM49" s="22">
        <v>3.487699682E7</v>
      </c>
      <c r="AN49" s="22">
        <v>1.3668460706E8</v>
      </c>
      <c r="AO49" s="22">
        <v>5.213140198E7</v>
      </c>
      <c r="AP49" s="22">
        <v>6.559181202E7</v>
      </c>
      <c r="AQ49" s="22" t="str">
        <f>AO49+AP49+130411.39</f>
        <v>117,853,625.39</v>
      </c>
      <c r="AR49" s="22" t="str">
        <f t="shared" si="17"/>
        <v>87,008,398.80</v>
      </c>
      <c r="AS49" s="22" t="str">
        <f t="shared" si="18"/>
        <v>254,538,232.45</v>
      </c>
      <c r="AT49" s="22">
        <v>0.0</v>
      </c>
      <c r="AU49" s="22">
        <v>9.14967687E7</v>
      </c>
      <c r="AV49" s="22">
        <v>0.0</v>
      </c>
      <c r="AW49" s="22">
        <v>4.706902008E7</v>
      </c>
      <c r="AX49" s="22" t="str">
        <f>AV49+AW49+130411.39</f>
        <v>47,199,431.47</v>
      </c>
      <c r="AY49" s="22" t="str">
        <f t="shared" si="20"/>
        <v>0.00</v>
      </c>
      <c r="AZ49" s="22" t="str">
        <f t="shared" si="21"/>
        <v>138,696,200.17</v>
      </c>
      <c r="BA49" s="22">
        <v>0.0</v>
      </c>
      <c r="BB49" s="22">
        <v>8.865614708E7</v>
      </c>
      <c r="BC49" s="22">
        <v>0.0</v>
      </c>
      <c r="BD49" s="22">
        <v>4.902710466E7</v>
      </c>
      <c r="BE49" s="22" t="str">
        <f>BC49+BD49+130411.39</f>
        <v>49,157,516.05</v>
      </c>
      <c r="BF49" s="22" t="str">
        <f t="shared" si="23"/>
        <v>0.00</v>
      </c>
      <c r="BG49" s="22" t="str">
        <f t="shared" si="24"/>
        <v>137,813,663.13</v>
      </c>
      <c r="BH49" s="23" t="str">
        <f>HYPERLINK("http://www.uv.es/uvweb/transparencia-uv/es/economia-presupuesto/cuentas-anuales-/cuentas-anuales-auditorias-1285925135411.html","http://www.uv.es/uvweb/transparencia-uv/es/economia-presupuesto/cuentas-anuales-/cuentas-anuales-auditorias-1285925135411.html")</f>
        <v>http://www.uv.es/uvweb/transparencia-uv/es/economia-presupuesto/cuentas-anuales-/cuentas-anuales-auditorias-1285925135411.html</v>
      </c>
    </row>
    <row r="50">
      <c r="A50" s="20" t="s">
        <v>76</v>
      </c>
      <c r="B50" s="9" t="s">
        <v>18</v>
      </c>
      <c r="C50" s="9" t="s">
        <v>19</v>
      </c>
      <c r="D50" s="21"/>
      <c r="E50" s="21"/>
      <c r="F50" s="21"/>
      <c r="G50" s="21"/>
      <c r="H50" s="22" t="str">
        <f t="shared" si="58"/>
        <v>0.00</v>
      </c>
      <c r="I50" s="22" t="str">
        <f t="shared" si="2"/>
        <v>0.00</v>
      </c>
      <c r="J50" s="22" t="str">
        <f t="shared" si="3"/>
        <v>0.00</v>
      </c>
      <c r="K50" s="21"/>
      <c r="L50" s="21"/>
      <c r="M50" s="21"/>
      <c r="N50" s="21"/>
      <c r="O50" s="22" t="str">
        <f t="shared" ref="O50:O51" si="66">M50+N50</f>
        <v>0.00</v>
      </c>
      <c r="P50" s="22" t="str">
        <f t="shared" si="5"/>
        <v>0.00</v>
      </c>
      <c r="Q50" s="22" t="str">
        <f t="shared" si="6"/>
        <v>0.00</v>
      </c>
      <c r="R50" s="21"/>
      <c r="S50" s="21"/>
      <c r="T50" s="21"/>
      <c r="U50" s="21"/>
      <c r="V50" s="22" t="str">
        <f t="shared" ref="V50:V51" si="67">T50+U50</f>
        <v>0.00</v>
      </c>
      <c r="W50" s="22" t="str">
        <f t="shared" si="8"/>
        <v>0.00</v>
      </c>
      <c r="X50" s="22" t="str">
        <f t="shared" si="9"/>
        <v>0.00</v>
      </c>
      <c r="Y50" s="21"/>
      <c r="Z50" s="21"/>
      <c r="AA50" s="21"/>
      <c r="AB50" s="21"/>
      <c r="AC50" s="22" t="str">
        <f>AA50+AB50</f>
        <v>0.00</v>
      </c>
      <c r="AD50" s="22" t="str">
        <f t="shared" si="11"/>
        <v>0.00</v>
      </c>
      <c r="AE50" s="22" t="str">
        <f t="shared" si="12"/>
        <v>0.00</v>
      </c>
      <c r="AF50" s="21"/>
      <c r="AG50" s="21"/>
      <c r="AH50" s="21"/>
      <c r="AI50" s="21"/>
      <c r="AJ50" s="22" t="str">
        <f>AH50+AI50</f>
        <v>0.00</v>
      </c>
      <c r="AK50" s="22" t="str">
        <f t="shared" si="14"/>
        <v>0.00</v>
      </c>
      <c r="AL50" s="22" t="str">
        <f t="shared" si="15"/>
        <v>0.00</v>
      </c>
      <c r="AM50" s="22">
        <v>0.0</v>
      </c>
      <c r="AN50" s="22">
        <v>1.271681697E7</v>
      </c>
      <c r="AO50" s="22">
        <v>0.0</v>
      </c>
      <c r="AP50" s="22">
        <v>1.146519781E7</v>
      </c>
      <c r="AQ50" s="22" t="str">
        <f>AO50+AP50</f>
        <v>11,465,197.81</v>
      </c>
      <c r="AR50" s="22" t="str">
        <f t="shared" si="17"/>
        <v>0.00</v>
      </c>
      <c r="AS50" s="22" t="str">
        <f t="shared" si="18"/>
        <v>24,182,014.78</v>
      </c>
      <c r="AT50" s="22">
        <v>0.0</v>
      </c>
      <c r="AU50" s="22">
        <v>1.352401971E7</v>
      </c>
      <c r="AV50" s="22">
        <v>0.0</v>
      </c>
      <c r="AW50" s="22">
        <v>1.082462673E7</v>
      </c>
      <c r="AX50" s="22" t="str">
        <f>AV50+AW50</f>
        <v>10,824,626.73</v>
      </c>
      <c r="AY50" s="22" t="str">
        <f t="shared" si="20"/>
        <v>0.00</v>
      </c>
      <c r="AZ50" s="22" t="str">
        <f t="shared" si="21"/>
        <v>24,348,646.44</v>
      </c>
      <c r="BA50" s="21"/>
      <c r="BB50" s="21"/>
      <c r="BC50" s="21"/>
      <c r="BD50" s="21"/>
      <c r="BE50" s="22" t="str">
        <f>BC50+BD50</f>
        <v>0.00</v>
      </c>
      <c r="BF50" s="22" t="str">
        <f t="shared" si="23"/>
        <v>0.00</v>
      </c>
      <c r="BG50" s="22" t="str">
        <f t="shared" si="24"/>
        <v>0.00</v>
      </c>
      <c r="BH50" s="23" t="str">
        <f>HYPERLINK("http://portaldetransparencia.uva.es/export/sites/transparencia/5.Informacion_Economica/","http://portaldetransparencia.uva.es/export/sites/transparencia/5.Informacion_Economica/")</f>
        <v>http://portaldetransparencia.uva.es/export/sites/transparencia/5.Informacion_Economica/</v>
      </c>
    </row>
    <row r="51">
      <c r="A51" s="20" t="s">
        <v>77</v>
      </c>
      <c r="B51" s="9" t="s">
        <v>18</v>
      </c>
      <c r="C51" s="9" t="s">
        <v>19</v>
      </c>
      <c r="D51" s="22">
        <v>0.0</v>
      </c>
      <c r="E51" s="22">
        <v>1.3748609E7</v>
      </c>
      <c r="F51" s="22">
        <v>0.0</v>
      </c>
      <c r="G51" s="22">
        <v>1.2150718E7</v>
      </c>
      <c r="H51" s="22" t="str">
        <f t="shared" si="58"/>
        <v>12,150,718.00</v>
      </c>
      <c r="I51" s="22" t="str">
        <f t="shared" si="2"/>
        <v>0.00</v>
      </c>
      <c r="J51" s="22" t="str">
        <f t="shared" si="3"/>
        <v>25,899,327.00</v>
      </c>
      <c r="K51" s="22">
        <v>0.0</v>
      </c>
      <c r="L51" s="22">
        <v>1.5810963E7</v>
      </c>
      <c r="M51" s="22">
        <v>0.0</v>
      </c>
      <c r="N51" s="22">
        <v>1.367582E7</v>
      </c>
      <c r="O51" s="22" t="str">
        <f t="shared" si="66"/>
        <v>13,675,820.00</v>
      </c>
      <c r="P51" s="22" t="str">
        <f t="shared" si="5"/>
        <v>0.00</v>
      </c>
      <c r="Q51" s="22" t="str">
        <f t="shared" si="6"/>
        <v>29,486,783.00</v>
      </c>
      <c r="R51" s="22">
        <v>0.0</v>
      </c>
      <c r="S51" s="22">
        <v>1.509918211E7</v>
      </c>
      <c r="T51" s="22">
        <v>0.0</v>
      </c>
      <c r="U51" s="22">
        <v>7012345.82</v>
      </c>
      <c r="V51" s="22" t="str">
        <f t="shared" si="67"/>
        <v>7,012,345.82</v>
      </c>
      <c r="W51" s="22" t="str">
        <f t="shared" si="8"/>
        <v>0.00</v>
      </c>
      <c r="X51" s="22" t="str">
        <f t="shared" si="9"/>
        <v>22,111,527.93</v>
      </c>
      <c r="Y51" s="22">
        <v>0.0</v>
      </c>
      <c r="Z51" s="22">
        <v>2.718366783E7</v>
      </c>
      <c r="AA51" s="22">
        <v>0.0</v>
      </c>
      <c r="AB51" s="22">
        <v>3504309.52</v>
      </c>
      <c r="AC51" s="22" t="str">
        <f>AA51+AB51+2542000</f>
        <v>6,046,309.52</v>
      </c>
      <c r="AD51" s="22" t="str">
        <f t="shared" si="11"/>
        <v>0.00</v>
      </c>
      <c r="AE51" s="22" t="str">
        <f t="shared" si="12"/>
        <v>33,229,977.35</v>
      </c>
      <c r="AF51" s="22">
        <v>0.0</v>
      </c>
      <c r="AG51" s="22">
        <v>2.463816735E7</v>
      </c>
      <c r="AH51" s="22">
        <v>0.0</v>
      </c>
      <c r="AI51" s="22">
        <v>7824588.94</v>
      </c>
      <c r="AJ51" s="22" t="str">
        <f>AH51+AI51+3039244.34</f>
        <v>10,863,833.28</v>
      </c>
      <c r="AK51" s="22" t="str">
        <f t="shared" si="14"/>
        <v>0.00</v>
      </c>
      <c r="AL51" s="22" t="str">
        <f t="shared" si="15"/>
        <v>35,502,000.63</v>
      </c>
      <c r="AM51" s="22">
        <v>0.0</v>
      </c>
      <c r="AN51" s="22">
        <v>2.159519392E7</v>
      </c>
      <c r="AO51" s="22">
        <v>0.0</v>
      </c>
      <c r="AP51" s="22">
        <v>5397985.58</v>
      </c>
      <c r="AQ51" s="22" t="str">
        <f>AO51+AP51+3200000</f>
        <v>8,597,985.58</v>
      </c>
      <c r="AR51" s="22" t="str">
        <f t="shared" si="17"/>
        <v>0.00</v>
      </c>
      <c r="AS51" s="22" t="str">
        <f t="shared" si="18"/>
        <v>30,193,179.50</v>
      </c>
      <c r="AT51" s="22">
        <v>0.0</v>
      </c>
      <c r="AU51" s="22">
        <v>2.379899376E7</v>
      </c>
      <c r="AV51" s="22">
        <v>0.0</v>
      </c>
      <c r="AW51" s="22">
        <v>5316506.44</v>
      </c>
      <c r="AX51" s="22" t="str">
        <f>AV51+AW51+3250000+153158.67</f>
        <v>8,719,665.11</v>
      </c>
      <c r="AY51" s="22" t="str">
        <f t="shared" si="20"/>
        <v>0.00</v>
      </c>
      <c r="AZ51" s="22" t="str">
        <f t="shared" si="21"/>
        <v>32,518,658.87</v>
      </c>
      <c r="BA51" s="22">
        <v>0.0</v>
      </c>
      <c r="BB51" s="22">
        <v>1.872597341E7</v>
      </c>
      <c r="BC51" s="22">
        <v>0.0</v>
      </c>
      <c r="BD51" s="22">
        <v>5413246.35</v>
      </c>
      <c r="BE51" s="22" t="str">
        <f>BC51+BD51+3006139.37+153158.67</f>
        <v>8,572,544.39</v>
      </c>
      <c r="BF51" s="22" t="str">
        <f t="shared" si="23"/>
        <v>0.00</v>
      </c>
      <c r="BG51" s="22" t="str">
        <f t="shared" si="24"/>
        <v>27,298,517.80</v>
      </c>
      <c r="BH51" s="23" t="str">
        <f>HYPERLINK("http://xerencia.uvigo.es/xerencia_gl/economica/","http://xerencia.uvigo.es/xerencia_gl/economica/")</f>
        <v>http://xerencia.uvigo.es/xerencia_gl/economica/</v>
      </c>
    </row>
    <row r="52">
      <c r="A52" s="20" t="s">
        <v>78</v>
      </c>
      <c r="B52" s="9" t="s">
        <v>18</v>
      </c>
      <c r="C52" s="9" t="s">
        <v>19</v>
      </c>
      <c r="D52" s="22">
        <v>0.0</v>
      </c>
      <c r="E52" s="22">
        <v>297423.0</v>
      </c>
      <c r="F52" s="22">
        <v>0.0</v>
      </c>
      <c r="G52" s="21"/>
      <c r="H52" s="22" t="str">
        <f>41809420-18596005</f>
        <v>23,213,415.00</v>
      </c>
      <c r="I52" s="22" t="str">
        <f t="shared" si="2"/>
        <v>0.00</v>
      </c>
      <c r="J52" s="22" t="str">
        <f t="shared" si="3"/>
        <v>23,510,838.00</v>
      </c>
      <c r="K52" s="22">
        <v>0.0</v>
      </c>
      <c r="L52" s="22">
        <v>9676127.0</v>
      </c>
      <c r="M52" s="22">
        <v>0.0</v>
      </c>
      <c r="N52" s="21"/>
      <c r="O52" s="22" t="str">
        <f>48920673-19488734</f>
        <v>29,431,939.00</v>
      </c>
      <c r="P52" s="22" t="str">
        <f t="shared" si="5"/>
        <v>0.00</v>
      </c>
      <c r="Q52" s="22" t="str">
        <f t="shared" si="6"/>
        <v>39,108,066.00</v>
      </c>
      <c r="R52" s="22">
        <v>1.0E7</v>
      </c>
      <c r="S52" s="22">
        <v>1.8636035E7</v>
      </c>
      <c r="T52" s="22">
        <v>0.0</v>
      </c>
      <c r="U52" s="21"/>
      <c r="V52" s="22" t="str">
        <f>45658142-21052150</f>
        <v>24,605,992.00</v>
      </c>
      <c r="W52" s="22" t="str">
        <f t="shared" si="8"/>
        <v>10,000,000.00</v>
      </c>
      <c r="X52" s="22" t="str">
        <f t="shared" si="9"/>
        <v>43,242,027.00</v>
      </c>
      <c r="Y52" s="22">
        <v>1.853489935E7</v>
      </c>
      <c r="Z52" s="22">
        <v>2.8966078E7</v>
      </c>
      <c r="AA52" s="22">
        <v>1.652900003E7</v>
      </c>
      <c r="AB52" s="21"/>
      <c r="AC52" s="22" t="str">
        <f>61477094-21174521</f>
        <v>40,302,573.00</v>
      </c>
      <c r="AD52" s="22" t="str">
        <f t="shared" si="11"/>
        <v>35,063,899.38</v>
      </c>
      <c r="AE52" s="22" t="str">
        <f t="shared" si="12"/>
        <v>69,268,651.00</v>
      </c>
      <c r="AF52" s="22">
        <v>1.746404844E7</v>
      </c>
      <c r="AG52" s="22">
        <v>2.724065E7</v>
      </c>
      <c r="AH52" s="22">
        <v>1.338188997E7</v>
      </c>
      <c r="AI52" s="21"/>
      <c r="AJ52" s="22" t="str">
        <f>70400556-21608351</f>
        <v>48,792,205.00</v>
      </c>
      <c r="AK52" s="22" t="str">
        <f t="shared" si="14"/>
        <v>30,845,938.41</v>
      </c>
      <c r="AL52" s="22" t="str">
        <f t="shared" si="15"/>
        <v>76,032,855.00</v>
      </c>
      <c r="AM52" s="22">
        <v>1.62651453E7</v>
      </c>
      <c r="AN52" s="22">
        <v>3.8193719E7</v>
      </c>
      <c r="AO52" s="22">
        <v>1.479273642E7</v>
      </c>
      <c r="AP52" s="21"/>
      <c r="AQ52" s="22" t="str">
        <f>51075049-24172706</f>
        <v>26,902,343.00</v>
      </c>
      <c r="AR52" s="22" t="str">
        <f t="shared" si="17"/>
        <v>31,057,881.72</v>
      </c>
      <c r="AS52" s="22" t="str">
        <f t="shared" si="18"/>
        <v>65,096,062.00</v>
      </c>
      <c r="AT52" s="22">
        <v>1.507979052E7</v>
      </c>
      <c r="AU52" s="22">
        <v>4.0899389E7</v>
      </c>
      <c r="AV52" s="22">
        <v>1.946893007E7</v>
      </c>
      <c r="AW52" s="21"/>
      <c r="AX52" s="22" t="str">
        <f>47939638-23294637</f>
        <v>24,645,001.00</v>
      </c>
      <c r="AY52" s="22" t="str">
        <f t="shared" si="20"/>
        <v>34,548,720.59</v>
      </c>
      <c r="AZ52" s="22" t="str">
        <f t="shared" si="21"/>
        <v>65,544,390.00</v>
      </c>
      <c r="BA52" s="22">
        <v>1.716471488E7</v>
      </c>
      <c r="BB52" s="22">
        <v>2.2049396E7</v>
      </c>
      <c r="BC52" s="22">
        <v>3666666.72</v>
      </c>
      <c r="BD52" s="21"/>
      <c r="BE52" s="22" t="str">
        <f>47555436-23943616</f>
        <v>23,611,820.00</v>
      </c>
      <c r="BF52" s="22" t="str">
        <f t="shared" si="23"/>
        <v>20,831,381.60</v>
      </c>
      <c r="BG52" s="22" t="str">
        <f t="shared" si="24"/>
        <v>45,661,216.00</v>
      </c>
      <c r="BH52" s="24" t="s">
        <v>81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26" t="str">
        <f>I32/J32</f>
        <v>0.6901867814</v>
      </c>
      <c r="K53" s="1"/>
      <c r="L53" s="1"/>
      <c r="M53" s="1"/>
      <c r="N53" s="1"/>
      <c r="O53" s="1"/>
      <c r="P53" s="1"/>
      <c r="Q53" s="26" t="str">
        <f>P32/Q32</f>
        <v>0.6667354623</v>
      </c>
      <c r="R53" s="1"/>
      <c r="S53" s="1"/>
      <c r="T53" s="1"/>
      <c r="U53" s="1"/>
      <c r="V53" s="1"/>
      <c r="W53" s="1"/>
      <c r="X53" s="26" t="str">
        <f>W32/X32</f>
        <v>0.6853487242</v>
      </c>
      <c r="Y53" s="1"/>
      <c r="Z53" s="1"/>
      <c r="AA53" s="1"/>
      <c r="AB53" s="1"/>
      <c r="AC53" s="1"/>
      <c r="AD53" s="1"/>
      <c r="AE53" s="26" t="str">
        <f>AD32/AE32</f>
        <v>0.6634565574</v>
      </c>
      <c r="AF53" s="1"/>
      <c r="AG53" s="1"/>
      <c r="AH53" s="1"/>
      <c r="AI53" s="1"/>
      <c r="AJ53" s="1"/>
      <c r="AK53" s="1"/>
      <c r="AL53" s="26" t="str">
        <f>AK32/AL32</f>
        <v>0.6596456636</v>
      </c>
      <c r="AM53" s="1"/>
      <c r="AN53" s="1"/>
      <c r="AO53" s="1"/>
      <c r="AP53" s="1"/>
      <c r="AQ53" s="1"/>
      <c r="AR53" s="1"/>
      <c r="AS53" s="26" t="str">
        <f>AR32/AS32</f>
        <v>0.639499668</v>
      </c>
      <c r="AT53" s="1"/>
      <c r="AU53" s="1"/>
      <c r="AV53" s="1"/>
      <c r="AW53" s="1"/>
      <c r="AX53" s="1"/>
      <c r="AY53" s="1"/>
      <c r="AZ53" s="26" t="str">
        <f>AY32/AZ32</f>
        <v>0.7808766754</v>
      </c>
      <c r="BA53" s="1"/>
      <c r="BB53" s="1"/>
      <c r="BC53" s="1"/>
      <c r="BD53" s="1"/>
      <c r="BE53" s="1"/>
      <c r="BF53" s="1"/>
      <c r="BG53" s="26" t="str">
        <f>BF32/BG32</f>
        <v>0.7180720235</v>
      </c>
      <c r="BH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21"/>
      <c r="BD54" s="1"/>
      <c r="BE54" s="1"/>
      <c r="BF54" s="1"/>
      <c r="BG54" s="1"/>
      <c r="BH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</row>
  </sheetData>
  <mergeCells count="8">
    <mergeCell ref="D1:J1"/>
    <mergeCell ref="K1:Q1"/>
    <mergeCell ref="R1:X1"/>
    <mergeCell ref="Y1:AE1"/>
    <mergeCell ref="AF1:AL1"/>
    <mergeCell ref="AM1:AS1"/>
    <mergeCell ref="AT1:AZ1"/>
    <mergeCell ref="BA1:BG1"/>
  </mergeCells>
  <hyperlinks>
    <hyperlink r:id="rId1" location="m2" ref="BH3"/>
    <hyperlink r:id="rId2" ref="BH4"/>
    <hyperlink r:id="rId3" ref="BH5"/>
    <hyperlink r:id="rId4" ref="BH6"/>
    <hyperlink r:id="rId5" ref="BH7"/>
    <hyperlink r:id="rId6" ref="BH8"/>
    <hyperlink r:id="rId7" ref="BH9"/>
    <hyperlink r:id="rId8" ref="BH10"/>
    <hyperlink r:id="rId9" ref="BH11"/>
    <hyperlink r:id="rId10" ref="BH12"/>
    <hyperlink r:id="rId11" ref="BH13"/>
    <hyperlink r:id="rId12" ref="BH14"/>
    <hyperlink r:id="rId13" ref="BH15"/>
    <hyperlink r:id="rId14" ref="BH16"/>
    <hyperlink r:id="rId15" ref="BH18"/>
    <hyperlink r:id="rId16" ref="BH19"/>
    <hyperlink r:id="rId17" ref="BH20"/>
    <hyperlink r:id="rId18" ref="BH21"/>
    <hyperlink r:id="rId19" ref="BH22"/>
    <hyperlink r:id="rId20" ref="BH24"/>
    <hyperlink r:id="rId21" ref="BH26"/>
    <hyperlink r:id="rId22" ref="BH27"/>
    <hyperlink r:id="rId23" ref="BH28"/>
    <hyperlink r:id="rId24" ref="BH29"/>
    <hyperlink r:id="rId25" ref="BH30"/>
    <hyperlink r:id="rId26" ref="BH31"/>
    <hyperlink r:id="rId27" ref="BH32"/>
    <hyperlink r:id="rId28" ref="BH33"/>
    <hyperlink r:id="rId29" ref="BH34"/>
    <hyperlink r:id="rId30" ref="BH35"/>
    <hyperlink r:id="rId31" ref="BH36"/>
    <hyperlink r:id="rId32" ref="BH38"/>
    <hyperlink r:id="rId33" ref="BH39"/>
    <hyperlink r:id="rId34" ref="BH40"/>
    <hyperlink r:id="rId35" ref="BH41"/>
    <hyperlink r:id="rId36" ref="BH42"/>
    <hyperlink r:id="rId37" ref="BH43"/>
    <hyperlink r:id="rId38" ref="BH44"/>
    <hyperlink r:id="rId39" ref="BH45"/>
    <hyperlink r:id="rId40" ref="BH46"/>
    <hyperlink r:id="rId41" ref="BH47"/>
    <hyperlink r:id="rId42" ref="BH49"/>
    <hyperlink r:id="rId43" ref="BH50"/>
    <hyperlink r:id="rId44" ref="BH51"/>
  </hyperlinks>
  <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1</v>
      </c>
      <c r="B1" s="5" t="s">
        <v>6</v>
      </c>
      <c r="C1" s="5" t="s">
        <v>7</v>
      </c>
      <c r="D1" s="7" t="s">
        <v>8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 t="s">
        <v>17</v>
      </c>
      <c r="B2" s="9" t="s">
        <v>18</v>
      </c>
      <c r="C2" s="9" t="s">
        <v>19</v>
      </c>
      <c r="D2" s="11">
        <v>19925.0</v>
      </c>
      <c r="E2" s="11">
        <v>21171.0</v>
      </c>
      <c r="F2" s="11">
        <v>21052.0</v>
      </c>
      <c r="G2" s="11">
        <v>20783.0</v>
      </c>
      <c r="H2" s="11">
        <v>20125.0</v>
      </c>
      <c r="I2" s="11">
        <v>19433.0</v>
      </c>
      <c r="J2" s="11">
        <v>18742.0</v>
      </c>
      <c r="K2" s="11">
        <v>18033.0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9" t="s">
        <v>20</v>
      </c>
      <c r="B3" s="9" t="s">
        <v>18</v>
      </c>
      <c r="C3" s="9" t="s">
        <v>19</v>
      </c>
      <c r="D3" s="11">
        <v>18049.0</v>
      </c>
      <c r="E3" s="11">
        <v>19976.0</v>
      </c>
      <c r="F3" s="11">
        <v>19869.0</v>
      </c>
      <c r="G3" s="11">
        <v>19039.0</v>
      </c>
      <c r="H3" s="11">
        <v>18089.0</v>
      </c>
      <c r="I3" s="11">
        <v>17590.0</v>
      </c>
      <c r="J3" s="11">
        <v>17509.0</v>
      </c>
      <c r="K3" s="11">
        <v>17397.0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9" t="s">
        <v>21</v>
      </c>
      <c r="B4" s="9" t="s">
        <v>18</v>
      </c>
      <c r="C4" s="9" t="s">
        <v>19</v>
      </c>
      <c r="D4" s="11">
        <v>26361.0</v>
      </c>
      <c r="E4" s="11">
        <v>27236.0</v>
      </c>
      <c r="F4" s="11">
        <v>28657.0</v>
      </c>
      <c r="G4" s="11">
        <v>29379.0</v>
      </c>
      <c r="H4" s="11">
        <v>28774.0</v>
      </c>
      <c r="I4" s="11">
        <v>27352.0</v>
      </c>
      <c r="J4" s="11">
        <v>26617.0</v>
      </c>
      <c r="K4" s="11">
        <v>25774.0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9" t="s">
        <v>22</v>
      </c>
      <c r="B5" s="9" t="s">
        <v>18</v>
      </c>
      <c r="C5" s="9" t="s">
        <v>19</v>
      </c>
      <c r="D5" s="11">
        <v>11519.0</v>
      </c>
      <c r="E5" s="11">
        <v>12182.0</v>
      </c>
      <c r="F5" s="11">
        <v>12461.0</v>
      </c>
      <c r="G5" s="11">
        <v>12827.0</v>
      </c>
      <c r="H5" s="11">
        <v>12772.0</v>
      </c>
      <c r="I5" s="11">
        <v>12708.0</v>
      </c>
      <c r="J5" s="11">
        <v>13109.0</v>
      </c>
      <c r="K5" s="11">
        <v>13345.0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 t="s">
        <v>23</v>
      </c>
      <c r="B6" s="9" t="s">
        <v>18</v>
      </c>
      <c r="C6" s="9" t="s">
        <v>19</v>
      </c>
      <c r="D6" s="11">
        <v>34357.0</v>
      </c>
      <c r="E6" s="11">
        <v>35766.0</v>
      </c>
      <c r="F6" s="11">
        <v>37152.0</v>
      </c>
      <c r="G6" s="11">
        <v>37704.0</v>
      </c>
      <c r="H6" s="11">
        <v>37610.0</v>
      </c>
      <c r="I6" s="11">
        <v>38096.0</v>
      </c>
      <c r="J6" s="11">
        <v>38513.0</v>
      </c>
      <c r="K6" s="11">
        <v>36953.0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 t="s">
        <v>24</v>
      </c>
      <c r="B7" s="9" t="s">
        <v>18</v>
      </c>
      <c r="C7" s="9" t="s">
        <v>19</v>
      </c>
      <c r="D7" s="11">
        <v>30845.0</v>
      </c>
      <c r="E7" s="11">
        <v>29538.0</v>
      </c>
      <c r="F7" s="11">
        <v>29002.0</v>
      </c>
      <c r="G7" s="11">
        <v>27985.0</v>
      </c>
      <c r="H7" s="11">
        <v>27335.0</v>
      </c>
      <c r="I7" s="11">
        <v>26526.0</v>
      </c>
      <c r="J7" s="11">
        <v>27448.0</v>
      </c>
      <c r="K7" s="11">
        <v>28305.0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 t="s">
        <v>25</v>
      </c>
      <c r="B8" s="9" t="s">
        <v>18</v>
      </c>
      <c r="C8" s="9" t="s">
        <v>19</v>
      </c>
      <c r="D8" s="11">
        <v>54045.0</v>
      </c>
      <c r="E8" s="11">
        <v>54628.0</v>
      </c>
      <c r="F8" s="11">
        <v>55071.0</v>
      </c>
      <c r="G8" s="11">
        <v>54050.0</v>
      </c>
      <c r="H8" s="11">
        <v>52840.0</v>
      </c>
      <c r="I8" s="11">
        <v>52060.0</v>
      </c>
      <c r="J8" s="11">
        <v>51936.0</v>
      </c>
      <c r="K8" s="11">
        <v>53141.0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 t="s">
        <v>26</v>
      </c>
      <c r="B9" s="9" t="s">
        <v>18</v>
      </c>
      <c r="C9" s="9" t="s">
        <v>19</v>
      </c>
      <c r="D9" s="11">
        <v>7894.0</v>
      </c>
      <c r="E9" s="11">
        <v>8504.0</v>
      </c>
      <c r="F9" s="11">
        <v>8609.0</v>
      </c>
      <c r="G9" s="11">
        <v>8909.0</v>
      </c>
      <c r="H9" s="11">
        <v>8524.0</v>
      </c>
      <c r="I9" s="11">
        <v>8281.0</v>
      </c>
      <c r="J9" s="11">
        <v>7799.0</v>
      </c>
      <c r="K9" s="11">
        <v>7471.0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9" t="s">
        <v>27</v>
      </c>
      <c r="B10" s="9" t="s">
        <v>18</v>
      </c>
      <c r="C10" s="9" t="s">
        <v>19</v>
      </c>
      <c r="D10" s="11">
        <v>19794.0</v>
      </c>
      <c r="E10" s="11">
        <v>20833.0</v>
      </c>
      <c r="F10" s="11">
        <v>21078.0</v>
      </c>
      <c r="G10" s="11">
        <v>21067.0</v>
      </c>
      <c r="H10" s="11">
        <v>21355.0</v>
      </c>
      <c r="I10" s="11">
        <v>21003.0</v>
      </c>
      <c r="J10" s="11">
        <v>21058.0</v>
      </c>
      <c r="K10" s="11">
        <v>20872.0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 t="s">
        <v>28</v>
      </c>
      <c r="B11" s="9" t="s">
        <v>18</v>
      </c>
      <c r="C11" s="9" t="s">
        <v>19</v>
      </c>
      <c r="D11" s="11">
        <v>10499.0</v>
      </c>
      <c r="E11" s="11">
        <v>10728.0</v>
      </c>
      <c r="F11" s="11">
        <v>11171.0</v>
      </c>
      <c r="G11" s="11">
        <v>11525.0</v>
      </c>
      <c r="H11" s="11">
        <v>11304.0</v>
      </c>
      <c r="I11" s="11">
        <v>11149.0</v>
      </c>
      <c r="J11" s="11">
        <v>10746.0</v>
      </c>
      <c r="K11" s="11">
        <v>10618.0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 t="s">
        <v>29</v>
      </c>
      <c r="B12" s="9" t="s">
        <v>18</v>
      </c>
      <c r="C12" s="9" t="s">
        <v>19</v>
      </c>
      <c r="D12" s="11">
        <v>16980.0</v>
      </c>
      <c r="E12" s="11">
        <v>17291.0</v>
      </c>
      <c r="F12" s="11">
        <v>15773.0</v>
      </c>
      <c r="G12" s="11">
        <v>17473.0</v>
      </c>
      <c r="H12" s="11">
        <v>16578.0</v>
      </c>
      <c r="I12" s="11">
        <v>16908.0</v>
      </c>
      <c r="J12" s="11">
        <v>18403.0</v>
      </c>
      <c r="K12" s="11">
        <v>18526.0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 t="s">
        <v>30</v>
      </c>
      <c r="B13" s="9" t="s">
        <v>18</v>
      </c>
      <c r="C13" s="9" t="s">
        <v>19</v>
      </c>
      <c r="D13" s="11">
        <v>26327.0</v>
      </c>
      <c r="E13" s="11">
        <v>27321.0</v>
      </c>
      <c r="F13" s="11">
        <v>28258.0</v>
      </c>
      <c r="G13" s="11">
        <v>28572.0</v>
      </c>
      <c r="H13" s="11">
        <v>28384.0</v>
      </c>
      <c r="I13" s="11">
        <v>27706.0</v>
      </c>
      <c r="J13" s="11">
        <v>26381.0</v>
      </c>
      <c r="K13" s="11">
        <v>25400.0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 t="s">
        <v>31</v>
      </c>
      <c r="B14" s="9" t="s">
        <v>18</v>
      </c>
      <c r="C14" s="9" t="s">
        <v>19</v>
      </c>
      <c r="D14" s="11">
        <v>77189.0</v>
      </c>
      <c r="E14" s="11">
        <v>75830.0</v>
      </c>
      <c r="F14" s="11">
        <v>77079.0</v>
      </c>
      <c r="G14" s="11">
        <v>76764.0</v>
      </c>
      <c r="H14" s="11">
        <v>76008.0</v>
      </c>
      <c r="I14" s="11">
        <v>72353.0</v>
      </c>
      <c r="J14" s="11">
        <v>70157.0</v>
      </c>
      <c r="K14" s="11">
        <v>73582.0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 t="s">
        <v>32</v>
      </c>
      <c r="B15" s="9" t="s">
        <v>18</v>
      </c>
      <c r="C15" s="9" t="s">
        <v>19</v>
      </c>
      <c r="D15" s="11">
        <v>15930.0</v>
      </c>
      <c r="E15" s="11">
        <v>18999.0</v>
      </c>
      <c r="F15" s="11">
        <v>19715.0</v>
      </c>
      <c r="G15" s="11">
        <v>19751.0</v>
      </c>
      <c r="H15" s="11">
        <v>19575.0</v>
      </c>
      <c r="I15" s="11">
        <v>18906.0</v>
      </c>
      <c r="J15" s="11">
        <v>19345.0</v>
      </c>
      <c r="K15" s="11">
        <v>17856.0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9" t="s">
        <v>33</v>
      </c>
      <c r="B16" s="9" t="s">
        <v>18</v>
      </c>
      <c r="C16" s="9" t="s">
        <v>19</v>
      </c>
      <c r="D16" s="11">
        <v>22805.0</v>
      </c>
      <c r="E16" s="11">
        <v>23335.0</v>
      </c>
      <c r="F16" s="11">
        <v>24149.0</v>
      </c>
      <c r="G16" s="11">
        <v>24246.0</v>
      </c>
      <c r="H16" s="11">
        <v>23382.0</v>
      </c>
      <c r="I16" s="11">
        <v>22922.0</v>
      </c>
      <c r="J16" s="11">
        <v>21173.0</v>
      </c>
      <c r="K16" s="11">
        <v>21124.0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9" t="s">
        <v>34</v>
      </c>
      <c r="B17" s="9" t="s">
        <v>18</v>
      </c>
      <c r="C17" s="9" t="s">
        <v>19</v>
      </c>
      <c r="D17" s="11">
        <v>11624.0</v>
      </c>
      <c r="E17" s="11">
        <v>12505.0</v>
      </c>
      <c r="F17" s="11">
        <v>13240.0</v>
      </c>
      <c r="G17" s="11">
        <v>13835.0</v>
      </c>
      <c r="H17" s="11">
        <v>14235.0</v>
      </c>
      <c r="I17" s="11">
        <v>14232.0</v>
      </c>
      <c r="J17" s="11">
        <v>14985.0</v>
      </c>
      <c r="K17" s="11">
        <v>14946.0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9" t="s">
        <v>35</v>
      </c>
      <c r="B18" s="9" t="s">
        <v>18</v>
      </c>
      <c r="C18" s="9" t="s">
        <v>19</v>
      </c>
      <c r="D18" s="11">
        <v>54779.0</v>
      </c>
      <c r="E18" s="11">
        <v>57366.0</v>
      </c>
      <c r="F18" s="11">
        <v>57780.0</v>
      </c>
      <c r="G18" s="11">
        <v>57963.0</v>
      </c>
      <c r="H18" s="11">
        <v>55312.0</v>
      </c>
      <c r="I18" s="11">
        <v>54304.0</v>
      </c>
      <c r="J18" s="11">
        <v>53921.0</v>
      </c>
      <c r="K18" s="11">
        <v>53603.0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9" t="s">
        <v>36</v>
      </c>
      <c r="B19" s="9" t="s">
        <v>18</v>
      </c>
      <c r="C19" s="9" t="s">
        <v>19</v>
      </c>
      <c r="D19" s="11">
        <v>10752.0</v>
      </c>
      <c r="E19" s="11">
        <v>11435.0</v>
      </c>
      <c r="F19" s="11">
        <v>11584.0</v>
      </c>
      <c r="G19" s="11">
        <v>11747.0</v>
      </c>
      <c r="H19" s="11">
        <v>11887.0</v>
      </c>
      <c r="I19" s="11">
        <v>12079.0</v>
      </c>
      <c r="J19" s="11">
        <v>11409.0</v>
      </c>
      <c r="K19" s="11">
        <v>11473.0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9" t="s">
        <v>37</v>
      </c>
      <c r="B20" s="9" t="s">
        <v>18</v>
      </c>
      <c r="C20" s="9" t="s">
        <v>19</v>
      </c>
      <c r="D20" s="11">
        <v>13907.0</v>
      </c>
      <c r="E20" s="11">
        <v>14547.0</v>
      </c>
      <c r="F20" s="11">
        <v>15154.0</v>
      </c>
      <c r="G20" s="11">
        <v>14913.0</v>
      </c>
      <c r="H20" s="11">
        <v>14803.0</v>
      </c>
      <c r="I20" s="11">
        <v>14244.0</v>
      </c>
      <c r="J20" s="11">
        <v>13741.0</v>
      </c>
      <c r="K20" s="11">
        <v>13600.0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9" t="s">
        <v>38</v>
      </c>
      <c r="B21" s="9" t="s">
        <v>18</v>
      </c>
      <c r="C21" s="9" t="s">
        <v>39</v>
      </c>
      <c r="D21" s="11">
        <v>63.0</v>
      </c>
      <c r="E21" s="11">
        <v>238.0</v>
      </c>
      <c r="F21" s="11">
        <v>255.0</v>
      </c>
      <c r="G21" s="11">
        <v>263.0</v>
      </c>
      <c r="H21" s="11">
        <v>250.0</v>
      </c>
      <c r="I21" s="11">
        <v>244.0</v>
      </c>
      <c r="J21" s="11">
        <v>202.0</v>
      </c>
      <c r="K21" s="11">
        <v>246.0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9" t="s">
        <v>40</v>
      </c>
      <c r="B22" s="9" t="s">
        <v>18</v>
      </c>
      <c r="C22" s="9" t="s">
        <v>39</v>
      </c>
      <c r="D22" s="11">
        <v>271.0</v>
      </c>
      <c r="E22" s="11">
        <v>239.0</v>
      </c>
      <c r="F22" s="11">
        <v>526.0</v>
      </c>
      <c r="G22" s="11">
        <v>784.0</v>
      </c>
      <c r="H22" s="11">
        <v>921.0</v>
      </c>
      <c r="I22" s="11">
        <v>965.0</v>
      </c>
      <c r="J22" s="11">
        <v>1098.0</v>
      </c>
      <c r="K22" s="11">
        <v>1288.0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9" t="s">
        <v>41</v>
      </c>
      <c r="B23" s="9" t="s">
        <v>18</v>
      </c>
      <c r="C23" s="9" t="s">
        <v>19</v>
      </c>
      <c r="D23" s="11">
        <v>15455.0</v>
      </c>
      <c r="E23" s="11">
        <v>16609.0</v>
      </c>
      <c r="F23" s="11">
        <v>16646.0</v>
      </c>
      <c r="G23" s="11">
        <v>16900.0</v>
      </c>
      <c r="H23" s="11">
        <v>16269.0</v>
      </c>
      <c r="I23" s="11">
        <v>15964.0</v>
      </c>
      <c r="J23" s="11">
        <v>15273.0</v>
      </c>
      <c r="K23" s="11">
        <v>14813.0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9" t="s">
        <v>42</v>
      </c>
      <c r="B24" s="9" t="s">
        <v>18</v>
      </c>
      <c r="C24" s="9" t="s">
        <v>19</v>
      </c>
      <c r="D24" s="11">
        <v>13146.0</v>
      </c>
      <c r="E24" s="11">
        <v>13245.0</v>
      </c>
      <c r="F24" s="11">
        <v>13990.0</v>
      </c>
      <c r="G24" s="11">
        <v>14716.0</v>
      </c>
      <c r="H24" s="11">
        <v>14455.0</v>
      </c>
      <c r="I24" s="11">
        <v>13787.0</v>
      </c>
      <c r="J24" s="11">
        <v>13726.0</v>
      </c>
      <c r="K24" s="11">
        <v>13842.0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9" t="s">
        <v>43</v>
      </c>
      <c r="B25" s="9" t="s">
        <v>18</v>
      </c>
      <c r="C25" s="9" t="s">
        <v>19</v>
      </c>
      <c r="D25" s="11">
        <v>22305.0</v>
      </c>
      <c r="E25" s="11">
        <v>23011.0</v>
      </c>
      <c r="F25" s="11">
        <v>23519.0</v>
      </c>
      <c r="G25" s="11">
        <v>23682.0</v>
      </c>
      <c r="H25" s="11">
        <v>22312.0</v>
      </c>
      <c r="I25" s="11">
        <v>21499.0</v>
      </c>
      <c r="J25" s="11">
        <v>20747.0</v>
      </c>
      <c r="K25" s="11">
        <v>19673.0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9" t="s">
        <v>44</v>
      </c>
      <c r="B26" s="9" t="s">
        <v>18</v>
      </c>
      <c r="C26" s="9" t="s">
        <v>19</v>
      </c>
      <c r="D26" s="11">
        <v>5874.0</v>
      </c>
      <c r="E26" s="11">
        <v>5841.0</v>
      </c>
      <c r="F26" s="11">
        <v>5641.0</v>
      </c>
      <c r="G26" s="11">
        <v>5279.0</v>
      </c>
      <c r="H26" s="11">
        <v>4962.0</v>
      </c>
      <c r="I26" s="11">
        <v>4630.0</v>
      </c>
      <c r="J26" s="11">
        <v>4351.0</v>
      </c>
      <c r="K26" s="11">
        <v>4312.0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9" t="s">
        <v>45</v>
      </c>
      <c r="B27" s="9" t="s">
        <v>18</v>
      </c>
      <c r="C27" s="9" t="s">
        <v>19</v>
      </c>
      <c r="D27" s="11">
        <v>21317.0</v>
      </c>
      <c r="E27" s="11">
        <v>20028.0</v>
      </c>
      <c r="F27" s="11">
        <v>15346.0</v>
      </c>
      <c r="G27" s="11">
        <v>20855.0</v>
      </c>
      <c r="H27" s="11">
        <v>21356.0</v>
      </c>
      <c r="I27" s="11">
        <v>20513.0</v>
      </c>
      <c r="J27" s="11">
        <v>19510.0</v>
      </c>
      <c r="K27" s="11">
        <v>20037.0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9" t="s">
        <v>46</v>
      </c>
      <c r="B28" s="9" t="s">
        <v>18</v>
      </c>
      <c r="C28" s="9" t="s">
        <v>19</v>
      </c>
      <c r="D28" s="11">
        <v>11874.0</v>
      </c>
      <c r="E28" s="11">
        <v>11808.0</v>
      </c>
      <c r="F28" s="11">
        <v>13076.0</v>
      </c>
      <c r="G28" s="11">
        <v>14703.0</v>
      </c>
      <c r="H28" s="11">
        <v>14954.0</v>
      </c>
      <c r="I28" s="11">
        <v>14362.0</v>
      </c>
      <c r="J28" s="11">
        <v>13762.0</v>
      </c>
      <c r="K28" s="11">
        <v>11989.0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9" t="s">
        <v>47</v>
      </c>
      <c r="B29" s="9" t="s">
        <v>18</v>
      </c>
      <c r="C29" s="9" t="s">
        <v>19</v>
      </c>
      <c r="D29" s="11">
        <v>7290.0</v>
      </c>
      <c r="E29" s="11">
        <v>8817.0</v>
      </c>
      <c r="F29" s="11">
        <v>9455.0</v>
      </c>
      <c r="G29" s="11">
        <v>9551.0</v>
      </c>
      <c r="H29" s="11">
        <v>9432.0</v>
      </c>
      <c r="I29" s="11">
        <v>9228.0</v>
      </c>
      <c r="J29" s="11">
        <v>9191.0</v>
      </c>
      <c r="K29" s="11">
        <v>9450.0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9" t="s">
        <v>49</v>
      </c>
      <c r="B30" s="9" t="s">
        <v>18</v>
      </c>
      <c r="C30" s="9" t="s">
        <v>19</v>
      </c>
      <c r="D30" s="11">
        <v>32805.0</v>
      </c>
      <c r="E30" s="11">
        <v>35818.0</v>
      </c>
      <c r="F30" s="11">
        <v>34549.0</v>
      </c>
      <c r="G30" s="11">
        <v>37801.0</v>
      </c>
      <c r="H30" s="11">
        <v>37809.0</v>
      </c>
      <c r="I30" s="11">
        <v>36124.0</v>
      </c>
      <c r="J30" s="11">
        <v>37862.0</v>
      </c>
      <c r="K30" s="11">
        <v>36819.0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9" t="s">
        <v>50</v>
      </c>
      <c r="B31" s="9" t="s">
        <v>18</v>
      </c>
      <c r="C31" s="9" t="s">
        <v>19</v>
      </c>
      <c r="D31" s="11">
        <v>10893.0</v>
      </c>
      <c r="E31" s="11">
        <v>11931.0</v>
      </c>
      <c r="F31" s="11">
        <v>12754.0</v>
      </c>
      <c r="G31" s="11">
        <v>13327.0</v>
      </c>
      <c r="H31" s="11">
        <v>11912.0</v>
      </c>
      <c r="I31" s="11">
        <v>13842.0</v>
      </c>
      <c r="J31" s="11">
        <v>13492.0</v>
      </c>
      <c r="K31" s="11">
        <v>13378.0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9" t="s">
        <v>51</v>
      </c>
      <c r="B32" s="9" t="s">
        <v>18</v>
      </c>
      <c r="C32" s="9" t="s">
        <v>19</v>
      </c>
      <c r="D32" s="11">
        <v>28082.0</v>
      </c>
      <c r="E32" s="11">
        <v>29836.0</v>
      </c>
      <c r="F32" s="11">
        <v>31069.0</v>
      </c>
      <c r="G32" s="11">
        <v>31407.0</v>
      </c>
      <c r="H32" s="11">
        <v>32037.0</v>
      </c>
      <c r="I32" s="11">
        <v>31008.0</v>
      </c>
      <c r="J32" s="11">
        <v>31373.0</v>
      </c>
      <c r="K32" s="11">
        <v>31867.0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9" t="s">
        <v>57</v>
      </c>
      <c r="B33" s="9" t="s">
        <v>18</v>
      </c>
      <c r="C33" s="9" t="s">
        <v>59</v>
      </c>
      <c r="D33" s="11">
        <v>150699.0</v>
      </c>
      <c r="E33" s="11">
        <v>146684.0</v>
      </c>
      <c r="F33" s="11">
        <v>154210.0</v>
      </c>
      <c r="G33" s="11">
        <v>167332.0</v>
      </c>
      <c r="H33" s="11">
        <v>160952.0</v>
      </c>
      <c r="I33" s="11">
        <v>161491.0</v>
      </c>
      <c r="J33" s="11">
        <v>158947.0</v>
      </c>
      <c r="K33" s="11">
        <v>167350.0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9" t="s">
        <v>60</v>
      </c>
      <c r="B34" s="9" t="s">
        <v>18</v>
      </c>
      <c r="C34" s="9" t="s">
        <v>19</v>
      </c>
      <c r="D34" s="11">
        <v>25246.0</v>
      </c>
      <c r="E34" s="11">
        <v>25362.0</v>
      </c>
      <c r="F34" s="11">
        <v>25358.0</v>
      </c>
      <c r="G34" s="11">
        <v>25191.0</v>
      </c>
      <c r="H34" s="11">
        <v>24424.0</v>
      </c>
      <c r="I34" s="11">
        <v>23053.0</v>
      </c>
      <c r="J34" s="11">
        <v>22516.0</v>
      </c>
      <c r="K34" s="11">
        <v>22086.0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9" t="s">
        <v>61</v>
      </c>
      <c r="B35" s="9" t="s">
        <v>18</v>
      </c>
      <c r="C35" s="9" t="s">
        <v>19</v>
      </c>
      <c r="D35" s="11">
        <v>8403.0</v>
      </c>
      <c r="E35" s="11">
        <v>2834.0</v>
      </c>
      <c r="F35" s="11">
        <v>10550.0</v>
      </c>
      <c r="G35" s="11">
        <v>11784.0</v>
      </c>
      <c r="H35" s="11">
        <v>11495.0</v>
      </c>
      <c r="I35" s="11">
        <v>11780.0</v>
      </c>
      <c r="J35" s="11">
        <v>10597.0</v>
      </c>
      <c r="K35" s="11">
        <v>11157.0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9" t="s">
        <v>62</v>
      </c>
      <c r="B36" s="9" t="s">
        <v>18</v>
      </c>
      <c r="C36" s="9" t="s">
        <v>19</v>
      </c>
      <c r="D36" s="11">
        <v>43073.0</v>
      </c>
      <c r="E36" s="11">
        <v>40203.0</v>
      </c>
      <c r="F36" s="11">
        <v>44162.0</v>
      </c>
      <c r="G36" s="11">
        <v>44094.0</v>
      </c>
      <c r="H36" s="11">
        <v>43682.0</v>
      </c>
      <c r="I36" s="11">
        <v>43618.0</v>
      </c>
      <c r="J36" s="11">
        <v>42989.0</v>
      </c>
      <c r="K36" s="11">
        <v>42704.0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9" t="s">
        <v>63</v>
      </c>
      <c r="B37" s="9" t="s">
        <v>18</v>
      </c>
      <c r="C37" s="9" t="s">
        <v>19</v>
      </c>
      <c r="D37" s="11">
        <v>5998.0</v>
      </c>
      <c r="E37" s="11">
        <v>6190.0</v>
      </c>
      <c r="F37" s="11">
        <v>4419.0</v>
      </c>
      <c r="G37" s="11">
        <v>6869.0</v>
      </c>
      <c r="H37" s="11">
        <v>6627.0</v>
      </c>
      <c r="I37" s="11">
        <v>6233.0</v>
      </c>
      <c r="J37" s="11">
        <v>5787.0</v>
      </c>
      <c r="K37" s="11">
        <v>5668.0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9" t="s">
        <v>64</v>
      </c>
      <c r="B38" s="9" t="s">
        <v>18</v>
      </c>
      <c r="C38" s="9" t="s">
        <v>19</v>
      </c>
      <c r="D38" s="11">
        <v>30412.0</v>
      </c>
      <c r="E38" s="11">
        <v>31383.0</v>
      </c>
      <c r="F38" s="11">
        <v>32299.0</v>
      </c>
      <c r="G38" s="11">
        <v>32446.0</v>
      </c>
      <c r="H38" s="11">
        <v>31364.0</v>
      </c>
      <c r="I38" s="11">
        <v>30706.0</v>
      </c>
      <c r="J38" s="11">
        <v>31771.0</v>
      </c>
      <c r="K38" s="11">
        <v>28590.0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9" t="s">
        <v>65</v>
      </c>
      <c r="B39" s="9" t="s">
        <v>18</v>
      </c>
      <c r="C39" s="9" t="s">
        <v>19</v>
      </c>
      <c r="D39" s="11">
        <v>36380.0</v>
      </c>
      <c r="E39" s="11">
        <v>37388.0</v>
      </c>
      <c r="F39" s="11">
        <v>38027.0</v>
      </c>
      <c r="G39" s="11">
        <v>38086.0</v>
      </c>
      <c r="H39" s="11">
        <v>36287.0</v>
      </c>
      <c r="I39" s="11">
        <v>35763.0</v>
      </c>
      <c r="J39" s="11">
        <v>36076.0</v>
      </c>
      <c r="K39" s="11">
        <v>35975.0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9" t="s">
        <v>66</v>
      </c>
      <c r="B40" s="9" t="s">
        <v>18</v>
      </c>
      <c r="C40" s="9" t="s">
        <v>19</v>
      </c>
      <c r="D40" s="11">
        <v>34164.0</v>
      </c>
      <c r="E40" s="11">
        <v>38096.0</v>
      </c>
      <c r="F40" s="11">
        <v>38274.0</v>
      </c>
      <c r="G40" s="11">
        <v>36397.0</v>
      </c>
      <c r="H40" s="11">
        <v>34648.0</v>
      </c>
      <c r="I40" s="11">
        <v>32500.0</v>
      </c>
      <c r="J40" s="11">
        <v>31144.0</v>
      </c>
      <c r="K40" s="11">
        <v>29216.0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9" t="s">
        <v>67</v>
      </c>
      <c r="B41" s="9" t="s">
        <v>18</v>
      </c>
      <c r="C41" s="9" t="s">
        <v>19</v>
      </c>
      <c r="D41" s="11">
        <v>9074.0</v>
      </c>
      <c r="E41" s="11">
        <v>10422.0</v>
      </c>
      <c r="F41" s="11">
        <v>11348.0</v>
      </c>
      <c r="G41" s="11">
        <v>12942.0</v>
      </c>
      <c r="H41" s="11">
        <v>11226.0</v>
      </c>
      <c r="I41" s="11">
        <v>13410.0</v>
      </c>
      <c r="J41" s="11">
        <v>16137.0</v>
      </c>
      <c r="K41" s="11">
        <v>18164.0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9" t="s">
        <v>68</v>
      </c>
      <c r="B42" s="9" t="s">
        <v>18</v>
      </c>
      <c r="C42" s="9" t="s">
        <v>19</v>
      </c>
      <c r="D42" s="11">
        <v>7649.0</v>
      </c>
      <c r="E42" s="11">
        <v>7969.0</v>
      </c>
      <c r="F42" s="11">
        <v>7952.0</v>
      </c>
      <c r="G42" s="11">
        <v>7727.0</v>
      </c>
      <c r="H42" s="11">
        <v>7688.0</v>
      </c>
      <c r="I42" s="11">
        <v>7901.0</v>
      </c>
      <c r="J42" s="11">
        <v>7914.0</v>
      </c>
      <c r="K42" s="11">
        <v>7899.0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9" t="s">
        <v>70</v>
      </c>
      <c r="B43" s="9" t="s">
        <v>18</v>
      </c>
      <c r="C43" s="9" t="s">
        <v>19</v>
      </c>
      <c r="D43" s="11">
        <v>24121.0</v>
      </c>
      <c r="E43" s="11">
        <v>25882.0</v>
      </c>
      <c r="F43" s="11">
        <v>28704.0</v>
      </c>
      <c r="G43" s="11">
        <v>29882.0</v>
      </c>
      <c r="H43" s="11">
        <v>33602.0</v>
      </c>
      <c r="I43" s="11">
        <v>36384.0</v>
      </c>
      <c r="J43" s="11">
        <v>38978.0</v>
      </c>
      <c r="K43" s="11">
        <v>42435.0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9" t="s">
        <v>71</v>
      </c>
      <c r="B44" s="9" t="s">
        <v>18</v>
      </c>
      <c r="C44" s="9" t="s">
        <v>19</v>
      </c>
      <c r="D44" s="11">
        <v>12012.0</v>
      </c>
      <c r="E44" s="11">
        <v>12569.0</v>
      </c>
      <c r="F44" s="11">
        <v>13001.0</v>
      </c>
      <c r="G44" s="11">
        <v>13002.0</v>
      </c>
      <c r="H44" s="11">
        <v>12911.0</v>
      </c>
      <c r="I44" s="11">
        <v>12844.0</v>
      </c>
      <c r="J44" s="11">
        <v>13383.0</v>
      </c>
      <c r="K44" s="11">
        <v>13519.0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9" t="s">
        <v>72</v>
      </c>
      <c r="B45" s="9" t="s">
        <v>18</v>
      </c>
      <c r="C45" s="9" t="s">
        <v>19</v>
      </c>
      <c r="D45" s="11">
        <v>26135.0</v>
      </c>
      <c r="E45" s="11">
        <v>26221.0</v>
      </c>
      <c r="F45" s="11">
        <v>26217.0</v>
      </c>
      <c r="G45" s="11">
        <v>27966.0</v>
      </c>
      <c r="H45" s="11">
        <v>27231.0</v>
      </c>
      <c r="I45" s="11">
        <v>26137.0</v>
      </c>
      <c r="J45" s="11">
        <v>25377.0</v>
      </c>
      <c r="K45" s="11">
        <v>24571.0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9" t="s">
        <v>73</v>
      </c>
      <c r="B46" s="9" t="s">
        <v>18</v>
      </c>
      <c r="C46" s="9" t="s">
        <v>19</v>
      </c>
      <c r="D46" s="11">
        <v>27004.0</v>
      </c>
      <c r="E46" s="11">
        <v>27546.0</v>
      </c>
      <c r="F46" s="11">
        <v>27621.0</v>
      </c>
      <c r="G46" s="11">
        <v>26675.0</v>
      </c>
      <c r="H46" s="11">
        <v>25722.0</v>
      </c>
      <c r="I46" s="11">
        <v>24882.0</v>
      </c>
      <c r="J46" s="11">
        <v>24928.0</v>
      </c>
      <c r="K46" s="11">
        <v>24897.0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9" t="s">
        <v>74</v>
      </c>
      <c r="B47" s="9" t="s">
        <v>18</v>
      </c>
      <c r="C47" s="9" t="s">
        <v>19</v>
      </c>
      <c r="D47" s="11">
        <v>58380.0</v>
      </c>
      <c r="E47" s="11">
        <v>61008.0</v>
      </c>
      <c r="F47" s="11">
        <v>61912.0</v>
      </c>
      <c r="G47" s="11">
        <v>64601.0</v>
      </c>
      <c r="H47" s="11">
        <v>64669.0</v>
      </c>
      <c r="I47" s="11">
        <v>63093.0</v>
      </c>
      <c r="J47" s="11">
        <v>62535.0</v>
      </c>
      <c r="K47" s="11">
        <v>61310.0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9" t="s">
        <v>75</v>
      </c>
      <c r="B48" s="9" t="s">
        <v>18</v>
      </c>
      <c r="C48" s="9" t="s">
        <v>19</v>
      </c>
      <c r="D48" s="11">
        <v>46885.0</v>
      </c>
      <c r="E48" s="11">
        <v>49167.0</v>
      </c>
      <c r="F48" s="11">
        <v>50224.0</v>
      </c>
      <c r="G48" s="11">
        <v>49793.0</v>
      </c>
      <c r="H48" s="11">
        <v>48885.0</v>
      </c>
      <c r="I48" s="11">
        <v>47581.0</v>
      </c>
      <c r="J48" s="11">
        <v>47414.0</v>
      </c>
      <c r="K48" s="11">
        <v>47630.0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9" t="s">
        <v>76</v>
      </c>
      <c r="B49" s="9" t="s">
        <v>18</v>
      </c>
      <c r="C49" s="9" t="s">
        <v>19</v>
      </c>
      <c r="D49" s="11">
        <v>25218.0</v>
      </c>
      <c r="E49" s="11">
        <v>24908.0</v>
      </c>
      <c r="F49" s="11">
        <v>24772.0</v>
      </c>
      <c r="G49" s="11">
        <v>25357.0</v>
      </c>
      <c r="H49" s="11">
        <v>24996.0</v>
      </c>
      <c r="I49" s="11">
        <v>25734.0</v>
      </c>
      <c r="J49" s="11">
        <v>24488.0</v>
      </c>
      <c r="K49" s="11">
        <v>23136.0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9" t="s">
        <v>77</v>
      </c>
      <c r="B50" s="9" t="s">
        <v>18</v>
      </c>
      <c r="C50" s="9" t="s">
        <v>19</v>
      </c>
      <c r="D50" s="11">
        <v>20710.0</v>
      </c>
      <c r="E50" s="11">
        <v>20874.0</v>
      </c>
      <c r="F50" s="11">
        <v>21035.0</v>
      </c>
      <c r="G50" s="11">
        <v>20485.0</v>
      </c>
      <c r="H50" s="11">
        <v>20717.0</v>
      </c>
      <c r="I50" s="11">
        <v>20539.0</v>
      </c>
      <c r="J50" s="11">
        <v>19542.0</v>
      </c>
      <c r="K50" s="11">
        <v>20281.0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9" t="s">
        <v>78</v>
      </c>
      <c r="B51" s="9" t="s">
        <v>18</v>
      </c>
      <c r="C51" s="9" t="s">
        <v>19</v>
      </c>
      <c r="D51" s="11">
        <v>30624.0</v>
      </c>
      <c r="E51" s="11">
        <v>31608.0</v>
      </c>
      <c r="F51" s="11">
        <v>32752.0</v>
      </c>
      <c r="G51" s="11">
        <v>32926.0</v>
      </c>
      <c r="H51" s="11">
        <v>32008.0</v>
      </c>
      <c r="I51" s="11">
        <v>31530.0</v>
      </c>
      <c r="J51" s="11">
        <v>31200.0</v>
      </c>
      <c r="K51" s="11">
        <v>30957.0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