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E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1" numFmtId="3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IFERROR(__xludf.DUMMYFUNCTION("IMPORTHTML(""https://www.worldometers.info/coronavirus/#countries"",""Table"",1)"),"#")</f>
        <v>#</v>
      </c>
      <c r="B1" s="1" t="str">
        <f>IFERROR(__xludf.DUMMYFUNCTION("""COMPUTED_VALUE"""),"Country,
Other")</f>
        <v>Country,
Other</v>
      </c>
      <c r="C1" s="1" t="str">
        <f>IFERROR(__xludf.DUMMYFUNCTION("""COMPUTED_VALUE"""),"Total
Cases")</f>
        <v>Total
Cases</v>
      </c>
      <c r="D1" s="1" t="str">
        <f>IFERROR(__xludf.DUMMYFUNCTION("""COMPUTED_VALUE"""),"New
Cases")</f>
        <v>New
Cases</v>
      </c>
      <c r="E1" s="1" t="str">
        <f>IFERROR(__xludf.DUMMYFUNCTION("""COMPUTED_VALUE"""),"Total
Deaths")</f>
        <v>Total
Deaths</v>
      </c>
      <c r="F1" s="1" t="str">
        <f>IFERROR(__xludf.DUMMYFUNCTION("""COMPUTED_VALUE"""),"New
Deaths")</f>
        <v>New
Deaths</v>
      </c>
      <c r="G1" s="1" t="str">
        <f>IFERROR(__xludf.DUMMYFUNCTION("""COMPUTED_VALUE"""),"Total
Recovered")</f>
        <v>Total
Recovered</v>
      </c>
      <c r="H1" s="1" t="str">
        <f>IFERROR(__xludf.DUMMYFUNCTION("""COMPUTED_VALUE"""),"New
Recovered")</f>
        <v>New
Recovered</v>
      </c>
      <c r="I1" s="1" t="str">
        <f>IFERROR(__xludf.DUMMYFUNCTION("""COMPUTED_VALUE"""),"Active
Cases")</f>
        <v>Active
Cases</v>
      </c>
      <c r="J1" s="1" t="str">
        <f>IFERROR(__xludf.DUMMYFUNCTION("""COMPUTED_VALUE"""),"Serious,
Critical")</f>
        <v>Serious,
Critical</v>
      </c>
      <c r="K1" s="1" t="str">
        <f>IFERROR(__xludf.DUMMYFUNCTION("""COMPUTED_VALUE"""),"Tot Cases/
1M pop")</f>
        <v>Tot Cases/
1M pop</v>
      </c>
      <c r="L1" s="1" t="str">
        <f>IFERROR(__xludf.DUMMYFUNCTION("""COMPUTED_VALUE"""),"Deaths/
1M pop")</f>
        <v>Deaths/
1M pop</v>
      </c>
      <c r="M1" s="1" t="str">
        <f>IFERROR(__xludf.DUMMYFUNCTION("""COMPUTED_VALUE"""),"Total
Tests")</f>
        <v>Total
Tests</v>
      </c>
      <c r="N1" s="1" t="str">
        <f>IFERROR(__xludf.DUMMYFUNCTION("""COMPUTED_VALUE"""),"Tests/
1M pop")</f>
        <v>Tests/
1M pop</v>
      </c>
      <c r="O1" s="2" t="str">
        <f>IFERROR(__xludf.DUMMYFUNCTION("""COMPUTED_VALUE"""),"Population")</f>
        <v>Population</v>
      </c>
      <c r="P1" s="1" t="str">
        <f>IFERROR(__xludf.DUMMYFUNCTION("""COMPUTED_VALUE"""),"Continent")</f>
        <v>Continent</v>
      </c>
      <c r="Q1" s="1" t="str">
        <f>IFERROR(__xludf.DUMMYFUNCTION("""COMPUTED_VALUE"""),"1 Case
every X ppl")</f>
        <v>1 Case
every X ppl</v>
      </c>
      <c r="R1" s="1" t="str">
        <f>IFERROR(__xludf.DUMMYFUNCTION("""COMPUTED_VALUE"""),"1 Death
every X ppl")</f>
        <v>1 Death
every X ppl</v>
      </c>
      <c r="S1" s="1" t="str">
        <f>IFERROR(__xludf.DUMMYFUNCTION("""COMPUTED_VALUE"""),"1 Test
every X ppl")</f>
        <v>1 Test
every X ppl</v>
      </c>
    </row>
    <row r="2">
      <c r="A2" s="1"/>
      <c r="B2" s="1" t="str">
        <f>IFERROR(__xludf.DUMMYFUNCTION("""COMPUTED_VALUE"""),"North America")</f>
        <v>North America</v>
      </c>
      <c r="C2" s="3">
        <f>IFERROR(__xludf.DUMMYFUNCTION("""COMPUTED_VALUE"""),1.8252727E7)</f>
        <v>18252727</v>
      </c>
      <c r="D2" s="1" t="str">
        <f>IFERROR(__xludf.DUMMYFUNCTION("""COMPUTED_VALUE"""),"+206,266")</f>
        <v>+206,266</v>
      </c>
      <c r="E2" s="3">
        <f>IFERROR(__xludf.DUMMYFUNCTION("""COMPUTED_VALUE"""),437143.0)</f>
        <v>437143</v>
      </c>
      <c r="F2" s="1" t="str">
        <f>IFERROR(__xludf.DUMMYFUNCTION("""COMPUTED_VALUE"""),"+3,362")</f>
        <v>+3,362</v>
      </c>
      <c r="G2" s="3">
        <f>IFERROR(__xludf.DUMMYFUNCTION("""COMPUTED_VALUE"""),1.1059948E7)</f>
        <v>11059948</v>
      </c>
      <c r="H2" s="1" t="str">
        <f>IFERROR(__xludf.DUMMYFUNCTION("""COMPUTED_VALUE"""),"+116,194")</f>
        <v>+116,194</v>
      </c>
      <c r="I2" s="3">
        <f>IFERROR(__xludf.DUMMYFUNCTION("""COMPUTED_VALUE"""),6755636.0)</f>
        <v>6755636</v>
      </c>
      <c r="J2" s="3">
        <f>IFERROR(__xludf.DUMMYFUNCTION("""COMPUTED_VALUE"""),31716.0)</f>
        <v>31716</v>
      </c>
      <c r="K2" s="1"/>
      <c r="L2" s="1"/>
      <c r="M2" s="1"/>
      <c r="N2" s="1"/>
      <c r="O2" s="2"/>
      <c r="P2" s="1" t="str">
        <f>IFERROR(__xludf.DUMMYFUNCTION("""COMPUTED_VALUE"""),"North America")</f>
        <v>North America</v>
      </c>
      <c r="Q2" s="1"/>
      <c r="R2" s="1"/>
      <c r="S2" s="1"/>
    </row>
    <row r="3">
      <c r="A3" s="1"/>
      <c r="B3" s="1" t="str">
        <f>IFERROR(__xludf.DUMMYFUNCTION("""COMPUTED_VALUE"""),"Asia")</f>
        <v>Asia</v>
      </c>
      <c r="C3" s="3">
        <f>IFERROR(__xludf.DUMMYFUNCTION("""COMPUTED_VALUE"""),1.7844025E7)</f>
        <v>17844025</v>
      </c>
      <c r="D3" s="1" t="str">
        <f>IFERROR(__xludf.DUMMYFUNCTION("""COMPUTED_VALUE"""),"+111,818")</f>
        <v>+111,818</v>
      </c>
      <c r="E3" s="3">
        <f>IFERROR(__xludf.DUMMYFUNCTION("""COMPUTED_VALUE"""),306221.0)</f>
        <v>306221</v>
      </c>
      <c r="F3" s="1" t="str">
        <f>IFERROR(__xludf.DUMMYFUNCTION("""COMPUTED_VALUE"""),"+1,466")</f>
        <v>+1,466</v>
      </c>
      <c r="G3" s="3">
        <f>IFERROR(__xludf.DUMMYFUNCTION("""COMPUTED_VALUE"""),1.5747571E7)</f>
        <v>15747571</v>
      </c>
      <c r="H3" s="1" t="str">
        <f>IFERROR(__xludf.DUMMYFUNCTION("""COMPUTED_VALUE"""),"+86,468")</f>
        <v>+86,468</v>
      </c>
      <c r="I3" s="3">
        <f>IFERROR(__xludf.DUMMYFUNCTION("""COMPUTED_VALUE"""),1790233.0)</f>
        <v>1790233</v>
      </c>
      <c r="J3" s="3">
        <f>IFERROR(__xludf.DUMMYFUNCTION("""COMPUTED_VALUE"""),28162.0)</f>
        <v>28162</v>
      </c>
      <c r="K3" s="1"/>
      <c r="L3" s="1"/>
      <c r="M3" s="1"/>
      <c r="N3" s="1"/>
      <c r="O3" s="2"/>
      <c r="P3" s="1" t="str">
        <f>IFERROR(__xludf.DUMMYFUNCTION("""COMPUTED_VALUE"""),"Asia")</f>
        <v>Asia</v>
      </c>
      <c r="Q3" s="1"/>
      <c r="R3" s="1"/>
      <c r="S3" s="1"/>
    </row>
    <row r="4">
      <c r="A4" s="1"/>
      <c r="B4" s="1" t="str">
        <f>IFERROR(__xludf.DUMMYFUNCTION("""COMPUTED_VALUE"""),"South America")</f>
        <v>South America</v>
      </c>
      <c r="C4" s="3">
        <f>IFERROR(__xludf.DUMMYFUNCTION("""COMPUTED_VALUE"""),1.170817E7)</f>
        <v>11708170</v>
      </c>
      <c r="D4" s="1" t="str">
        <f>IFERROR(__xludf.DUMMYFUNCTION("""COMPUTED_VALUE"""),"+67,995")</f>
        <v>+67,995</v>
      </c>
      <c r="E4" s="3">
        <f>IFERROR(__xludf.DUMMYFUNCTION("""COMPUTED_VALUE"""),335729.0)</f>
        <v>335729</v>
      </c>
      <c r="F4" s="1" t="str">
        <f>IFERROR(__xludf.DUMMYFUNCTION("""COMPUTED_VALUE"""),"+1,263")</f>
        <v>+1,263</v>
      </c>
      <c r="G4" s="3">
        <f>IFERROR(__xludf.DUMMYFUNCTION("""COMPUTED_VALUE"""),1.0440935E7)</f>
        <v>10440935</v>
      </c>
      <c r="H4" s="1" t="str">
        <f>IFERROR(__xludf.DUMMYFUNCTION("""COMPUTED_VALUE"""),"+65,073")</f>
        <v>+65,073</v>
      </c>
      <c r="I4" s="3">
        <f>IFERROR(__xludf.DUMMYFUNCTION("""COMPUTED_VALUE"""),931506.0)</f>
        <v>931506</v>
      </c>
      <c r="J4" s="3">
        <f>IFERROR(__xludf.DUMMYFUNCTION("""COMPUTED_VALUE"""),16779.0)</f>
        <v>16779</v>
      </c>
      <c r="K4" s="1"/>
      <c r="L4" s="1"/>
      <c r="M4" s="1"/>
      <c r="N4" s="1"/>
      <c r="O4" s="2"/>
      <c r="P4" s="1" t="str">
        <f>IFERROR(__xludf.DUMMYFUNCTION("""COMPUTED_VALUE"""),"South America")</f>
        <v>South America</v>
      </c>
      <c r="Q4" s="1"/>
      <c r="R4" s="1"/>
      <c r="S4" s="1"/>
    </row>
    <row r="5">
      <c r="A5" s="1"/>
      <c r="B5" s="1" t="str">
        <f>IFERROR(__xludf.DUMMYFUNCTION("""COMPUTED_VALUE"""),"Europe")</f>
        <v>Europe</v>
      </c>
      <c r="C5" s="3">
        <f>IFERROR(__xludf.DUMMYFUNCTION("""COMPUTED_VALUE"""),1.8991391E7)</f>
        <v>18991391</v>
      </c>
      <c r="D5" s="1" t="str">
        <f>IFERROR(__xludf.DUMMYFUNCTION("""COMPUTED_VALUE"""),"+188,036")</f>
        <v>+188,036</v>
      </c>
      <c r="E5" s="3">
        <f>IFERROR(__xludf.DUMMYFUNCTION("""COMPUTED_VALUE"""),438621.0)</f>
        <v>438621</v>
      </c>
      <c r="F5" s="1" t="str">
        <f>IFERROR(__xludf.DUMMYFUNCTION("""COMPUTED_VALUE"""),"+4,748")</f>
        <v>+4,748</v>
      </c>
      <c r="G5" s="3">
        <f>IFERROR(__xludf.DUMMYFUNCTION("""COMPUTED_VALUE"""),8668722.0)</f>
        <v>8668722</v>
      </c>
      <c r="H5" s="1" t="str">
        <f>IFERROR(__xludf.DUMMYFUNCTION("""COMPUTED_VALUE"""),"+174,160")</f>
        <v>+174,160</v>
      </c>
      <c r="I5" s="3">
        <f>IFERROR(__xludf.DUMMYFUNCTION("""COMPUTED_VALUE"""),9884048.0)</f>
        <v>9884048</v>
      </c>
      <c r="J5" s="3">
        <f>IFERROR(__xludf.DUMMYFUNCTION("""COMPUTED_VALUE"""),26961.0)</f>
        <v>26961</v>
      </c>
      <c r="K5" s="1"/>
      <c r="L5" s="1"/>
      <c r="M5" s="1"/>
      <c r="N5" s="1"/>
      <c r="O5" s="2"/>
      <c r="P5" s="1" t="str">
        <f>IFERROR(__xludf.DUMMYFUNCTION("""COMPUTED_VALUE"""),"Europe")</f>
        <v>Europe</v>
      </c>
      <c r="Q5" s="1"/>
      <c r="R5" s="1"/>
      <c r="S5" s="1"/>
    </row>
    <row r="6">
      <c r="A6" s="4"/>
      <c r="B6" s="1" t="str">
        <f>IFERROR(__xludf.DUMMYFUNCTION("""COMPUTED_VALUE"""),"Africa")</f>
        <v>Africa</v>
      </c>
      <c r="C6" s="3">
        <f>IFERROR(__xludf.DUMMYFUNCTION("""COMPUTED_VALUE"""),2319131.0)</f>
        <v>2319131</v>
      </c>
      <c r="D6" s="1" t="str">
        <f>IFERROR(__xludf.DUMMYFUNCTION("""COMPUTED_VALUE"""),"+18,887")</f>
        <v>+18,887</v>
      </c>
      <c r="E6" s="3">
        <f>IFERROR(__xludf.DUMMYFUNCTION("""COMPUTED_VALUE"""),54950.0)</f>
        <v>54950</v>
      </c>
      <c r="F6" s="1" t="str">
        <f>IFERROR(__xludf.DUMMYFUNCTION("""COMPUTED_VALUE"""),"+339")</f>
        <v>+339</v>
      </c>
      <c r="G6" s="3">
        <f>IFERROR(__xludf.DUMMYFUNCTION("""COMPUTED_VALUE"""),1977038.0)</f>
        <v>1977038</v>
      </c>
      <c r="H6" s="1" t="str">
        <f>IFERROR(__xludf.DUMMYFUNCTION("""COMPUTED_VALUE"""),"+11,616")</f>
        <v>+11,616</v>
      </c>
      <c r="I6" s="3">
        <f>IFERROR(__xludf.DUMMYFUNCTION("""COMPUTED_VALUE"""),287143.0)</f>
        <v>287143</v>
      </c>
      <c r="J6" s="3">
        <f>IFERROR(__xludf.DUMMYFUNCTION("""COMPUTED_VALUE"""),2535.0)</f>
        <v>2535</v>
      </c>
      <c r="K6" s="1"/>
      <c r="L6" s="1"/>
      <c r="M6" s="1"/>
      <c r="N6" s="1"/>
      <c r="O6" s="2"/>
      <c r="P6" s="1" t="str">
        <f>IFERROR(__xludf.DUMMYFUNCTION("""COMPUTED_VALUE"""),"Africa")</f>
        <v>Africa</v>
      </c>
      <c r="Q6" s="1"/>
      <c r="R6" s="1"/>
      <c r="S6" s="1"/>
    </row>
    <row r="7">
      <c r="A7" s="1"/>
      <c r="B7" s="1" t="str">
        <f>IFERROR(__xludf.DUMMYFUNCTION("""COMPUTED_VALUE"""),"Oceania")</f>
        <v>Oceania</v>
      </c>
      <c r="C7" s="3">
        <f>IFERROR(__xludf.DUMMYFUNCTION("""COMPUTED_VALUE"""),46204.0)</f>
        <v>46204</v>
      </c>
      <c r="D7" s="1" t="str">
        <f>IFERROR(__xludf.DUMMYFUNCTION("""COMPUTED_VALUE"""),"+9")</f>
        <v>+9</v>
      </c>
      <c r="E7" s="3">
        <f>IFERROR(__xludf.DUMMYFUNCTION("""COMPUTED_VALUE"""),1028.0)</f>
        <v>1028</v>
      </c>
      <c r="F7" s="1"/>
      <c r="G7" s="3">
        <f>IFERROR(__xludf.DUMMYFUNCTION("""COMPUTED_VALUE"""),33188.0)</f>
        <v>33188</v>
      </c>
      <c r="H7" s="1" t="str">
        <f>IFERROR(__xludf.DUMMYFUNCTION("""COMPUTED_VALUE"""),"+13")</f>
        <v>+13</v>
      </c>
      <c r="I7" s="3">
        <f>IFERROR(__xludf.DUMMYFUNCTION("""COMPUTED_VALUE"""),11988.0)</f>
        <v>11988</v>
      </c>
      <c r="J7" s="1">
        <f>IFERROR(__xludf.DUMMYFUNCTION("""COMPUTED_VALUE"""),25.0)</f>
        <v>25</v>
      </c>
      <c r="K7" s="1"/>
      <c r="L7" s="1"/>
      <c r="M7" s="1"/>
      <c r="N7" s="1"/>
      <c r="O7" s="2"/>
      <c r="P7" s="1" t="str">
        <f>IFERROR(__xludf.DUMMYFUNCTION("""COMPUTED_VALUE"""),"Australia/Oceania")</f>
        <v>Australia/Oceania</v>
      </c>
      <c r="Q7" s="1"/>
      <c r="R7" s="1"/>
      <c r="S7" s="1"/>
    </row>
    <row r="8">
      <c r="A8" s="1"/>
      <c r="B8" s="1"/>
      <c r="C8" s="1">
        <f>IFERROR(__xludf.DUMMYFUNCTION("""COMPUTED_VALUE"""),721.0)</f>
        <v>721</v>
      </c>
      <c r="D8" s="1"/>
      <c r="E8" s="1">
        <f>IFERROR(__xludf.DUMMYFUNCTION("""COMPUTED_VALUE"""),15.0)</f>
        <v>15</v>
      </c>
      <c r="F8" s="1"/>
      <c r="G8" s="1">
        <f>IFERROR(__xludf.DUMMYFUNCTION("""COMPUTED_VALUE"""),706.0)</f>
        <v>706</v>
      </c>
      <c r="H8" s="1"/>
      <c r="I8" s="1">
        <f>IFERROR(__xludf.DUMMYFUNCTION("""COMPUTED_VALUE"""),0.0)</f>
        <v>0</v>
      </c>
      <c r="J8" s="1">
        <f>IFERROR(__xludf.DUMMYFUNCTION("""COMPUTED_VALUE"""),0.0)</f>
        <v>0</v>
      </c>
      <c r="K8" s="1"/>
      <c r="L8" s="1"/>
      <c r="M8" s="1"/>
      <c r="N8" s="1"/>
      <c r="O8" s="2"/>
      <c r="P8" s="1"/>
      <c r="Q8" s="1"/>
      <c r="R8" s="1"/>
      <c r="S8" s="1"/>
    </row>
    <row r="9">
      <c r="A9" s="1"/>
      <c r="B9" s="1" t="str">
        <f>IFERROR(__xludf.DUMMYFUNCTION("""COMPUTED_VALUE"""),"World")</f>
        <v>World</v>
      </c>
      <c r="C9" s="3">
        <f>IFERROR(__xludf.DUMMYFUNCTION("""COMPUTED_VALUE"""),6.9162369E7)</f>
        <v>69162369</v>
      </c>
      <c r="D9" s="1" t="str">
        <f>IFERROR(__xludf.DUMMYFUNCTION("""COMPUTED_VALUE"""),"+593,011")</f>
        <v>+593,011</v>
      </c>
      <c r="E9" s="3">
        <f>IFERROR(__xludf.DUMMYFUNCTION("""COMPUTED_VALUE"""),1573707.0)</f>
        <v>1573707</v>
      </c>
      <c r="F9" s="1" t="str">
        <f>IFERROR(__xludf.DUMMYFUNCTION("""COMPUTED_VALUE"""),"+11,178")</f>
        <v>+11,178</v>
      </c>
      <c r="G9" s="3">
        <f>IFERROR(__xludf.DUMMYFUNCTION("""COMPUTED_VALUE"""),4.7928108E7)</f>
        <v>47928108</v>
      </c>
      <c r="H9" s="1" t="str">
        <f>IFERROR(__xludf.DUMMYFUNCTION("""COMPUTED_VALUE"""),"+453,524")</f>
        <v>+453,524</v>
      </c>
      <c r="I9" s="3">
        <f>IFERROR(__xludf.DUMMYFUNCTION("""COMPUTED_VALUE"""),1.9660554E7)</f>
        <v>19660554</v>
      </c>
      <c r="J9" s="3">
        <f>IFERROR(__xludf.DUMMYFUNCTION("""COMPUTED_VALUE"""),106178.0)</f>
        <v>106178</v>
      </c>
      <c r="K9" s="3">
        <f>IFERROR(__xludf.DUMMYFUNCTION("""COMPUTED_VALUE"""),8873.0)</f>
        <v>8873</v>
      </c>
      <c r="L9" s="1">
        <f>IFERROR(__xludf.DUMMYFUNCTION("""COMPUTED_VALUE"""),201.9)</f>
        <v>201.9</v>
      </c>
      <c r="M9" s="1"/>
      <c r="N9" s="1"/>
      <c r="O9" s="2"/>
      <c r="P9" s="1" t="str">
        <f>IFERROR(__xludf.DUMMYFUNCTION("""COMPUTED_VALUE"""),"All")</f>
        <v>All</v>
      </c>
      <c r="Q9" s="1"/>
      <c r="R9" s="1"/>
      <c r="S9" s="1"/>
    </row>
    <row r="10">
      <c r="A10" s="1">
        <f>IFERROR(__xludf.DUMMYFUNCTION("""COMPUTED_VALUE"""),1.0)</f>
        <v>1</v>
      </c>
      <c r="B10" s="1" t="str">
        <f>IFERROR(__xludf.DUMMYFUNCTION("""COMPUTED_VALUE"""),"USA")</f>
        <v>USA</v>
      </c>
      <c r="C10" s="3">
        <f>IFERROR(__xludf.DUMMYFUNCTION("""COMPUTED_VALUE"""),1.5782183E7)</f>
        <v>15782183</v>
      </c>
      <c r="D10" s="1" t="str">
        <f>IFERROR(__xludf.DUMMYFUNCTION("""COMPUTED_VALUE"""),"+188,837")</f>
        <v>+188,837</v>
      </c>
      <c r="E10" s="3">
        <f>IFERROR(__xludf.DUMMYFUNCTION("""COMPUTED_VALUE"""),295861.0)</f>
        <v>295861</v>
      </c>
      <c r="F10" s="1" t="str">
        <f>IFERROR(__xludf.DUMMYFUNCTION("""COMPUTED_VALUE"""),"+2,438")</f>
        <v>+2,438</v>
      </c>
      <c r="G10" s="3">
        <f>IFERROR(__xludf.DUMMYFUNCTION("""COMPUTED_VALUE"""),9191265.0)</f>
        <v>9191265</v>
      </c>
      <c r="H10" s="1" t="str">
        <f>IFERROR(__xludf.DUMMYFUNCTION("""COMPUTED_VALUE"""),"+103,157")</f>
        <v>+103,157</v>
      </c>
      <c r="I10" s="3">
        <f>IFERROR(__xludf.DUMMYFUNCTION("""COMPUTED_VALUE"""),6295057.0)</f>
        <v>6295057</v>
      </c>
      <c r="J10" s="3">
        <f>IFERROR(__xludf.DUMMYFUNCTION("""COMPUTED_VALUE"""),27008.0)</f>
        <v>27008</v>
      </c>
      <c r="K10" s="3">
        <f>IFERROR(__xludf.DUMMYFUNCTION("""COMPUTED_VALUE"""),47558.0)</f>
        <v>47558</v>
      </c>
      <c r="L10" s="1">
        <f>IFERROR(__xludf.DUMMYFUNCTION("""COMPUTED_VALUE"""),892.0)</f>
        <v>892</v>
      </c>
      <c r="M10" s="3">
        <f>IFERROR(__xludf.DUMMYFUNCTION("""COMPUTED_VALUE"""),2.12861809E8)</f>
        <v>212861809</v>
      </c>
      <c r="N10" s="3">
        <f>IFERROR(__xludf.DUMMYFUNCTION("""COMPUTED_VALUE"""),641431.0)</f>
        <v>641431</v>
      </c>
      <c r="O10" s="2">
        <f>IFERROR(__xludf.DUMMYFUNCTION("""COMPUTED_VALUE"""),3.31854504E8)</f>
        <v>331854504</v>
      </c>
      <c r="P10" s="1" t="str">
        <f>IFERROR(__xludf.DUMMYFUNCTION("""COMPUTED_VALUE"""),"North America")</f>
        <v>North America</v>
      </c>
      <c r="Q10" s="1">
        <f>IFERROR(__xludf.DUMMYFUNCTION("""COMPUTED_VALUE"""),21.0)</f>
        <v>21</v>
      </c>
      <c r="R10" s="3">
        <f>IFERROR(__xludf.DUMMYFUNCTION("""COMPUTED_VALUE"""),1122.0)</f>
        <v>1122</v>
      </c>
      <c r="S10" s="1">
        <f>IFERROR(__xludf.DUMMYFUNCTION("""COMPUTED_VALUE"""),2.0)</f>
        <v>2</v>
      </c>
    </row>
    <row r="11">
      <c r="A11" s="1">
        <f>IFERROR(__xludf.DUMMYFUNCTION("""COMPUTED_VALUE"""),2.0)</f>
        <v>2</v>
      </c>
      <c r="B11" s="1" t="str">
        <f>IFERROR(__xludf.DUMMYFUNCTION("""COMPUTED_VALUE"""),"India")</f>
        <v>India</v>
      </c>
      <c r="C11" s="3">
        <f>IFERROR(__xludf.DUMMYFUNCTION("""COMPUTED_VALUE"""),9762326.0)</f>
        <v>9762326</v>
      </c>
      <c r="D11" s="1" t="str">
        <f>IFERROR(__xludf.DUMMYFUNCTION("""COMPUTED_VALUE"""),"+26,351")</f>
        <v>+26,351</v>
      </c>
      <c r="E11" s="3">
        <f>IFERROR(__xludf.DUMMYFUNCTION("""COMPUTED_VALUE"""),141735.0)</f>
        <v>141735</v>
      </c>
      <c r="F11" s="1" t="str">
        <f>IFERROR(__xludf.DUMMYFUNCTION("""COMPUTED_VALUE"""),"+337")</f>
        <v>+337</v>
      </c>
      <c r="G11" s="3">
        <f>IFERROR(__xludf.DUMMYFUNCTION("""COMPUTED_VALUE"""),9244505.0)</f>
        <v>9244505</v>
      </c>
      <c r="H11" s="1" t="str">
        <f>IFERROR(__xludf.DUMMYFUNCTION("""COMPUTED_VALUE"""),"+29,699")</f>
        <v>+29,699</v>
      </c>
      <c r="I11" s="3">
        <f>IFERROR(__xludf.DUMMYFUNCTION("""COMPUTED_VALUE"""),376086.0)</f>
        <v>376086</v>
      </c>
      <c r="J11" s="3">
        <f>IFERROR(__xludf.DUMMYFUNCTION("""COMPUTED_VALUE"""),8944.0)</f>
        <v>8944</v>
      </c>
      <c r="K11" s="3">
        <f>IFERROR(__xludf.DUMMYFUNCTION("""COMPUTED_VALUE"""),7044.0)</f>
        <v>7044</v>
      </c>
      <c r="L11" s="1">
        <f>IFERROR(__xludf.DUMMYFUNCTION("""COMPUTED_VALUE"""),102.0)</f>
        <v>102</v>
      </c>
      <c r="M11" s="3">
        <f>IFERROR(__xludf.DUMMYFUNCTION("""COMPUTED_VALUE"""),1.49836767E8)</f>
        <v>149836767</v>
      </c>
      <c r="N11" s="3">
        <f>IFERROR(__xludf.DUMMYFUNCTION("""COMPUTED_VALUE"""),108112.0)</f>
        <v>108112</v>
      </c>
      <c r="O11" s="2">
        <f>IFERROR(__xludf.DUMMYFUNCTION("""COMPUTED_VALUE"""),1.385937994E9)</f>
        <v>1385937994</v>
      </c>
      <c r="P11" s="1" t="str">
        <f>IFERROR(__xludf.DUMMYFUNCTION("""COMPUTED_VALUE"""),"Asia")</f>
        <v>Asia</v>
      </c>
      <c r="Q11" s="1">
        <f>IFERROR(__xludf.DUMMYFUNCTION("""COMPUTED_VALUE"""),142.0)</f>
        <v>142</v>
      </c>
      <c r="R11" s="3">
        <f>IFERROR(__xludf.DUMMYFUNCTION("""COMPUTED_VALUE"""),9778.0)</f>
        <v>9778</v>
      </c>
      <c r="S11" s="1">
        <f>IFERROR(__xludf.DUMMYFUNCTION("""COMPUTED_VALUE"""),9.0)</f>
        <v>9</v>
      </c>
    </row>
    <row r="12">
      <c r="A12" s="1">
        <f>IFERROR(__xludf.DUMMYFUNCTION("""COMPUTED_VALUE"""),3.0)</f>
        <v>3</v>
      </c>
      <c r="B12" s="1" t="str">
        <f>IFERROR(__xludf.DUMMYFUNCTION("""COMPUTED_VALUE"""),"Brazil")</f>
        <v>Brazil</v>
      </c>
      <c r="C12" s="3">
        <f>IFERROR(__xludf.DUMMYFUNCTION("""COMPUTED_VALUE"""),6728452.0)</f>
        <v>6728452</v>
      </c>
      <c r="D12" s="1" t="str">
        <f>IFERROR(__xludf.DUMMYFUNCTION("""COMPUTED_VALUE"""),"+52,537")</f>
        <v>+52,537</v>
      </c>
      <c r="E12" s="3">
        <f>IFERROR(__xludf.DUMMYFUNCTION("""COMPUTED_VALUE"""),178995.0)</f>
        <v>178995</v>
      </c>
      <c r="F12" s="1" t="str">
        <f>IFERROR(__xludf.DUMMYFUNCTION("""COMPUTED_VALUE"""),"+811")</f>
        <v>+811</v>
      </c>
      <c r="G12" s="3">
        <f>IFERROR(__xludf.DUMMYFUNCTION("""COMPUTED_VALUE"""),5901511.0)</f>
        <v>5901511</v>
      </c>
      <c r="H12" s="1" t="str">
        <f>IFERROR(__xludf.DUMMYFUNCTION("""COMPUTED_VALUE"""),"+46,802")</f>
        <v>+46,802</v>
      </c>
      <c r="I12" s="3">
        <f>IFERROR(__xludf.DUMMYFUNCTION("""COMPUTED_VALUE"""),647946.0)</f>
        <v>647946</v>
      </c>
      <c r="J12" s="3">
        <f>IFERROR(__xludf.DUMMYFUNCTION("""COMPUTED_VALUE"""),8318.0)</f>
        <v>8318</v>
      </c>
      <c r="K12" s="3">
        <f>IFERROR(__xludf.DUMMYFUNCTION("""COMPUTED_VALUE"""),31556.0)</f>
        <v>31556</v>
      </c>
      <c r="L12" s="1">
        <f>IFERROR(__xludf.DUMMYFUNCTION("""COMPUTED_VALUE"""),839.0)</f>
        <v>839</v>
      </c>
      <c r="M12" s="3">
        <f>IFERROR(__xludf.DUMMYFUNCTION("""COMPUTED_VALUE"""),2.57E7)</f>
        <v>25700000</v>
      </c>
      <c r="N12" s="3">
        <f>IFERROR(__xludf.DUMMYFUNCTION("""COMPUTED_VALUE"""),120532.0)</f>
        <v>120532</v>
      </c>
      <c r="O12" s="2">
        <f>IFERROR(__xludf.DUMMYFUNCTION("""COMPUTED_VALUE"""),2.1322182E8)</f>
        <v>213221820</v>
      </c>
      <c r="P12" s="1" t="str">
        <f>IFERROR(__xludf.DUMMYFUNCTION("""COMPUTED_VALUE"""),"South America")</f>
        <v>South America</v>
      </c>
      <c r="Q12" s="1">
        <f>IFERROR(__xludf.DUMMYFUNCTION("""COMPUTED_VALUE"""),32.0)</f>
        <v>32</v>
      </c>
      <c r="R12" s="3">
        <f>IFERROR(__xludf.DUMMYFUNCTION("""COMPUTED_VALUE"""),1191.0)</f>
        <v>1191</v>
      </c>
      <c r="S12" s="1">
        <f>IFERROR(__xludf.DUMMYFUNCTION("""COMPUTED_VALUE"""),8.0)</f>
        <v>8</v>
      </c>
    </row>
    <row r="13">
      <c r="A13" s="1">
        <f>IFERROR(__xludf.DUMMYFUNCTION("""COMPUTED_VALUE"""),4.0)</f>
        <v>4</v>
      </c>
      <c r="B13" s="1" t="str">
        <f>IFERROR(__xludf.DUMMYFUNCTION("""COMPUTED_VALUE"""),"Russia")</f>
        <v>Russia</v>
      </c>
      <c r="C13" s="3">
        <f>IFERROR(__xludf.DUMMYFUNCTION("""COMPUTED_VALUE"""),2541199.0)</f>
        <v>2541199</v>
      </c>
      <c r="D13" s="1" t="str">
        <f>IFERROR(__xludf.DUMMYFUNCTION("""COMPUTED_VALUE"""),"+26,190")</f>
        <v>+26,190</v>
      </c>
      <c r="E13" s="3">
        <f>IFERROR(__xludf.DUMMYFUNCTION("""COMPUTED_VALUE"""),44718.0)</f>
        <v>44718</v>
      </c>
      <c r="F13" s="1" t="str">
        <f>IFERROR(__xludf.DUMMYFUNCTION("""COMPUTED_VALUE"""),"+559")</f>
        <v>+559</v>
      </c>
      <c r="G13" s="3">
        <f>IFERROR(__xludf.DUMMYFUNCTION("""COMPUTED_VALUE"""),2007792.0)</f>
        <v>2007792</v>
      </c>
      <c r="H13" s="1" t="str">
        <f>IFERROR(__xludf.DUMMYFUNCTION("""COMPUTED_VALUE"""),"+26,266")</f>
        <v>+26,266</v>
      </c>
      <c r="I13" s="3">
        <f>IFERROR(__xludf.DUMMYFUNCTION("""COMPUTED_VALUE"""),488689.0)</f>
        <v>488689</v>
      </c>
      <c r="J13" s="3">
        <f>IFERROR(__xludf.DUMMYFUNCTION("""COMPUTED_VALUE"""),2300.0)</f>
        <v>2300</v>
      </c>
      <c r="K13" s="3">
        <f>IFERROR(__xludf.DUMMYFUNCTION("""COMPUTED_VALUE"""),17410.0)</f>
        <v>17410</v>
      </c>
      <c r="L13" s="1">
        <f>IFERROR(__xludf.DUMMYFUNCTION("""COMPUTED_VALUE"""),306.0)</f>
        <v>306</v>
      </c>
      <c r="M13" s="3">
        <f>IFERROR(__xludf.DUMMYFUNCTION("""COMPUTED_VALUE"""),8.0522238E7)</f>
        <v>80522238</v>
      </c>
      <c r="N13" s="3">
        <f>IFERROR(__xludf.DUMMYFUNCTION("""COMPUTED_VALUE"""),551666.0)</f>
        <v>551666</v>
      </c>
      <c r="O13" s="2">
        <f>IFERROR(__xludf.DUMMYFUNCTION("""COMPUTED_VALUE"""),1.45962052E8)</f>
        <v>145962052</v>
      </c>
      <c r="P13" s="1" t="str">
        <f>IFERROR(__xludf.DUMMYFUNCTION("""COMPUTED_VALUE"""),"Europe")</f>
        <v>Europe</v>
      </c>
      <c r="Q13" s="1">
        <f>IFERROR(__xludf.DUMMYFUNCTION("""COMPUTED_VALUE"""),57.0)</f>
        <v>57</v>
      </c>
      <c r="R13" s="3">
        <f>IFERROR(__xludf.DUMMYFUNCTION("""COMPUTED_VALUE"""),3264.0)</f>
        <v>3264</v>
      </c>
      <c r="S13" s="1">
        <f>IFERROR(__xludf.DUMMYFUNCTION("""COMPUTED_VALUE"""),2.0)</f>
        <v>2</v>
      </c>
    </row>
    <row r="14">
      <c r="A14" s="1">
        <f>IFERROR(__xludf.DUMMYFUNCTION("""COMPUTED_VALUE"""),5.0)</f>
        <v>5</v>
      </c>
      <c r="B14" s="1" t="str">
        <f>IFERROR(__xludf.DUMMYFUNCTION("""COMPUTED_VALUE"""),"France")</f>
        <v>France</v>
      </c>
      <c r="C14" s="3">
        <f>IFERROR(__xludf.DUMMYFUNCTION("""COMPUTED_VALUE"""),2324216.0)</f>
        <v>2324216</v>
      </c>
      <c r="D14" s="1" t="str">
        <f>IFERROR(__xludf.DUMMYFUNCTION("""COMPUTED_VALUE"""),"+14,595")</f>
        <v>+14,595</v>
      </c>
      <c r="E14" s="3">
        <f>IFERROR(__xludf.DUMMYFUNCTION("""COMPUTED_VALUE"""),56648.0)</f>
        <v>56648</v>
      </c>
      <c r="F14" s="1" t="str">
        <f>IFERROR(__xludf.DUMMYFUNCTION("""COMPUTED_VALUE"""),"+296")</f>
        <v>+296</v>
      </c>
      <c r="G14" s="3">
        <f>IFERROR(__xludf.DUMMYFUNCTION("""COMPUTED_VALUE"""),173247.0)</f>
        <v>173247</v>
      </c>
      <c r="H14" s="1" t="str">
        <f>IFERROR(__xludf.DUMMYFUNCTION("""COMPUTED_VALUE"""),"+1,379")</f>
        <v>+1,379</v>
      </c>
      <c r="I14" s="3">
        <f>IFERROR(__xludf.DUMMYFUNCTION("""COMPUTED_VALUE"""),2094321.0)</f>
        <v>2094321</v>
      </c>
      <c r="J14" s="3">
        <f>IFERROR(__xludf.DUMMYFUNCTION("""COMPUTED_VALUE"""),3041.0)</f>
        <v>3041</v>
      </c>
      <c r="K14" s="3">
        <f>IFERROR(__xludf.DUMMYFUNCTION("""COMPUTED_VALUE"""),35573.0)</f>
        <v>35573</v>
      </c>
      <c r="L14" s="1">
        <f>IFERROR(__xludf.DUMMYFUNCTION("""COMPUTED_VALUE"""),867.0)</f>
        <v>867</v>
      </c>
      <c r="M14" s="3">
        <f>IFERROR(__xludf.DUMMYFUNCTION("""COMPUTED_VALUE"""),2.8023593E7)</f>
        <v>28023593</v>
      </c>
      <c r="N14" s="3">
        <f>IFERROR(__xludf.DUMMYFUNCTION("""COMPUTED_VALUE"""),428908.0)</f>
        <v>428908</v>
      </c>
      <c r="O14" s="2">
        <f>IFERROR(__xludf.DUMMYFUNCTION("""COMPUTED_VALUE"""),6.5337099E7)</f>
        <v>65337099</v>
      </c>
      <c r="P14" s="1" t="str">
        <f>IFERROR(__xludf.DUMMYFUNCTION("""COMPUTED_VALUE"""),"Europe")</f>
        <v>Europe</v>
      </c>
      <c r="Q14" s="1">
        <f>IFERROR(__xludf.DUMMYFUNCTION("""COMPUTED_VALUE"""),28.0)</f>
        <v>28</v>
      </c>
      <c r="R14" s="3">
        <f>IFERROR(__xludf.DUMMYFUNCTION("""COMPUTED_VALUE"""),1153.0)</f>
        <v>1153</v>
      </c>
      <c r="S14" s="1">
        <f>IFERROR(__xludf.DUMMYFUNCTION("""COMPUTED_VALUE"""),2.0)</f>
        <v>2</v>
      </c>
    </row>
    <row r="15">
      <c r="A15" s="1">
        <f>IFERROR(__xludf.DUMMYFUNCTION("""COMPUTED_VALUE"""),6.0)</f>
        <v>6</v>
      </c>
      <c r="B15" s="1" t="str">
        <f>IFERROR(__xludf.DUMMYFUNCTION("""COMPUTED_VALUE"""),"Italy")</f>
        <v>Italy</v>
      </c>
      <c r="C15" s="3">
        <f>IFERROR(__xludf.DUMMYFUNCTION("""COMPUTED_VALUE"""),1770149.0)</f>
        <v>1770149</v>
      </c>
      <c r="D15" s="1" t="str">
        <f>IFERROR(__xludf.DUMMYFUNCTION("""COMPUTED_VALUE"""),"+12,756")</f>
        <v>+12,756</v>
      </c>
      <c r="E15" s="3">
        <f>IFERROR(__xludf.DUMMYFUNCTION("""COMPUTED_VALUE"""),61739.0)</f>
        <v>61739</v>
      </c>
      <c r="F15" s="1" t="str">
        <f>IFERROR(__xludf.DUMMYFUNCTION("""COMPUTED_VALUE"""),"+499")</f>
        <v>+499</v>
      </c>
      <c r="G15" s="3">
        <f>IFERROR(__xludf.DUMMYFUNCTION("""COMPUTED_VALUE"""),997895.0)</f>
        <v>997895</v>
      </c>
      <c r="H15" s="1" t="str">
        <f>IFERROR(__xludf.DUMMYFUNCTION("""COMPUTED_VALUE"""),"+39,266")</f>
        <v>+39,266</v>
      </c>
      <c r="I15" s="3">
        <f>IFERROR(__xludf.DUMMYFUNCTION("""COMPUTED_VALUE"""),710515.0)</f>
        <v>710515</v>
      </c>
      <c r="J15" s="3">
        <f>IFERROR(__xludf.DUMMYFUNCTION("""COMPUTED_VALUE"""),3320.0)</f>
        <v>3320</v>
      </c>
      <c r="K15" s="3">
        <f>IFERROR(__xludf.DUMMYFUNCTION("""COMPUTED_VALUE"""),29296.0)</f>
        <v>29296</v>
      </c>
      <c r="L15" s="3">
        <f>IFERROR(__xludf.DUMMYFUNCTION("""COMPUTED_VALUE"""),1022.0)</f>
        <v>1022</v>
      </c>
      <c r="M15" s="3">
        <f>IFERROR(__xludf.DUMMYFUNCTION("""COMPUTED_VALUE"""),2.3504588E7)</f>
        <v>23504588</v>
      </c>
      <c r="N15" s="3">
        <f>IFERROR(__xludf.DUMMYFUNCTION("""COMPUTED_VALUE"""),389003.0)</f>
        <v>389003</v>
      </c>
      <c r="O15" s="2">
        <f>IFERROR(__xludf.DUMMYFUNCTION("""COMPUTED_VALUE"""),6.0422565E7)</f>
        <v>60422565</v>
      </c>
      <c r="P15" s="1" t="str">
        <f>IFERROR(__xludf.DUMMYFUNCTION("""COMPUTED_VALUE"""),"Europe")</f>
        <v>Europe</v>
      </c>
      <c r="Q15" s="1">
        <f>IFERROR(__xludf.DUMMYFUNCTION("""COMPUTED_VALUE"""),34.0)</f>
        <v>34</v>
      </c>
      <c r="R15" s="1">
        <f>IFERROR(__xludf.DUMMYFUNCTION("""COMPUTED_VALUE"""),979.0)</f>
        <v>979</v>
      </c>
      <c r="S15" s="1">
        <f>IFERROR(__xludf.DUMMYFUNCTION("""COMPUTED_VALUE"""),3.0)</f>
        <v>3</v>
      </c>
    </row>
    <row r="16">
      <c r="A16" s="1">
        <f>IFERROR(__xludf.DUMMYFUNCTION("""COMPUTED_VALUE"""),7.0)</f>
        <v>7</v>
      </c>
      <c r="B16" s="1" t="str">
        <f>IFERROR(__xludf.DUMMYFUNCTION("""COMPUTED_VALUE"""),"UK")</f>
        <v>UK</v>
      </c>
      <c r="C16" s="3">
        <f>IFERROR(__xludf.DUMMYFUNCTION("""COMPUTED_VALUE"""),1766819.0)</f>
        <v>1766819</v>
      </c>
      <c r="D16" s="1" t="str">
        <f>IFERROR(__xludf.DUMMYFUNCTION("""COMPUTED_VALUE"""),"+16,578")</f>
        <v>+16,578</v>
      </c>
      <c r="E16" s="3">
        <f>IFERROR(__xludf.DUMMYFUNCTION("""COMPUTED_VALUE"""),62566.0)</f>
        <v>62566</v>
      </c>
      <c r="F16" s="1" t="str">
        <f>IFERROR(__xludf.DUMMYFUNCTION("""COMPUTED_VALUE"""),"+533")</f>
        <v>+533</v>
      </c>
      <c r="G16" s="1" t="str">
        <f>IFERROR(__xludf.DUMMYFUNCTION("""COMPUTED_VALUE"""),"N/A")</f>
        <v>N/A</v>
      </c>
      <c r="H16" s="1" t="str">
        <f>IFERROR(__xludf.DUMMYFUNCTION("""COMPUTED_VALUE"""),"N/A")</f>
        <v>N/A</v>
      </c>
      <c r="I16" s="1" t="str">
        <f>IFERROR(__xludf.DUMMYFUNCTION("""COMPUTED_VALUE"""),"N/A")</f>
        <v>N/A</v>
      </c>
      <c r="J16" s="3">
        <f>IFERROR(__xludf.DUMMYFUNCTION("""COMPUTED_VALUE"""),1272.0)</f>
        <v>1272</v>
      </c>
      <c r="K16" s="3">
        <f>IFERROR(__xludf.DUMMYFUNCTION("""COMPUTED_VALUE"""),25966.0)</f>
        <v>25966</v>
      </c>
      <c r="L16" s="1">
        <f>IFERROR(__xludf.DUMMYFUNCTION("""COMPUTED_VALUE"""),920.0)</f>
        <v>920</v>
      </c>
      <c r="M16" s="3">
        <f>IFERROR(__xludf.DUMMYFUNCTION("""COMPUTED_VALUE"""),4.6344703E7)</f>
        <v>46344703</v>
      </c>
      <c r="N16" s="3">
        <f>IFERROR(__xludf.DUMMYFUNCTION("""COMPUTED_VALUE"""),681113.0)</f>
        <v>681113</v>
      </c>
      <c r="O16" s="2">
        <f>IFERROR(__xludf.DUMMYFUNCTION("""COMPUTED_VALUE"""),6.80426E7)</f>
        <v>68042600</v>
      </c>
      <c r="P16" s="1" t="str">
        <f>IFERROR(__xludf.DUMMYFUNCTION("""COMPUTED_VALUE"""),"Europe")</f>
        <v>Europe</v>
      </c>
      <c r="Q16" s="1">
        <f>IFERROR(__xludf.DUMMYFUNCTION("""COMPUTED_VALUE"""),39.0)</f>
        <v>39</v>
      </c>
      <c r="R16" s="3">
        <f>IFERROR(__xludf.DUMMYFUNCTION("""COMPUTED_VALUE"""),1088.0)</f>
        <v>1088</v>
      </c>
      <c r="S16" s="1">
        <f>IFERROR(__xludf.DUMMYFUNCTION("""COMPUTED_VALUE"""),1.0)</f>
        <v>1</v>
      </c>
    </row>
    <row r="17">
      <c r="A17" s="1">
        <f>IFERROR(__xludf.DUMMYFUNCTION("""COMPUTED_VALUE"""),8.0)</f>
        <v>8</v>
      </c>
      <c r="B17" s="1" t="str">
        <f>IFERROR(__xludf.DUMMYFUNCTION("""COMPUTED_VALUE"""),"Spain")</f>
        <v>Spain</v>
      </c>
      <c r="C17" s="3">
        <f>IFERROR(__xludf.DUMMYFUNCTION("""COMPUTED_VALUE"""),1725473.0)</f>
        <v>1725473</v>
      </c>
      <c r="D17" s="1" t="str">
        <f>IFERROR(__xludf.DUMMYFUNCTION("""COMPUTED_VALUE"""),"+4,886")</f>
        <v>+4,886</v>
      </c>
      <c r="E17" s="3">
        <f>IFERROR(__xludf.DUMMYFUNCTION("""COMPUTED_VALUE"""),47019.0)</f>
        <v>47019</v>
      </c>
      <c r="F17" s="1" t="str">
        <f>IFERROR(__xludf.DUMMYFUNCTION("""COMPUTED_VALUE"""),"+186")</f>
        <v>+186</v>
      </c>
      <c r="G17" s="1" t="str">
        <f>IFERROR(__xludf.DUMMYFUNCTION("""COMPUTED_VALUE"""),"N/A")</f>
        <v>N/A</v>
      </c>
      <c r="H17" s="1" t="str">
        <f>IFERROR(__xludf.DUMMYFUNCTION("""COMPUTED_VALUE"""),"N/A")</f>
        <v>N/A</v>
      </c>
      <c r="I17" s="1" t="str">
        <f>IFERROR(__xludf.DUMMYFUNCTION("""COMPUTED_VALUE"""),"N/A")</f>
        <v>N/A</v>
      </c>
      <c r="J17" s="3">
        <f>IFERROR(__xludf.DUMMYFUNCTION("""COMPUTED_VALUE"""),2179.0)</f>
        <v>2179</v>
      </c>
      <c r="K17" s="3">
        <f>IFERROR(__xludf.DUMMYFUNCTION("""COMPUTED_VALUE"""),36898.0)</f>
        <v>36898</v>
      </c>
      <c r="L17" s="3">
        <f>IFERROR(__xludf.DUMMYFUNCTION("""COMPUTED_VALUE"""),1005.0)</f>
        <v>1005</v>
      </c>
      <c r="M17" s="3">
        <f>IFERROR(__xludf.DUMMYFUNCTION("""COMPUTED_VALUE"""),2.4101272E7)</f>
        <v>24101272</v>
      </c>
      <c r="N17" s="3">
        <f>IFERROR(__xludf.DUMMYFUNCTION("""COMPUTED_VALUE"""),515395.0)</f>
        <v>515395</v>
      </c>
      <c r="O17" s="2">
        <f>IFERROR(__xludf.DUMMYFUNCTION("""COMPUTED_VALUE"""),4.6762763E7)</f>
        <v>46762763</v>
      </c>
      <c r="P17" s="1" t="str">
        <f>IFERROR(__xludf.DUMMYFUNCTION("""COMPUTED_VALUE"""),"Europe")</f>
        <v>Europe</v>
      </c>
      <c r="Q17" s="1">
        <f>IFERROR(__xludf.DUMMYFUNCTION("""COMPUTED_VALUE"""),27.0)</f>
        <v>27</v>
      </c>
      <c r="R17" s="1">
        <f>IFERROR(__xludf.DUMMYFUNCTION("""COMPUTED_VALUE"""),995.0)</f>
        <v>995</v>
      </c>
      <c r="S17" s="1">
        <f>IFERROR(__xludf.DUMMYFUNCTION("""COMPUTED_VALUE"""),2.0)</f>
        <v>2</v>
      </c>
    </row>
    <row r="18">
      <c r="A18" s="1">
        <f>IFERROR(__xludf.DUMMYFUNCTION("""COMPUTED_VALUE"""),9.0)</f>
        <v>9</v>
      </c>
      <c r="B18" s="1" t="str">
        <f>IFERROR(__xludf.DUMMYFUNCTION("""COMPUTED_VALUE"""),"Argentina")</f>
        <v>Argentina</v>
      </c>
      <c r="C18" s="3">
        <f>IFERROR(__xludf.DUMMYFUNCTION("""COMPUTED_VALUE"""),1475222.0)</f>
        <v>1475222</v>
      </c>
      <c r="D18" s="1" t="str">
        <f>IFERROR(__xludf.DUMMYFUNCTION("""COMPUTED_VALUE"""),"+5,303")</f>
        <v>+5,303</v>
      </c>
      <c r="E18" s="3">
        <f>IFERROR(__xludf.DUMMYFUNCTION("""COMPUTED_VALUE"""),40222.0)</f>
        <v>40222</v>
      </c>
      <c r="F18" s="1" t="str">
        <f>IFERROR(__xludf.DUMMYFUNCTION("""COMPUTED_VALUE"""),"+213")</f>
        <v>+213</v>
      </c>
      <c r="G18" s="3">
        <f>IFERROR(__xludf.DUMMYFUNCTION("""COMPUTED_VALUE"""),1311488.0)</f>
        <v>1311488</v>
      </c>
      <c r="H18" s="1" t="str">
        <f>IFERROR(__xludf.DUMMYFUNCTION("""COMPUTED_VALUE"""),"+5,901")</f>
        <v>+5,901</v>
      </c>
      <c r="I18" s="3">
        <f>IFERROR(__xludf.DUMMYFUNCTION("""COMPUTED_VALUE"""),123512.0)</f>
        <v>123512</v>
      </c>
      <c r="J18" s="3">
        <f>IFERROR(__xludf.DUMMYFUNCTION("""COMPUTED_VALUE"""),3688.0)</f>
        <v>3688</v>
      </c>
      <c r="K18" s="3">
        <f>IFERROR(__xludf.DUMMYFUNCTION("""COMPUTED_VALUE"""),32510.0)</f>
        <v>32510</v>
      </c>
      <c r="L18" s="1">
        <f>IFERROR(__xludf.DUMMYFUNCTION("""COMPUTED_VALUE"""),886.0)</f>
        <v>886</v>
      </c>
      <c r="M18" s="3">
        <f>IFERROR(__xludf.DUMMYFUNCTION("""COMPUTED_VALUE"""),4145226.0)</f>
        <v>4145226</v>
      </c>
      <c r="N18" s="3">
        <f>IFERROR(__xludf.DUMMYFUNCTION("""COMPUTED_VALUE"""),91350.0)</f>
        <v>91350</v>
      </c>
      <c r="O18" s="2">
        <f>IFERROR(__xludf.DUMMYFUNCTION("""COMPUTED_VALUE"""),4.5377256E7)</f>
        <v>45377256</v>
      </c>
      <c r="P18" s="1" t="str">
        <f>IFERROR(__xludf.DUMMYFUNCTION("""COMPUTED_VALUE"""),"South America")</f>
        <v>South America</v>
      </c>
      <c r="Q18" s="1">
        <f>IFERROR(__xludf.DUMMYFUNCTION("""COMPUTED_VALUE"""),31.0)</f>
        <v>31</v>
      </c>
      <c r="R18" s="3">
        <f>IFERROR(__xludf.DUMMYFUNCTION("""COMPUTED_VALUE"""),1128.0)</f>
        <v>1128</v>
      </c>
      <c r="S18" s="1">
        <f>IFERROR(__xludf.DUMMYFUNCTION("""COMPUTED_VALUE"""),11.0)</f>
        <v>11</v>
      </c>
    </row>
    <row r="19">
      <c r="A19" s="1">
        <f>IFERROR(__xludf.DUMMYFUNCTION("""COMPUTED_VALUE"""),10.0)</f>
        <v>10</v>
      </c>
      <c r="B19" s="1" t="str">
        <f>IFERROR(__xludf.DUMMYFUNCTION("""COMPUTED_VALUE"""),"Colombia")</f>
        <v>Colombia</v>
      </c>
      <c r="C19" s="3">
        <f>IFERROR(__xludf.DUMMYFUNCTION("""COMPUTED_VALUE"""),1392133.0)</f>
        <v>1392133</v>
      </c>
      <c r="D19" s="1" t="str">
        <f>IFERROR(__xludf.DUMMYFUNCTION("""COMPUTED_VALUE"""),"+7,523")</f>
        <v>+7,523</v>
      </c>
      <c r="E19" s="3">
        <f>IFERROR(__xludf.DUMMYFUNCTION("""COMPUTED_VALUE"""),38308.0)</f>
        <v>38308</v>
      </c>
      <c r="F19" s="1" t="str">
        <f>IFERROR(__xludf.DUMMYFUNCTION("""COMPUTED_VALUE"""),"+150")</f>
        <v>+150</v>
      </c>
      <c r="G19" s="3">
        <f>IFERROR(__xludf.DUMMYFUNCTION("""COMPUTED_VALUE"""),1287597.0)</f>
        <v>1287597</v>
      </c>
      <c r="H19" s="1" t="str">
        <f>IFERROR(__xludf.DUMMYFUNCTION("""COMPUTED_VALUE"""),"+9,271")</f>
        <v>+9,271</v>
      </c>
      <c r="I19" s="3">
        <f>IFERROR(__xludf.DUMMYFUNCTION("""COMPUTED_VALUE"""),66228.0)</f>
        <v>66228</v>
      </c>
      <c r="J19" s="3">
        <f>IFERROR(__xludf.DUMMYFUNCTION("""COMPUTED_VALUE"""),2376.0)</f>
        <v>2376</v>
      </c>
      <c r="K19" s="3">
        <f>IFERROR(__xludf.DUMMYFUNCTION("""COMPUTED_VALUE"""),27233.0)</f>
        <v>27233</v>
      </c>
      <c r="L19" s="1">
        <f>IFERROR(__xludf.DUMMYFUNCTION("""COMPUTED_VALUE"""),749.0)</f>
        <v>749</v>
      </c>
      <c r="M19" s="3">
        <f>IFERROR(__xludf.DUMMYFUNCTION("""COMPUTED_VALUE"""),6855035.0)</f>
        <v>6855035</v>
      </c>
      <c r="N19" s="3">
        <f>IFERROR(__xludf.DUMMYFUNCTION("""COMPUTED_VALUE"""),134097.0)</f>
        <v>134097</v>
      </c>
      <c r="O19" s="2">
        <f>IFERROR(__xludf.DUMMYFUNCTION("""COMPUTED_VALUE"""),5.1119899E7)</f>
        <v>51119899</v>
      </c>
      <c r="P19" s="1" t="str">
        <f>IFERROR(__xludf.DUMMYFUNCTION("""COMPUTED_VALUE"""),"South America")</f>
        <v>South America</v>
      </c>
      <c r="Q19" s="1">
        <f>IFERROR(__xludf.DUMMYFUNCTION("""COMPUTED_VALUE"""),37.0)</f>
        <v>37</v>
      </c>
      <c r="R19" s="3">
        <f>IFERROR(__xludf.DUMMYFUNCTION("""COMPUTED_VALUE"""),1334.0)</f>
        <v>1334</v>
      </c>
      <c r="S19" s="1">
        <f>IFERROR(__xludf.DUMMYFUNCTION("""COMPUTED_VALUE"""),7.0)</f>
        <v>7</v>
      </c>
    </row>
    <row r="20">
      <c r="A20" s="1">
        <f>IFERROR(__xludf.DUMMYFUNCTION("""COMPUTED_VALUE"""),11.0)</f>
        <v>11</v>
      </c>
      <c r="B20" s="1" t="str">
        <f>IFERROR(__xludf.DUMMYFUNCTION("""COMPUTED_VALUE"""),"Germany")</f>
        <v>Germany</v>
      </c>
      <c r="C20" s="3">
        <f>IFERROR(__xludf.DUMMYFUNCTION("""COMPUTED_VALUE"""),1242198.0)</f>
        <v>1242198</v>
      </c>
      <c r="D20" s="1" t="str">
        <f>IFERROR(__xludf.DUMMYFUNCTION("""COMPUTED_VALUE"""),"+23,873")</f>
        <v>+23,873</v>
      </c>
      <c r="E20" s="3">
        <f>IFERROR(__xludf.DUMMYFUNCTION("""COMPUTED_VALUE"""),20704.0)</f>
        <v>20704</v>
      </c>
      <c r="F20" s="1" t="str">
        <f>IFERROR(__xludf.DUMMYFUNCTION("""COMPUTED_VALUE"""),"+543")</f>
        <v>+543</v>
      </c>
      <c r="G20" s="3">
        <f>IFERROR(__xludf.DUMMYFUNCTION("""COMPUTED_VALUE"""),902100.0)</f>
        <v>902100</v>
      </c>
      <c r="H20" s="1" t="str">
        <f>IFERROR(__xludf.DUMMYFUNCTION("""COMPUTED_VALUE"""),"+20,200")</f>
        <v>+20,200</v>
      </c>
      <c r="I20" s="3">
        <f>IFERROR(__xludf.DUMMYFUNCTION("""COMPUTED_VALUE"""),319394.0)</f>
        <v>319394</v>
      </c>
      <c r="J20" s="3">
        <f>IFERROR(__xludf.DUMMYFUNCTION("""COMPUTED_VALUE"""),4257.0)</f>
        <v>4257</v>
      </c>
      <c r="K20" s="3">
        <f>IFERROR(__xludf.DUMMYFUNCTION("""COMPUTED_VALUE"""),14805.0)</f>
        <v>14805</v>
      </c>
      <c r="L20" s="1">
        <f>IFERROR(__xludf.DUMMYFUNCTION("""COMPUTED_VALUE"""),247.0)</f>
        <v>247</v>
      </c>
      <c r="M20" s="3">
        <f>IFERROR(__xludf.DUMMYFUNCTION("""COMPUTED_VALUE"""),2.9141172E7)</f>
        <v>29141172</v>
      </c>
      <c r="N20" s="3">
        <f>IFERROR(__xludf.DUMMYFUNCTION("""COMPUTED_VALUE"""),347325.0)</f>
        <v>347325</v>
      </c>
      <c r="O20" s="2">
        <f>IFERROR(__xludf.DUMMYFUNCTION("""COMPUTED_VALUE"""),8.3901788E7)</f>
        <v>83901788</v>
      </c>
      <c r="P20" s="1" t="str">
        <f>IFERROR(__xludf.DUMMYFUNCTION("""COMPUTED_VALUE"""),"Europe")</f>
        <v>Europe</v>
      </c>
      <c r="Q20" s="1">
        <f>IFERROR(__xludf.DUMMYFUNCTION("""COMPUTED_VALUE"""),68.0)</f>
        <v>68</v>
      </c>
      <c r="R20" s="3">
        <f>IFERROR(__xludf.DUMMYFUNCTION("""COMPUTED_VALUE"""),4052.0)</f>
        <v>4052</v>
      </c>
      <c r="S20" s="1">
        <f>IFERROR(__xludf.DUMMYFUNCTION("""COMPUTED_VALUE"""),3.0)</f>
        <v>3</v>
      </c>
    </row>
    <row r="21">
      <c r="A21" s="1">
        <f>IFERROR(__xludf.DUMMYFUNCTION("""COMPUTED_VALUE"""),12.0)</f>
        <v>12</v>
      </c>
      <c r="B21" s="1" t="str">
        <f>IFERROR(__xludf.DUMMYFUNCTION("""COMPUTED_VALUE"""),"Mexico")</f>
        <v>Mexico</v>
      </c>
      <c r="C21" s="3">
        <f>IFERROR(__xludf.DUMMYFUNCTION("""COMPUTED_VALUE"""),1193255.0)</f>
        <v>1193255</v>
      </c>
      <c r="D21" s="1" t="str">
        <f>IFERROR(__xludf.DUMMYFUNCTION("""COMPUTED_VALUE"""),"+11,006")</f>
        <v>+11,006</v>
      </c>
      <c r="E21" s="3">
        <f>IFERROR(__xludf.DUMMYFUNCTION("""COMPUTED_VALUE"""),110874.0)</f>
        <v>110874</v>
      </c>
      <c r="F21" s="1" t="str">
        <f>IFERROR(__xludf.DUMMYFUNCTION("""COMPUTED_VALUE"""),"+800")</f>
        <v>+800</v>
      </c>
      <c r="G21" s="3">
        <f>IFERROR(__xludf.DUMMYFUNCTION("""COMPUTED_VALUE"""),881050.0)</f>
        <v>881050</v>
      </c>
      <c r="H21" s="1" t="str">
        <f>IFERROR(__xludf.DUMMYFUNCTION("""COMPUTED_VALUE"""),"+7,495")</f>
        <v>+7,495</v>
      </c>
      <c r="I21" s="3">
        <f>IFERROR(__xludf.DUMMYFUNCTION("""COMPUTED_VALUE"""),201331.0)</f>
        <v>201331</v>
      </c>
      <c r="J21" s="3">
        <f>IFERROR(__xludf.DUMMYFUNCTION("""COMPUTED_VALUE"""),3279.0)</f>
        <v>3279</v>
      </c>
      <c r="K21" s="3">
        <f>IFERROR(__xludf.DUMMYFUNCTION("""COMPUTED_VALUE"""),9213.0)</f>
        <v>9213</v>
      </c>
      <c r="L21" s="1">
        <f>IFERROR(__xludf.DUMMYFUNCTION("""COMPUTED_VALUE"""),856.0)</f>
        <v>856</v>
      </c>
      <c r="M21" s="3">
        <f>IFERROR(__xludf.DUMMYFUNCTION("""COMPUTED_VALUE"""),3053713.0)</f>
        <v>3053713</v>
      </c>
      <c r="N21" s="3">
        <f>IFERROR(__xludf.DUMMYFUNCTION("""COMPUTED_VALUE"""),23576.0)</f>
        <v>23576</v>
      </c>
      <c r="O21" s="2">
        <f>IFERROR(__xludf.DUMMYFUNCTION("""COMPUTED_VALUE"""),1.29524815E8)</f>
        <v>129524815</v>
      </c>
      <c r="P21" s="1" t="str">
        <f>IFERROR(__xludf.DUMMYFUNCTION("""COMPUTED_VALUE"""),"North America")</f>
        <v>North America</v>
      </c>
      <c r="Q21" s="1">
        <f>IFERROR(__xludf.DUMMYFUNCTION("""COMPUTED_VALUE"""),109.0)</f>
        <v>109</v>
      </c>
      <c r="R21" s="3">
        <f>IFERROR(__xludf.DUMMYFUNCTION("""COMPUTED_VALUE"""),1168.0)</f>
        <v>1168</v>
      </c>
      <c r="S21" s="1">
        <f>IFERROR(__xludf.DUMMYFUNCTION("""COMPUTED_VALUE"""),42.0)</f>
        <v>42</v>
      </c>
    </row>
    <row r="22">
      <c r="A22" s="1">
        <f>IFERROR(__xludf.DUMMYFUNCTION("""COMPUTED_VALUE"""),13.0)</f>
        <v>13</v>
      </c>
      <c r="B22" s="1" t="str">
        <f>IFERROR(__xludf.DUMMYFUNCTION("""COMPUTED_VALUE"""),"Poland")</f>
        <v>Poland</v>
      </c>
      <c r="C22" s="3">
        <f>IFERROR(__xludf.DUMMYFUNCTION("""COMPUTED_VALUE"""),1088346.0)</f>
        <v>1088346</v>
      </c>
      <c r="D22" s="1" t="str">
        <f>IFERROR(__xludf.DUMMYFUNCTION("""COMPUTED_VALUE"""),"+12,168")</f>
        <v>+12,168</v>
      </c>
      <c r="E22" s="3">
        <f>IFERROR(__xludf.DUMMYFUNCTION("""COMPUTED_VALUE"""),21160.0)</f>
        <v>21160</v>
      </c>
      <c r="F22" s="1" t="str">
        <f>IFERROR(__xludf.DUMMYFUNCTION("""COMPUTED_VALUE"""),"+568")</f>
        <v>+568</v>
      </c>
      <c r="G22" s="3">
        <f>IFERROR(__xludf.DUMMYFUNCTION("""COMPUTED_VALUE"""),768241.0)</f>
        <v>768241</v>
      </c>
      <c r="H22" s="1" t="str">
        <f>IFERROR(__xludf.DUMMYFUNCTION("""COMPUTED_VALUE"""),"+29,396")</f>
        <v>+29,396</v>
      </c>
      <c r="I22" s="3">
        <f>IFERROR(__xludf.DUMMYFUNCTION("""COMPUTED_VALUE"""),298945.0)</f>
        <v>298945</v>
      </c>
      <c r="J22" s="3">
        <f>IFERROR(__xludf.DUMMYFUNCTION("""COMPUTED_VALUE"""),1800.0)</f>
        <v>1800</v>
      </c>
      <c r="K22" s="3">
        <f>IFERROR(__xludf.DUMMYFUNCTION("""COMPUTED_VALUE"""),28771.0)</f>
        <v>28771</v>
      </c>
      <c r="L22" s="1">
        <f>IFERROR(__xludf.DUMMYFUNCTION("""COMPUTED_VALUE"""),559.0)</f>
        <v>559</v>
      </c>
      <c r="M22" s="3">
        <f>IFERROR(__xludf.DUMMYFUNCTION("""COMPUTED_VALUE"""),6547891.0)</f>
        <v>6547891</v>
      </c>
      <c r="N22" s="3">
        <f>IFERROR(__xludf.DUMMYFUNCTION("""COMPUTED_VALUE"""),173095.0)</f>
        <v>173095</v>
      </c>
      <c r="O22" s="2">
        <f>IFERROR(__xludf.DUMMYFUNCTION("""COMPUTED_VALUE"""),3.7828312E7)</f>
        <v>37828312</v>
      </c>
      <c r="P22" s="1" t="str">
        <f>IFERROR(__xludf.DUMMYFUNCTION("""COMPUTED_VALUE"""),"Europe")</f>
        <v>Europe</v>
      </c>
      <c r="Q22" s="1">
        <f>IFERROR(__xludf.DUMMYFUNCTION("""COMPUTED_VALUE"""),35.0)</f>
        <v>35</v>
      </c>
      <c r="R22" s="3">
        <f>IFERROR(__xludf.DUMMYFUNCTION("""COMPUTED_VALUE"""),1788.0)</f>
        <v>1788</v>
      </c>
      <c r="S22" s="1">
        <f>IFERROR(__xludf.DUMMYFUNCTION("""COMPUTED_VALUE"""),6.0)</f>
        <v>6</v>
      </c>
    </row>
    <row r="23">
      <c r="A23" s="1">
        <f>IFERROR(__xludf.DUMMYFUNCTION("""COMPUTED_VALUE"""),14.0)</f>
        <v>14</v>
      </c>
      <c r="B23" s="1" t="str">
        <f>IFERROR(__xludf.DUMMYFUNCTION("""COMPUTED_VALUE"""),"Iran")</f>
        <v>Iran</v>
      </c>
      <c r="C23" s="3">
        <f>IFERROR(__xludf.DUMMYFUNCTION("""COMPUTED_VALUE"""),1072620.0)</f>
        <v>1072620</v>
      </c>
      <c r="D23" s="1" t="str">
        <f>IFERROR(__xludf.DUMMYFUNCTION("""COMPUTED_VALUE"""),"+10,223")</f>
        <v>+10,223</v>
      </c>
      <c r="E23" s="3">
        <f>IFERROR(__xludf.DUMMYFUNCTION("""COMPUTED_VALUE"""),51212.0)</f>
        <v>51212</v>
      </c>
      <c r="F23" s="1" t="str">
        <f>IFERROR(__xludf.DUMMYFUNCTION("""COMPUTED_VALUE"""),"+295")</f>
        <v>+295</v>
      </c>
      <c r="G23" s="3">
        <f>IFERROR(__xludf.DUMMYFUNCTION("""COMPUTED_VALUE"""),765639.0)</f>
        <v>765639</v>
      </c>
      <c r="H23" s="1" t="str">
        <f>IFERROR(__xludf.DUMMYFUNCTION("""COMPUTED_VALUE"""),"+11,415")</f>
        <v>+11,415</v>
      </c>
      <c r="I23" s="3">
        <f>IFERROR(__xludf.DUMMYFUNCTION("""COMPUTED_VALUE"""),255769.0)</f>
        <v>255769</v>
      </c>
      <c r="J23" s="3">
        <f>IFERROR(__xludf.DUMMYFUNCTION("""COMPUTED_VALUE"""),5779.0)</f>
        <v>5779</v>
      </c>
      <c r="K23" s="3">
        <f>IFERROR(__xludf.DUMMYFUNCTION("""COMPUTED_VALUE"""),12699.0)</f>
        <v>12699</v>
      </c>
      <c r="L23" s="1">
        <f>IFERROR(__xludf.DUMMYFUNCTION("""COMPUTED_VALUE"""),606.0)</f>
        <v>606</v>
      </c>
      <c r="M23" s="3">
        <f>IFERROR(__xludf.DUMMYFUNCTION("""COMPUTED_VALUE"""),6523409.0)</f>
        <v>6523409</v>
      </c>
      <c r="N23" s="3">
        <f>IFERROR(__xludf.DUMMYFUNCTION("""COMPUTED_VALUE"""),77235.0)</f>
        <v>77235</v>
      </c>
      <c r="O23" s="2">
        <f>IFERROR(__xludf.DUMMYFUNCTION("""COMPUTED_VALUE"""),8.4461844E7)</f>
        <v>84461844</v>
      </c>
      <c r="P23" s="1" t="str">
        <f>IFERROR(__xludf.DUMMYFUNCTION("""COMPUTED_VALUE"""),"Asia")</f>
        <v>Asia</v>
      </c>
      <c r="Q23" s="1">
        <f>IFERROR(__xludf.DUMMYFUNCTION("""COMPUTED_VALUE"""),79.0)</f>
        <v>79</v>
      </c>
      <c r="R23" s="3">
        <f>IFERROR(__xludf.DUMMYFUNCTION("""COMPUTED_VALUE"""),1649.0)</f>
        <v>1649</v>
      </c>
      <c r="S23" s="1">
        <f>IFERROR(__xludf.DUMMYFUNCTION("""COMPUTED_VALUE"""),13.0)</f>
        <v>13</v>
      </c>
    </row>
    <row r="24">
      <c r="A24" s="1">
        <f>IFERROR(__xludf.DUMMYFUNCTION("""COMPUTED_VALUE"""),15.0)</f>
        <v>15</v>
      </c>
      <c r="B24" s="1" t="str">
        <f>IFERROR(__xludf.DUMMYFUNCTION("""COMPUTED_VALUE"""),"Peru")</f>
        <v>Peru</v>
      </c>
      <c r="C24" s="3">
        <f>IFERROR(__xludf.DUMMYFUNCTION("""COMPUTED_VALUE"""),977312.0)</f>
        <v>977312</v>
      </c>
      <c r="D24" s="1" t="str">
        <f>IFERROR(__xludf.DUMMYFUNCTION("""COMPUTED_VALUE"""),"+691")</f>
        <v>+691</v>
      </c>
      <c r="E24" s="3">
        <f>IFERROR(__xludf.DUMMYFUNCTION("""COMPUTED_VALUE"""),36455.0)</f>
        <v>36455</v>
      </c>
      <c r="F24" s="1" t="str">
        <f>IFERROR(__xludf.DUMMYFUNCTION("""COMPUTED_VALUE"""),"+54")</f>
        <v>+54</v>
      </c>
      <c r="G24" s="3">
        <f>IFERROR(__xludf.DUMMYFUNCTION("""COMPUTED_VALUE"""),912501.0)</f>
        <v>912501</v>
      </c>
      <c r="H24" s="1" t="str">
        <f>IFERROR(__xludf.DUMMYFUNCTION("""COMPUTED_VALUE"""),"+1,388")</f>
        <v>+1,388</v>
      </c>
      <c r="I24" s="3">
        <f>IFERROR(__xludf.DUMMYFUNCTION("""COMPUTED_VALUE"""),28356.0)</f>
        <v>28356</v>
      </c>
      <c r="J24" s="3">
        <f>IFERROR(__xludf.DUMMYFUNCTION("""COMPUTED_VALUE"""),1016.0)</f>
        <v>1016</v>
      </c>
      <c r="K24" s="3">
        <f>IFERROR(__xludf.DUMMYFUNCTION("""COMPUTED_VALUE"""),29462.0)</f>
        <v>29462</v>
      </c>
      <c r="L24" s="3">
        <f>IFERROR(__xludf.DUMMYFUNCTION("""COMPUTED_VALUE"""),1099.0)</f>
        <v>1099</v>
      </c>
      <c r="M24" s="3">
        <f>IFERROR(__xludf.DUMMYFUNCTION("""COMPUTED_VALUE"""),5204299.0)</f>
        <v>5204299</v>
      </c>
      <c r="N24" s="3">
        <f>IFERROR(__xludf.DUMMYFUNCTION("""COMPUTED_VALUE"""),156888.0)</f>
        <v>156888</v>
      </c>
      <c r="O24" s="2">
        <f>IFERROR(__xludf.DUMMYFUNCTION("""COMPUTED_VALUE"""),3.317197E7)</f>
        <v>33171970</v>
      </c>
      <c r="P24" s="1" t="str">
        <f>IFERROR(__xludf.DUMMYFUNCTION("""COMPUTED_VALUE"""),"South America")</f>
        <v>South America</v>
      </c>
      <c r="Q24" s="1">
        <f>IFERROR(__xludf.DUMMYFUNCTION("""COMPUTED_VALUE"""),34.0)</f>
        <v>34</v>
      </c>
      <c r="R24" s="1">
        <f>IFERROR(__xludf.DUMMYFUNCTION("""COMPUTED_VALUE"""),910.0)</f>
        <v>910</v>
      </c>
      <c r="S24" s="1">
        <f>IFERROR(__xludf.DUMMYFUNCTION("""COMPUTED_VALUE"""),6.0)</f>
        <v>6</v>
      </c>
    </row>
    <row r="25">
      <c r="A25" s="1">
        <f>IFERROR(__xludf.DUMMYFUNCTION("""COMPUTED_VALUE"""),16.0)</f>
        <v>16</v>
      </c>
      <c r="B25" s="1" t="str">
        <f>IFERROR(__xludf.DUMMYFUNCTION("""COMPUTED_VALUE"""),"Turkey")</f>
        <v>Turkey</v>
      </c>
      <c r="C25" s="3">
        <f>IFERROR(__xludf.DUMMYFUNCTION("""COMPUTED_VALUE"""),925342.0)</f>
        <v>925342</v>
      </c>
      <c r="D25" s="1" t="str">
        <f>IFERROR(__xludf.DUMMYFUNCTION("""COMPUTED_VALUE"""),"+31,712")</f>
        <v>+31,712</v>
      </c>
      <c r="E25" s="3">
        <f>IFERROR(__xludf.DUMMYFUNCTION("""COMPUTED_VALUE"""),15531.0)</f>
        <v>15531</v>
      </c>
      <c r="F25" s="1" t="str">
        <f>IFERROR(__xludf.DUMMYFUNCTION("""COMPUTED_VALUE"""),"+217")</f>
        <v>+217</v>
      </c>
      <c r="G25" s="3">
        <f>IFERROR(__xludf.DUMMYFUNCTION("""COMPUTED_VALUE"""),447361.0)</f>
        <v>447361</v>
      </c>
      <c r="H25" s="1" t="str">
        <f>IFERROR(__xludf.DUMMYFUNCTION("""COMPUTED_VALUE"""),"+5,846")</f>
        <v>+5,846</v>
      </c>
      <c r="I25" s="3">
        <f>IFERROR(__xludf.DUMMYFUNCTION("""COMPUTED_VALUE"""),462450.0)</f>
        <v>462450</v>
      </c>
      <c r="J25" s="3">
        <f>IFERROR(__xludf.DUMMYFUNCTION("""COMPUTED_VALUE"""),5901.0)</f>
        <v>5901</v>
      </c>
      <c r="K25" s="3">
        <f>IFERROR(__xludf.DUMMYFUNCTION("""COMPUTED_VALUE"""),10920.0)</f>
        <v>10920</v>
      </c>
      <c r="L25" s="1">
        <f>IFERROR(__xludf.DUMMYFUNCTION("""COMPUTED_VALUE"""),183.0)</f>
        <v>183</v>
      </c>
      <c r="M25" s="3">
        <f>IFERROR(__xludf.DUMMYFUNCTION("""COMPUTED_VALUE"""),2.0294377E7)</f>
        <v>20294377</v>
      </c>
      <c r="N25" s="3">
        <f>IFERROR(__xludf.DUMMYFUNCTION("""COMPUTED_VALUE"""),239502.0)</f>
        <v>239502</v>
      </c>
      <c r="O25" s="2">
        <f>IFERROR(__xludf.DUMMYFUNCTION("""COMPUTED_VALUE"""),8.4735628E7)</f>
        <v>84735628</v>
      </c>
      <c r="P25" s="1" t="str">
        <f>IFERROR(__xludf.DUMMYFUNCTION("""COMPUTED_VALUE"""),"Asia")</f>
        <v>Asia</v>
      </c>
      <c r="Q25" s="1">
        <f>IFERROR(__xludf.DUMMYFUNCTION("""COMPUTED_VALUE"""),92.0)</f>
        <v>92</v>
      </c>
      <c r="R25" s="3">
        <f>IFERROR(__xludf.DUMMYFUNCTION("""COMPUTED_VALUE"""),5456.0)</f>
        <v>5456</v>
      </c>
      <c r="S25" s="1">
        <f>IFERROR(__xludf.DUMMYFUNCTION("""COMPUTED_VALUE"""),4.0)</f>
        <v>4</v>
      </c>
    </row>
    <row r="26">
      <c r="A26" s="1">
        <f>IFERROR(__xludf.DUMMYFUNCTION("""COMPUTED_VALUE"""),17.0)</f>
        <v>17</v>
      </c>
      <c r="B26" s="1" t="str">
        <f>IFERROR(__xludf.DUMMYFUNCTION("""COMPUTED_VALUE"""),"Ukraine")</f>
        <v>Ukraine</v>
      </c>
      <c r="C26" s="3">
        <f>IFERROR(__xludf.DUMMYFUNCTION("""COMPUTED_VALUE"""),845343.0)</f>
        <v>845343</v>
      </c>
      <c r="D26" s="1" t="str">
        <f>IFERROR(__xludf.DUMMYFUNCTION("""COMPUTED_VALUE"""),"+12,585")</f>
        <v>+12,585</v>
      </c>
      <c r="E26" s="3">
        <f>IFERROR(__xludf.DUMMYFUNCTION("""COMPUTED_VALUE"""),14204.0)</f>
        <v>14204</v>
      </c>
      <c r="F26" s="1" t="str">
        <f>IFERROR(__xludf.DUMMYFUNCTION("""COMPUTED_VALUE"""),"+276")</f>
        <v>+276</v>
      </c>
      <c r="G26" s="3">
        <f>IFERROR(__xludf.DUMMYFUNCTION("""COMPUTED_VALUE"""),451118.0)</f>
        <v>451118</v>
      </c>
      <c r="H26" s="1" t="str">
        <f>IFERROR(__xludf.DUMMYFUNCTION("""COMPUTED_VALUE"""),"+14,554")</f>
        <v>+14,554</v>
      </c>
      <c r="I26" s="3">
        <f>IFERROR(__xludf.DUMMYFUNCTION("""COMPUTED_VALUE"""),380021.0)</f>
        <v>380021</v>
      </c>
      <c r="J26" s="1">
        <f>IFERROR(__xludf.DUMMYFUNCTION("""COMPUTED_VALUE"""),177.0)</f>
        <v>177</v>
      </c>
      <c r="K26" s="3">
        <f>IFERROR(__xludf.DUMMYFUNCTION("""COMPUTED_VALUE"""),19381.0)</f>
        <v>19381</v>
      </c>
      <c r="L26" s="1">
        <f>IFERROR(__xludf.DUMMYFUNCTION("""COMPUTED_VALUE"""),326.0)</f>
        <v>326</v>
      </c>
      <c r="M26" s="3">
        <f>IFERROR(__xludf.DUMMYFUNCTION("""COMPUTED_VALUE"""),4838979.0)</f>
        <v>4838979</v>
      </c>
      <c r="N26" s="3">
        <f>IFERROR(__xludf.DUMMYFUNCTION("""COMPUTED_VALUE"""),110942.0)</f>
        <v>110942</v>
      </c>
      <c r="O26" s="2">
        <f>IFERROR(__xludf.DUMMYFUNCTION("""COMPUTED_VALUE"""),4.361731E7)</f>
        <v>43617310</v>
      </c>
      <c r="P26" s="1" t="str">
        <f>IFERROR(__xludf.DUMMYFUNCTION("""COMPUTED_VALUE"""),"Europe")</f>
        <v>Europe</v>
      </c>
      <c r="Q26" s="1">
        <f>IFERROR(__xludf.DUMMYFUNCTION("""COMPUTED_VALUE"""),52.0)</f>
        <v>52</v>
      </c>
      <c r="R26" s="3">
        <f>IFERROR(__xludf.DUMMYFUNCTION("""COMPUTED_VALUE"""),3071.0)</f>
        <v>3071</v>
      </c>
      <c r="S26" s="1">
        <f>IFERROR(__xludf.DUMMYFUNCTION("""COMPUTED_VALUE"""),9.0)</f>
        <v>9</v>
      </c>
    </row>
    <row r="27">
      <c r="A27" s="1">
        <f>IFERROR(__xludf.DUMMYFUNCTION("""COMPUTED_VALUE"""),18.0)</f>
        <v>18</v>
      </c>
      <c r="B27" s="1" t="str">
        <f>IFERROR(__xludf.DUMMYFUNCTION("""COMPUTED_VALUE"""),"South Africa")</f>
        <v>South Africa</v>
      </c>
      <c r="C27" s="3">
        <f>IFERROR(__xludf.DUMMYFUNCTION("""COMPUTED_VALUE"""),828598.0)</f>
        <v>828598</v>
      </c>
      <c r="D27" s="1" t="str">
        <f>IFERROR(__xludf.DUMMYFUNCTION("""COMPUTED_VALUE"""),"+6,709")</f>
        <v>+6,709</v>
      </c>
      <c r="E27" s="3">
        <f>IFERROR(__xludf.DUMMYFUNCTION("""COMPUTED_VALUE"""),22574.0)</f>
        <v>22574</v>
      </c>
      <c r="F27" s="1" t="str">
        <f>IFERROR(__xludf.DUMMYFUNCTION("""COMPUTED_VALUE"""),"+142")</f>
        <v>+142</v>
      </c>
      <c r="G27" s="3">
        <f>IFERROR(__xludf.DUMMYFUNCTION("""COMPUTED_VALUE"""),754658.0)</f>
        <v>754658</v>
      </c>
      <c r="H27" s="1" t="str">
        <f>IFERROR(__xludf.DUMMYFUNCTION("""COMPUTED_VALUE"""),"+1,586")</f>
        <v>+1,586</v>
      </c>
      <c r="I27" s="3">
        <f>IFERROR(__xludf.DUMMYFUNCTION("""COMPUTED_VALUE"""),51366.0)</f>
        <v>51366</v>
      </c>
      <c r="J27" s="1">
        <f>IFERROR(__xludf.DUMMYFUNCTION("""COMPUTED_VALUE"""),546.0)</f>
        <v>546</v>
      </c>
      <c r="K27" s="3">
        <f>IFERROR(__xludf.DUMMYFUNCTION("""COMPUTED_VALUE"""),13895.0)</f>
        <v>13895</v>
      </c>
      <c r="L27" s="1">
        <f>IFERROR(__xludf.DUMMYFUNCTION("""COMPUTED_VALUE"""),379.0)</f>
        <v>379</v>
      </c>
      <c r="M27" s="3">
        <f>IFERROR(__xludf.DUMMYFUNCTION("""COMPUTED_VALUE"""),5690263.0)</f>
        <v>5690263</v>
      </c>
      <c r="N27" s="3">
        <f>IFERROR(__xludf.DUMMYFUNCTION("""COMPUTED_VALUE"""),95418.0)</f>
        <v>95418</v>
      </c>
      <c r="O27" s="2">
        <f>IFERROR(__xludf.DUMMYFUNCTION("""COMPUTED_VALUE"""),5.9634888E7)</f>
        <v>59634888</v>
      </c>
      <c r="P27" s="1" t="str">
        <f>IFERROR(__xludf.DUMMYFUNCTION("""COMPUTED_VALUE"""),"Africa")</f>
        <v>Africa</v>
      </c>
      <c r="Q27" s="1">
        <f>IFERROR(__xludf.DUMMYFUNCTION("""COMPUTED_VALUE"""),72.0)</f>
        <v>72</v>
      </c>
      <c r="R27" s="3">
        <f>IFERROR(__xludf.DUMMYFUNCTION("""COMPUTED_VALUE"""),2642.0)</f>
        <v>2642</v>
      </c>
      <c r="S27" s="1">
        <f>IFERROR(__xludf.DUMMYFUNCTION("""COMPUTED_VALUE"""),10.0)</f>
        <v>10</v>
      </c>
    </row>
    <row r="28">
      <c r="A28" s="1">
        <f>IFERROR(__xludf.DUMMYFUNCTION("""COMPUTED_VALUE"""),19.0)</f>
        <v>19</v>
      </c>
      <c r="B28" s="1" t="str">
        <f>IFERROR(__xludf.DUMMYFUNCTION("""COMPUTED_VALUE"""),"Belgium")</f>
        <v>Belgium</v>
      </c>
      <c r="C28" s="3">
        <f>IFERROR(__xludf.DUMMYFUNCTION("""COMPUTED_VALUE"""),594572.0)</f>
        <v>594572</v>
      </c>
      <c r="D28" s="1" t="str">
        <f>IFERROR(__xludf.DUMMYFUNCTION("""COMPUTED_VALUE"""),"+1,957")</f>
        <v>+1,957</v>
      </c>
      <c r="E28" s="3">
        <f>IFERROR(__xludf.DUMMYFUNCTION("""COMPUTED_VALUE"""),17507.0)</f>
        <v>17507</v>
      </c>
      <c r="F28" s="1" t="str">
        <f>IFERROR(__xludf.DUMMYFUNCTION("""COMPUTED_VALUE"""),"+121")</f>
        <v>+121</v>
      </c>
      <c r="G28" s="3">
        <f>IFERROR(__xludf.DUMMYFUNCTION("""COMPUTED_VALUE"""),40258.0)</f>
        <v>40258</v>
      </c>
      <c r="H28" s="1" t="str">
        <f>IFERROR(__xludf.DUMMYFUNCTION("""COMPUTED_VALUE"""),"+320")</f>
        <v>+320</v>
      </c>
      <c r="I28" s="3">
        <f>IFERROR(__xludf.DUMMYFUNCTION("""COMPUTED_VALUE"""),536807.0)</f>
        <v>536807</v>
      </c>
      <c r="J28" s="1">
        <f>IFERROR(__xludf.DUMMYFUNCTION("""COMPUTED_VALUE"""),676.0)</f>
        <v>676</v>
      </c>
      <c r="K28" s="3">
        <f>IFERROR(__xludf.DUMMYFUNCTION("""COMPUTED_VALUE"""),51204.0)</f>
        <v>51204</v>
      </c>
      <c r="L28" s="3">
        <f>IFERROR(__xludf.DUMMYFUNCTION("""COMPUTED_VALUE"""),1508.0)</f>
        <v>1508</v>
      </c>
      <c r="M28" s="3">
        <f>IFERROR(__xludf.DUMMYFUNCTION("""COMPUTED_VALUE"""),6145774.0)</f>
        <v>6145774</v>
      </c>
      <c r="N28" s="3">
        <f>IFERROR(__xludf.DUMMYFUNCTION("""COMPUTED_VALUE"""),529270.0)</f>
        <v>529270</v>
      </c>
      <c r="O28" s="2">
        <f>IFERROR(__xludf.DUMMYFUNCTION("""COMPUTED_VALUE"""),1.1611788E7)</f>
        <v>11611788</v>
      </c>
      <c r="P28" s="1" t="str">
        <f>IFERROR(__xludf.DUMMYFUNCTION("""COMPUTED_VALUE"""),"Europe")</f>
        <v>Europe</v>
      </c>
      <c r="Q28" s="1">
        <f>IFERROR(__xludf.DUMMYFUNCTION("""COMPUTED_VALUE"""),20.0)</f>
        <v>20</v>
      </c>
      <c r="R28" s="1">
        <f>IFERROR(__xludf.DUMMYFUNCTION("""COMPUTED_VALUE"""),663.0)</f>
        <v>663</v>
      </c>
      <c r="S28" s="1">
        <f>IFERROR(__xludf.DUMMYFUNCTION("""COMPUTED_VALUE"""),2.0)</f>
        <v>2</v>
      </c>
    </row>
    <row r="29">
      <c r="A29" s="1">
        <f>IFERROR(__xludf.DUMMYFUNCTION("""COMPUTED_VALUE"""),20.0)</f>
        <v>20</v>
      </c>
      <c r="B29" s="1" t="str">
        <f>IFERROR(__xludf.DUMMYFUNCTION("""COMPUTED_VALUE"""),"Indonesia")</f>
        <v>Indonesia</v>
      </c>
      <c r="C29" s="3">
        <f>IFERROR(__xludf.DUMMYFUNCTION("""COMPUTED_VALUE"""),592900.0)</f>
        <v>592900</v>
      </c>
      <c r="D29" s="1" t="str">
        <f>IFERROR(__xludf.DUMMYFUNCTION("""COMPUTED_VALUE"""),"+6,058")</f>
        <v>+6,058</v>
      </c>
      <c r="E29" s="3">
        <f>IFERROR(__xludf.DUMMYFUNCTION("""COMPUTED_VALUE"""),18171.0)</f>
        <v>18171</v>
      </c>
      <c r="F29" s="1" t="str">
        <f>IFERROR(__xludf.DUMMYFUNCTION("""COMPUTED_VALUE"""),"+171")</f>
        <v>+171</v>
      </c>
      <c r="G29" s="3">
        <f>IFERROR(__xludf.DUMMYFUNCTION("""COMPUTED_VALUE"""),487445.0)</f>
        <v>487445</v>
      </c>
      <c r="H29" s="1" t="str">
        <f>IFERROR(__xludf.DUMMYFUNCTION("""COMPUTED_VALUE"""),"+3,948")</f>
        <v>+3,948</v>
      </c>
      <c r="I29" s="3">
        <f>IFERROR(__xludf.DUMMYFUNCTION("""COMPUTED_VALUE"""),87284.0)</f>
        <v>87284</v>
      </c>
      <c r="J29" s="1"/>
      <c r="K29" s="3">
        <f>IFERROR(__xludf.DUMMYFUNCTION("""COMPUTED_VALUE"""),2158.0)</f>
        <v>2158</v>
      </c>
      <c r="L29" s="1">
        <f>IFERROR(__xludf.DUMMYFUNCTION("""COMPUTED_VALUE"""),66.0)</f>
        <v>66</v>
      </c>
      <c r="M29" s="3">
        <f>IFERROR(__xludf.DUMMYFUNCTION("""COMPUTED_VALUE"""),6168268.0)</f>
        <v>6168268</v>
      </c>
      <c r="N29" s="3">
        <f>IFERROR(__xludf.DUMMYFUNCTION("""COMPUTED_VALUE"""),22447.0)</f>
        <v>22447</v>
      </c>
      <c r="O29" s="2">
        <f>IFERROR(__xludf.DUMMYFUNCTION("""COMPUTED_VALUE"""),2.74787687E8)</f>
        <v>274787687</v>
      </c>
      <c r="P29" s="1" t="str">
        <f>IFERROR(__xludf.DUMMYFUNCTION("""COMPUTED_VALUE"""),"Asia")</f>
        <v>Asia</v>
      </c>
      <c r="Q29" s="1">
        <f>IFERROR(__xludf.DUMMYFUNCTION("""COMPUTED_VALUE"""),463.0)</f>
        <v>463</v>
      </c>
      <c r="R29" s="3">
        <f>IFERROR(__xludf.DUMMYFUNCTION("""COMPUTED_VALUE"""),15122.0)</f>
        <v>15122</v>
      </c>
      <c r="S29" s="1">
        <f>IFERROR(__xludf.DUMMYFUNCTION("""COMPUTED_VALUE"""),45.0)</f>
        <v>45</v>
      </c>
    </row>
    <row r="30">
      <c r="A30" s="1">
        <f>IFERROR(__xludf.DUMMYFUNCTION("""COMPUTED_VALUE"""),21.0)</f>
        <v>21</v>
      </c>
      <c r="B30" s="1" t="str">
        <f>IFERROR(__xludf.DUMMYFUNCTION("""COMPUTED_VALUE"""),"Netherlands")</f>
        <v>Netherlands</v>
      </c>
      <c r="C30" s="3">
        <f>IFERROR(__xludf.DUMMYFUNCTION("""COMPUTED_VALUE"""),576965.0)</f>
        <v>576965</v>
      </c>
      <c r="D30" s="1" t="str">
        <f>IFERROR(__xludf.DUMMYFUNCTION("""COMPUTED_VALUE"""),"+6,528")</f>
        <v>+6,528</v>
      </c>
      <c r="E30" s="3">
        <f>IFERROR(__xludf.DUMMYFUNCTION("""COMPUTED_VALUE"""),9841.0)</f>
        <v>9841</v>
      </c>
      <c r="F30" s="1" t="str">
        <f>IFERROR(__xludf.DUMMYFUNCTION("""COMPUTED_VALUE"""),"+66")</f>
        <v>+66</v>
      </c>
      <c r="G30" s="1" t="str">
        <f>IFERROR(__xludf.DUMMYFUNCTION("""COMPUTED_VALUE"""),"N/A")</f>
        <v>N/A</v>
      </c>
      <c r="H30" s="1" t="str">
        <f>IFERROR(__xludf.DUMMYFUNCTION("""COMPUTED_VALUE"""),"N/A")</f>
        <v>N/A</v>
      </c>
      <c r="I30" s="1" t="str">
        <f>IFERROR(__xludf.DUMMYFUNCTION("""COMPUTED_VALUE"""),"N/A")</f>
        <v>N/A</v>
      </c>
      <c r="J30" s="1">
        <f>IFERROR(__xludf.DUMMYFUNCTION("""COMPUTED_VALUE"""),476.0)</f>
        <v>476</v>
      </c>
      <c r="K30" s="3">
        <f>IFERROR(__xludf.DUMMYFUNCTION("""COMPUTED_VALUE"""),33639.0)</f>
        <v>33639</v>
      </c>
      <c r="L30" s="1">
        <f>IFERROR(__xludf.DUMMYFUNCTION("""COMPUTED_VALUE"""),574.0)</f>
        <v>574</v>
      </c>
      <c r="M30" s="3">
        <f>IFERROR(__xludf.DUMMYFUNCTION("""COMPUTED_VALUE"""),5077285.0)</f>
        <v>5077285</v>
      </c>
      <c r="N30" s="3">
        <f>IFERROR(__xludf.DUMMYFUNCTION("""COMPUTED_VALUE"""),296025.0)</f>
        <v>296025</v>
      </c>
      <c r="O30" s="2">
        <f>IFERROR(__xludf.DUMMYFUNCTION("""COMPUTED_VALUE"""),1.7151563E7)</f>
        <v>17151563</v>
      </c>
      <c r="P30" s="1" t="str">
        <f>IFERROR(__xludf.DUMMYFUNCTION("""COMPUTED_VALUE"""),"Europe")</f>
        <v>Europe</v>
      </c>
      <c r="Q30" s="1">
        <f>IFERROR(__xludf.DUMMYFUNCTION("""COMPUTED_VALUE"""),30.0)</f>
        <v>30</v>
      </c>
      <c r="R30" s="3">
        <f>IFERROR(__xludf.DUMMYFUNCTION("""COMPUTED_VALUE"""),1743.0)</f>
        <v>1743</v>
      </c>
      <c r="S30" s="1">
        <f>IFERROR(__xludf.DUMMYFUNCTION("""COMPUTED_VALUE"""),3.0)</f>
        <v>3</v>
      </c>
    </row>
    <row r="31">
      <c r="A31" s="1">
        <f>IFERROR(__xludf.DUMMYFUNCTION("""COMPUTED_VALUE"""),22.0)</f>
        <v>22</v>
      </c>
      <c r="B31" s="1" t="str">
        <f>IFERROR(__xludf.DUMMYFUNCTION("""COMPUTED_VALUE"""),"Iraq")</f>
        <v>Iraq</v>
      </c>
      <c r="C31" s="3">
        <f>IFERROR(__xludf.DUMMYFUNCTION("""COMPUTED_VALUE"""),569873.0)</f>
        <v>569873</v>
      </c>
      <c r="D31" s="1" t="str">
        <f>IFERROR(__xludf.DUMMYFUNCTION("""COMPUTED_VALUE"""),"+1,735")</f>
        <v>+1,735</v>
      </c>
      <c r="E31" s="3">
        <f>IFERROR(__xludf.DUMMYFUNCTION("""COMPUTED_VALUE"""),12501.0)</f>
        <v>12501</v>
      </c>
      <c r="F31" s="1" t="str">
        <f>IFERROR(__xludf.DUMMYFUNCTION("""COMPUTED_VALUE"""),"+24")</f>
        <v>+24</v>
      </c>
      <c r="G31" s="3">
        <f>IFERROR(__xludf.DUMMYFUNCTION("""COMPUTED_VALUE"""),499846.0)</f>
        <v>499846</v>
      </c>
      <c r="H31" s="1" t="str">
        <f>IFERROR(__xludf.DUMMYFUNCTION("""COMPUTED_VALUE"""),"+1,782")</f>
        <v>+1,782</v>
      </c>
      <c r="I31" s="3">
        <f>IFERROR(__xludf.DUMMYFUNCTION("""COMPUTED_VALUE"""),57526.0)</f>
        <v>57526</v>
      </c>
      <c r="J31" s="1">
        <f>IFERROR(__xludf.DUMMYFUNCTION("""COMPUTED_VALUE"""),212.0)</f>
        <v>212</v>
      </c>
      <c r="K31" s="3">
        <f>IFERROR(__xludf.DUMMYFUNCTION("""COMPUTED_VALUE"""),14032.0)</f>
        <v>14032</v>
      </c>
      <c r="L31" s="1">
        <f>IFERROR(__xludf.DUMMYFUNCTION("""COMPUTED_VALUE"""),308.0)</f>
        <v>308</v>
      </c>
      <c r="M31" s="3">
        <f>IFERROR(__xludf.DUMMYFUNCTION("""COMPUTED_VALUE"""),3769232.0)</f>
        <v>3769232</v>
      </c>
      <c r="N31" s="3">
        <f>IFERROR(__xludf.DUMMYFUNCTION("""COMPUTED_VALUE"""),92810.0)</f>
        <v>92810</v>
      </c>
      <c r="O31" s="2">
        <f>IFERROR(__xludf.DUMMYFUNCTION("""COMPUTED_VALUE"""),4.0612561E7)</f>
        <v>40612561</v>
      </c>
      <c r="P31" s="1" t="str">
        <f>IFERROR(__xludf.DUMMYFUNCTION("""COMPUTED_VALUE"""),"Asia")</f>
        <v>Asia</v>
      </c>
      <c r="Q31" s="1">
        <f>IFERROR(__xludf.DUMMYFUNCTION("""COMPUTED_VALUE"""),71.0)</f>
        <v>71</v>
      </c>
      <c r="R31" s="3">
        <f>IFERROR(__xludf.DUMMYFUNCTION("""COMPUTED_VALUE"""),3249.0)</f>
        <v>3249</v>
      </c>
      <c r="S31" s="1">
        <f>IFERROR(__xludf.DUMMYFUNCTION("""COMPUTED_VALUE"""),11.0)</f>
        <v>11</v>
      </c>
    </row>
    <row r="32">
      <c r="A32" s="1">
        <f>IFERROR(__xludf.DUMMYFUNCTION("""COMPUTED_VALUE"""),23.0)</f>
        <v>23</v>
      </c>
      <c r="B32" s="1" t="str">
        <f>IFERROR(__xludf.DUMMYFUNCTION("""COMPUTED_VALUE"""),"Chile")</f>
        <v>Chile</v>
      </c>
      <c r="C32" s="3">
        <f>IFERROR(__xludf.DUMMYFUNCTION("""COMPUTED_VALUE"""),564778.0)</f>
        <v>564778</v>
      </c>
      <c r="D32" s="1" t="str">
        <f>IFERROR(__xludf.DUMMYFUNCTION("""COMPUTED_VALUE"""),"+1,244")</f>
        <v>+1,244</v>
      </c>
      <c r="E32" s="3">
        <f>IFERROR(__xludf.DUMMYFUNCTION("""COMPUTED_VALUE"""),15690.0)</f>
        <v>15690</v>
      </c>
      <c r="F32" s="1" t="str">
        <f>IFERROR(__xludf.DUMMYFUNCTION("""COMPUTED_VALUE"""),"+10")</f>
        <v>+10</v>
      </c>
      <c r="G32" s="3">
        <f>IFERROR(__xludf.DUMMYFUNCTION("""COMPUTED_VALUE"""),539171.0)</f>
        <v>539171</v>
      </c>
      <c r="H32" s="1" t="str">
        <f>IFERROR(__xludf.DUMMYFUNCTION("""COMPUTED_VALUE"""),"+1,444")</f>
        <v>+1,444</v>
      </c>
      <c r="I32" s="3">
        <f>IFERROR(__xludf.DUMMYFUNCTION("""COMPUTED_VALUE"""),9917.0)</f>
        <v>9917</v>
      </c>
      <c r="J32" s="1">
        <f>IFERROR(__xludf.DUMMYFUNCTION("""COMPUTED_VALUE"""),667.0)</f>
        <v>667</v>
      </c>
      <c r="K32" s="3">
        <f>IFERROR(__xludf.DUMMYFUNCTION("""COMPUTED_VALUE"""),29434.0)</f>
        <v>29434</v>
      </c>
      <c r="L32" s="1">
        <f>IFERROR(__xludf.DUMMYFUNCTION("""COMPUTED_VALUE"""),818.0)</f>
        <v>818</v>
      </c>
      <c r="M32" s="3">
        <f>IFERROR(__xludf.DUMMYFUNCTION("""COMPUTED_VALUE"""),5626894.0)</f>
        <v>5626894</v>
      </c>
      <c r="N32" s="3">
        <f>IFERROR(__xludf.DUMMYFUNCTION("""COMPUTED_VALUE"""),293250.0)</f>
        <v>293250</v>
      </c>
      <c r="O32" s="2">
        <f>IFERROR(__xludf.DUMMYFUNCTION("""COMPUTED_VALUE"""),1.9188045E7)</f>
        <v>19188045</v>
      </c>
      <c r="P32" s="1" t="str">
        <f>IFERROR(__xludf.DUMMYFUNCTION("""COMPUTED_VALUE"""),"South America")</f>
        <v>South America</v>
      </c>
      <c r="Q32" s="1">
        <f>IFERROR(__xludf.DUMMYFUNCTION("""COMPUTED_VALUE"""),34.0)</f>
        <v>34</v>
      </c>
      <c r="R32" s="3">
        <f>IFERROR(__xludf.DUMMYFUNCTION("""COMPUTED_VALUE"""),1223.0)</f>
        <v>1223</v>
      </c>
      <c r="S32" s="1">
        <f>IFERROR(__xludf.DUMMYFUNCTION("""COMPUTED_VALUE"""),3.0)</f>
        <v>3</v>
      </c>
    </row>
    <row r="33">
      <c r="A33" s="1">
        <f>IFERROR(__xludf.DUMMYFUNCTION("""COMPUTED_VALUE"""),24.0)</f>
        <v>24</v>
      </c>
      <c r="B33" s="1" t="str">
        <f>IFERROR(__xludf.DUMMYFUNCTION("""COMPUTED_VALUE"""),"Czechia")</f>
        <v>Czechia</v>
      </c>
      <c r="C33" s="3">
        <f>IFERROR(__xludf.DUMMYFUNCTION("""COMPUTED_VALUE"""),556927.0)</f>
        <v>556927</v>
      </c>
      <c r="D33" s="1"/>
      <c r="E33" s="3">
        <f>IFERROR(__xludf.DUMMYFUNCTION("""COMPUTED_VALUE"""),9136.0)</f>
        <v>9136</v>
      </c>
      <c r="F33" s="1"/>
      <c r="G33" s="3">
        <f>IFERROR(__xludf.DUMMYFUNCTION("""COMPUTED_VALUE"""),489759.0)</f>
        <v>489759</v>
      </c>
      <c r="H33" s="1"/>
      <c r="I33" s="3">
        <f>IFERROR(__xludf.DUMMYFUNCTION("""COMPUTED_VALUE"""),58032.0)</f>
        <v>58032</v>
      </c>
      <c r="J33" s="1">
        <f>IFERROR(__xludf.DUMMYFUNCTION("""COMPUTED_VALUE"""),550.0)</f>
        <v>550</v>
      </c>
      <c r="K33" s="3">
        <f>IFERROR(__xludf.DUMMYFUNCTION("""COMPUTED_VALUE"""),51963.0)</f>
        <v>51963</v>
      </c>
      <c r="L33" s="1">
        <f>IFERROR(__xludf.DUMMYFUNCTION("""COMPUTED_VALUE"""),852.0)</f>
        <v>852</v>
      </c>
      <c r="M33" s="3">
        <f>IFERROR(__xludf.DUMMYFUNCTION("""COMPUTED_VALUE"""),3242280.0)</f>
        <v>3242280</v>
      </c>
      <c r="N33" s="3">
        <f>IFERROR(__xludf.DUMMYFUNCTION("""COMPUTED_VALUE"""),302516.0)</f>
        <v>302516</v>
      </c>
      <c r="O33" s="2">
        <f>IFERROR(__xludf.DUMMYFUNCTION("""COMPUTED_VALUE"""),1.071773E7)</f>
        <v>10717730</v>
      </c>
      <c r="P33" s="1" t="str">
        <f>IFERROR(__xludf.DUMMYFUNCTION("""COMPUTED_VALUE"""),"Europe")</f>
        <v>Europe</v>
      </c>
      <c r="Q33" s="1">
        <f>IFERROR(__xludf.DUMMYFUNCTION("""COMPUTED_VALUE"""),19.0)</f>
        <v>19</v>
      </c>
      <c r="R33" s="3">
        <f>IFERROR(__xludf.DUMMYFUNCTION("""COMPUTED_VALUE"""),1173.0)</f>
        <v>1173</v>
      </c>
      <c r="S33" s="1">
        <f>IFERROR(__xludf.DUMMYFUNCTION("""COMPUTED_VALUE"""),3.0)</f>
        <v>3</v>
      </c>
    </row>
    <row r="34">
      <c r="A34" s="1">
        <f>IFERROR(__xludf.DUMMYFUNCTION("""COMPUTED_VALUE"""),25.0)</f>
        <v>25</v>
      </c>
      <c r="B34" s="1" t="str">
        <f>IFERROR(__xludf.DUMMYFUNCTION("""COMPUTED_VALUE"""),"Romania")</f>
        <v>Romania</v>
      </c>
      <c r="C34" s="3">
        <f>IFERROR(__xludf.DUMMYFUNCTION("""COMPUTED_VALUE"""),532040.0)</f>
        <v>532040</v>
      </c>
      <c r="D34" s="1" t="str">
        <f>IFERROR(__xludf.DUMMYFUNCTION("""COMPUTED_VALUE"""),"+7,365")</f>
        <v>+7,365</v>
      </c>
      <c r="E34" s="3">
        <f>IFERROR(__xludf.DUMMYFUNCTION("""COMPUTED_VALUE"""),12821.0)</f>
        <v>12821</v>
      </c>
      <c r="F34" s="1" t="str">
        <f>IFERROR(__xludf.DUMMYFUNCTION("""COMPUTED_VALUE"""),"+161")</f>
        <v>+161</v>
      </c>
      <c r="G34" s="3">
        <f>IFERROR(__xludf.DUMMYFUNCTION("""COMPUTED_VALUE"""),425816.0)</f>
        <v>425816</v>
      </c>
      <c r="H34" s="1" t="str">
        <f>IFERROR(__xludf.DUMMYFUNCTION("""COMPUTED_VALUE"""),"+9,019")</f>
        <v>+9,019</v>
      </c>
      <c r="I34" s="3">
        <f>IFERROR(__xludf.DUMMYFUNCTION("""COMPUTED_VALUE"""),93403.0)</f>
        <v>93403</v>
      </c>
      <c r="J34" s="3">
        <f>IFERROR(__xludf.DUMMYFUNCTION("""COMPUTED_VALUE"""),1271.0)</f>
        <v>1271</v>
      </c>
      <c r="K34" s="3">
        <f>IFERROR(__xludf.DUMMYFUNCTION("""COMPUTED_VALUE"""),27738.0)</f>
        <v>27738</v>
      </c>
      <c r="L34" s="1">
        <f>IFERROR(__xludf.DUMMYFUNCTION("""COMPUTED_VALUE"""),668.0)</f>
        <v>668</v>
      </c>
      <c r="M34" s="3">
        <f>IFERROR(__xludf.DUMMYFUNCTION("""COMPUTED_VALUE"""),4325130.0)</f>
        <v>4325130</v>
      </c>
      <c r="N34" s="3">
        <f>IFERROR(__xludf.DUMMYFUNCTION("""COMPUTED_VALUE"""),225493.0)</f>
        <v>225493</v>
      </c>
      <c r="O34" s="2">
        <f>IFERROR(__xludf.DUMMYFUNCTION("""COMPUTED_VALUE"""),1.9180782E7)</f>
        <v>19180782</v>
      </c>
      <c r="P34" s="1" t="str">
        <f>IFERROR(__xludf.DUMMYFUNCTION("""COMPUTED_VALUE"""),"Europe")</f>
        <v>Europe</v>
      </c>
      <c r="Q34" s="1">
        <f>IFERROR(__xludf.DUMMYFUNCTION("""COMPUTED_VALUE"""),36.0)</f>
        <v>36</v>
      </c>
      <c r="R34" s="3">
        <f>IFERROR(__xludf.DUMMYFUNCTION("""COMPUTED_VALUE"""),1496.0)</f>
        <v>1496</v>
      </c>
      <c r="S34" s="1">
        <f>IFERROR(__xludf.DUMMYFUNCTION("""COMPUTED_VALUE"""),4.0)</f>
        <v>4</v>
      </c>
    </row>
    <row r="35">
      <c r="A35" s="1">
        <f>IFERROR(__xludf.DUMMYFUNCTION("""COMPUTED_VALUE"""),26.0)</f>
        <v>26</v>
      </c>
      <c r="B35" s="1" t="str">
        <f>IFERROR(__xludf.DUMMYFUNCTION("""COMPUTED_VALUE"""),"Bangladesh")</f>
        <v>Bangladesh</v>
      </c>
      <c r="C35" s="3">
        <f>IFERROR(__xludf.DUMMYFUNCTION("""COMPUTED_VALUE"""),484104.0)</f>
        <v>484104</v>
      </c>
      <c r="D35" s="1" t="str">
        <f>IFERROR(__xludf.DUMMYFUNCTION("""COMPUTED_VALUE"""),"+2,159")</f>
        <v>+2,159</v>
      </c>
      <c r="E35" s="3">
        <f>IFERROR(__xludf.DUMMYFUNCTION("""COMPUTED_VALUE"""),6930.0)</f>
        <v>6930</v>
      </c>
      <c r="F35" s="1" t="str">
        <f>IFERROR(__xludf.DUMMYFUNCTION("""COMPUTED_VALUE"""),"+24")</f>
        <v>+24</v>
      </c>
      <c r="G35" s="3">
        <f>IFERROR(__xludf.DUMMYFUNCTION("""COMPUTED_VALUE"""),405966.0)</f>
        <v>405966</v>
      </c>
      <c r="H35" s="1" t="str">
        <f>IFERROR(__xludf.DUMMYFUNCTION("""COMPUTED_VALUE"""),"+4,772")</f>
        <v>+4,772</v>
      </c>
      <c r="I35" s="3">
        <f>IFERROR(__xludf.DUMMYFUNCTION("""COMPUTED_VALUE"""),71208.0)</f>
        <v>71208</v>
      </c>
      <c r="J35" s="1"/>
      <c r="K35" s="3">
        <f>IFERROR(__xludf.DUMMYFUNCTION("""COMPUTED_VALUE"""),2927.0)</f>
        <v>2927</v>
      </c>
      <c r="L35" s="1">
        <f>IFERROR(__xludf.DUMMYFUNCTION("""COMPUTED_VALUE"""),42.0)</f>
        <v>42</v>
      </c>
      <c r="M35" s="3">
        <f>IFERROR(__xludf.DUMMYFUNCTION("""COMPUTED_VALUE"""),2911664.0)</f>
        <v>2911664</v>
      </c>
      <c r="N35" s="3">
        <f>IFERROR(__xludf.DUMMYFUNCTION("""COMPUTED_VALUE"""),17603.0)</f>
        <v>17603</v>
      </c>
      <c r="O35" s="2">
        <f>IFERROR(__xludf.DUMMYFUNCTION("""COMPUTED_VALUE"""),1.6540686E8)</f>
        <v>165406860</v>
      </c>
      <c r="P35" s="1" t="str">
        <f>IFERROR(__xludf.DUMMYFUNCTION("""COMPUTED_VALUE"""),"Asia")</f>
        <v>Asia</v>
      </c>
      <c r="Q35" s="1">
        <f>IFERROR(__xludf.DUMMYFUNCTION("""COMPUTED_VALUE"""),342.0)</f>
        <v>342</v>
      </c>
      <c r="R35" s="3">
        <f>IFERROR(__xludf.DUMMYFUNCTION("""COMPUTED_VALUE"""),23868.0)</f>
        <v>23868</v>
      </c>
      <c r="S35" s="1">
        <f>IFERROR(__xludf.DUMMYFUNCTION("""COMPUTED_VALUE"""),57.0)</f>
        <v>57</v>
      </c>
    </row>
    <row r="36">
      <c r="A36" s="1">
        <f>IFERROR(__xludf.DUMMYFUNCTION("""COMPUTED_VALUE"""),27.0)</f>
        <v>27</v>
      </c>
      <c r="B36" s="1" t="str">
        <f>IFERROR(__xludf.DUMMYFUNCTION("""COMPUTED_VALUE"""),"Philippines")</f>
        <v>Philippines</v>
      </c>
      <c r="C36" s="3">
        <f>IFERROR(__xludf.DUMMYFUNCTION("""COMPUTED_VALUE"""),444164.0)</f>
        <v>444164</v>
      </c>
      <c r="D36" s="1" t="str">
        <f>IFERROR(__xludf.DUMMYFUNCTION("""COMPUTED_VALUE"""),"+1,387")</f>
        <v>+1,387</v>
      </c>
      <c r="E36" s="3">
        <f>IFERROR(__xludf.DUMMYFUNCTION("""COMPUTED_VALUE"""),8677.0)</f>
        <v>8677</v>
      </c>
      <c r="F36" s="1" t="str">
        <f>IFERROR(__xludf.DUMMYFUNCTION("""COMPUTED_VALUE"""),"+7")</f>
        <v>+7</v>
      </c>
      <c r="G36" s="3">
        <f>IFERROR(__xludf.DUMMYFUNCTION("""COMPUTED_VALUE"""),408942.0)</f>
        <v>408942</v>
      </c>
      <c r="H36" s="1" t="str">
        <f>IFERROR(__xludf.DUMMYFUNCTION("""COMPUTED_VALUE"""),"+156")</f>
        <v>+156</v>
      </c>
      <c r="I36" s="3">
        <f>IFERROR(__xludf.DUMMYFUNCTION("""COMPUTED_VALUE"""),26545.0)</f>
        <v>26545</v>
      </c>
      <c r="J36" s="3">
        <f>IFERROR(__xludf.DUMMYFUNCTION("""COMPUTED_VALUE"""),1401.0)</f>
        <v>1401</v>
      </c>
      <c r="K36" s="3">
        <f>IFERROR(__xludf.DUMMYFUNCTION("""COMPUTED_VALUE"""),4030.0)</f>
        <v>4030</v>
      </c>
      <c r="L36" s="1">
        <f>IFERROR(__xludf.DUMMYFUNCTION("""COMPUTED_VALUE"""),79.0)</f>
        <v>79</v>
      </c>
      <c r="M36" s="3">
        <f>IFERROR(__xludf.DUMMYFUNCTION("""COMPUTED_VALUE"""),6082553.0)</f>
        <v>6082553</v>
      </c>
      <c r="N36" s="3">
        <f>IFERROR(__xludf.DUMMYFUNCTION("""COMPUTED_VALUE"""),55187.0)</f>
        <v>55187</v>
      </c>
      <c r="O36" s="2">
        <f>IFERROR(__xludf.DUMMYFUNCTION("""COMPUTED_VALUE"""),1.10216905E8)</f>
        <v>110216905</v>
      </c>
      <c r="P36" s="1" t="str">
        <f>IFERROR(__xludf.DUMMYFUNCTION("""COMPUTED_VALUE"""),"Asia")</f>
        <v>Asia</v>
      </c>
      <c r="Q36" s="1">
        <f>IFERROR(__xludf.DUMMYFUNCTION("""COMPUTED_VALUE"""),248.0)</f>
        <v>248</v>
      </c>
      <c r="R36" s="3">
        <f>IFERROR(__xludf.DUMMYFUNCTION("""COMPUTED_VALUE"""),12702.0)</f>
        <v>12702</v>
      </c>
      <c r="S36" s="1">
        <f>IFERROR(__xludf.DUMMYFUNCTION("""COMPUTED_VALUE"""),18.0)</f>
        <v>18</v>
      </c>
    </row>
    <row r="37">
      <c r="A37" s="1">
        <f>IFERROR(__xludf.DUMMYFUNCTION("""COMPUTED_VALUE"""),28.0)</f>
        <v>28</v>
      </c>
      <c r="B37" s="1" t="str">
        <f>IFERROR(__xludf.DUMMYFUNCTION("""COMPUTED_VALUE"""),"Canada")</f>
        <v>Canada</v>
      </c>
      <c r="C37" s="3">
        <f>IFERROR(__xludf.DUMMYFUNCTION("""COMPUTED_VALUE"""),433242.0)</f>
        <v>433242</v>
      </c>
      <c r="D37" s="1" t="str">
        <f>IFERROR(__xludf.DUMMYFUNCTION("""COMPUTED_VALUE"""),"+4,207")</f>
        <v>+4,207</v>
      </c>
      <c r="E37" s="3">
        <f>IFERROR(__xludf.DUMMYFUNCTION("""COMPUTED_VALUE"""),12954.0)</f>
        <v>12954</v>
      </c>
      <c r="F37" s="1" t="str">
        <f>IFERROR(__xludf.DUMMYFUNCTION("""COMPUTED_VALUE"""),"+87")</f>
        <v>+87</v>
      </c>
      <c r="G37" s="3">
        <f>IFERROR(__xludf.DUMMYFUNCTION("""COMPUTED_VALUE"""),347819.0)</f>
        <v>347819</v>
      </c>
      <c r="H37" s="1" t="str">
        <f>IFERROR(__xludf.DUMMYFUNCTION("""COMPUTED_VALUE"""),"+3,619")</f>
        <v>+3,619</v>
      </c>
      <c r="I37" s="3">
        <f>IFERROR(__xludf.DUMMYFUNCTION("""COMPUTED_VALUE"""),72469.0)</f>
        <v>72469</v>
      </c>
      <c r="J37" s="1">
        <f>IFERROR(__xludf.DUMMYFUNCTION("""COMPUTED_VALUE"""),530.0)</f>
        <v>530</v>
      </c>
      <c r="K37" s="3">
        <f>IFERROR(__xludf.DUMMYFUNCTION("""COMPUTED_VALUE"""),11435.0)</f>
        <v>11435</v>
      </c>
      <c r="L37" s="1">
        <f>IFERROR(__xludf.DUMMYFUNCTION("""COMPUTED_VALUE"""),342.0)</f>
        <v>342</v>
      </c>
      <c r="M37" s="3">
        <f>IFERROR(__xludf.DUMMYFUNCTION("""COMPUTED_VALUE"""),1.2147827E7)</f>
        <v>12147827</v>
      </c>
      <c r="N37" s="3">
        <f>IFERROR(__xludf.DUMMYFUNCTION("""COMPUTED_VALUE"""),320633.0)</f>
        <v>320633</v>
      </c>
      <c r="O37" s="2">
        <f>IFERROR(__xludf.DUMMYFUNCTION("""COMPUTED_VALUE"""),3.7887014E7)</f>
        <v>37887014</v>
      </c>
      <c r="P37" s="1" t="str">
        <f>IFERROR(__xludf.DUMMYFUNCTION("""COMPUTED_VALUE"""),"North America")</f>
        <v>North America</v>
      </c>
      <c r="Q37" s="1">
        <f>IFERROR(__xludf.DUMMYFUNCTION("""COMPUTED_VALUE"""),87.0)</f>
        <v>87</v>
      </c>
      <c r="R37" s="3">
        <f>IFERROR(__xludf.DUMMYFUNCTION("""COMPUTED_VALUE"""),2925.0)</f>
        <v>2925</v>
      </c>
      <c r="S37" s="1">
        <f>IFERROR(__xludf.DUMMYFUNCTION("""COMPUTED_VALUE"""),3.0)</f>
        <v>3</v>
      </c>
    </row>
    <row r="38">
      <c r="A38" s="1">
        <f>IFERROR(__xludf.DUMMYFUNCTION("""COMPUTED_VALUE"""),29.0)</f>
        <v>29</v>
      </c>
      <c r="B38" s="1" t="str">
        <f>IFERROR(__xludf.DUMMYFUNCTION("""COMPUTED_VALUE"""),"Pakistan")</f>
        <v>Pakistan</v>
      </c>
      <c r="C38" s="3">
        <f>IFERROR(__xludf.DUMMYFUNCTION("""COMPUTED_VALUE"""),426142.0)</f>
        <v>426142</v>
      </c>
      <c r="D38" s="1" t="str">
        <f>IFERROR(__xludf.DUMMYFUNCTION("""COMPUTED_VALUE"""),"+2,963")</f>
        <v>+2,963</v>
      </c>
      <c r="E38" s="3">
        <f>IFERROR(__xludf.DUMMYFUNCTION("""COMPUTED_VALUE"""),8547.0)</f>
        <v>8547</v>
      </c>
      <c r="F38" s="1" t="str">
        <f>IFERROR(__xludf.DUMMYFUNCTION("""COMPUTED_VALUE"""),"+60")</f>
        <v>+60</v>
      </c>
      <c r="G38" s="3">
        <f>IFERROR(__xludf.DUMMYFUNCTION("""COMPUTED_VALUE"""),372271.0)</f>
        <v>372271</v>
      </c>
      <c r="H38" s="1" t="str">
        <f>IFERROR(__xludf.DUMMYFUNCTION("""COMPUTED_VALUE"""),"+1,797")</f>
        <v>+1,797</v>
      </c>
      <c r="I38" s="3">
        <f>IFERROR(__xludf.DUMMYFUNCTION("""COMPUTED_VALUE"""),45324.0)</f>
        <v>45324</v>
      </c>
      <c r="J38" s="3">
        <f>IFERROR(__xludf.DUMMYFUNCTION("""COMPUTED_VALUE"""),2498.0)</f>
        <v>2498</v>
      </c>
      <c r="K38" s="3">
        <f>IFERROR(__xludf.DUMMYFUNCTION("""COMPUTED_VALUE"""),1913.0)</f>
        <v>1913</v>
      </c>
      <c r="L38" s="1">
        <f>IFERROR(__xludf.DUMMYFUNCTION("""COMPUTED_VALUE"""),38.0)</f>
        <v>38</v>
      </c>
      <c r="M38" s="3">
        <f>IFERROR(__xludf.DUMMYFUNCTION("""COMPUTED_VALUE"""),5865944.0)</f>
        <v>5865944</v>
      </c>
      <c r="N38" s="3">
        <f>IFERROR(__xludf.DUMMYFUNCTION("""COMPUTED_VALUE"""),26334.0)</f>
        <v>26334</v>
      </c>
      <c r="O38" s="2">
        <f>IFERROR(__xludf.DUMMYFUNCTION("""COMPUTED_VALUE"""),2.227514E8)</f>
        <v>222751400</v>
      </c>
      <c r="P38" s="1" t="str">
        <f>IFERROR(__xludf.DUMMYFUNCTION("""COMPUTED_VALUE"""),"Asia")</f>
        <v>Asia</v>
      </c>
      <c r="Q38" s="1">
        <f>IFERROR(__xludf.DUMMYFUNCTION("""COMPUTED_VALUE"""),523.0)</f>
        <v>523</v>
      </c>
      <c r="R38" s="3">
        <f>IFERROR(__xludf.DUMMYFUNCTION("""COMPUTED_VALUE"""),26062.0)</f>
        <v>26062</v>
      </c>
      <c r="S38" s="1">
        <f>IFERROR(__xludf.DUMMYFUNCTION("""COMPUTED_VALUE"""),38.0)</f>
        <v>38</v>
      </c>
    </row>
    <row r="39">
      <c r="A39" s="1">
        <f>IFERROR(__xludf.DUMMYFUNCTION("""COMPUTED_VALUE"""),30.0)</f>
        <v>30</v>
      </c>
      <c r="B39" s="1" t="str">
        <f>IFERROR(__xludf.DUMMYFUNCTION("""COMPUTED_VALUE"""),"Morocco")</f>
        <v>Morocco</v>
      </c>
      <c r="C39" s="3">
        <f>IFERROR(__xludf.DUMMYFUNCTION("""COMPUTED_VALUE"""),388184.0)</f>
        <v>388184</v>
      </c>
      <c r="D39" s="1" t="str">
        <f>IFERROR(__xludf.DUMMYFUNCTION("""COMPUTED_VALUE"""),"+4,096")</f>
        <v>+4,096</v>
      </c>
      <c r="E39" s="3">
        <f>IFERROR(__xludf.DUMMYFUNCTION("""COMPUTED_VALUE"""),6427.0)</f>
        <v>6427</v>
      </c>
      <c r="F39" s="1" t="str">
        <f>IFERROR(__xludf.DUMMYFUNCTION("""COMPUTED_VALUE"""),"+57")</f>
        <v>+57</v>
      </c>
      <c r="G39" s="3">
        <f>IFERROR(__xludf.DUMMYFUNCTION("""COMPUTED_VALUE"""),341685.0)</f>
        <v>341685</v>
      </c>
      <c r="H39" s="1" t="str">
        <f>IFERROR(__xludf.DUMMYFUNCTION("""COMPUTED_VALUE"""),"+3,966")</f>
        <v>+3,966</v>
      </c>
      <c r="I39" s="3">
        <f>IFERROR(__xludf.DUMMYFUNCTION("""COMPUTED_VALUE"""),40072.0)</f>
        <v>40072</v>
      </c>
      <c r="J39" s="1">
        <f>IFERROR(__xludf.DUMMYFUNCTION("""COMPUTED_VALUE"""),945.0)</f>
        <v>945</v>
      </c>
      <c r="K39" s="3">
        <f>IFERROR(__xludf.DUMMYFUNCTION("""COMPUTED_VALUE"""),10463.0)</f>
        <v>10463</v>
      </c>
      <c r="L39" s="1">
        <f>IFERROR(__xludf.DUMMYFUNCTION("""COMPUTED_VALUE"""),173.0)</f>
        <v>173</v>
      </c>
      <c r="M39" s="3">
        <f>IFERROR(__xludf.DUMMYFUNCTION("""COMPUTED_VALUE"""),4122663.0)</f>
        <v>4122663</v>
      </c>
      <c r="N39" s="3">
        <f>IFERROR(__xludf.DUMMYFUNCTION("""COMPUTED_VALUE"""),111118.0)</f>
        <v>111118</v>
      </c>
      <c r="O39" s="2">
        <f>IFERROR(__xludf.DUMMYFUNCTION("""COMPUTED_VALUE"""),3.7101541E7)</f>
        <v>37101541</v>
      </c>
      <c r="P39" s="1" t="str">
        <f>IFERROR(__xludf.DUMMYFUNCTION("""COMPUTED_VALUE"""),"Africa")</f>
        <v>Africa</v>
      </c>
      <c r="Q39" s="1">
        <f>IFERROR(__xludf.DUMMYFUNCTION("""COMPUTED_VALUE"""),96.0)</f>
        <v>96</v>
      </c>
      <c r="R39" s="3">
        <f>IFERROR(__xludf.DUMMYFUNCTION("""COMPUTED_VALUE"""),5773.0)</f>
        <v>5773</v>
      </c>
      <c r="S39" s="1">
        <f>IFERROR(__xludf.DUMMYFUNCTION("""COMPUTED_VALUE"""),9.0)</f>
        <v>9</v>
      </c>
    </row>
    <row r="40">
      <c r="A40" s="1">
        <f>IFERROR(__xludf.DUMMYFUNCTION("""COMPUTED_VALUE"""),31.0)</f>
        <v>31</v>
      </c>
      <c r="B40" s="1" t="str">
        <f>IFERROR(__xludf.DUMMYFUNCTION("""COMPUTED_VALUE"""),"Switzerland")</f>
        <v>Switzerland</v>
      </c>
      <c r="C40" s="3">
        <f>IFERROR(__xludf.DUMMYFUNCTION("""COMPUTED_VALUE"""),363654.0)</f>
        <v>363654</v>
      </c>
      <c r="D40" s="1" t="str">
        <f>IFERROR(__xludf.DUMMYFUNCTION("""COMPUTED_VALUE"""),"+5,086")</f>
        <v>+5,086</v>
      </c>
      <c r="E40" s="3">
        <f>IFERROR(__xludf.DUMMYFUNCTION("""COMPUTED_VALUE"""),5710.0)</f>
        <v>5710</v>
      </c>
      <c r="F40" s="1" t="str">
        <f>IFERROR(__xludf.DUMMYFUNCTION("""COMPUTED_VALUE"""),"+117")</f>
        <v>+117</v>
      </c>
      <c r="G40" s="3">
        <f>IFERROR(__xludf.DUMMYFUNCTION("""COMPUTED_VALUE"""),283000.0)</f>
        <v>283000</v>
      </c>
      <c r="H40" s="1" t="str">
        <f>IFERROR(__xludf.DUMMYFUNCTION("""COMPUTED_VALUE"""),"+3,100")</f>
        <v>+3,100</v>
      </c>
      <c r="I40" s="3">
        <f>IFERROR(__xludf.DUMMYFUNCTION("""COMPUTED_VALUE"""),74944.0)</f>
        <v>74944</v>
      </c>
      <c r="J40" s="1">
        <f>IFERROR(__xludf.DUMMYFUNCTION("""COMPUTED_VALUE"""),454.0)</f>
        <v>454</v>
      </c>
      <c r="K40" s="3">
        <f>IFERROR(__xludf.DUMMYFUNCTION("""COMPUTED_VALUE"""),41884.0)</f>
        <v>41884</v>
      </c>
      <c r="L40" s="1">
        <f>IFERROR(__xludf.DUMMYFUNCTION("""COMPUTED_VALUE"""),658.0)</f>
        <v>658</v>
      </c>
      <c r="M40" s="3">
        <f>IFERROR(__xludf.DUMMYFUNCTION("""COMPUTED_VALUE"""),2952909.0)</f>
        <v>2952909</v>
      </c>
      <c r="N40" s="3">
        <f>IFERROR(__xludf.DUMMYFUNCTION("""COMPUTED_VALUE"""),340104.0)</f>
        <v>340104</v>
      </c>
      <c r="O40" s="2">
        <f>IFERROR(__xludf.DUMMYFUNCTION("""COMPUTED_VALUE"""),8682364.0)</f>
        <v>8682364</v>
      </c>
      <c r="P40" s="1" t="str">
        <f>IFERROR(__xludf.DUMMYFUNCTION("""COMPUTED_VALUE"""),"Europe")</f>
        <v>Europe</v>
      </c>
      <c r="Q40" s="1">
        <f>IFERROR(__xludf.DUMMYFUNCTION("""COMPUTED_VALUE"""),24.0)</f>
        <v>24</v>
      </c>
      <c r="R40" s="3">
        <f>IFERROR(__xludf.DUMMYFUNCTION("""COMPUTED_VALUE"""),1521.0)</f>
        <v>1521</v>
      </c>
      <c r="S40" s="1">
        <f>IFERROR(__xludf.DUMMYFUNCTION("""COMPUTED_VALUE"""),3.0)</f>
        <v>3</v>
      </c>
    </row>
    <row r="41">
      <c r="A41" s="1">
        <f>IFERROR(__xludf.DUMMYFUNCTION("""COMPUTED_VALUE"""),32.0)</f>
        <v>32</v>
      </c>
      <c r="B41" s="1" t="str">
        <f>IFERROR(__xludf.DUMMYFUNCTION("""COMPUTED_VALUE"""),"Saudi Arabia")</f>
        <v>Saudi Arabia</v>
      </c>
      <c r="C41" s="3">
        <f>IFERROR(__xludf.DUMMYFUNCTION("""COMPUTED_VALUE"""),359274.0)</f>
        <v>359274</v>
      </c>
      <c r="D41" s="1" t="str">
        <f>IFERROR(__xludf.DUMMYFUNCTION("""COMPUTED_VALUE"""),"+159")</f>
        <v>+159</v>
      </c>
      <c r="E41" s="3">
        <f>IFERROR(__xludf.DUMMYFUNCTION("""COMPUTED_VALUE"""),6002.0)</f>
        <v>6002</v>
      </c>
      <c r="F41" s="1" t="str">
        <f>IFERROR(__xludf.DUMMYFUNCTION("""COMPUTED_VALUE"""),"+13")</f>
        <v>+13</v>
      </c>
      <c r="G41" s="3">
        <f>IFERROR(__xludf.DUMMYFUNCTION("""COMPUTED_VALUE"""),349624.0)</f>
        <v>349624</v>
      </c>
      <c r="H41" s="1" t="str">
        <f>IFERROR(__xludf.DUMMYFUNCTION("""COMPUTED_VALUE"""),"+210")</f>
        <v>+210</v>
      </c>
      <c r="I41" s="3">
        <f>IFERROR(__xludf.DUMMYFUNCTION("""COMPUTED_VALUE"""),3648.0)</f>
        <v>3648</v>
      </c>
      <c r="J41" s="1">
        <f>IFERROR(__xludf.DUMMYFUNCTION("""COMPUTED_VALUE"""),550.0)</f>
        <v>550</v>
      </c>
      <c r="K41" s="3">
        <f>IFERROR(__xludf.DUMMYFUNCTION("""COMPUTED_VALUE"""),10250.0)</f>
        <v>10250</v>
      </c>
      <c r="L41" s="1">
        <f>IFERROR(__xludf.DUMMYFUNCTION("""COMPUTED_VALUE"""),171.0)</f>
        <v>171</v>
      </c>
      <c r="M41" s="3">
        <f>IFERROR(__xludf.DUMMYFUNCTION("""COMPUTED_VALUE"""),9990424.0)</f>
        <v>9990424</v>
      </c>
      <c r="N41" s="3">
        <f>IFERROR(__xludf.DUMMYFUNCTION("""COMPUTED_VALUE"""),285036.0)</f>
        <v>285036</v>
      </c>
      <c r="O41" s="2">
        <f>IFERROR(__xludf.DUMMYFUNCTION("""COMPUTED_VALUE"""),3.5049731E7)</f>
        <v>35049731</v>
      </c>
      <c r="P41" s="1" t="str">
        <f>IFERROR(__xludf.DUMMYFUNCTION("""COMPUTED_VALUE"""),"Asia")</f>
        <v>Asia</v>
      </c>
      <c r="Q41" s="1">
        <f>IFERROR(__xludf.DUMMYFUNCTION("""COMPUTED_VALUE"""),98.0)</f>
        <v>98</v>
      </c>
      <c r="R41" s="3">
        <f>IFERROR(__xludf.DUMMYFUNCTION("""COMPUTED_VALUE"""),5840.0)</f>
        <v>5840</v>
      </c>
      <c r="S41" s="1">
        <f>IFERROR(__xludf.DUMMYFUNCTION("""COMPUTED_VALUE"""),4.0)</f>
        <v>4</v>
      </c>
    </row>
    <row r="42">
      <c r="A42" s="1">
        <f>IFERROR(__xludf.DUMMYFUNCTION("""COMPUTED_VALUE"""),33.0)</f>
        <v>33</v>
      </c>
      <c r="B42" s="1" t="str">
        <f>IFERROR(__xludf.DUMMYFUNCTION("""COMPUTED_VALUE"""),"Israel")</f>
        <v>Israel</v>
      </c>
      <c r="C42" s="3">
        <f>IFERROR(__xludf.DUMMYFUNCTION("""COMPUTED_VALUE"""),350271.0)</f>
        <v>350271</v>
      </c>
      <c r="D42" s="1" t="str">
        <f>IFERROR(__xludf.DUMMYFUNCTION("""COMPUTED_VALUE"""),"+1,986")</f>
        <v>+1,986</v>
      </c>
      <c r="E42" s="3">
        <f>IFERROR(__xludf.DUMMYFUNCTION("""COMPUTED_VALUE"""),2934.0)</f>
        <v>2934</v>
      </c>
      <c r="F42" s="1" t="str">
        <f>IFERROR(__xludf.DUMMYFUNCTION("""COMPUTED_VALUE"""),"+2")</f>
        <v>+2</v>
      </c>
      <c r="G42" s="3">
        <f>IFERROR(__xludf.DUMMYFUNCTION("""COMPUTED_VALUE"""),332089.0)</f>
        <v>332089</v>
      </c>
      <c r="H42" s="1" t="str">
        <f>IFERROR(__xludf.DUMMYFUNCTION("""COMPUTED_VALUE"""),"+1,034")</f>
        <v>+1,034</v>
      </c>
      <c r="I42" s="3">
        <f>IFERROR(__xludf.DUMMYFUNCTION("""COMPUTED_VALUE"""),15248.0)</f>
        <v>15248</v>
      </c>
      <c r="J42" s="1">
        <f>IFERROR(__xludf.DUMMYFUNCTION("""COMPUTED_VALUE"""),316.0)</f>
        <v>316</v>
      </c>
      <c r="K42" s="3">
        <f>IFERROR(__xludf.DUMMYFUNCTION("""COMPUTED_VALUE"""),38083.0)</f>
        <v>38083</v>
      </c>
      <c r="L42" s="1">
        <f>IFERROR(__xludf.DUMMYFUNCTION("""COMPUTED_VALUE"""),319.0)</f>
        <v>319</v>
      </c>
      <c r="M42" s="3">
        <f>IFERROR(__xludf.DUMMYFUNCTION("""COMPUTED_VALUE"""),5605071.0)</f>
        <v>5605071</v>
      </c>
      <c r="N42" s="3">
        <f>IFERROR(__xludf.DUMMYFUNCTION("""COMPUTED_VALUE"""),609406.0)</f>
        <v>609406</v>
      </c>
      <c r="O42" s="2">
        <f>IFERROR(__xludf.DUMMYFUNCTION("""COMPUTED_VALUE"""),9197590.0)</f>
        <v>9197590</v>
      </c>
      <c r="P42" s="1" t="str">
        <f>IFERROR(__xludf.DUMMYFUNCTION("""COMPUTED_VALUE"""),"Asia")</f>
        <v>Asia</v>
      </c>
      <c r="Q42" s="1">
        <f>IFERROR(__xludf.DUMMYFUNCTION("""COMPUTED_VALUE"""),26.0)</f>
        <v>26</v>
      </c>
      <c r="R42" s="3">
        <f>IFERROR(__xludf.DUMMYFUNCTION("""COMPUTED_VALUE"""),3135.0)</f>
        <v>3135</v>
      </c>
      <c r="S42" s="1">
        <f>IFERROR(__xludf.DUMMYFUNCTION("""COMPUTED_VALUE"""),2.0)</f>
        <v>2</v>
      </c>
    </row>
    <row r="43">
      <c r="A43" s="1">
        <f>IFERROR(__xludf.DUMMYFUNCTION("""COMPUTED_VALUE"""),34.0)</f>
        <v>34</v>
      </c>
      <c r="B43" s="1" t="str">
        <f>IFERROR(__xludf.DUMMYFUNCTION("""COMPUTED_VALUE"""),"Portugal")</f>
        <v>Portugal</v>
      </c>
      <c r="C43" s="3">
        <f>IFERROR(__xludf.DUMMYFUNCTION("""COMPUTED_VALUE"""),332073.0)</f>
        <v>332073</v>
      </c>
      <c r="D43" s="1" t="str">
        <f>IFERROR(__xludf.DUMMYFUNCTION("""COMPUTED_VALUE"""),"+4,097")</f>
        <v>+4,097</v>
      </c>
      <c r="E43" s="3">
        <f>IFERROR(__xludf.DUMMYFUNCTION("""COMPUTED_VALUE"""),5192.0)</f>
        <v>5192</v>
      </c>
      <c r="F43" s="1" t="str">
        <f>IFERROR(__xludf.DUMMYFUNCTION("""COMPUTED_VALUE"""),"+70")</f>
        <v>+70</v>
      </c>
      <c r="G43" s="3">
        <f>IFERROR(__xludf.DUMMYFUNCTION("""COMPUTED_VALUE"""),254700.0)</f>
        <v>254700</v>
      </c>
      <c r="H43" s="1" t="str">
        <f>IFERROR(__xludf.DUMMYFUNCTION("""COMPUTED_VALUE"""),"+2,272")</f>
        <v>+2,272</v>
      </c>
      <c r="I43" s="3">
        <f>IFERROR(__xludf.DUMMYFUNCTION("""COMPUTED_VALUE"""),72181.0)</f>
        <v>72181</v>
      </c>
      <c r="J43" s="1">
        <f>IFERROR(__xludf.DUMMYFUNCTION("""COMPUTED_VALUE"""),504.0)</f>
        <v>504</v>
      </c>
      <c r="K43" s="3">
        <f>IFERROR(__xludf.DUMMYFUNCTION("""COMPUTED_VALUE"""),32609.0)</f>
        <v>32609</v>
      </c>
      <c r="L43" s="1">
        <f>IFERROR(__xludf.DUMMYFUNCTION("""COMPUTED_VALUE"""),510.0)</f>
        <v>510</v>
      </c>
      <c r="M43" s="3">
        <f>IFERROR(__xludf.DUMMYFUNCTION("""COMPUTED_VALUE"""),4805677.0)</f>
        <v>4805677</v>
      </c>
      <c r="N43" s="3">
        <f>IFERROR(__xludf.DUMMYFUNCTION("""COMPUTED_VALUE"""),471905.0)</f>
        <v>471905</v>
      </c>
      <c r="O43" s="2">
        <f>IFERROR(__xludf.DUMMYFUNCTION("""COMPUTED_VALUE"""),1.0183564E7)</f>
        <v>10183564</v>
      </c>
      <c r="P43" s="1" t="str">
        <f>IFERROR(__xludf.DUMMYFUNCTION("""COMPUTED_VALUE"""),"Europe")</f>
        <v>Europe</v>
      </c>
      <c r="Q43" s="1">
        <f>IFERROR(__xludf.DUMMYFUNCTION("""COMPUTED_VALUE"""),31.0)</f>
        <v>31</v>
      </c>
      <c r="R43" s="3">
        <f>IFERROR(__xludf.DUMMYFUNCTION("""COMPUTED_VALUE"""),1961.0)</f>
        <v>1961</v>
      </c>
      <c r="S43" s="1">
        <f>IFERROR(__xludf.DUMMYFUNCTION("""COMPUTED_VALUE"""),2.0)</f>
        <v>2</v>
      </c>
    </row>
    <row r="44">
      <c r="A44" s="1">
        <f>IFERROR(__xludf.DUMMYFUNCTION("""COMPUTED_VALUE"""),35.0)</f>
        <v>35</v>
      </c>
      <c r="B44" s="1" t="str">
        <f>IFERROR(__xludf.DUMMYFUNCTION("""COMPUTED_VALUE"""),"Austria")</f>
        <v>Austria</v>
      </c>
      <c r="C44" s="3">
        <f>IFERROR(__xludf.DUMMYFUNCTION("""COMPUTED_VALUE"""),311002.0)</f>
        <v>311002</v>
      </c>
      <c r="D44" s="1" t="str">
        <f>IFERROR(__xludf.DUMMYFUNCTION("""COMPUTED_VALUE"""),"+2,932")</f>
        <v>+2,932</v>
      </c>
      <c r="E44" s="3">
        <f>IFERROR(__xludf.DUMMYFUNCTION("""COMPUTED_VALUE"""),4056.0)</f>
        <v>4056</v>
      </c>
      <c r="F44" s="1" t="str">
        <f>IFERROR(__xludf.DUMMYFUNCTION("""COMPUTED_VALUE"""),"+54")</f>
        <v>+54</v>
      </c>
      <c r="G44" s="3">
        <f>IFERROR(__xludf.DUMMYFUNCTION("""COMPUTED_VALUE"""),265815.0)</f>
        <v>265815</v>
      </c>
      <c r="H44" s="1" t="str">
        <f>IFERROR(__xludf.DUMMYFUNCTION("""COMPUTED_VALUE"""),"+3,501")</f>
        <v>+3,501</v>
      </c>
      <c r="I44" s="3">
        <f>IFERROR(__xludf.DUMMYFUNCTION("""COMPUTED_VALUE"""),41131.0)</f>
        <v>41131</v>
      </c>
      <c r="J44" s="1">
        <f>IFERROR(__xludf.DUMMYFUNCTION("""COMPUTED_VALUE"""),610.0)</f>
        <v>610</v>
      </c>
      <c r="K44" s="3">
        <f>IFERROR(__xludf.DUMMYFUNCTION("""COMPUTED_VALUE"""),34445.0)</f>
        <v>34445</v>
      </c>
      <c r="L44" s="1">
        <f>IFERROR(__xludf.DUMMYFUNCTION("""COMPUTED_VALUE"""),449.0)</f>
        <v>449</v>
      </c>
      <c r="M44" s="3">
        <f>IFERROR(__xludf.DUMMYFUNCTION("""COMPUTED_VALUE"""),3302082.0)</f>
        <v>3302082</v>
      </c>
      <c r="N44" s="3">
        <f>IFERROR(__xludf.DUMMYFUNCTION("""COMPUTED_VALUE"""),365721.0)</f>
        <v>365721</v>
      </c>
      <c r="O44" s="2">
        <f>IFERROR(__xludf.DUMMYFUNCTION("""COMPUTED_VALUE"""),9028954.0)</f>
        <v>9028954</v>
      </c>
      <c r="P44" s="1" t="str">
        <f>IFERROR(__xludf.DUMMYFUNCTION("""COMPUTED_VALUE"""),"Europe")</f>
        <v>Europe</v>
      </c>
      <c r="Q44" s="1">
        <f>IFERROR(__xludf.DUMMYFUNCTION("""COMPUTED_VALUE"""),29.0)</f>
        <v>29</v>
      </c>
      <c r="R44" s="3">
        <f>IFERROR(__xludf.DUMMYFUNCTION("""COMPUTED_VALUE"""),2226.0)</f>
        <v>2226</v>
      </c>
      <c r="S44" s="1">
        <f>IFERROR(__xludf.DUMMYFUNCTION("""COMPUTED_VALUE"""),3.0)</f>
        <v>3</v>
      </c>
    </row>
    <row r="45">
      <c r="A45" s="1">
        <f>IFERROR(__xludf.DUMMYFUNCTION("""COMPUTED_VALUE"""),36.0)</f>
        <v>36</v>
      </c>
      <c r="B45" s="1" t="str">
        <f>IFERROR(__xludf.DUMMYFUNCTION("""COMPUTED_VALUE"""),"Sweden")</f>
        <v>Sweden</v>
      </c>
      <c r="C45" s="3">
        <f>IFERROR(__xludf.DUMMYFUNCTION("""COMPUTED_VALUE"""),304793.0)</f>
        <v>304793</v>
      </c>
      <c r="D45" s="1"/>
      <c r="E45" s="3">
        <f>IFERROR(__xludf.DUMMYFUNCTION("""COMPUTED_VALUE"""),7296.0)</f>
        <v>7296</v>
      </c>
      <c r="F45" s="1" t="str">
        <f>IFERROR(__xludf.DUMMYFUNCTION("""COMPUTED_VALUE"""),"+19")</f>
        <v>+19</v>
      </c>
      <c r="G45" s="1" t="str">
        <f>IFERROR(__xludf.DUMMYFUNCTION("""COMPUTED_VALUE"""),"N/A")</f>
        <v>N/A</v>
      </c>
      <c r="H45" s="1" t="str">
        <f>IFERROR(__xludf.DUMMYFUNCTION("""COMPUTED_VALUE"""),"N/A")</f>
        <v>N/A</v>
      </c>
      <c r="I45" s="1" t="str">
        <f>IFERROR(__xludf.DUMMYFUNCTION("""COMPUTED_VALUE"""),"N/A")</f>
        <v>N/A</v>
      </c>
      <c r="J45" s="1">
        <f>IFERROR(__xludf.DUMMYFUNCTION("""COMPUTED_VALUE"""),252.0)</f>
        <v>252</v>
      </c>
      <c r="K45" s="3">
        <f>IFERROR(__xludf.DUMMYFUNCTION("""COMPUTED_VALUE"""),30097.0)</f>
        <v>30097</v>
      </c>
      <c r="L45" s="1">
        <f>IFERROR(__xludf.DUMMYFUNCTION("""COMPUTED_VALUE"""),720.0)</f>
        <v>720</v>
      </c>
      <c r="M45" s="3">
        <f>IFERROR(__xludf.DUMMYFUNCTION("""COMPUTED_VALUE"""),3457247.0)</f>
        <v>3457247</v>
      </c>
      <c r="N45" s="3">
        <f>IFERROR(__xludf.DUMMYFUNCTION("""COMPUTED_VALUE"""),341393.0)</f>
        <v>341393</v>
      </c>
      <c r="O45" s="2">
        <f>IFERROR(__xludf.DUMMYFUNCTION("""COMPUTED_VALUE"""),1.0126894E7)</f>
        <v>10126894</v>
      </c>
      <c r="P45" s="1" t="str">
        <f>IFERROR(__xludf.DUMMYFUNCTION("""COMPUTED_VALUE"""),"Europe")</f>
        <v>Europe</v>
      </c>
      <c r="Q45" s="1">
        <f>IFERROR(__xludf.DUMMYFUNCTION("""COMPUTED_VALUE"""),33.0)</f>
        <v>33</v>
      </c>
      <c r="R45" s="3">
        <f>IFERROR(__xludf.DUMMYFUNCTION("""COMPUTED_VALUE"""),1388.0)</f>
        <v>1388</v>
      </c>
      <c r="S45" s="1">
        <f>IFERROR(__xludf.DUMMYFUNCTION("""COMPUTED_VALUE"""),3.0)</f>
        <v>3</v>
      </c>
    </row>
    <row r="46">
      <c r="A46" s="1">
        <f>IFERROR(__xludf.DUMMYFUNCTION("""COMPUTED_VALUE"""),37.0)</f>
        <v>37</v>
      </c>
      <c r="B46" s="1" t="str">
        <f>IFERROR(__xludf.DUMMYFUNCTION("""COMPUTED_VALUE"""),"Hungary")</f>
        <v>Hungary</v>
      </c>
      <c r="C46" s="3">
        <f>IFERROR(__xludf.DUMMYFUNCTION("""COMPUTED_VALUE"""),259588.0)</f>
        <v>259588</v>
      </c>
      <c r="D46" s="1" t="str">
        <f>IFERROR(__xludf.DUMMYFUNCTION("""COMPUTED_VALUE"""),"+3,221")</f>
        <v>+3,221</v>
      </c>
      <c r="E46" s="3">
        <f>IFERROR(__xludf.DUMMYFUNCTION("""COMPUTED_VALUE"""),6280.0)</f>
        <v>6280</v>
      </c>
      <c r="F46" s="1" t="str">
        <f>IFERROR(__xludf.DUMMYFUNCTION("""COMPUTED_VALUE"""),"+160")</f>
        <v>+160</v>
      </c>
      <c r="G46" s="3">
        <f>IFERROR(__xludf.DUMMYFUNCTION("""COMPUTED_VALUE"""),76270.0)</f>
        <v>76270</v>
      </c>
      <c r="H46" s="1" t="str">
        <f>IFERROR(__xludf.DUMMYFUNCTION("""COMPUTED_VALUE"""),"+989")</f>
        <v>+989</v>
      </c>
      <c r="I46" s="3">
        <f>IFERROR(__xludf.DUMMYFUNCTION("""COMPUTED_VALUE"""),177038.0)</f>
        <v>177038</v>
      </c>
      <c r="J46" s="1">
        <f>IFERROR(__xludf.DUMMYFUNCTION("""COMPUTED_VALUE"""),661.0)</f>
        <v>661</v>
      </c>
      <c r="K46" s="3">
        <f>IFERROR(__xludf.DUMMYFUNCTION("""COMPUTED_VALUE"""),26902.0)</f>
        <v>26902</v>
      </c>
      <c r="L46" s="1">
        <f>IFERROR(__xludf.DUMMYFUNCTION("""COMPUTED_VALUE"""),651.0)</f>
        <v>651</v>
      </c>
      <c r="M46" s="3">
        <f>IFERROR(__xludf.DUMMYFUNCTION("""COMPUTED_VALUE"""),2187555.0)</f>
        <v>2187555</v>
      </c>
      <c r="N46" s="3">
        <f>IFERROR(__xludf.DUMMYFUNCTION("""COMPUTED_VALUE"""),226701.0)</f>
        <v>226701</v>
      </c>
      <c r="O46" s="2">
        <f>IFERROR(__xludf.DUMMYFUNCTION("""COMPUTED_VALUE"""),9649509.0)</f>
        <v>9649509</v>
      </c>
      <c r="P46" s="1" t="str">
        <f>IFERROR(__xludf.DUMMYFUNCTION("""COMPUTED_VALUE"""),"Europe")</f>
        <v>Europe</v>
      </c>
      <c r="Q46" s="1">
        <f>IFERROR(__xludf.DUMMYFUNCTION("""COMPUTED_VALUE"""),37.0)</f>
        <v>37</v>
      </c>
      <c r="R46" s="3">
        <f>IFERROR(__xludf.DUMMYFUNCTION("""COMPUTED_VALUE"""),1537.0)</f>
        <v>1537</v>
      </c>
      <c r="S46" s="1">
        <f>IFERROR(__xludf.DUMMYFUNCTION("""COMPUTED_VALUE"""),4.0)</f>
        <v>4</v>
      </c>
    </row>
    <row r="47">
      <c r="A47" s="1">
        <f>IFERROR(__xludf.DUMMYFUNCTION("""COMPUTED_VALUE"""),38.0)</f>
        <v>38</v>
      </c>
      <c r="B47" s="1" t="str">
        <f>IFERROR(__xludf.DUMMYFUNCTION("""COMPUTED_VALUE"""),"Jordan")</f>
        <v>Jordan</v>
      </c>
      <c r="C47" s="3">
        <f>IFERROR(__xludf.DUMMYFUNCTION("""COMPUTED_VALUE"""),250219.0)</f>
        <v>250219</v>
      </c>
      <c r="D47" s="1" t="str">
        <f>IFERROR(__xludf.DUMMYFUNCTION("""COMPUTED_VALUE"""),"+3,088")</f>
        <v>+3,088</v>
      </c>
      <c r="E47" s="3">
        <f>IFERROR(__xludf.DUMMYFUNCTION("""COMPUTED_VALUE"""),3206.0)</f>
        <v>3206</v>
      </c>
      <c r="F47" s="1" t="str">
        <f>IFERROR(__xludf.DUMMYFUNCTION("""COMPUTED_VALUE"""),"+44")</f>
        <v>+44</v>
      </c>
      <c r="G47" s="3">
        <f>IFERROR(__xludf.DUMMYFUNCTION("""COMPUTED_VALUE"""),202058.0)</f>
        <v>202058</v>
      </c>
      <c r="H47" s="1" t="str">
        <f>IFERROR(__xludf.DUMMYFUNCTION("""COMPUTED_VALUE"""),"+5,000")</f>
        <v>+5,000</v>
      </c>
      <c r="I47" s="3">
        <f>IFERROR(__xludf.DUMMYFUNCTION("""COMPUTED_VALUE"""),44955.0)</f>
        <v>44955</v>
      </c>
      <c r="J47" s="1">
        <f>IFERROR(__xludf.DUMMYFUNCTION("""COMPUTED_VALUE"""),392.0)</f>
        <v>392</v>
      </c>
      <c r="K47" s="3">
        <f>IFERROR(__xludf.DUMMYFUNCTION("""COMPUTED_VALUE"""),24418.0)</f>
        <v>24418</v>
      </c>
      <c r="L47" s="1">
        <f>IFERROR(__xludf.DUMMYFUNCTION("""COMPUTED_VALUE"""),313.0)</f>
        <v>313</v>
      </c>
      <c r="M47" s="3">
        <f>IFERROR(__xludf.DUMMYFUNCTION("""COMPUTED_VALUE"""),2755299.0)</f>
        <v>2755299</v>
      </c>
      <c r="N47" s="3">
        <f>IFERROR(__xludf.DUMMYFUNCTION("""COMPUTED_VALUE"""),268877.0)</f>
        <v>268877</v>
      </c>
      <c r="O47" s="2">
        <f>IFERROR(__xludf.DUMMYFUNCTION("""COMPUTED_VALUE"""),1.0247428E7)</f>
        <v>10247428</v>
      </c>
      <c r="P47" s="1" t="str">
        <f>IFERROR(__xludf.DUMMYFUNCTION("""COMPUTED_VALUE"""),"Asia")</f>
        <v>Asia</v>
      </c>
      <c r="Q47" s="1">
        <f>IFERROR(__xludf.DUMMYFUNCTION("""COMPUTED_VALUE"""),41.0)</f>
        <v>41</v>
      </c>
      <c r="R47" s="3">
        <f>IFERROR(__xludf.DUMMYFUNCTION("""COMPUTED_VALUE"""),3196.0)</f>
        <v>3196</v>
      </c>
      <c r="S47" s="1">
        <f>IFERROR(__xludf.DUMMYFUNCTION("""COMPUTED_VALUE"""),4.0)</f>
        <v>4</v>
      </c>
    </row>
    <row r="48">
      <c r="A48" s="1">
        <f>IFERROR(__xludf.DUMMYFUNCTION("""COMPUTED_VALUE"""),39.0)</f>
        <v>39</v>
      </c>
      <c r="B48" s="1" t="str">
        <f>IFERROR(__xludf.DUMMYFUNCTION("""COMPUTED_VALUE"""),"Nepal")</f>
        <v>Nepal</v>
      </c>
      <c r="C48" s="3">
        <f>IFERROR(__xludf.DUMMYFUNCTION("""COMPUTED_VALUE"""),244433.0)</f>
        <v>244433</v>
      </c>
      <c r="D48" s="1" t="str">
        <f>IFERROR(__xludf.DUMMYFUNCTION("""COMPUTED_VALUE"""),"+1,056")</f>
        <v>+1,056</v>
      </c>
      <c r="E48" s="3">
        <f>IFERROR(__xludf.DUMMYFUNCTION("""COMPUTED_VALUE"""),1651.0)</f>
        <v>1651</v>
      </c>
      <c r="F48" s="1" t="str">
        <f>IFERROR(__xludf.DUMMYFUNCTION("""COMPUTED_VALUE"""),"+14")</f>
        <v>+14</v>
      </c>
      <c r="G48" s="3">
        <f>IFERROR(__xludf.DUMMYFUNCTION("""COMPUTED_VALUE"""),230537.0)</f>
        <v>230537</v>
      </c>
      <c r="H48" s="1" t="str">
        <f>IFERROR(__xludf.DUMMYFUNCTION("""COMPUTED_VALUE"""),"+1,483")</f>
        <v>+1,483</v>
      </c>
      <c r="I48" s="3">
        <f>IFERROR(__xludf.DUMMYFUNCTION("""COMPUTED_VALUE"""),12245.0)</f>
        <v>12245</v>
      </c>
      <c r="J48" s="1"/>
      <c r="K48" s="3">
        <f>IFERROR(__xludf.DUMMYFUNCTION("""COMPUTED_VALUE"""),8324.0)</f>
        <v>8324</v>
      </c>
      <c r="L48" s="1">
        <f>IFERROR(__xludf.DUMMYFUNCTION("""COMPUTED_VALUE"""),56.0)</f>
        <v>56</v>
      </c>
      <c r="M48" s="3">
        <f>IFERROR(__xludf.DUMMYFUNCTION("""COMPUTED_VALUE"""),1805972.0)</f>
        <v>1805972</v>
      </c>
      <c r="N48" s="3">
        <f>IFERROR(__xludf.DUMMYFUNCTION("""COMPUTED_VALUE"""),61502.0)</f>
        <v>61502</v>
      </c>
      <c r="O48" s="2">
        <f>IFERROR(__xludf.DUMMYFUNCTION("""COMPUTED_VALUE"""),2.9364264E7)</f>
        <v>29364264</v>
      </c>
      <c r="P48" s="1" t="str">
        <f>IFERROR(__xludf.DUMMYFUNCTION("""COMPUTED_VALUE"""),"Asia")</f>
        <v>Asia</v>
      </c>
      <c r="Q48" s="1">
        <f>IFERROR(__xludf.DUMMYFUNCTION("""COMPUTED_VALUE"""),120.0)</f>
        <v>120</v>
      </c>
      <c r="R48" s="3">
        <f>IFERROR(__xludf.DUMMYFUNCTION("""COMPUTED_VALUE"""),17786.0)</f>
        <v>17786</v>
      </c>
      <c r="S48" s="1">
        <f>IFERROR(__xludf.DUMMYFUNCTION("""COMPUTED_VALUE"""),16.0)</f>
        <v>16</v>
      </c>
    </row>
    <row r="49">
      <c r="A49" s="1">
        <f>IFERROR(__xludf.DUMMYFUNCTION("""COMPUTED_VALUE"""),40.0)</f>
        <v>40</v>
      </c>
      <c r="B49" s="1" t="str">
        <f>IFERROR(__xludf.DUMMYFUNCTION("""COMPUTED_VALUE"""),"Serbia")</f>
        <v>Serbia</v>
      </c>
      <c r="C49" s="3">
        <f>IFERROR(__xludf.DUMMYFUNCTION("""COMPUTED_VALUE"""),241831.0)</f>
        <v>241831</v>
      </c>
      <c r="D49" s="1" t="str">
        <f>IFERROR(__xludf.DUMMYFUNCTION("""COMPUTED_VALUE"""),"+7,804")</f>
        <v>+7,804</v>
      </c>
      <c r="E49" s="3">
        <f>IFERROR(__xludf.DUMMYFUNCTION("""COMPUTED_VALUE"""),2116.0)</f>
        <v>2116</v>
      </c>
      <c r="F49" s="1" t="str">
        <f>IFERROR(__xludf.DUMMYFUNCTION("""COMPUTED_VALUE"""),"+54")</f>
        <v>+54</v>
      </c>
      <c r="G49" s="3">
        <f>IFERROR(__xludf.DUMMYFUNCTION("""COMPUTED_VALUE"""),31536.0)</f>
        <v>31536</v>
      </c>
      <c r="H49" s="1"/>
      <c r="I49" s="3">
        <f>IFERROR(__xludf.DUMMYFUNCTION("""COMPUTED_VALUE"""),208179.0)</f>
        <v>208179</v>
      </c>
      <c r="J49" s="1">
        <f>IFERROR(__xludf.DUMMYFUNCTION("""COMPUTED_VALUE"""),319.0)</f>
        <v>319</v>
      </c>
      <c r="K49" s="3">
        <f>IFERROR(__xludf.DUMMYFUNCTION("""COMPUTED_VALUE"""),27727.0)</f>
        <v>27727</v>
      </c>
      <c r="L49" s="1">
        <f>IFERROR(__xludf.DUMMYFUNCTION("""COMPUTED_VALUE"""),243.0)</f>
        <v>243</v>
      </c>
      <c r="M49" s="3">
        <f>IFERROR(__xludf.DUMMYFUNCTION("""COMPUTED_VALUE"""),1958473.0)</f>
        <v>1958473</v>
      </c>
      <c r="N49" s="3">
        <f>IFERROR(__xludf.DUMMYFUNCTION("""COMPUTED_VALUE"""),224549.0)</f>
        <v>224549</v>
      </c>
      <c r="O49" s="2">
        <f>IFERROR(__xludf.DUMMYFUNCTION("""COMPUTED_VALUE"""),8721797.0)</f>
        <v>8721797</v>
      </c>
      <c r="P49" s="1" t="str">
        <f>IFERROR(__xludf.DUMMYFUNCTION("""COMPUTED_VALUE"""),"Europe")</f>
        <v>Europe</v>
      </c>
      <c r="Q49" s="1">
        <f>IFERROR(__xludf.DUMMYFUNCTION("""COMPUTED_VALUE"""),36.0)</f>
        <v>36</v>
      </c>
      <c r="R49" s="3">
        <f>IFERROR(__xludf.DUMMYFUNCTION("""COMPUTED_VALUE"""),4122.0)</f>
        <v>4122</v>
      </c>
      <c r="S49" s="1">
        <f>IFERROR(__xludf.DUMMYFUNCTION("""COMPUTED_VALUE"""),4.0)</f>
        <v>4</v>
      </c>
    </row>
    <row r="50">
      <c r="A50" s="1">
        <f>IFERROR(__xludf.DUMMYFUNCTION("""COMPUTED_VALUE"""),41.0)</f>
        <v>41</v>
      </c>
      <c r="B50" s="1" t="str">
        <f>IFERROR(__xludf.DUMMYFUNCTION("""COMPUTED_VALUE"""),"Ecuador")</f>
        <v>Ecuador</v>
      </c>
      <c r="C50" s="3">
        <f>IFERROR(__xludf.DUMMYFUNCTION("""COMPUTED_VALUE"""),199228.0)</f>
        <v>199228</v>
      </c>
      <c r="D50" s="1" t="str">
        <f>IFERROR(__xludf.DUMMYFUNCTION("""COMPUTED_VALUE"""),"+476")</f>
        <v>+476</v>
      </c>
      <c r="E50" s="3">
        <f>IFERROR(__xludf.DUMMYFUNCTION("""COMPUTED_VALUE"""),13814.0)</f>
        <v>13814</v>
      </c>
      <c r="F50" s="1" t="str">
        <f>IFERROR(__xludf.DUMMYFUNCTION("""COMPUTED_VALUE"""),"+20")</f>
        <v>+20</v>
      </c>
      <c r="G50" s="3">
        <f>IFERROR(__xludf.DUMMYFUNCTION("""COMPUTED_VALUE"""),174188.0)</f>
        <v>174188</v>
      </c>
      <c r="H50" s="1"/>
      <c r="I50" s="3">
        <f>IFERROR(__xludf.DUMMYFUNCTION("""COMPUTED_VALUE"""),11226.0)</f>
        <v>11226</v>
      </c>
      <c r="J50" s="1">
        <f>IFERROR(__xludf.DUMMYFUNCTION("""COMPUTED_VALUE"""),348.0)</f>
        <v>348</v>
      </c>
      <c r="K50" s="3">
        <f>IFERROR(__xludf.DUMMYFUNCTION("""COMPUTED_VALUE"""),11218.0)</f>
        <v>11218</v>
      </c>
      <c r="L50" s="1">
        <f>IFERROR(__xludf.DUMMYFUNCTION("""COMPUTED_VALUE"""),778.0)</f>
        <v>778</v>
      </c>
      <c r="M50" s="3">
        <f>IFERROR(__xludf.DUMMYFUNCTION("""COMPUTED_VALUE"""),676955.0)</f>
        <v>676955</v>
      </c>
      <c r="N50" s="3">
        <f>IFERROR(__xludf.DUMMYFUNCTION("""COMPUTED_VALUE"""),38118.0)</f>
        <v>38118</v>
      </c>
      <c r="O50" s="2">
        <f>IFERROR(__xludf.DUMMYFUNCTION("""COMPUTED_VALUE"""),1.7759643E7)</f>
        <v>17759643</v>
      </c>
      <c r="P50" s="1" t="str">
        <f>IFERROR(__xludf.DUMMYFUNCTION("""COMPUTED_VALUE"""),"South America")</f>
        <v>South America</v>
      </c>
      <c r="Q50" s="1">
        <f>IFERROR(__xludf.DUMMYFUNCTION("""COMPUTED_VALUE"""),89.0)</f>
        <v>89</v>
      </c>
      <c r="R50" s="3">
        <f>IFERROR(__xludf.DUMMYFUNCTION("""COMPUTED_VALUE"""),1286.0)</f>
        <v>1286</v>
      </c>
      <c r="S50" s="1">
        <f>IFERROR(__xludf.DUMMYFUNCTION("""COMPUTED_VALUE"""),26.0)</f>
        <v>26</v>
      </c>
    </row>
    <row r="51">
      <c r="A51" s="1">
        <f>IFERROR(__xludf.DUMMYFUNCTION("""COMPUTED_VALUE"""),42.0)</f>
        <v>42</v>
      </c>
      <c r="B51" s="1" t="str">
        <f>IFERROR(__xludf.DUMMYFUNCTION("""COMPUTED_VALUE"""),"Panama")</f>
        <v>Panama</v>
      </c>
      <c r="C51" s="3">
        <f>IFERROR(__xludf.DUMMYFUNCTION("""COMPUTED_VALUE"""),181166.0)</f>
        <v>181166</v>
      </c>
      <c r="D51" s="1"/>
      <c r="E51" s="3">
        <f>IFERROR(__xludf.DUMMYFUNCTION("""COMPUTED_VALUE"""),3241.0)</f>
        <v>3241</v>
      </c>
      <c r="F51" s="1"/>
      <c r="G51" s="3">
        <f>IFERROR(__xludf.DUMMYFUNCTION("""COMPUTED_VALUE"""),155870.0)</f>
        <v>155870</v>
      </c>
      <c r="H51" s="1"/>
      <c r="I51" s="3">
        <f>IFERROR(__xludf.DUMMYFUNCTION("""COMPUTED_VALUE"""),22055.0)</f>
        <v>22055</v>
      </c>
      <c r="J51" s="1">
        <f>IFERROR(__xludf.DUMMYFUNCTION("""COMPUTED_VALUE"""),169.0)</f>
        <v>169</v>
      </c>
      <c r="K51" s="3">
        <f>IFERROR(__xludf.DUMMYFUNCTION("""COMPUTED_VALUE"""),41702.0)</f>
        <v>41702</v>
      </c>
      <c r="L51" s="1">
        <f>IFERROR(__xludf.DUMMYFUNCTION("""COMPUTED_VALUE"""),746.0)</f>
        <v>746</v>
      </c>
      <c r="M51" s="3">
        <f>IFERROR(__xludf.DUMMYFUNCTION("""COMPUTED_VALUE"""),999313.0)</f>
        <v>999313</v>
      </c>
      <c r="N51" s="3">
        <f>IFERROR(__xludf.DUMMYFUNCTION("""COMPUTED_VALUE"""),230028.0)</f>
        <v>230028</v>
      </c>
      <c r="O51" s="2">
        <f>IFERROR(__xludf.DUMMYFUNCTION("""COMPUTED_VALUE"""),4344310.0)</f>
        <v>4344310</v>
      </c>
      <c r="P51" s="1" t="str">
        <f>IFERROR(__xludf.DUMMYFUNCTION("""COMPUTED_VALUE"""),"North America")</f>
        <v>North America</v>
      </c>
      <c r="Q51" s="1">
        <f>IFERROR(__xludf.DUMMYFUNCTION("""COMPUTED_VALUE"""),24.0)</f>
        <v>24</v>
      </c>
      <c r="R51" s="3">
        <f>IFERROR(__xludf.DUMMYFUNCTION("""COMPUTED_VALUE"""),1340.0)</f>
        <v>1340</v>
      </c>
      <c r="S51" s="1">
        <f>IFERROR(__xludf.DUMMYFUNCTION("""COMPUTED_VALUE"""),4.0)</f>
        <v>4</v>
      </c>
    </row>
    <row r="52">
      <c r="A52" s="1">
        <f>IFERROR(__xludf.DUMMYFUNCTION("""COMPUTED_VALUE"""),43.0)</f>
        <v>43</v>
      </c>
      <c r="B52" s="1" t="str">
        <f>IFERROR(__xludf.DUMMYFUNCTION("""COMPUTED_VALUE"""),"UAE")</f>
        <v>UAE</v>
      </c>
      <c r="C52" s="3">
        <f>IFERROR(__xludf.DUMMYFUNCTION("""COMPUTED_VALUE"""),180150.0)</f>
        <v>180150</v>
      </c>
      <c r="D52" s="1" t="str">
        <f>IFERROR(__xludf.DUMMYFUNCTION("""COMPUTED_VALUE"""),"+1,313")</f>
        <v>+1,313</v>
      </c>
      <c r="E52" s="1">
        <f>IFERROR(__xludf.DUMMYFUNCTION("""COMPUTED_VALUE"""),598.0)</f>
        <v>598</v>
      </c>
      <c r="F52" s="1" t="str">
        <f>IFERROR(__xludf.DUMMYFUNCTION("""COMPUTED_VALUE"""),"+2")</f>
        <v>+2</v>
      </c>
      <c r="G52" s="3">
        <f>IFERROR(__xludf.DUMMYFUNCTION("""COMPUTED_VALUE"""),161084.0)</f>
        <v>161084</v>
      </c>
      <c r="H52" s="1" t="str">
        <f>IFERROR(__xludf.DUMMYFUNCTION("""COMPUTED_VALUE"""),"+789")</f>
        <v>+789</v>
      </c>
      <c r="I52" s="3">
        <f>IFERROR(__xludf.DUMMYFUNCTION("""COMPUTED_VALUE"""),18468.0)</f>
        <v>18468</v>
      </c>
      <c r="J52" s="1"/>
      <c r="K52" s="3">
        <f>IFERROR(__xludf.DUMMYFUNCTION("""COMPUTED_VALUE"""),18119.0)</f>
        <v>18119</v>
      </c>
      <c r="L52" s="1">
        <f>IFERROR(__xludf.DUMMYFUNCTION("""COMPUTED_VALUE"""),60.0)</f>
        <v>60</v>
      </c>
      <c r="M52" s="3">
        <f>IFERROR(__xludf.DUMMYFUNCTION("""COMPUTED_VALUE"""),1.7799178E7)</f>
        <v>17799178</v>
      </c>
      <c r="N52" s="3">
        <f>IFERROR(__xludf.DUMMYFUNCTION("""COMPUTED_VALUE"""),1790201.0)</f>
        <v>1790201</v>
      </c>
      <c r="O52" s="2">
        <f>IFERROR(__xludf.DUMMYFUNCTION("""COMPUTED_VALUE"""),9942556.0)</f>
        <v>9942556</v>
      </c>
      <c r="P52" s="1" t="str">
        <f>IFERROR(__xludf.DUMMYFUNCTION("""COMPUTED_VALUE"""),"Asia")</f>
        <v>Asia</v>
      </c>
      <c r="Q52" s="1">
        <f>IFERROR(__xludf.DUMMYFUNCTION("""COMPUTED_VALUE"""),55.0)</f>
        <v>55</v>
      </c>
      <c r="R52" s="3">
        <f>IFERROR(__xludf.DUMMYFUNCTION("""COMPUTED_VALUE"""),16626.0)</f>
        <v>16626</v>
      </c>
      <c r="S52" s="1">
        <f>IFERROR(__xludf.DUMMYFUNCTION("""COMPUTED_VALUE"""),1.0)</f>
        <v>1</v>
      </c>
    </row>
    <row r="53">
      <c r="A53" s="1">
        <f>IFERROR(__xludf.DUMMYFUNCTION("""COMPUTED_VALUE"""),44.0)</f>
        <v>44</v>
      </c>
      <c r="B53" s="1" t="str">
        <f>IFERROR(__xludf.DUMMYFUNCTION("""COMPUTED_VALUE"""),"Georgia")</f>
        <v>Georgia</v>
      </c>
      <c r="C53" s="3">
        <f>IFERROR(__xludf.DUMMYFUNCTION("""COMPUTED_VALUE"""),174383.0)</f>
        <v>174383</v>
      </c>
      <c r="D53" s="1" t="str">
        <f>IFERROR(__xludf.DUMMYFUNCTION("""COMPUTED_VALUE"""),"+4,734")</f>
        <v>+4,734</v>
      </c>
      <c r="E53" s="3">
        <f>IFERROR(__xludf.DUMMYFUNCTION("""COMPUTED_VALUE"""),1614.0)</f>
        <v>1614</v>
      </c>
      <c r="F53" s="1" t="str">
        <f>IFERROR(__xludf.DUMMYFUNCTION("""COMPUTED_VALUE"""),"+38")</f>
        <v>+38</v>
      </c>
      <c r="G53" s="3">
        <f>IFERROR(__xludf.DUMMYFUNCTION("""COMPUTED_VALUE"""),145287.0)</f>
        <v>145287</v>
      </c>
      <c r="H53" s="1" t="str">
        <f>IFERROR(__xludf.DUMMYFUNCTION("""COMPUTED_VALUE"""),"+3,895")</f>
        <v>+3,895</v>
      </c>
      <c r="I53" s="3">
        <f>IFERROR(__xludf.DUMMYFUNCTION("""COMPUTED_VALUE"""),27482.0)</f>
        <v>27482</v>
      </c>
      <c r="J53" s="1"/>
      <c r="K53" s="3">
        <f>IFERROR(__xludf.DUMMYFUNCTION("""COMPUTED_VALUE"""),43751.0)</f>
        <v>43751</v>
      </c>
      <c r="L53" s="1">
        <f>IFERROR(__xludf.DUMMYFUNCTION("""COMPUTED_VALUE"""),405.0)</f>
        <v>405</v>
      </c>
      <c r="M53" s="3">
        <f>IFERROR(__xludf.DUMMYFUNCTION("""COMPUTED_VALUE"""),1627020.0)</f>
        <v>1627020</v>
      </c>
      <c r="N53" s="3">
        <f>IFERROR(__xludf.DUMMYFUNCTION("""COMPUTED_VALUE"""),408206.0)</f>
        <v>408206</v>
      </c>
      <c r="O53" s="2">
        <f>IFERROR(__xludf.DUMMYFUNCTION("""COMPUTED_VALUE"""),3985784.0)</f>
        <v>3985784</v>
      </c>
      <c r="P53" s="1" t="str">
        <f>IFERROR(__xludf.DUMMYFUNCTION("""COMPUTED_VALUE"""),"Asia")</f>
        <v>Asia</v>
      </c>
      <c r="Q53" s="1">
        <f>IFERROR(__xludf.DUMMYFUNCTION("""COMPUTED_VALUE"""),23.0)</f>
        <v>23</v>
      </c>
      <c r="R53" s="3">
        <f>IFERROR(__xludf.DUMMYFUNCTION("""COMPUTED_VALUE"""),2470.0)</f>
        <v>2470</v>
      </c>
      <c r="S53" s="1">
        <f>IFERROR(__xludf.DUMMYFUNCTION("""COMPUTED_VALUE"""),2.0)</f>
        <v>2</v>
      </c>
    </row>
    <row r="54">
      <c r="A54" s="1">
        <f>IFERROR(__xludf.DUMMYFUNCTION("""COMPUTED_VALUE"""),45.0)</f>
        <v>45</v>
      </c>
      <c r="B54" s="1" t="str">
        <f>IFERROR(__xludf.DUMMYFUNCTION("""COMPUTED_VALUE"""),"Bulgaria")</f>
        <v>Bulgaria</v>
      </c>
      <c r="C54" s="3">
        <f>IFERROR(__xludf.DUMMYFUNCTION("""COMPUTED_VALUE"""),168165.0)</f>
        <v>168165</v>
      </c>
      <c r="D54" s="1"/>
      <c r="E54" s="3">
        <f>IFERROR(__xludf.DUMMYFUNCTION("""COMPUTED_VALUE"""),5156.0)</f>
        <v>5156</v>
      </c>
      <c r="F54" s="1"/>
      <c r="G54" s="3">
        <f>IFERROR(__xludf.DUMMYFUNCTION("""COMPUTED_VALUE"""),69028.0)</f>
        <v>69028</v>
      </c>
      <c r="H54" s="1"/>
      <c r="I54" s="3">
        <f>IFERROR(__xludf.DUMMYFUNCTION("""COMPUTED_VALUE"""),93981.0)</f>
        <v>93981</v>
      </c>
      <c r="J54" s="1">
        <f>IFERROR(__xludf.DUMMYFUNCTION("""COMPUTED_VALUE"""),514.0)</f>
        <v>514</v>
      </c>
      <c r="K54" s="3">
        <f>IFERROR(__xludf.DUMMYFUNCTION("""COMPUTED_VALUE"""),24283.0)</f>
        <v>24283</v>
      </c>
      <c r="L54" s="1">
        <f>IFERROR(__xludf.DUMMYFUNCTION("""COMPUTED_VALUE"""),745.0)</f>
        <v>745</v>
      </c>
      <c r="M54" s="3">
        <f>IFERROR(__xludf.DUMMYFUNCTION("""COMPUTED_VALUE"""),1032782.0)</f>
        <v>1032782</v>
      </c>
      <c r="N54" s="3">
        <f>IFERROR(__xludf.DUMMYFUNCTION("""COMPUTED_VALUE"""),149133.0)</f>
        <v>149133</v>
      </c>
      <c r="O54" s="2">
        <f>IFERROR(__xludf.DUMMYFUNCTION("""COMPUTED_VALUE"""),6925234.0)</f>
        <v>6925234</v>
      </c>
      <c r="P54" s="1" t="str">
        <f>IFERROR(__xludf.DUMMYFUNCTION("""COMPUTED_VALUE"""),"Europe")</f>
        <v>Europe</v>
      </c>
      <c r="Q54" s="1">
        <f>IFERROR(__xludf.DUMMYFUNCTION("""COMPUTED_VALUE"""),41.0)</f>
        <v>41</v>
      </c>
      <c r="R54" s="3">
        <f>IFERROR(__xludf.DUMMYFUNCTION("""COMPUTED_VALUE"""),1343.0)</f>
        <v>1343</v>
      </c>
      <c r="S54" s="1">
        <f>IFERROR(__xludf.DUMMYFUNCTION("""COMPUTED_VALUE"""),7.0)</f>
        <v>7</v>
      </c>
    </row>
    <row r="55">
      <c r="A55" s="1">
        <f>IFERROR(__xludf.DUMMYFUNCTION("""COMPUTED_VALUE"""),46.0)</f>
        <v>46</v>
      </c>
      <c r="B55" s="1" t="str">
        <f>IFERROR(__xludf.DUMMYFUNCTION("""COMPUTED_VALUE"""),"Japan")</f>
        <v>Japan</v>
      </c>
      <c r="C55" s="3">
        <f>IFERROR(__xludf.DUMMYFUNCTION("""COMPUTED_VALUE"""),165840.0)</f>
        <v>165840</v>
      </c>
      <c r="D55" s="1" t="str">
        <f>IFERROR(__xludf.DUMMYFUNCTION("""COMPUTED_VALUE"""),"+1,911")</f>
        <v>+1,911</v>
      </c>
      <c r="E55" s="3">
        <f>IFERROR(__xludf.DUMMYFUNCTION("""COMPUTED_VALUE"""),2420.0)</f>
        <v>2420</v>
      </c>
      <c r="F55" s="1" t="str">
        <f>IFERROR(__xludf.DUMMYFUNCTION("""COMPUTED_VALUE"""),"+38")</f>
        <v>+38</v>
      </c>
      <c r="G55" s="3">
        <f>IFERROR(__xludf.DUMMYFUNCTION("""COMPUTED_VALUE"""),140622.0)</f>
        <v>140622</v>
      </c>
      <c r="H55" s="1" t="str">
        <f>IFERROR(__xludf.DUMMYFUNCTION("""COMPUTED_VALUE"""),"+1,628")</f>
        <v>+1,628</v>
      </c>
      <c r="I55" s="3">
        <f>IFERROR(__xludf.DUMMYFUNCTION("""COMPUTED_VALUE"""),22798.0)</f>
        <v>22798</v>
      </c>
      <c r="J55" s="1">
        <f>IFERROR(__xludf.DUMMYFUNCTION("""COMPUTED_VALUE"""),555.0)</f>
        <v>555</v>
      </c>
      <c r="K55" s="3">
        <f>IFERROR(__xludf.DUMMYFUNCTION("""COMPUTED_VALUE"""),1313.0)</f>
        <v>1313</v>
      </c>
      <c r="L55" s="1">
        <f>IFERROR(__xludf.DUMMYFUNCTION("""COMPUTED_VALUE"""),19.0)</f>
        <v>19</v>
      </c>
      <c r="M55" s="3">
        <f>IFERROR(__xludf.DUMMYFUNCTION("""COMPUTED_VALUE"""),3842524.0)</f>
        <v>3842524</v>
      </c>
      <c r="N55" s="3">
        <f>IFERROR(__xludf.DUMMYFUNCTION("""COMPUTED_VALUE"""),30423.0)</f>
        <v>30423</v>
      </c>
      <c r="O55" s="2">
        <f>IFERROR(__xludf.DUMMYFUNCTION("""COMPUTED_VALUE"""),1.26305261E8)</f>
        <v>126305261</v>
      </c>
      <c r="P55" s="1" t="str">
        <f>IFERROR(__xludf.DUMMYFUNCTION("""COMPUTED_VALUE"""),"Asia")</f>
        <v>Asia</v>
      </c>
      <c r="Q55" s="1">
        <f>IFERROR(__xludf.DUMMYFUNCTION("""COMPUTED_VALUE"""),762.0)</f>
        <v>762</v>
      </c>
      <c r="R55" s="3">
        <f>IFERROR(__xludf.DUMMYFUNCTION("""COMPUTED_VALUE"""),52192.0)</f>
        <v>52192</v>
      </c>
      <c r="S55" s="1">
        <f>IFERROR(__xludf.DUMMYFUNCTION("""COMPUTED_VALUE"""),33.0)</f>
        <v>33</v>
      </c>
    </row>
    <row r="56">
      <c r="A56" s="1">
        <f>IFERROR(__xludf.DUMMYFUNCTION("""COMPUTED_VALUE"""),47.0)</f>
        <v>47</v>
      </c>
      <c r="B56" s="1" t="str">
        <f>IFERROR(__xludf.DUMMYFUNCTION("""COMPUTED_VALUE"""),"Croatia")</f>
        <v>Croatia</v>
      </c>
      <c r="C56" s="3">
        <f>IFERROR(__xludf.DUMMYFUNCTION("""COMPUTED_VALUE"""),159372.0)</f>
        <v>159372</v>
      </c>
      <c r="D56" s="1" t="str">
        <f>IFERROR(__xludf.DUMMYFUNCTION("""COMPUTED_VALUE"""),"+4,520")</f>
        <v>+4,520</v>
      </c>
      <c r="E56" s="3">
        <f>IFERROR(__xludf.DUMMYFUNCTION("""COMPUTED_VALUE"""),2367.0)</f>
        <v>2367</v>
      </c>
      <c r="F56" s="1" t="str">
        <f>IFERROR(__xludf.DUMMYFUNCTION("""COMPUTED_VALUE"""),"+69")</f>
        <v>+69</v>
      </c>
      <c r="G56" s="3">
        <f>IFERROR(__xludf.DUMMYFUNCTION("""COMPUTED_VALUE"""),133255.0)</f>
        <v>133255</v>
      </c>
      <c r="H56" s="1" t="str">
        <f>IFERROR(__xludf.DUMMYFUNCTION("""COMPUTED_VALUE"""),"+2,386")</f>
        <v>+2,386</v>
      </c>
      <c r="I56" s="3">
        <f>IFERROR(__xludf.DUMMYFUNCTION("""COMPUTED_VALUE"""),23750.0)</f>
        <v>23750</v>
      </c>
      <c r="J56" s="1">
        <f>IFERROR(__xludf.DUMMYFUNCTION("""COMPUTED_VALUE"""),280.0)</f>
        <v>280</v>
      </c>
      <c r="K56" s="3">
        <f>IFERROR(__xludf.DUMMYFUNCTION("""COMPUTED_VALUE"""),38928.0)</f>
        <v>38928</v>
      </c>
      <c r="L56" s="1">
        <f>IFERROR(__xludf.DUMMYFUNCTION("""COMPUTED_VALUE"""),578.0)</f>
        <v>578</v>
      </c>
      <c r="M56" s="3">
        <f>IFERROR(__xludf.DUMMYFUNCTION("""COMPUTED_VALUE"""),837619.0)</f>
        <v>837619</v>
      </c>
      <c r="N56" s="3">
        <f>IFERROR(__xludf.DUMMYFUNCTION("""COMPUTED_VALUE"""),204594.0)</f>
        <v>204594</v>
      </c>
      <c r="O56" s="2">
        <f>IFERROR(__xludf.DUMMYFUNCTION("""COMPUTED_VALUE"""),4094045.0)</f>
        <v>4094045</v>
      </c>
      <c r="P56" s="1" t="str">
        <f>IFERROR(__xludf.DUMMYFUNCTION("""COMPUTED_VALUE"""),"Europe")</f>
        <v>Europe</v>
      </c>
      <c r="Q56" s="1">
        <f>IFERROR(__xludf.DUMMYFUNCTION("""COMPUTED_VALUE"""),26.0)</f>
        <v>26</v>
      </c>
      <c r="R56" s="3">
        <f>IFERROR(__xludf.DUMMYFUNCTION("""COMPUTED_VALUE"""),1730.0)</f>
        <v>1730</v>
      </c>
      <c r="S56" s="1">
        <f>IFERROR(__xludf.DUMMYFUNCTION("""COMPUTED_VALUE"""),5.0)</f>
        <v>5</v>
      </c>
    </row>
    <row r="57">
      <c r="A57" s="1">
        <f>IFERROR(__xludf.DUMMYFUNCTION("""COMPUTED_VALUE"""),48.0)</f>
        <v>48</v>
      </c>
      <c r="B57" s="1" t="str">
        <f>IFERROR(__xludf.DUMMYFUNCTION("""COMPUTED_VALUE"""),"Azerbaijan")</f>
        <v>Azerbaijan</v>
      </c>
      <c r="C57" s="3">
        <f>IFERROR(__xludf.DUMMYFUNCTION("""COMPUTED_VALUE"""),158555.0)</f>
        <v>158555</v>
      </c>
      <c r="D57" s="1" t="str">
        <f>IFERROR(__xludf.DUMMYFUNCTION("""COMPUTED_VALUE"""),"+4,403")</f>
        <v>+4,403</v>
      </c>
      <c r="E57" s="3">
        <f>IFERROR(__xludf.DUMMYFUNCTION("""COMPUTED_VALUE"""),1755.0)</f>
        <v>1755</v>
      </c>
      <c r="F57" s="1" t="str">
        <f>IFERROR(__xludf.DUMMYFUNCTION("""COMPUTED_VALUE"""),"+42")</f>
        <v>+42</v>
      </c>
      <c r="G57" s="3">
        <f>IFERROR(__xludf.DUMMYFUNCTION("""COMPUTED_VALUE"""),96330.0)</f>
        <v>96330</v>
      </c>
      <c r="H57" s="1" t="str">
        <f>IFERROR(__xludf.DUMMYFUNCTION("""COMPUTED_VALUE"""),"+2,919")</f>
        <v>+2,919</v>
      </c>
      <c r="I57" s="3">
        <f>IFERROR(__xludf.DUMMYFUNCTION("""COMPUTED_VALUE"""),60470.0)</f>
        <v>60470</v>
      </c>
      <c r="J57" s="1"/>
      <c r="K57" s="3">
        <f>IFERROR(__xludf.DUMMYFUNCTION("""COMPUTED_VALUE"""),15576.0)</f>
        <v>15576</v>
      </c>
      <c r="L57" s="1">
        <f>IFERROR(__xludf.DUMMYFUNCTION("""COMPUTED_VALUE"""),172.0)</f>
        <v>172</v>
      </c>
      <c r="M57" s="3">
        <f>IFERROR(__xludf.DUMMYFUNCTION("""COMPUTED_VALUE"""),1884578.0)</f>
        <v>1884578</v>
      </c>
      <c r="N57" s="3">
        <f>IFERROR(__xludf.DUMMYFUNCTION("""COMPUTED_VALUE"""),185141.0)</f>
        <v>185141</v>
      </c>
      <c r="O57" s="2">
        <f>IFERROR(__xludf.DUMMYFUNCTION("""COMPUTED_VALUE"""),1.0179174E7)</f>
        <v>10179174</v>
      </c>
      <c r="P57" s="1" t="str">
        <f>IFERROR(__xludf.DUMMYFUNCTION("""COMPUTED_VALUE"""),"Asia")</f>
        <v>Asia</v>
      </c>
      <c r="Q57" s="1">
        <f>IFERROR(__xludf.DUMMYFUNCTION("""COMPUTED_VALUE"""),64.0)</f>
        <v>64</v>
      </c>
      <c r="R57" s="3">
        <f>IFERROR(__xludf.DUMMYFUNCTION("""COMPUTED_VALUE"""),5800.0)</f>
        <v>5800</v>
      </c>
      <c r="S57" s="1">
        <f>IFERROR(__xludf.DUMMYFUNCTION("""COMPUTED_VALUE"""),5.0)</f>
        <v>5</v>
      </c>
    </row>
    <row r="58">
      <c r="A58" s="1">
        <f>IFERROR(__xludf.DUMMYFUNCTION("""COMPUTED_VALUE"""),49.0)</f>
        <v>49</v>
      </c>
      <c r="B58" s="1" t="str">
        <f>IFERROR(__xludf.DUMMYFUNCTION("""COMPUTED_VALUE"""),"Belarus")</f>
        <v>Belarus</v>
      </c>
      <c r="C58" s="3">
        <f>IFERROR(__xludf.DUMMYFUNCTION("""COMPUTED_VALUE"""),152453.0)</f>
        <v>152453</v>
      </c>
      <c r="D58" s="1" t="str">
        <f>IFERROR(__xludf.DUMMYFUNCTION("""COMPUTED_VALUE"""),"+1,851")</f>
        <v>+1,851</v>
      </c>
      <c r="E58" s="3">
        <f>IFERROR(__xludf.DUMMYFUNCTION("""COMPUTED_VALUE"""),1230.0)</f>
        <v>1230</v>
      </c>
      <c r="F58" s="1" t="str">
        <f>IFERROR(__xludf.DUMMYFUNCTION("""COMPUTED_VALUE"""),"+8")</f>
        <v>+8</v>
      </c>
      <c r="G58" s="3">
        <f>IFERROR(__xludf.DUMMYFUNCTION("""COMPUTED_VALUE"""),129950.0)</f>
        <v>129950</v>
      </c>
      <c r="H58" s="1" t="str">
        <f>IFERROR(__xludf.DUMMYFUNCTION("""COMPUTED_VALUE"""),"+2,422")</f>
        <v>+2,422</v>
      </c>
      <c r="I58" s="3">
        <f>IFERROR(__xludf.DUMMYFUNCTION("""COMPUTED_VALUE"""),21273.0)</f>
        <v>21273</v>
      </c>
      <c r="J58" s="1"/>
      <c r="K58" s="3">
        <f>IFERROR(__xludf.DUMMYFUNCTION("""COMPUTED_VALUE"""),16136.0)</f>
        <v>16136</v>
      </c>
      <c r="L58" s="1">
        <f>IFERROR(__xludf.DUMMYFUNCTION("""COMPUTED_VALUE"""),130.0)</f>
        <v>130</v>
      </c>
      <c r="M58" s="3">
        <f>IFERROR(__xludf.DUMMYFUNCTION("""COMPUTED_VALUE"""),3487468.0)</f>
        <v>3487468</v>
      </c>
      <c r="N58" s="3">
        <f>IFERROR(__xludf.DUMMYFUNCTION("""COMPUTED_VALUE"""),369124.0)</f>
        <v>369124</v>
      </c>
      <c r="O58" s="2">
        <f>IFERROR(__xludf.DUMMYFUNCTION("""COMPUTED_VALUE"""),9447952.0)</f>
        <v>9447952</v>
      </c>
      <c r="P58" s="1" t="str">
        <f>IFERROR(__xludf.DUMMYFUNCTION("""COMPUTED_VALUE"""),"Europe")</f>
        <v>Europe</v>
      </c>
      <c r="Q58" s="1">
        <f>IFERROR(__xludf.DUMMYFUNCTION("""COMPUTED_VALUE"""),62.0)</f>
        <v>62</v>
      </c>
      <c r="R58" s="3">
        <f>IFERROR(__xludf.DUMMYFUNCTION("""COMPUTED_VALUE"""),7681.0)</f>
        <v>7681</v>
      </c>
      <c r="S58" s="1">
        <f>IFERROR(__xludf.DUMMYFUNCTION("""COMPUTED_VALUE"""),3.0)</f>
        <v>3</v>
      </c>
    </row>
    <row r="59">
      <c r="A59" s="1">
        <f>IFERROR(__xludf.DUMMYFUNCTION("""COMPUTED_VALUE"""),50.0)</f>
        <v>50</v>
      </c>
      <c r="B59" s="1" t="str">
        <f>IFERROR(__xludf.DUMMYFUNCTION("""COMPUTED_VALUE"""),"Dominican Republic")</f>
        <v>Dominican Republic</v>
      </c>
      <c r="C59" s="3">
        <f>IFERROR(__xludf.DUMMYFUNCTION("""COMPUTED_VALUE"""),150161.0)</f>
        <v>150161</v>
      </c>
      <c r="D59" s="1" t="str">
        <f>IFERROR(__xludf.DUMMYFUNCTION("""COMPUTED_VALUE"""),"+531")</f>
        <v>+531</v>
      </c>
      <c r="E59" s="3">
        <f>IFERROR(__xludf.DUMMYFUNCTION("""COMPUTED_VALUE"""),2350.0)</f>
        <v>2350</v>
      </c>
      <c r="F59" s="1" t="str">
        <f>IFERROR(__xludf.DUMMYFUNCTION("""COMPUTED_VALUE"""),"+3")</f>
        <v>+3</v>
      </c>
      <c r="G59" s="3">
        <f>IFERROR(__xludf.DUMMYFUNCTION("""COMPUTED_VALUE"""),118008.0)</f>
        <v>118008</v>
      </c>
      <c r="H59" s="1" t="str">
        <f>IFERROR(__xludf.DUMMYFUNCTION("""COMPUTED_VALUE"""),"+204")</f>
        <v>+204</v>
      </c>
      <c r="I59" s="3">
        <f>IFERROR(__xludf.DUMMYFUNCTION("""COMPUTED_VALUE"""),29803.0)</f>
        <v>29803</v>
      </c>
      <c r="J59" s="1">
        <f>IFERROR(__xludf.DUMMYFUNCTION("""COMPUTED_VALUE"""),213.0)</f>
        <v>213</v>
      </c>
      <c r="K59" s="3">
        <f>IFERROR(__xludf.DUMMYFUNCTION("""COMPUTED_VALUE"""),13782.0)</f>
        <v>13782</v>
      </c>
      <c r="L59" s="1">
        <f>IFERROR(__xludf.DUMMYFUNCTION("""COMPUTED_VALUE"""),216.0)</f>
        <v>216</v>
      </c>
      <c r="M59" s="3">
        <f>IFERROR(__xludf.DUMMYFUNCTION("""COMPUTED_VALUE"""),766071.0)</f>
        <v>766071</v>
      </c>
      <c r="N59" s="3">
        <f>IFERROR(__xludf.DUMMYFUNCTION("""COMPUTED_VALUE"""),70311.0)</f>
        <v>70311</v>
      </c>
      <c r="O59" s="2">
        <f>IFERROR(__xludf.DUMMYFUNCTION("""COMPUTED_VALUE"""),1.0895476E7)</f>
        <v>10895476</v>
      </c>
      <c r="P59" s="1" t="str">
        <f>IFERROR(__xludf.DUMMYFUNCTION("""COMPUTED_VALUE"""),"North America")</f>
        <v>North America</v>
      </c>
      <c r="Q59" s="1">
        <f>IFERROR(__xludf.DUMMYFUNCTION("""COMPUTED_VALUE"""),73.0)</f>
        <v>73</v>
      </c>
      <c r="R59" s="3">
        <f>IFERROR(__xludf.DUMMYFUNCTION("""COMPUTED_VALUE"""),4636.0)</f>
        <v>4636</v>
      </c>
      <c r="S59" s="1">
        <f>IFERROR(__xludf.DUMMYFUNCTION("""COMPUTED_VALUE"""),14.0)</f>
        <v>14</v>
      </c>
    </row>
    <row r="60">
      <c r="A60" s="1">
        <f>IFERROR(__xludf.DUMMYFUNCTION("""COMPUTED_VALUE"""),51.0)</f>
        <v>51</v>
      </c>
      <c r="B60" s="1" t="str">
        <f>IFERROR(__xludf.DUMMYFUNCTION("""COMPUTED_VALUE"""),"Costa Rica")</f>
        <v>Costa Rica</v>
      </c>
      <c r="C60" s="3">
        <f>IFERROR(__xludf.DUMMYFUNCTION("""COMPUTED_VALUE"""),147430.0)</f>
        <v>147430</v>
      </c>
      <c r="D60" s="1"/>
      <c r="E60" s="3">
        <f>IFERROR(__xludf.DUMMYFUNCTION("""COMPUTED_VALUE"""),1846.0)</f>
        <v>1846</v>
      </c>
      <c r="F60" s="1"/>
      <c r="G60" s="3">
        <f>IFERROR(__xludf.DUMMYFUNCTION("""COMPUTED_VALUE"""),105686.0)</f>
        <v>105686</v>
      </c>
      <c r="H60" s="1"/>
      <c r="I60" s="3">
        <f>IFERROR(__xludf.DUMMYFUNCTION("""COMPUTED_VALUE"""),39898.0)</f>
        <v>39898</v>
      </c>
      <c r="J60" s="1">
        <f>IFERROR(__xludf.DUMMYFUNCTION("""COMPUTED_VALUE"""),230.0)</f>
        <v>230</v>
      </c>
      <c r="K60" s="3">
        <f>IFERROR(__xludf.DUMMYFUNCTION("""COMPUTED_VALUE"""),28826.0)</f>
        <v>28826</v>
      </c>
      <c r="L60" s="1">
        <f>IFERROR(__xludf.DUMMYFUNCTION("""COMPUTED_VALUE"""),361.0)</f>
        <v>361</v>
      </c>
      <c r="M60" s="3">
        <f>IFERROR(__xludf.DUMMYFUNCTION("""COMPUTED_VALUE"""),419572.0)</f>
        <v>419572</v>
      </c>
      <c r="N60" s="3">
        <f>IFERROR(__xludf.DUMMYFUNCTION("""COMPUTED_VALUE"""),82036.0)</f>
        <v>82036</v>
      </c>
      <c r="O60" s="2">
        <f>IFERROR(__xludf.DUMMYFUNCTION("""COMPUTED_VALUE"""),5114474.0)</f>
        <v>5114474</v>
      </c>
      <c r="P60" s="1" t="str">
        <f>IFERROR(__xludf.DUMMYFUNCTION("""COMPUTED_VALUE"""),"North America")</f>
        <v>North America</v>
      </c>
      <c r="Q60" s="1">
        <f>IFERROR(__xludf.DUMMYFUNCTION("""COMPUTED_VALUE"""),35.0)</f>
        <v>35</v>
      </c>
      <c r="R60" s="3">
        <f>IFERROR(__xludf.DUMMYFUNCTION("""COMPUTED_VALUE"""),2771.0)</f>
        <v>2771</v>
      </c>
      <c r="S60" s="1">
        <f>IFERROR(__xludf.DUMMYFUNCTION("""COMPUTED_VALUE"""),12.0)</f>
        <v>12</v>
      </c>
    </row>
    <row r="61">
      <c r="A61" s="1">
        <f>IFERROR(__xludf.DUMMYFUNCTION("""COMPUTED_VALUE"""),52.0)</f>
        <v>52</v>
      </c>
      <c r="B61" s="1" t="str">
        <f>IFERROR(__xludf.DUMMYFUNCTION("""COMPUTED_VALUE"""),"Bolivia")</f>
        <v>Bolivia</v>
      </c>
      <c r="C61" s="3">
        <f>IFERROR(__xludf.DUMMYFUNCTION("""COMPUTED_VALUE"""),145846.0)</f>
        <v>145846</v>
      </c>
      <c r="D61" s="1" t="str">
        <f>IFERROR(__xludf.DUMMYFUNCTION("""COMPUTED_VALUE"""),"+189")</f>
        <v>+189</v>
      </c>
      <c r="E61" s="3">
        <f>IFERROR(__xludf.DUMMYFUNCTION("""COMPUTED_VALUE"""),9002.0)</f>
        <v>9002</v>
      </c>
      <c r="F61" s="1" t="str">
        <f>IFERROR(__xludf.DUMMYFUNCTION("""COMPUTED_VALUE"""),"+5")</f>
        <v>+5</v>
      </c>
      <c r="G61" s="3">
        <f>IFERROR(__xludf.DUMMYFUNCTION("""COMPUTED_VALUE"""),125230.0)</f>
        <v>125230</v>
      </c>
      <c r="H61" s="1" t="str">
        <f>IFERROR(__xludf.DUMMYFUNCTION("""COMPUTED_VALUE"""),"+249")</f>
        <v>+249</v>
      </c>
      <c r="I61" s="3">
        <f>IFERROR(__xludf.DUMMYFUNCTION("""COMPUTED_VALUE"""),11614.0)</f>
        <v>11614</v>
      </c>
      <c r="J61" s="1">
        <f>IFERROR(__xludf.DUMMYFUNCTION("""COMPUTED_VALUE"""),71.0)</f>
        <v>71</v>
      </c>
      <c r="K61" s="3">
        <f>IFERROR(__xludf.DUMMYFUNCTION("""COMPUTED_VALUE"""),12420.0)</f>
        <v>12420</v>
      </c>
      <c r="L61" s="1">
        <f>IFERROR(__xludf.DUMMYFUNCTION("""COMPUTED_VALUE"""),767.0)</f>
        <v>767</v>
      </c>
      <c r="M61" s="3">
        <f>IFERROR(__xludf.DUMMYFUNCTION("""COMPUTED_VALUE"""),370846.0)</f>
        <v>370846</v>
      </c>
      <c r="N61" s="3">
        <f>IFERROR(__xludf.DUMMYFUNCTION("""COMPUTED_VALUE"""),31582.0)</f>
        <v>31582</v>
      </c>
      <c r="O61" s="2">
        <f>IFERROR(__xludf.DUMMYFUNCTION("""COMPUTED_VALUE"""),1.1742415E7)</f>
        <v>11742415</v>
      </c>
      <c r="P61" s="1" t="str">
        <f>IFERROR(__xludf.DUMMYFUNCTION("""COMPUTED_VALUE"""),"South America")</f>
        <v>South America</v>
      </c>
      <c r="Q61" s="1">
        <f>IFERROR(__xludf.DUMMYFUNCTION("""COMPUTED_VALUE"""),81.0)</f>
        <v>81</v>
      </c>
      <c r="R61" s="3">
        <f>IFERROR(__xludf.DUMMYFUNCTION("""COMPUTED_VALUE"""),1304.0)</f>
        <v>1304</v>
      </c>
      <c r="S61" s="1">
        <f>IFERROR(__xludf.DUMMYFUNCTION("""COMPUTED_VALUE"""),32.0)</f>
        <v>32</v>
      </c>
    </row>
    <row r="62">
      <c r="A62" s="1">
        <f>IFERROR(__xludf.DUMMYFUNCTION("""COMPUTED_VALUE"""),53.0)</f>
        <v>53</v>
      </c>
      <c r="B62" s="1" t="str">
        <f>IFERROR(__xludf.DUMMYFUNCTION("""COMPUTED_VALUE"""),"Kuwait")</f>
        <v>Kuwait</v>
      </c>
      <c r="C62" s="3">
        <f>IFERROR(__xludf.DUMMYFUNCTION("""COMPUTED_VALUE"""),145204.0)</f>
        <v>145204</v>
      </c>
      <c r="D62" s="1" t="str">
        <f>IFERROR(__xludf.DUMMYFUNCTION("""COMPUTED_VALUE"""),"+304")</f>
        <v>+304</v>
      </c>
      <c r="E62" s="1">
        <f>IFERROR(__xludf.DUMMYFUNCTION("""COMPUTED_VALUE"""),905.0)</f>
        <v>905</v>
      </c>
      <c r="F62" s="1" t="str">
        <f>IFERROR(__xludf.DUMMYFUNCTION("""COMPUTED_VALUE"""),"+5")</f>
        <v>+5</v>
      </c>
      <c r="G62" s="3">
        <f>IFERROR(__xludf.DUMMYFUNCTION("""COMPUTED_VALUE"""),140989.0)</f>
        <v>140989</v>
      </c>
      <c r="H62" s="1" t="str">
        <f>IFERROR(__xludf.DUMMYFUNCTION("""COMPUTED_VALUE"""),"+351")</f>
        <v>+351</v>
      </c>
      <c r="I62" s="3">
        <f>IFERROR(__xludf.DUMMYFUNCTION("""COMPUTED_VALUE"""),3310.0)</f>
        <v>3310</v>
      </c>
      <c r="J62" s="1">
        <f>IFERROR(__xludf.DUMMYFUNCTION("""COMPUTED_VALUE"""),79.0)</f>
        <v>79</v>
      </c>
      <c r="K62" s="3">
        <f>IFERROR(__xludf.DUMMYFUNCTION("""COMPUTED_VALUE"""),33784.0)</f>
        <v>33784</v>
      </c>
      <c r="L62" s="1">
        <f>IFERROR(__xludf.DUMMYFUNCTION("""COMPUTED_VALUE"""),211.0)</f>
        <v>211</v>
      </c>
      <c r="M62" s="3">
        <f>IFERROR(__xludf.DUMMYFUNCTION("""COMPUTED_VALUE"""),1158859.0)</f>
        <v>1158859</v>
      </c>
      <c r="N62" s="3">
        <f>IFERROR(__xludf.DUMMYFUNCTION("""COMPUTED_VALUE"""),269623.0)</f>
        <v>269623</v>
      </c>
      <c r="O62" s="2">
        <f>IFERROR(__xludf.DUMMYFUNCTION("""COMPUTED_VALUE"""),4298066.0)</f>
        <v>4298066</v>
      </c>
      <c r="P62" s="1" t="str">
        <f>IFERROR(__xludf.DUMMYFUNCTION("""COMPUTED_VALUE"""),"Asia")</f>
        <v>Asia</v>
      </c>
      <c r="Q62" s="1">
        <f>IFERROR(__xludf.DUMMYFUNCTION("""COMPUTED_VALUE"""),30.0)</f>
        <v>30</v>
      </c>
      <c r="R62" s="3">
        <f>IFERROR(__xludf.DUMMYFUNCTION("""COMPUTED_VALUE"""),4749.0)</f>
        <v>4749</v>
      </c>
      <c r="S62" s="1">
        <f>IFERROR(__xludf.DUMMYFUNCTION("""COMPUTED_VALUE"""),4.0)</f>
        <v>4</v>
      </c>
    </row>
    <row r="63">
      <c r="A63" s="1">
        <f>IFERROR(__xludf.DUMMYFUNCTION("""COMPUTED_VALUE"""),54.0)</f>
        <v>54</v>
      </c>
      <c r="B63" s="1" t="str">
        <f>IFERROR(__xludf.DUMMYFUNCTION("""COMPUTED_VALUE"""),"Armenia")</f>
        <v>Armenia</v>
      </c>
      <c r="C63" s="3">
        <f>IFERROR(__xludf.DUMMYFUNCTION("""COMPUTED_VALUE"""),144066.0)</f>
        <v>144066</v>
      </c>
      <c r="D63" s="1" t="str">
        <f>IFERROR(__xludf.DUMMYFUNCTION("""COMPUTED_VALUE"""),"+1,138")</f>
        <v>+1,138</v>
      </c>
      <c r="E63" s="3">
        <f>IFERROR(__xludf.DUMMYFUNCTION("""COMPUTED_VALUE"""),2393.0)</f>
        <v>2393</v>
      </c>
      <c r="F63" s="1" t="str">
        <f>IFERROR(__xludf.DUMMYFUNCTION("""COMPUTED_VALUE"""),"+21")</f>
        <v>+21</v>
      </c>
      <c r="G63" s="3">
        <f>IFERROR(__xludf.DUMMYFUNCTION("""COMPUTED_VALUE"""),120532.0)</f>
        <v>120532</v>
      </c>
      <c r="H63" s="1" t="str">
        <f>IFERROR(__xludf.DUMMYFUNCTION("""COMPUTED_VALUE"""),"+1,385")</f>
        <v>+1,385</v>
      </c>
      <c r="I63" s="3">
        <f>IFERROR(__xludf.DUMMYFUNCTION("""COMPUTED_VALUE"""),21141.0)</f>
        <v>21141</v>
      </c>
      <c r="J63" s="1"/>
      <c r="K63" s="3">
        <f>IFERROR(__xludf.DUMMYFUNCTION("""COMPUTED_VALUE"""),48578.0)</f>
        <v>48578</v>
      </c>
      <c r="L63" s="1">
        <f>IFERROR(__xludf.DUMMYFUNCTION("""COMPUTED_VALUE"""),807.0)</f>
        <v>807</v>
      </c>
      <c r="M63" s="3">
        <f>IFERROR(__xludf.DUMMYFUNCTION("""COMPUTED_VALUE"""),535833.0)</f>
        <v>535833</v>
      </c>
      <c r="N63" s="3">
        <f>IFERROR(__xludf.DUMMYFUNCTION("""COMPUTED_VALUE"""),180678.0)</f>
        <v>180678</v>
      </c>
      <c r="O63" s="2">
        <f>IFERROR(__xludf.DUMMYFUNCTION("""COMPUTED_VALUE"""),2965682.0)</f>
        <v>2965682</v>
      </c>
      <c r="P63" s="1" t="str">
        <f>IFERROR(__xludf.DUMMYFUNCTION("""COMPUTED_VALUE"""),"Asia")</f>
        <v>Asia</v>
      </c>
      <c r="Q63" s="1">
        <f>IFERROR(__xludf.DUMMYFUNCTION("""COMPUTED_VALUE"""),21.0)</f>
        <v>21</v>
      </c>
      <c r="R63" s="3">
        <f>IFERROR(__xludf.DUMMYFUNCTION("""COMPUTED_VALUE"""),1239.0)</f>
        <v>1239</v>
      </c>
      <c r="S63" s="1">
        <f>IFERROR(__xludf.DUMMYFUNCTION("""COMPUTED_VALUE"""),6.0)</f>
        <v>6</v>
      </c>
    </row>
    <row r="64">
      <c r="A64" s="1">
        <f>IFERROR(__xludf.DUMMYFUNCTION("""COMPUTED_VALUE"""),55.0)</f>
        <v>55</v>
      </c>
      <c r="B64" s="1" t="str">
        <f>IFERROR(__xludf.DUMMYFUNCTION("""COMPUTED_VALUE"""),"Lebanon")</f>
        <v>Lebanon</v>
      </c>
      <c r="C64" s="3">
        <f>IFERROR(__xludf.DUMMYFUNCTION("""COMPUTED_VALUE"""),140409.0)</f>
        <v>140409</v>
      </c>
      <c r="D64" s="1" t="str">
        <f>IFERROR(__xludf.DUMMYFUNCTION("""COMPUTED_VALUE"""),"+1,274")</f>
        <v>+1,274</v>
      </c>
      <c r="E64" s="3">
        <f>IFERROR(__xludf.DUMMYFUNCTION("""COMPUTED_VALUE"""),1156.0)</f>
        <v>1156</v>
      </c>
      <c r="F64" s="1" t="str">
        <f>IFERROR(__xludf.DUMMYFUNCTION("""COMPUTED_VALUE"""),"+20")</f>
        <v>+20</v>
      </c>
      <c r="G64" s="3">
        <f>IFERROR(__xludf.DUMMYFUNCTION("""COMPUTED_VALUE"""),94042.0)</f>
        <v>94042</v>
      </c>
      <c r="H64" s="1" t="str">
        <f>IFERROR(__xludf.DUMMYFUNCTION("""COMPUTED_VALUE"""),"+942")</f>
        <v>+942</v>
      </c>
      <c r="I64" s="3">
        <f>IFERROR(__xludf.DUMMYFUNCTION("""COMPUTED_VALUE"""),45211.0)</f>
        <v>45211</v>
      </c>
      <c r="J64" s="1">
        <f>IFERROR(__xludf.DUMMYFUNCTION("""COMPUTED_VALUE"""),365.0)</f>
        <v>365</v>
      </c>
      <c r="K64" s="3">
        <f>IFERROR(__xludf.DUMMYFUNCTION("""COMPUTED_VALUE"""),20612.0)</f>
        <v>20612</v>
      </c>
      <c r="L64" s="1">
        <f>IFERROR(__xludf.DUMMYFUNCTION("""COMPUTED_VALUE"""),170.0)</f>
        <v>170</v>
      </c>
      <c r="M64" s="3">
        <f>IFERROR(__xludf.DUMMYFUNCTION("""COMPUTED_VALUE"""),1728980.0)</f>
        <v>1728980</v>
      </c>
      <c r="N64" s="3">
        <f>IFERROR(__xludf.DUMMYFUNCTION("""COMPUTED_VALUE"""),253817.0)</f>
        <v>253817</v>
      </c>
      <c r="O64" s="2">
        <f>IFERROR(__xludf.DUMMYFUNCTION("""COMPUTED_VALUE"""),6811914.0)</f>
        <v>6811914</v>
      </c>
      <c r="P64" s="1" t="str">
        <f>IFERROR(__xludf.DUMMYFUNCTION("""COMPUTED_VALUE"""),"Asia")</f>
        <v>Asia</v>
      </c>
      <c r="Q64" s="1">
        <f>IFERROR(__xludf.DUMMYFUNCTION("""COMPUTED_VALUE"""),49.0)</f>
        <v>49</v>
      </c>
      <c r="R64" s="3">
        <f>IFERROR(__xludf.DUMMYFUNCTION("""COMPUTED_VALUE"""),5893.0)</f>
        <v>5893</v>
      </c>
      <c r="S64" s="1">
        <f>IFERROR(__xludf.DUMMYFUNCTION("""COMPUTED_VALUE"""),4.0)</f>
        <v>4</v>
      </c>
    </row>
    <row r="65">
      <c r="A65" s="1">
        <f>IFERROR(__xludf.DUMMYFUNCTION("""COMPUTED_VALUE"""),56.0)</f>
        <v>56</v>
      </c>
      <c r="B65" s="1" t="str">
        <f>IFERROR(__xludf.DUMMYFUNCTION("""COMPUTED_VALUE"""),"Qatar")</f>
        <v>Qatar</v>
      </c>
      <c r="C65" s="3">
        <f>IFERROR(__xludf.DUMMYFUNCTION("""COMPUTED_VALUE"""),140353.0)</f>
        <v>140353</v>
      </c>
      <c r="D65" s="1" t="str">
        <f>IFERROR(__xludf.DUMMYFUNCTION("""COMPUTED_VALUE"""),"+150")</f>
        <v>+150</v>
      </c>
      <c r="E65" s="1">
        <f>IFERROR(__xludf.DUMMYFUNCTION("""COMPUTED_VALUE"""),240.0)</f>
        <v>240</v>
      </c>
      <c r="F65" s="1" t="str">
        <f>IFERROR(__xludf.DUMMYFUNCTION("""COMPUTED_VALUE"""),"+1")</f>
        <v>+1</v>
      </c>
      <c r="G65" s="3">
        <f>IFERROR(__xludf.DUMMYFUNCTION("""COMPUTED_VALUE"""),137881.0)</f>
        <v>137881</v>
      </c>
      <c r="H65" s="1" t="str">
        <f>IFERROR(__xludf.DUMMYFUNCTION("""COMPUTED_VALUE"""),"+173")</f>
        <v>+173</v>
      </c>
      <c r="I65" s="3">
        <f>IFERROR(__xludf.DUMMYFUNCTION("""COMPUTED_VALUE"""),2232.0)</f>
        <v>2232</v>
      </c>
      <c r="J65" s="1">
        <f>IFERROR(__xludf.DUMMYFUNCTION("""COMPUTED_VALUE"""),27.0)</f>
        <v>27</v>
      </c>
      <c r="K65" s="3">
        <f>IFERROR(__xludf.DUMMYFUNCTION("""COMPUTED_VALUE"""),49987.0)</f>
        <v>49987</v>
      </c>
      <c r="L65" s="1">
        <f>IFERROR(__xludf.DUMMYFUNCTION("""COMPUTED_VALUE"""),85.0)</f>
        <v>85</v>
      </c>
      <c r="M65" s="3">
        <f>IFERROR(__xludf.DUMMYFUNCTION("""COMPUTED_VALUE"""),1149684.0)</f>
        <v>1149684</v>
      </c>
      <c r="N65" s="3">
        <f>IFERROR(__xludf.DUMMYFUNCTION("""COMPUTED_VALUE"""),409460.0)</f>
        <v>409460</v>
      </c>
      <c r="O65" s="2">
        <f>IFERROR(__xludf.DUMMYFUNCTION("""COMPUTED_VALUE"""),2807805.0)</f>
        <v>2807805</v>
      </c>
      <c r="P65" s="1" t="str">
        <f>IFERROR(__xludf.DUMMYFUNCTION("""COMPUTED_VALUE"""),"Asia")</f>
        <v>Asia</v>
      </c>
      <c r="Q65" s="1">
        <f>IFERROR(__xludf.DUMMYFUNCTION("""COMPUTED_VALUE"""),20.0)</f>
        <v>20</v>
      </c>
      <c r="R65" s="3">
        <f>IFERROR(__xludf.DUMMYFUNCTION("""COMPUTED_VALUE"""),11699.0)</f>
        <v>11699</v>
      </c>
      <c r="S65" s="1">
        <f>IFERROR(__xludf.DUMMYFUNCTION("""COMPUTED_VALUE"""),2.0)</f>
        <v>2</v>
      </c>
    </row>
    <row r="66">
      <c r="A66" s="1">
        <f>IFERROR(__xludf.DUMMYFUNCTION("""COMPUTED_VALUE"""),57.0)</f>
        <v>57</v>
      </c>
      <c r="B66" s="1" t="str">
        <f>IFERROR(__xludf.DUMMYFUNCTION("""COMPUTED_VALUE"""),"Kazakhstan")</f>
        <v>Kazakhstan</v>
      </c>
      <c r="C66" s="3">
        <f>IFERROR(__xludf.DUMMYFUNCTION("""COMPUTED_VALUE"""),138382.0)</f>
        <v>138382</v>
      </c>
      <c r="D66" s="1" t="str">
        <f>IFERROR(__xludf.DUMMYFUNCTION("""COMPUTED_VALUE"""),"+729")</f>
        <v>+729</v>
      </c>
      <c r="E66" s="3">
        <f>IFERROR(__xludf.DUMMYFUNCTION("""COMPUTED_VALUE"""),2088.0)</f>
        <v>2088</v>
      </c>
      <c r="F66" s="1"/>
      <c r="G66" s="3">
        <f>IFERROR(__xludf.DUMMYFUNCTION("""COMPUTED_VALUE"""),122291.0)</f>
        <v>122291</v>
      </c>
      <c r="H66" s="1" t="str">
        <f>IFERROR(__xludf.DUMMYFUNCTION("""COMPUTED_VALUE"""),"+944")</f>
        <v>+944</v>
      </c>
      <c r="I66" s="3">
        <f>IFERROR(__xludf.DUMMYFUNCTION("""COMPUTED_VALUE"""),14003.0)</f>
        <v>14003</v>
      </c>
      <c r="J66" s="1">
        <f>IFERROR(__xludf.DUMMYFUNCTION("""COMPUTED_VALUE"""),221.0)</f>
        <v>221</v>
      </c>
      <c r="K66" s="3">
        <f>IFERROR(__xludf.DUMMYFUNCTION("""COMPUTED_VALUE"""),7332.0)</f>
        <v>7332</v>
      </c>
      <c r="L66" s="1">
        <f>IFERROR(__xludf.DUMMYFUNCTION("""COMPUTED_VALUE"""),111.0)</f>
        <v>111</v>
      </c>
      <c r="M66" s="3">
        <f>IFERROR(__xludf.DUMMYFUNCTION("""COMPUTED_VALUE"""),4795216.0)</f>
        <v>4795216</v>
      </c>
      <c r="N66" s="3">
        <f>IFERROR(__xludf.DUMMYFUNCTION("""COMPUTED_VALUE"""),254055.0)</f>
        <v>254055</v>
      </c>
      <c r="O66" s="2">
        <f>IFERROR(__xludf.DUMMYFUNCTION("""COMPUTED_VALUE"""),1.8874741E7)</f>
        <v>18874741</v>
      </c>
      <c r="P66" s="1" t="str">
        <f>IFERROR(__xludf.DUMMYFUNCTION("""COMPUTED_VALUE"""),"Asia")</f>
        <v>Asia</v>
      </c>
      <c r="Q66" s="1">
        <f>IFERROR(__xludf.DUMMYFUNCTION("""COMPUTED_VALUE"""),136.0)</f>
        <v>136</v>
      </c>
      <c r="R66" s="3">
        <f>IFERROR(__xludf.DUMMYFUNCTION("""COMPUTED_VALUE"""),9040.0)</f>
        <v>9040</v>
      </c>
      <c r="S66" s="1">
        <f>IFERROR(__xludf.DUMMYFUNCTION("""COMPUTED_VALUE"""),4.0)</f>
        <v>4</v>
      </c>
    </row>
    <row r="67">
      <c r="A67" s="1">
        <f>IFERROR(__xludf.DUMMYFUNCTION("""COMPUTED_VALUE"""),58.0)</f>
        <v>58</v>
      </c>
      <c r="B67" s="1" t="str">
        <f>IFERROR(__xludf.DUMMYFUNCTION("""COMPUTED_VALUE"""),"Guatemala")</f>
        <v>Guatemala</v>
      </c>
      <c r="C67" s="3">
        <f>IFERROR(__xludf.DUMMYFUNCTION("""COMPUTED_VALUE"""),127127.0)</f>
        <v>127127</v>
      </c>
      <c r="D67" s="1" t="str">
        <f>IFERROR(__xludf.DUMMYFUNCTION("""COMPUTED_VALUE"""),"+654")</f>
        <v>+654</v>
      </c>
      <c r="E67" s="3">
        <f>IFERROR(__xludf.DUMMYFUNCTION("""COMPUTED_VALUE"""),4311.0)</f>
        <v>4311</v>
      </c>
      <c r="F67" s="1" t="str">
        <f>IFERROR(__xludf.DUMMYFUNCTION("""COMPUTED_VALUE"""),"+25")</f>
        <v>+25</v>
      </c>
      <c r="G67" s="3">
        <f>IFERROR(__xludf.DUMMYFUNCTION("""COMPUTED_VALUE"""),115931.0)</f>
        <v>115931</v>
      </c>
      <c r="H67" s="1" t="str">
        <f>IFERROR(__xludf.DUMMYFUNCTION("""COMPUTED_VALUE"""),"+525")</f>
        <v>+525</v>
      </c>
      <c r="I67" s="3">
        <f>IFERROR(__xludf.DUMMYFUNCTION("""COMPUTED_VALUE"""),6885.0)</f>
        <v>6885</v>
      </c>
      <c r="J67" s="1">
        <f>IFERROR(__xludf.DUMMYFUNCTION("""COMPUTED_VALUE"""),5.0)</f>
        <v>5</v>
      </c>
      <c r="K67" s="3">
        <f>IFERROR(__xludf.DUMMYFUNCTION("""COMPUTED_VALUE"""),7039.0)</f>
        <v>7039</v>
      </c>
      <c r="L67" s="1">
        <f>IFERROR(__xludf.DUMMYFUNCTION("""COMPUTED_VALUE"""),239.0)</f>
        <v>239</v>
      </c>
      <c r="M67" s="3">
        <f>IFERROR(__xludf.DUMMYFUNCTION("""COMPUTED_VALUE"""),566458.0)</f>
        <v>566458</v>
      </c>
      <c r="N67" s="3">
        <f>IFERROR(__xludf.DUMMYFUNCTION("""COMPUTED_VALUE"""),31366.0)</f>
        <v>31366</v>
      </c>
      <c r="O67" s="2">
        <f>IFERROR(__xludf.DUMMYFUNCTION("""COMPUTED_VALUE"""),1.8059338E7)</f>
        <v>18059338</v>
      </c>
      <c r="P67" s="1" t="str">
        <f>IFERROR(__xludf.DUMMYFUNCTION("""COMPUTED_VALUE"""),"North America")</f>
        <v>North America</v>
      </c>
      <c r="Q67" s="1">
        <f>IFERROR(__xludf.DUMMYFUNCTION("""COMPUTED_VALUE"""),142.0)</f>
        <v>142</v>
      </c>
      <c r="R67" s="3">
        <f>IFERROR(__xludf.DUMMYFUNCTION("""COMPUTED_VALUE"""),4189.0)</f>
        <v>4189</v>
      </c>
      <c r="S67" s="1">
        <f>IFERROR(__xludf.DUMMYFUNCTION("""COMPUTED_VALUE"""),32.0)</f>
        <v>32</v>
      </c>
    </row>
    <row r="68">
      <c r="A68" s="1">
        <f>IFERROR(__xludf.DUMMYFUNCTION("""COMPUTED_VALUE"""),59.0)</f>
        <v>59</v>
      </c>
      <c r="B68" s="1" t="str">
        <f>IFERROR(__xludf.DUMMYFUNCTION("""COMPUTED_VALUE"""),"Oman")</f>
        <v>Oman</v>
      </c>
      <c r="C68" s="3">
        <f>IFERROR(__xludf.DUMMYFUNCTION("""COMPUTED_VALUE"""),125490.0)</f>
        <v>125490</v>
      </c>
      <c r="D68" s="1" t="str">
        <f>IFERROR(__xludf.DUMMYFUNCTION("""COMPUTED_VALUE"""),"+165")</f>
        <v>+165</v>
      </c>
      <c r="E68" s="3">
        <f>IFERROR(__xludf.DUMMYFUNCTION("""COMPUTED_VALUE"""),1461.0)</f>
        <v>1461</v>
      </c>
      <c r="F68" s="1" t="str">
        <f>IFERROR(__xludf.DUMMYFUNCTION("""COMPUTED_VALUE"""),"+7")</f>
        <v>+7</v>
      </c>
      <c r="G68" s="3">
        <f>IFERROR(__xludf.DUMMYFUNCTION("""COMPUTED_VALUE"""),117034.0)</f>
        <v>117034</v>
      </c>
      <c r="H68" s="1" t="str">
        <f>IFERROR(__xludf.DUMMYFUNCTION("""COMPUTED_VALUE"""),"+314")</f>
        <v>+314</v>
      </c>
      <c r="I68" s="3">
        <f>IFERROR(__xludf.DUMMYFUNCTION("""COMPUTED_VALUE"""),6995.0)</f>
        <v>6995</v>
      </c>
      <c r="J68" s="1">
        <f>IFERROR(__xludf.DUMMYFUNCTION("""COMPUTED_VALUE"""),71.0)</f>
        <v>71</v>
      </c>
      <c r="K68" s="3">
        <f>IFERROR(__xludf.DUMMYFUNCTION("""COMPUTED_VALUE"""),24308.0)</f>
        <v>24308</v>
      </c>
      <c r="L68" s="1">
        <f>IFERROR(__xludf.DUMMYFUNCTION("""COMPUTED_VALUE"""),283.0)</f>
        <v>283</v>
      </c>
      <c r="M68" s="3">
        <f>IFERROR(__xludf.DUMMYFUNCTION("""COMPUTED_VALUE"""),571472.0)</f>
        <v>571472</v>
      </c>
      <c r="N68" s="3">
        <f>IFERROR(__xludf.DUMMYFUNCTION("""COMPUTED_VALUE"""),110695.0)</f>
        <v>110695</v>
      </c>
      <c r="O68" s="2">
        <f>IFERROR(__xludf.DUMMYFUNCTION("""COMPUTED_VALUE"""),5162588.0)</f>
        <v>5162588</v>
      </c>
      <c r="P68" s="1" t="str">
        <f>IFERROR(__xludf.DUMMYFUNCTION("""COMPUTED_VALUE"""),"Asia")</f>
        <v>Asia</v>
      </c>
      <c r="Q68" s="1">
        <f>IFERROR(__xludf.DUMMYFUNCTION("""COMPUTED_VALUE"""),41.0)</f>
        <v>41</v>
      </c>
      <c r="R68" s="3">
        <f>IFERROR(__xludf.DUMMYFUNCTION("""COMPUTED_VALUE"""),3534.0)</f>
        <v>3534</v>
      </c>
      <c r="S68" s="1">
        <f>IFERROR(__xludf.DUMMYFUNCTION("""COMPUTED_VALUE"""),9.0)</f>
        <v>9</v>
      </c>
    </row>
    <row r="69">
      <c r="A69" s="1">
        <f>IFERROR(__xludf.DUMMYFUNCTION("""COMPUTED_VALUE"""),60.0)</f>
        <v>60</v>
      </c>
      <c r="B69" s="1" t="str">
        <f>IFERROR(__xludf.DUMMYFUNCTION("""COMPUTED_VALUE"""),"Slovakia")</f>
        <v>Slovakia</v>
      </c>
      <c r="C69" s="3">
        <f>IFERROR(__xludf.DUMMYFUNCTION("""COMPUTED_VALUE"""),121796.0)</f>
        <v>121796</v>
      </c>
      <c r="D69" s="1" t="str">
        <f>IFERROR(__xludf.DUMMYFUNCTION("""COMPUTED_VALUE"""),"+2,564")</f>
        <v>+2,564</v>
      </c>
      <c r="E69" s="3">
        <f>IFERROR(__xludf.DUMMYFUNCTION("""COMPUTED_VALUE"""),1084.0)</f>
        <v>1084</v>
      </c>
      <c r="F69" s="1" t="str">
        <f>IFERROR(__xludf.DUMMYFUNCTION("""COMPUTED_VALUE"""),"+38")</f>
        <v>+38</v>
      </c>
      <c r="G69" s="3">
        <f>IFERROR(__xludf.DUMMYFUNCTION("""COMPUTED_VALUE"""),89769.0)</f>
        <v>89769</v>
      </c>
      <c r="H69" s="1" t="str">
        <f>IFERROR(__xludf.DUMMYFUNCTION("""COMPUTED_VALUE"""),"+2,336")</f>
        <v>+2,336</v>
      </c>
      <c r="I69" s="3">
        <f>IFERROR(__xludf.DUMMYFUNCTION("""COMPUTED_VALUE"""),30943.0)</f>
        <v>30943</v>
      </c>
      <c r="J69" s="1">
        <f>IFERROR(__xludf.DUMMYFUNCTION("""COMPUTED_VALUE"""),270.0)</f>
        <v>270</v>
      </c>
      <c r="K69" s="3">
        <f>IFERROR(__xludf.DUMMYFUNCTION("""COMPUTED_VALUE"""),22304.0)</f>
        <v>22304</v>
      </c>
      <c r="L69" s="1">
        <f>IFERROR(__xludf.DUMMYFUNCTION("""COMPUTED_VALUE"""),199.0)</f>
        <v>199</v>
      </c>
      <c r="M69" s="3">
        <f>IFERROR(__xludf.DUMMYFUNCTION("""COMPUTED_VALUE"""),1162048.0)</f>
        <v>1162048</v>
      </c>
      <c r="N69" s="3">
        <f>IFERROR(__xludf.DUMMYFUNCTION("""COMPUTED_VALUE"""),212798.0)</f>
        <v>212798</v>
      </c>
      <c r="O69" s="2">
        <f>IFERROR(__xludf.DUMMYFUNCTION("""COMPUTED_VALUE"""),5460808.0)</f>
        <v>5460808</v>
      </c>
      <c r="P69" s="1" t="str">
        <f>IFERROR(__xludf.DUMMYFUNCTION("""COMPUTED_VALUE"""),"Europe")</f>
        <v>Europe</v>
      </c>
      <c r="Q69" s="1">
        <f>IFERROR(__xludf.DUMMYFUNCTION("""COMPUTED_VALUE"""),45.0)</f>
        <v>45</v>
      </c>
      <c r="R69" s="3">
        <f>IFERROR(__xludf.DUMMYFUNCTION("""COMPUTED_VALUE"""),5038.0)</f>
        <v>5038</v>
      </c>
      <c r="S69" s="1">
        <f>IFERROR(__xludf.DUMMYFUNCTION("""COMPUTED_VALUE"""),5.0)</f>
        <v>5</v>
      </c>
    </row>
    <row r="70">
      <c r="A70" s="1">
        <f>IFERROR(__xludf.DUMMYFUNCTION("""COMPUTED_VALUE"""),61.0)</f>
        <v>61</v>
      </c>
      <c r="B70" s="1" t="str">
        <f>IFERROR(__xludf.DUMMYFUNCTION("""COMPUTED_VALUE"""),"Moldova")</f>
        <v>Moldova</v>
      </c>
      <c r="C70" s="3">
        <f>IFERROR(__xludf.DUMMYFUNCTION("""COMPUTED_VALUE"""),120970.0)</f>
        <v>120970</v>
      </c>
      <c r="D70" s="1" t="str">
        <f>IFERROR(__xludf.DUMMYFUNCTION("""COMPUTED_VALUE"""),"+1,766")</f>
        <v>+1,766</v>
      </c>
      <c r="E70" s="3">
        <f>IFERROR(__xludf.DUMMYFUNCTION("""COMPUTED_VALUE"""),2481.0)</f>
        <v>2481</v>
      </c>
      <c r="F70" s="1" t="str">
        <f>IFERROR(__xludf.DUMMYFUNCTION("""COMPUTED_VALUE"""),"+21")</f>
        <v>+21</v>
      </c>
      <c r="G70" s="3">
        <f>IFERROR(__xludf.DUMMYFUNCTION("""COMPUTED_VALUE"""),103973.0)</f>
        <v>103973</v>
      </c>
      <c r="H70" s="1" t="str">
        <f>IFERROR(__xludf.DUMMYFUNCTION("""COMPUTED_VALUE"""),"+1,408")</f>
        <v>+1,408</v>
      </c>
      <c r="I70" s="3">
        <f>IFERROR(__xludf.DUMMYFUNCTION("""COMPUTED_VALUE"""),14516.0)</f>
        <v>14516</v>
      </c>
      <c r="J70" s="1">
        <f>IFERROR(__xludf.DUMMYFUNCTION("""COMPUTED_VALUE"""),265.0)</f>
        <v>265</v>
      </c>
      <c r="K70" s="3">
        <f>IFERROR(__xludf.DUMMYFUNCTION("""COMPUTED_VALUE"""),30019.0)</f>
        <v>30019</v>
      </c>
      <c r="L70" s="1">
        <f>IFERROR(__xludf.DUMMYFUNCTION("""COMPUTED_VALUE"""),616.0)</f>
        <v>616</v>
      </c>
      <c r="M70" s="3">
        <f>IFERROR(__xludf.DUMMYFUNCTION("""COMPUTED_VALUE"""),492499.0)</f>
        <v>492499</v>
      </c>
      <c r="N70" s="3">
        <f>IFERROR(__xludf.DUMMYFUNCTION("""COMPUTED_VALUE"""),122214.0)</f>
        <v>122214</v>
      </c>
      <c r="O70" s="2">
        <f>IFERROR(__xludf.DUMMYFUNCTION("""COMPUTED_VALUE"""),4029820.0)</f>
        <v>4029820</v>
      </c>
      <c r="P70" s="1" t="str">
        <f>IFERROR(__xludf.DUMMYFUNCTION("""COMPUTED_VALUE"""),"Europe")</f>
        <v>Europe</v>
      </c>
      <c r="Q70" s="1">
        <f>IFERROR(__xludf.DUMMYFUNCTION("""COMPUTED_VALUE"""),33.0)</f>
        <v>33</v>
      </c>
      <c r="R70" s="3">
        <f>IFERROR(__xludf.DUMMYFUNCTION("""COMPUTED_VALUE"""),1624.0)</f>
        <v>1624</v>
      </c>
      <c r="S70" s="1">
        <f>IFERROR(__xludf.DUMMYFUNCTION("""COMPUTED_VALUE"""),8.0)</f>
        <v>8</v>
      </c>
    </row>
    <row r="71">
      <c r="A71" s="1">
        <f>IFERROR(__xludf.DUMMYFUNCTION("""COMPUTED_VALUE"""),62.0)</f>
        <v>62</v>
      </c>
      <c r="B71" s="1" t="str">
        <f>IFERROR(__xludf.DUMMYFUNCTION("""COMPUTED_VALUE"""),"Greece")</f>
        <v>Greece</v>
      </c>
      <c r="C71" s="3">
        <f>IFERROR(__xludf.DUMMYFUNCTION("""COMPUTED_VALUE"""),119720.0)</f>
        <v>119720</v>
      </c>
      <c r="D71" s="1" t="str">
        <f>IFERROR(__xludf.DUMMYFUNCTION("""COMPUTED_VALUE"""),"+1,675")</f>
        <v>+1,675</v>
      </c>
      <c r="E71" s="3">
        <f>IFERROR(__xludf.DUMMYFUNCTION("""COMPUTED_VALUE"""),3289.0)</f>
        <v>3289</v>
      </c>
      <c r="F71" s="1" t="str">
        <f>IFERROR(__xludf.DUMMYFUNCTION("""COMPUTED_VALUE"""),"+95")</f>
        <v>+95</v>
      </c>
      <c r="G71" s="3">
        <f>IFERROR(__xludf.DUMMYFUNCTION("""COMPUTED_VALUE"""),9989.0)</f>
        <v>9989</v>
      </c>
      <c r="H71" s="1"/>
      <c r="I71" s="3">
        <f>IFERROR(__xludf.DUMMYFUNCTION("""COMPUTED_VALUE"""),106442.0)</f>
        <v>106442</v>
      </c>
      <c r="J71" s="1">
        <f>IFERROR(__xludf.DUMMYFUNCTION("""COMPUTED_VALUE"""),578.0)</f>
        <v>578</v>
      </c>
      <c r="K71" s="3">
        <f>IFERROR(__xludf.DUMMYFUNCTION("""COMPUTED_VALUE"""),11511.0)</f>
        <v>11511</v>
      </c>
      <c r="L71" s="1">
        <f>IFERROR(__xludf.DUMMYFUNCTION("""COMPUTED_VALUE"""),316.0)</f>
        <v>316</v>
      </c>
      <c r="M71" s="3">
        <f>IFERROR(__xludf.DUMMYFUNCTION("""COMPUTED_VALUE"""),2522718.0)</f>
        <v>2522718</v>
      </c>
      <c r="N71" s="3">
        <f>IFERROR(__xludf.DUMMYFUNCTION("""COMPUTED_VALUE"""),242557.0)</f>
        <v>242557</v>
      </c>
      <c r="O71" s="2">
        <f>IFERROR(__xludf.DUMMYFUNCTION("""COMPUTED_VALUE"""),1.0400509E7)</f>
        <v>10400509</v>
      </c>
      <c r="P71" s="1" t="str">
        <f>IFERROR(__xludf.DUMMYFUNCTION("""COMPUTED_VALUE"""),"Europe")</f>
        <v>Europe</v>
      </c>
      <c r="Q71" s="1">
        <f>IFERROR(__xludf.DUMMYFUNCTION("""COMPUTED_VALUE"""),87.0)</f>
        <v>87</v>
      </c>
      <c r="R71" s="3">
        <f>IFERROR(__xludf.DUMMYFUNCTION("""COMPUTED_VALUE"""),3162.0)</f>
        <v>3162</v>
      </c>
      <c r="S71" s="1">
        <f>IFERROR(__xludf.DUMMYFUNCTION("""COMPUTED_VALUE"""),4.0)</f>
        <v>4</v>
      </c>
    </row>
    <row r="72">
      <c r="A72" s="1">
        <f>IFERROR(__xludf.DUMMYFUNCTION("""COMPUTED_VALUE"""),63.0)</f>
        <v>63</v>
      </c>
      <c r="B72" s="1" t="str">
        <f>IFERROR(__xludf.DUMMYFUNCTION("""COMPUTED_VALUE"""),"Egypt")</f>
        <v>Egypt</v>
      </c>
      <c r="C72" s="3">
        <f>IFERROR(__xludf.DUMMYFUNCTION("""COMPUTED_VALUE"""),119702.0)</f>
        <v>119702</v>
      </c>
      <c r="D72" s="1" t="str">
        <f>IFERROR(__xludf.DUMMYFUNCTION("""COMPUTED_VALUE"""),"+421")</f>
        <v>+421</v>
      </c>
      <c r="E72" s="3">
        <f>IFERROR(__xludf.DUMMYFUNCTION("""COMPUTED_VALUE"""),6832.0)</f>
        <v>6832</v>
      </c>
      <c r="F72" s="1" t="str">
        <f>IFERROR(__xludf.DUMMYFUNCTION("""COMPUTED_VALUE"""),"+19")</f>
        <v>+19</v>
      </c>
      <c r="G72" s="3">
        <f>IFERROR(__xludf.DUMMYFUNCTION("""COMPUTED_VALUE"""),104074.0)</f>
        <v>104074</v>
      </c>
      <c r="H72" s="1" t="str">
        <f>IFERROR(__xludf.DUMMYFUNCTION("""COMPUTED_VALUE"""),"+161")</f>
        <v>+161</v>
      </c>
      <c r="I72" s="3">
        <f>IFERROR(__xludf.DUMMYFUNCTION("""COMPUTED_VALUE"""),8796.0)</f>
        <v>8796</v>
      </c>
      <c r="J72" s="1">
        <f>IFERROR(__xludf.DUMMYFUNCTION("""COMPUTED_VALUE"""),46.0)</f>
        <v>46</v>
      </c>
      <c r="K72" s="3">
        <f>IFERROR(__xludf.DUMMYFUNCTION("""COMPUTED_VALUE"""),1160.0)</f>
        <v>1160</v>
      </c>
      <c r="L72" s="1">
        <f>IFERROR(__xludf.DUMMYFUNCTION("""COMPUTED_VALUE"""),66.0)</f>
        <v>66</v>
      </c>
      <c r="M72" s="3">
        <f>IFERROR(__xludf.DUMMYFUNCTION("""COMPUTED_VALUE"""),1000000.0)</f>
        <v>1000000</v>
      </c>
      <c r="N72" s="3">
        <f>IFERROR(__xludf.DUMMYFUNCTION("""COMPUTED_VALUE"""),9693.0)</f>
        <v>9693</v>
      </c>
      <c r="O72" s="2">
        <f>IFERROR(__xludf.DUMMYFUNCTION("""COMPUTED_VALUE"""),1.03171433E8)</f>
        <v>103171433</v>
      </c>
      <c r="P72" s="1" t="str">
        <f>IFERROR(__xludf.DUMMYFUNCTION("""COMPUTED_VALUE"""),"Africa")</f>
        <v>Africa</v>
      </c>
      <c r="Q72" s="1">
        <f>IFERROR(__xludf.DUMMYFUNCTION("""COMPUTED_VALUE"""),862.0)</f>
        <v>862</v>
      </c>
      <c r="R72" s="3">
        <f>IFERROR(__xludf.DUMMYFUNCTION("""COMPUTED_VALUE"""),15101.0)</f>
        <v>15101</v>
      </c>
      <c r="S72" s="1">
        <f>IFERROR(__xludf.DUMMYFUNCTION("""COMPUTED_VALUE"""),103.0)</f>
        <v>103</v>
      </c>
    </row>
    <row r="73">
      <c r="A73" s="1">
        <f>IFERROR(__xludf.DUMMYFUNCTION("""COMPUTED_VALUE"""),64.0)</f>
        <v>64</v>
      </c>
      <c r="B73" s="1" t="str">
        <f>IFERROR(__xludf.DUMMYFUNCTION("""COMPUTED_VALUE"""),"Ethiopia")</f>
        <v>Ethiopia</v>
      </c>
      <c r="C73" s="3">
        <f>IFERROR(__xludf.DUMMYFUNCTION("""COMPUTED_VALUE"""),114834.0)</f>
        <v>114834</v>
      </c>
      <c r="D73" s="1" t="str">
        <f>IFERROR(__xludf.DUMMYFUNCTION("""COMPUTED_VALUE"""),"+568")</f>
        <v>+568</v>
      </c>
      <c r="E73" s="3">
        <f>IFERROR(__xludf.DUMMYFUNCTION("""COMPUTED_VALUE"""),1769.0)</f>
        <v>1769</v>
      </c>
      <c r="F73" s="1" t="str">
        <f>IFERROR(__xludf.DUMMYFUNCTION("""COMPUTED_VALUE"""),"+3")</f>
        <v>+3</v>
      </c>
      <c r="G73" s="3">
        <f>IFERROR(__xludf.DUMMYFUNCTION("""COMPUTED_VALUE"""),87244.0)</f>
        <v>87244</v>
      </c>
      <c r="H73" s="1" t="str">
        <f>IFERROR(__xludf.DUMMYFUNCTION("""COMPUTED_VALUE"""),"+2,296")</f>
        <v>+2,296</v>
      </c>
      <c r="I73" s="3">
        <f>IFERROR(__xludf.DUMMYFUNCTION("""COMPUTED_VALUE"""),25821.0)</f>
        <v>25821</v>
      </c>
      <c r="J73" s="1">
        <f>IFERROR(__xludf.DUMMYFUNCTION("""COMPUTED_VALUE"""),326.0)</f>
        <v>326</v>
      </c>
      <c r="K73" s="1">
        <f>IFERROR(__xludf.DUMMYFUNCTION("""COMPUTED_VALUE"""),988.0)</f>
        <v>988</v>
      </c>
      <c r="L73" s="1">
        <f>IFERROR(__xludf.DUMMYFUNCTION("""COMPUTED_VALUE"""),15.0)</f>
        <v>15</v>
      </c>
      <c r="M73" s="3">
        <f>IFERROR(__xludf.DUMMYFUNCTION("""COMPUTED_VALUE"""),1683558.0)</f>
        <v>1683558</v>
      </c>
      <c r="N73" s="3">
        <f>IFERROR(__xludf.DUMMYFUNCTION("""COMPUTED_VALUE"""),14490.0)</f>
        <v>14490</v>
      </c>
      <c r="O73" s="2">
        <f>IFERROR(__xludf.DUMMYFUNCTION("""COMPUTED_VALUE"""),1.1619143E8)</f>
        <v>116191430</v>
      </c>
      <c r="P73" s="1" t="str">
        <f>IFERROR(__xludf.DUMMYFUNCTION("""COMPUTED_VALUE"""),"Africa")</f>
        <v>Africa</v>
      </c>
      <c r="Q73" s="3">
        <f>IFERROR(__xludf.DUMMYFUNCTION("""COMPUTED_VALUE"""),1012.0)</f>
        <v>1012</v>
      </c>
      <c r="R73" s="3">
        <f>IFERROR(__xludf.DUMMYFUNCTION("""COMPUTED_VALUE"""),65682.0)</f>
        <v>65682</v>
      </c>
      <c r="S73" s="1">
        <f>IFERROR(__xludf.DUMMYFUNCTION("""COMPUTED_VALUE"""),69.0)</f>
        <v>69</v>
      </c>
    </row>
    <row r="74">
      <c r="A74" s="1">
        <f>IFERROR(__xludf.DUMMYFUNCTION("""COMPUTED_VALUE"""),65.0)</f>
        <v>65</v>
      </c>
      <c r="B74" s="1" t="str">
        <f>IFERROR(__xludf.DUMMYFUNCTION("""COMPUTED_VALUE"""),"Honduras")</f>
        <v>Honduras</v>
      </c>
      <c r="C74" s="3">
        <f>IFERROR(__xludf.DUMMYFUNCTION("""COMPUTED_VALUE"""),112175.0)</f>
        <v>112175</v>
      </c>
      <c r="D74" s="1" t="str">
        <f>IFERROR(__xludf.DUMMYFUNCTION("""COMPUTED_VALUE"""),"+468")</f>
        <v>+468</v>
      </c>
      <c r="E74" s="3">
        <f>IFERROR(__xludf.DUMMYFUNCTION("""COMPUTED_VALUE"""),2952.0)</f>
        <v>2952</v>
      </c>
      <c r="F74" s="1" t="str">
        <f>IFERROR(__xludf.DUMMYFUNCTION("""COMPUTED_VALUE"""),"+2")</f>
        <v>+2</v>
      </c>
      <c r="G74" s="3">
        <f>IFERROR(__xludf.DUMMYFUNCTION("""COMPUTED_VALUE"""),50344.0)</f>
        <v>50344</v>
      </c>
      <c r="H74" s="1" t="str">
        <f>IFERROR(__xludf.DUMMYFUNCTION("""COMPUTED_VALUE"""),"+563")</f>
        <v>+563</v>
      </c>
      <c r="I74" s="3">
        <f>IFERROR(__xludf.DUMMYFUNCTION("""COMPUTED_VALUE"""),58879.0)</f>
        <v>58879</v>
      </c>
      <c r="J74" s="1">
        <f>IFERROR(__xludf.DUMMYFUNCTION("""COMPUTED_VALUE"""),121.0)</f>
        <v>121</v>
      </c>
      <c r="K74" s="3">
        <f>IFERROR(__xludf.DUMMYFUNCTION("""COMPUTED_VALUE"""),11248.0)</f>
        <v>11248</v>
      </c>
      <c r="L74" s="1">
        <f>IFERROR(__xludf.DUMMYFUNCTION("""COMPUTED_VALUE"""),296.0)</f>
        <v>296</v>
      </c>
      <c r="M74" s="3">
        <f>IFERROR(__xludf.DUMMYFUNCTION("""COMPUTED_VALUE"""),277350.0)</f>
        <v>277350</v>
      </c>
      <c r="N74" s="3">
        <f>IFERROR(__xludf.DUMMYFUNCTION("""COMPUTED_VALUE"""),27810.0)</f>
        <v>27810</v>
      </c>
      <c r="O74" s="2">
        <f>IFERROR(__xludf.DUMMYFUNCTION("""COMPUTED_VALUE"""),9973115.0)</f>
        <v>9973115</v>
      </c>
      <c r="P74" s="1" t="str">
        <f>IFERROR(__xludf.DUMMYFUNCTION("""COMPUTED_VALUE"""),"North America")</f>
        <v>North America</v>
      </c>
      <c r="Q74" s="1">
        <f>IFERROR(__xludf.DUMMYFUNCTION("""COMPUTED_VALUE"""),89.0)</f>
        <v>89</v>
      </c>
      <c r="R74" s="3">
        <f>IFERROR(__xludf.DUMMYFUNCTION("""COMPUTED_VALUE"""),3378.0)</f>
        <v>3378</v>
      </c>
      <c r="S74" s="1">
        <f>IFERROR(__xludf.DUMMYFUNCTION("""COMPUTED_VALUE"""),36.0)</f>
        <v>36</v>
      </c>
    </row>
    <row r="75">
      <c r="A75" s="1">
        <f>IFERROR(__xludf.DUMMYFUNCTION("""COMPUTED_VALUE"""),66.0)</f>
        <v>66</v>
      </c>
      <c r="B75" s="1" t="str">
        <f>IFERROR(__xludf.DUMMYFUNCTION("""COMPUTED_VALUE"""),"Tunisia")</f>
        <v>Tunisia</v>
      </c>
      <c r="C75" s="3">
        <f>IFERROR(__xludf.DUMMYFUNCTION("""COMPUTED_VALUE"""),106856.0)</f>
        <v>106856</v>
      </c>
      <c r="D75" s="1" t="str">
        <f>IFERROR(__xludf.DUMMYFUNCTION("""COMPUTED_VALUE"""),"+1,411")</f>
        <v>+1,411</v>
      </c>
      <c r="E75" s="3">
        <f>IFERROR(__xludf.DUMMYFUNCTION("""COMPUTED_VALUE"""),3717.0)</f>
        <v>3717</v>
      </c>
      <c r="F75" s="1" t="str">
        <f>IFERROR(__xludf.DUMMYFUNCTION("""COMPUTED_VALUE"""),"+49")</f>
        <v>+49</v>
      </c>
      <c r="G75" s="3">
        <f>IFERROR(__xludf.DUMMYFUNCTION("""COMPUTED_VALUE"""),81204.0)</f>
        <v>81204</v>
      </c>
      <c r="H75" s="1" t="str">
        <f>IFERROR(__xludf.DUMMYFUNCTION("""COMPUTED_VALUE"""),"+1,122")</f>
        <v>+1,122</v>
      </c>
      <c r="I75" s="3">
        <f>IFERROR(__xludf.DUMMYFUNCTION("""COMPUTED_VALUE"""),21935.0)</f>
        <v>21935</v>
      </c>
      <c r="J75" s="1">
        <f>IFERROR(__xludf.DUMMYFUNCTION("""COMPUTED_VALUE"""),276.0)</f>
        <v>276</v>
      </c>
      <c r="K75" s="3">
        <f>IFERROR(__xludf.DUMMYFUNCTION("""COMPUTED_VALUE"""),9000.0)</f>
        <v>9000</v>
      </c>
      <c r="L75" s="1">
        <f>IFERROR(__xludf.DUMMYFUNCTION("""COMPUTED_VALUE"""),313.0)</f>
        <v>313</v>
      </c>
      <c r="M75" s="3">
        <f>IFERROR(__xludf.DUMMYFUNCTION("""COMPUTED_VALUE"""),495913.0)</f>
        <v>495913</v>
      </c>
      <c r="N75" s="3">
        <f>IFERROR(__xludf.DUMMYFUNCTION("""COMPUTED_VALUE"""),41769.0)</f>
        <v>41769</v>
      </c>
      <c r="O75" s="2">
        <f>IFERROR(__xludf.DUMMYFUNCTION("""COMPUTED_VALUE"""),1.1872672E7)</f>
        <v>11872672</v>
      </c>
      <c r="P75" s="1" t="str">
        <f>IFERROR(__xludf.DUMMYFUNCTION("""COMPUTED_VALUE"""),"Africa")</f>
        <v>Africa</v>
      </c>
      <c r="Q75" s="1">
        <f>IFERROR(__xludf.DUMMYFUNCTION("""COMPUTED_VALUE"""),111.0)</f>
        <v>111</v>
      </c>
      <c r="R75" s="3">
        <f>IFERROR(__xludf.DUMMYFUNCTION("""COMPUTED_VALUE"""),3194.0)</f>
        <v>3194</v>
      </c>
      <c r="S75" s="1">
        <f>IFERROR(__xludf.DUMMYFUNCTION("""COMPUTED_VALUE"""),24.0)</f>
        <v>24</v>
      </c>
    </row>
    <row r="76">
      <c r="A76" s="1">
        <f>IFERROR(__xludf.DUMMYFUNCTION("""COMPUTED_VALUE"""),67.0)</f>
        <v>67</v>
      </c>
      <c r="B76" s="1" t="str">
        <f>IFERROR(__xludf.DUMMYFUNCTION("""COMPUTED_VALUE"""),"Venezuela")</f>
        <v>Venezuela</v>
      </c>
      <c r="C76" s="3">
        <f>IFERROR(__xludf.DUMMYFUNCTION("""COMPUTED_VALUE"""),105384.0)</f>
        <v>105384</v>
      </c>
      <c r="D76" s="1"/>
      <c r="E76" s="1">
        <f>IFERROR(__xludf.DUMMYFUNCTION("""COMPUTED_VALUE"""),928.0)</f>
        <v>928</v>
      </c>
      <c r="F76" s="1"/>
      <c r="G76" s="3">
        <f>IFERROR(__xludf.DUMMYFUNCTION("""COMPUTED_VALUE"""),100476.0)</f>
        <v>100476</v>
      </c>
      <c r="H76" s="1"/>
      <c r="I76" s="3">
        <f>IFERROR(__xludf.DUMMYFUNCTION("""COMPUTED_VALUE"""),3980.0)</f>
        <v>3980</v>
      </c>
      <c r="J76" s="1">
        <f>IFERROR(__xludf.DUMMYFUNCTION("""COMPUTED_VALUE"""),117.0)</f>
        <v>117</v>
      </c>
      <c r="K76" s="3">
        <f>IFERROR(__xludf.DUMMYFUNCTION("""COMPUTED_VALUE"""),3711.0)</f>
        <v>3711</v>
      </c>
      <c r="L76" s="1">
        <f>IFERROR(__xludf.DUMMYFUNCTION("""COMPUTED_VALUE"""),33.0)</f>
        <v>33</v>
      </c>
      <c r="M76" s="3">
        <f>IFERROR(__xludf.DUMMYFUNCTION("""COMPUTED_VALUE"""),2331439.0)</f>
        <v>2331439</v>
      </c>
      <c r="N76" s="3">
        <f>IFERROR(__xludf.DUMMYFUNCTION("""COMPUTED_VALUE"""),82092.0)</f>
        <v>82092</v>
      </c>
      <c r="O76" s="2">
        <f>IFERROR(__xludf.DUMMYFUNCTION("""COMPUTED_VALUE"""),2.8400321E7)</f>
        <v>28400321</v>
      </c>
      <c r="P76" s="1" t="str">
        <f>IFERROR(__xludf.DUMMYFUNCTION("""COMPUTED_VALUE"""),"South America")</f>
        <v>South America</v>
      </c>
      <c r="Q76" s="1">
        <f>IFERROR(__xludf.DUMMYFUNCTION("""COMPUTED_VALUE"""),269.0)</f>
        <v>269</v>
      </c>
      <c r="R76" s="3">
        <f>IFERROR(__xludf.DUMMYFUNCTION("""COMPUTED_VALUE"""),30604.0)</f>
        <v>30604</v>
      </c>
      <c r="S76" s="1">
        <f>IFERROR(__xludf.DUMMYFUNCTION("""COMPUTED_VALUE"""),12.0)</f>
        <v>12</v>
      </c>
    </row>
    <row r="77">
      <c r="A77" s="1">
        <f>IFERROR(__xludf.DUMMYFUNCTION("""COMPUTED_VALUE"""),68.0)</f>
        <v>68</v>
      </c>
      <c r="B77" s="1" t="str">
        <f>IFERROR(__xludf.DUMMYFUNCTION("""COMPUTED_VALUE"""),"Myanmar")</f>
        <v>Myanmar</v>
      </c>
      <c r="C77" s="3">
        <f>IFERROR(__xludf.DUMMYFUNCTION("""COMPUTED_VALUE"""),103166.0)</f>
        <v>103166</v>
      </c>
      <c r="D77" s="1" t="str">
        <f>IFERROR(__xludf.DUMMYFUNCTION("""COMPUTED_VALUE"""),"+1,427")</f>
        <v>+1,427</v>
      </c>
      <c r="E77" s="3">
        <f>IFERROR(__xludf.DUMMYFUNCTION("""COMPUTED_VALUE"""),2174.0)</f>
        <v>2174</v>
      </c>
      <c r="F77" s="1" t="str">
        <f>IFERROR(__xludf.DUMMYFUNCTION("""COMPUTED_VALUE"""),"+23")</f>
        <v>+23</v>
      </c>
      <c r="G77" s="3">
        <f>IFERROR(__xludf.DUMMYFUNCTION("""COMPUTED_VALUE"""),81715.0)</f>
        <v>81715</v>
      </c>
      <c r="H77" s="1" t="str">
        <f>IFERROR(__xludf.DUMMYFUNCTION("""COMPUTED_VALUE"""),"+989")</f>
        <v>+989</v>
      </c>
      <c r="I77" s="3">
        <f>IFERROR(__xludf.DUMMYFUNCTION("""COMPUTED_VALUE"""),19277.0)</f>
        <v>19277</v>
      </c>
      <c r="J77" s="1"/>
      <c r="K77" s="3">
        <f>IFERROR(__xludf.DUMMYFUNCTION("""COMPUTED_VALUE"""),1891.0)</f>
        <v>1891</v>
      </c>
      <c r="L77" s="1">
        <f>IFERROR(__xludf.DUMMYFUNCTION("""COMPUTED_VALUE"""),40.0)</f>
        <v>40</v>
      </c>
      <c r="M77" s="3">
        <f>IFERROR(__xludf.DUMMYFUNCTION("""COMPUTED_VALUE"""),1351918.0)</f>
        <v>1351918</v>
      </c>
      <c r="N77" s="3">
        <f>IFERROR(__xludf.DUMMYFUNCTION("""COMPUTED_VALUE"""),24774.0)</f>
        <v>24774</v>
      </c>
      <c r="O77" s="2">
        <f>IFERROR(__xludf.DUMMYFUNCTION("""COMPUTED_VALUE"""),5.4569764E7)</f>
        <v>54569764</v>
      </c>
      <c r="P77" s="1" t="str">
        <f>IFERROR(__xludf.DUMMYFUNCTION("""COMPUTED_VALUE"""),"Asia")</f>
        <v>Asia</v>
      </c>
      <c r="Q77" s="1">
        <f>IFERROR(__xludf.DUMMYFUNCTION("""COMPUTED_VALUE"""),529.0)</f>
        <v>529</v>
      </c>
      <c r="R77" s="3">
        <f>IFERROR(__xludf.DUMMYFUNCTION("""COMPUTED_VALUE"""),25101.0)</f>
        <v>25101</v>
      </c>
      <c r="S77" s="1">
        <f>IFERROR(__xludf.DUMMYFUNCTION("""COMPUTED_VALUE"""),40.0)</f>
        <v>40</v>
      </c>
    </row>
    <row r="78">
      <c r="A78" s="1">
        <f>IFERROR(__xludf.DUMMYFUNCTION("""COMPUTED_VALUE"""),69.0)</f>
        <v>69</v>
      </c>
      <c r="B78" s="1" t="str">
        <f>IFERROR(__xludf.DUMMYFUNCTION("""COMPUTED_VALUE"""),"Palestine")</f>
        <v>Palestine</v>
      </c>
      <c r="C78" s="3">
        <f>IFERROR(__xludf.DUMMYFUNCTION("""COMPUTED_VALUE"""),102992.0)</f>
        <v>102992</v>
      </c>
      <c r="D78" s="1" t="str">
        <f>IFERROR(__xludf.DUMMYFUNCTION("""COMPUTED_VALUE"""),"+1,883")</f>
        <v>+1,883</v>
      </c>
      <c r="E78" s="1">
        <f>IFERROR(__xludf.DUMMYFUNCTION("""COMPUTED_VALUE"""),890.0)</f>
        <v>890</v>
      </c>
      <c r="F78" s="1" t="str">
        <f>IFERROR(__xludf.DUMMYFUNCTION("""COMPUTED_VALUE"""),"+23")</f>
        <v>+23</v>
      </c>
      <c r="G78" s="3">
        <f>IFERROR(__xludf.DUMMYFUNCTION("""COMPUTED_VALUE"""),76893.0)</f>
        <v>76893</v>
      </c>
      <c r="H78" s="1" t="str">
        <f>IFERROR(__xludf.DUMMYFUNCTION("""COMPUTED_VALUE"""),"+1,636")</f>
        <v>+1,636</v>
      </c>
      <c r="I78" s="3">
        <f>IFERROR(__xludf.DUMMYFUNCTION("""COMPUTED_VALUE"""),25209.0)</f>
        <v>25209</v>
      </c>
      <c r="J78" s="1">
        <f>IFERROR(__xludf.DUMMYFUNCTION("""COMPUTED_VALUE"""),85.0)</f>
        <v>85</v>
      </c>
      <c r="K78" s="3">
        <f>IFERROR(__xludf.DUMMYFUNCTION("""COMPUTED_VALUE"""),19988.0)</f>
        <v>19988</v>
      </c>
      <c r="L78" s="1">
        <f>IFERROR(__xludf.DUMMYFUNCTION("""COMPUTED_VALUE"""),173.0)</f>
        <v>173</v>
      </c>
      <c r="M78" s="3">
        <f>IFERROR(__xludf.DUMMYFUNCTION("""COMPUTED_VALUE"""),748008.0)</f>
        <v>748008</v>
      </c>
      <c r="N78" s="3">
        <f>IFERROR(__xludf.DUMMYFUNCTION("""COMPUTED_VALUE"""),145170.0)</f>
        <v>145170</v>
      </c>
      <c r="O78" s="2">
        <f>IFERROR(__xludf.DUMMYFUNCTION("""COMPUTED_VALUE"""),5152623.0)</f>
        <v>5152623</v>
      </c>
      <c r="P78" s="1" t="str">
        <f>IFERROR(__xludf.DUMMYFUNCTION("""COMPUTED_VALUE"""),"Asia")</f>
        <v>Asia</v>
      </c>
      <c r="Q78" s="1">
        <f>IFERROR(__xludf.DUMMYFUNCTION("""COMPUTED_VALUE"""),50.0)</f>
        <v>50</v>
      </c>
      <c r="R78" s="3">
        <f>IFERROR(__xludf.DUMMYFUNCTION("""COMPUTED_VALUE"""),5789.0)</f>
        <v>5789</v>
      </c>
      <c r="S78" s="1">
        <f>IFERROR(__xludf.DUMMYFUNCTION("""COMPUTED_VALUE"""),7.0)</f>
        <v>7</v>
      </c>
    </row>
    <row r="79">
      <c r="A79" s="1">
        <f>IFERROR(__xludf.DUMMYFUNCTION("""COMPUTED_VALUE"""),70.0)</f>
        <v>70</v>
      </c>
      <c r="B79" s="1" t="str">
        <f>IFERROR(__xludf.DUMMYFUNCTION("""COMPUTED_VALUE"""),"Denmark")</f>
        <v>Denmark</v>
      </c>
      <c r="C79" s="3">
        <f>IFERROR(__xludf.DUMMYFUNCTION("""COMPUTED_VALUE"""),97357.0)</f>
        <v>97357</v>
      </c>
      <c r="D79" s="1" t="str">
        <f>IFERROR(__xludf.DUMMYFUNCTION("""COMPUTED_VALUE"""),"+2,558")</f>
        <v>+2,558</v>
      </c>
      <c r="E79" s="1">
        <f>IFERROR(__xludf.DUMMYFUNCTION("""COMPUTED_VALUE"""),904.0)</f>
        <v>904</v>
      </c>
      <c r="F79" s="1" t="str">
        <f>IFERROR(__xludf.DUMMYFUNCTION("""COMPUTED_VALUE"""),"+3")</f>
        <v>+3</v>
      </c>
      <c r="G79" s="3">
        <f>IFERROR(__xludf.DUMMYFUNCTION("""COMPUTED_VALUE"""),74367.0)</f>
        <v>74367</v>
      </c>
      <c r="H79" s="1" t="str">
        <f>IFERROR(__xludf.DUMMYFUNCTION("""COMPUTED_VALUE"""),"+1,315")</f>
        <v>+1,315</v>
      </c>
      <c r="I79" s="3">
        <f>IFERROR(__xludf.DUMMYFUNCTION("""COMPUTED_VALUE"""),22086.0)</f>
        <v>22086</v>
      </c>
      <c r="J79" s="1">
        <f>IFERROR(__xludf.DUMMYFUNCTION("""COMPUTED_VALUE"""),39.0)</f>
        <v>39</v>
      </c>
      <c r="K79" s="3">
        <f>IFERROR(__xludf.DUMMYFUNCTION("""COMPUTED_VALUE"""),16782.0)</f>
        <v>16782</v>
      </c>
      <c r="L79" s="1">
        <f>IFERROR(__xludf.DUMMYFUNCTION("""COMPUTED_VALUE"""),156.0)</f>
        <v>156</v>
      </c>
      <c r="M79" s="3">
        <f>IFERROR(__xludf.DUMMYFUNCTION("""COMPUTED_VALUE"""),8145175.0)</f>
        <v>8145175</v>
      </c>
      <c r="N79" s="3">
        <f>IFERROR(__xludf.DUMMYFUNCTION("""COMPUTED_VALUE"""),1404057.0)</f>
        <v>1404057</v>
      </c>
      <c r="O79" s="2">
        <f>IFERROR(__xludf.DUMMYFUNCTION("""COMPUTED_VALUE"""),5801172.0)</f>
        <v>5801172</v>
      </c>
      <c r="P79" s="1" t="str">
        <f>IFERROR(__xludf.DUMMYFUNCTION("""COMPUTED_VALUE"""),"Europe")</f>
        <v>Europe</v>
      </c>
      <c r="Q79" s="1">
        <f>IFERROR(__xludf.DUMMYFUNCTION("""COMPUTED_VALUE"""),60.0)</f>
        <v>60</v>
      </c>
      <c r="R79" s="3">
        <f>IFERROR(__xludf.DUMMYFUNCTION("""COMPUTED_VALUE"""),6417.0)</f>
        <v>6417</v>
      </c>
      <c r="S79" s="1">
        <f>IFERROR(__xludf.DUMMYFUNCTION("""COMPUTED_VALUE"""),1.0)</f>
        <v>1</v>
      </c>
    </row>
    <row r="80">
      <c r="A80" s="1">
        <f>IFERROR(__xludf.DUMMYFUNCTION("""COMPUTED_VALUE"""),71.0)</f>
        <v>71</v>
      </c>
      <c r="B80" s="1" t="str">
        <f>IFERROR(__xludf.DUMMYFUNCTION("""COMPUTED_VALUE"""),"Bosnia and Herzegovina")</f>
        <v>Bosnia and Herzegovina</v>
      </c>
      <c r="C80" s="3">
        <f>IFERROR(__xludf.DUMMYFUNCTION("""COMPUTED_VALUE"""),97317.0)</f>
        <v>97317</v>
      </c>
      <c r="D80" s="1" t="str">
        <f>IFERROR(__xludf.DUMMYFUNCTION("""COMPUTED_VALUE"""),"+1,296")</f>
        <v>+1,296</v>
      </c>
      <c r="E80" s="3">
        <f>IFERROR(__xludf.DUMMYFUNCTION("""COMPUTED_VALUE"""),3151.0)</f>
        <v>3151</v>
      </c>
      <c r="F80" s="1" t="str">
        <f>IFERROR(__xludf.DUMMYFUNCTION("""COMPUTED_VALUE"""),"+70")</f>
        <v>+70</v>
      </c>
      <c r="G80" s="3">
        <f>IFERROR(__xludf.DUMMYFUNCTION("""COMPUTED_VALUE"""),61322.0)</f>
        <v>61322</v>
      </c>
      <c r="H80" s="1" t="str">
        <f>IFERROR(__xludf.DUMMYFUNCTION("""COMPUTED_VALUE"""),"+1,103")</f>
        <v>+1,103</v>
      </c>
      <c r="I80" s="3">
        <f>IFERROR(__xludf.DUMMYFUNCTION("""COMPUTED_VALUE"""),32844.0)</f>
        <v>32844</v>
      </c>
      <c r="J80" s="1"/>
      <c r="K80" s="3">
        <f>IFERROR(__xludf.DUMMYFUNCTION("""COMPUTED_VALUE"""),29744.0)</f>
        <v>29744</v>
      </c>
      <c r="L80" s="1">
        <f>IFERROR(__xludf.DUMMYFUNCTION("""COMPUTED_VALUE"""),963.0)</f>
        <v>963</v>
      </c>
      <c r="M80" s="3">
        <f>IFERROR(__xludf.DUMMYFUNCTION("""COMPUTED_VALUE"""),452838.0)</f>
        <v>452838</v>
      </c>
      <c r="N80" s="3">
        <f>IFERROR(__xludf.DUMMYFUNCTION("""COMPUTED_VALUE"""),138408.0)</f>
        <v>138408</v>
      </c>
      <c r="O80" s="2">
        <f>IFERROR(__xludf.DUMMYFUNCTION("""COMPUTED_VALUE"""),3271773.0)</f>
        <v>3271773</v>
      </c>
      <c r="P80" s="1" t="str">
        <f>IFERROR(__xludf.DUMMYFUNCTION("""COMPUTED_VALUE"""),"Europe")</f>
        <v>Europe</v>
      </c>
      <c r="Q80" s="1">
        <f>IFERROR(__xludf.DUMMYFUNCTION("""COMPUTED_VALUE"""),34.0)</f>
        <v>34</v>
      </c>
      <c r="R80" s="3">
        <f>IFERROR(__xludf.DUMMYFUNCTION("""COMPUTED_VALUE"""),1038.0)</f>
        <v>1038</v>
      </c>
      <c r="S80" s="1">
        <f>IFERROR(__xludf.DUMMYFUNCTION("""COMPUTED_VALUE"""),7.0)</f>
        <v>7</v>
      </c>
    </row>
    <row r="81">
      <c r="A81" s="1">
        <f>IFERROR(__xludf.DUMMYFUNCTION("""COMPUTED_VALUE"""),72.0)</f>
        <v>72</v>
      </c>
      <c r="B81" s="1" t="str">
        <f>IFERROR(__xludf.DUMMYFUNCTION("""COMPUTED_VALUE"""),"Slovenia")</f>
        <v>Slovenia</v>
      </c>
      <c r="C81" s="3">
        <f>IFERROR(__xludf.DUMMYFUNCTION("""COMPUTED_VALUE"""),90075.0)</f>
        <v>90075</v>
      </c>
      <c r="D81" s="1" t="str">
        <f>IFERROR(__xludf.DUMMYFUNCTION("""COMPUTED_VALUE"""),"+2,139")</f>
        <v>+2,139</v>
      </c>
      <c r="E81" s="3">
        <f>IFERROR(__xludf.DUMMYFUNCTION("""COMPUTED_VALUE"""),1900.0)</f>
        <v>1900</v>
      </c>
      <c r="F81" s="1" t="str">
        <f>IFERROR(__xludf.DUMMYFUNCTION("""COMPUTED_VALUE"""),"+38")</f>
        <v>+38</v>
      </c>
      <c r="G81" s="3">
        <f>IFERROR(__xludf.DUMMYFUNCTION("""COMPUTED_VALUE"""),67437.0)</f>
        <v>67437</v>
      </c>
      <c r="H81" s="1" t="str">
        <f>IFERROR(__xludf.DUMMYFUNCTION("""COMPUTED_VALUE"""),"+2,197")</f>
        <v>+2,197</v>
      </c>
      <c r="I81" s="3">
        <f>IFERROR(__xludf.DUMMYFUNCTION("""COMPUTED_VALUE"""),20738.0)</f>
        <v>20738</v>
      </c>
      <c r="J81" s="1">
        <f>IFERROR(__xludf.DUMMYFUNCTION("""COMPUTED_VALUE"""),198.0)</f>
        <v>198</v>
      </c>
      <c r="K81" s="3">
        <f>IFERROR(__xludf.DUMMYFUNCTION("""COMPUTED_VALUE"""),43325.0)</f>
        <v>43325</v>
      </c>
      <c r="L81" s="1">
        <f>IFERROR(__xludf.DUMMYFUNCTION("""COMPUTED_VALUE"""),914.0)</f>
        <v>914</v>
      </c>
      <c r="M81" s="3">
        <f>IFERROR(__xludf.DUMMYFUNCTION("""COMPUTED_VALUE"""),570798.0)</f>
        <v>570798</v>
      </c>
      <c r="N81" s="3">
        <f>IFERROR(__xludf.DUMMYFUNCTION("""COMPUTED_VALUE"""),274546.0)</f>
        <v>274546</v>
      </c>
      <c r="O81" s="2">
        <f>IFERROR(__xludf.DUMMYFUNCTION("""COMPUTED_VALUE"""),2079064.0)</f>
        <v>2079064</v>
      </c>
      <c r="P81" s="1" t="str">
        <f>IFERROR(__xludf.DUMMYFUNCTION("""COMPUTED_VALUE"""),"Europe")</f>
        <v>Europe</v>
      </c>
      <c r="Q81" s="1">
        <f>IFERROR(__xludf.DUMMYFUNCTION("""COMPUTED_VALUE"""),23.0)</f>
        <v>23</v>
      </c>
      <c r="R81" s="3">
        <f>IFERROR(__xludf.DUMMYFUNCTION("""COMPUTED_VALUE"""),1094.0)</f>
        <v>1094</v>
      </c>
      <c r="S81" s="1">
        <f>IFERROR(__xludf.DUMMYFUNCTION("""COMPUTED_VALUE"""),4.0)</f>
        <v>4</v>
      </c>
    </row>
    <row r="82">
      <c r="A82" s="1">
        <f>IFERROR(__xludf.DUMMYFUNCTION("""COMPUTED_VALUE"""),73.0)</f>
        <v>73</v>
      </c>
      <c r="B82" s="1" t="str">
        <f>IFERROR(__xludf.DUMMYFUNCTION("""COMPUTED_VALUE"""),"Algeria")</f>
        <v>Algeria</v>
      </c>
      <c r="C82" s="3">
        <f>IFERROR(__xludf.DUMMYFUNCTION("""COMPUTED_VALUE"""),90014.0)</f>
        <v>90014</v>
      </c>
      <c r="D82" s="1" t="str">
        <f>IFERROR(__xludf.DUMMYFUNCTION("""COMPUTED_VALUE"""),"+598")</f>
        <v>+598</v>
      </c>
      <c r="E82" s="3">
        <f>IFERROR(__xludf.DUMMYFUNCTION("""COMPUTED_VALUE"""),2554.0)</f>
        <v>2554</v>
      </c>
      <c r="F82" s="1" t="str">
        <f>IFERROR(__xludf.DUMMYFUNCTION("""COMPUTED_VALUE"""),"+15")</f>
        <v>+15</v>
      </c>
      <c r="G82" s="3">
        <f>IFERROR(__xludf.DUMMYFUNCTION("""COMPUTED_VALUE"""),58146.0)</f>
        <v>58146</v>
      </c>
      <c r="H82" s="1"/>
      <c r="I82" s="3">
        <f>IFERROR(__xludf.DUMMYFUNCTION("""COMPUTED_VALUE"""),29314.0)</f>
        <v>29314</v>
      </c>
      <c r="J82" s="1">
        <f>IFERROR(__xludf.DUMMYFUNCTION("""COMPUTED_VALUE"""),46.0)</f>
        <v>46</v>
      </c>
      <c r="K82" s="3">
        <f>IFERROR(__xludf.DUMMYFUNCTION("""COMPUTED_VALUE"""),2037.0)</f>
        <v>2037</v>
      </c>
      <c r="L82" s="1">
        <f>IFERROR(__xludf.DUMMYFUNCTION("""COMPUTED_VALUE"""),58.0)</f>
        <v>58</v>
      </c>
      <c r="M82" s="1"/>
      <c r="N82" s="1"/>
      <c r="O82" s="2">
        <f>IFERROR(__xludf.DUMMYFUNCTION("""COMPUTED_VALUE"""),4.4194702E7)</f>
        <v>44194702</v>
      </c>
      <c r="P82" s="1" t="str">
        <f>IFERROR(__xludf.DUMMYFUNCTION("""COMPUTED_VALUE"""),"Africa")</f>
        <v>Africa</v>
      </c>
      <c r="Q82" s="1">
        <f>IFERROR(__xludf.DUMMYFUNCTION("""COMPUTED_VALUE"""),491.0)</f>
        <v>491</v>
      </c>
      <c r="R82" s="3">
        <f>IFERROR(__xludf.DUMMYFUNCTION("""COMPUTED_VALUE"""),17304.0)</f>
        <v>17304</v>
      </c>
      <c r="S82" s="1"/>
    </row>
    <row r="83">
      <c r="A83" s="1">
        <f>IFERROR(__xludf.DUMMYFUNCTION("""COMPUTED_VALUE"""),74.0)</f>
        <v>74</v>
      </c>
      <c r="B83" s="1" t="str">
        <f>IFERROR(__xludf.DUMMYFUNCTION("""COMPUTED_VALUE"""),"Kenya")</f>
        <v>Kenya</v>
      </c>
      <c r="C83" s="3">
        <f>IFERROR(__xludf.DUMMYFUNCTION("""COMPUTED_VALUE"""),89661.0)</f>
        <v>89661</v>
      </c>
      <c r="D83" s="1" t="str">
        <f>IFERROR(__xludf.DUMMYFUNCTION("""COMPUTED_VALUE"""),"+561")</f>
        <v>+561</v>
      </c>
      <c r="E83" s="3">
        <f>IFERROR(__xludf.DUMMYFUNCTION("""COMPUTED_VALUE"""),1552.0)</f>
        <v>1552</v>
      </c>
      <c r="F83" s="1" t="str">
        <f>IFERROR(__xludf.DUMMYFUNCTION("""COMPUTED_VALUE"""),"+7")</f>
        <v>+7</v>
      </c>
      <c r="G83" s="3">
        <f>IFERROR(__xludf.DUMMYFUNCTION("""COMPUTED_VALUE"""),70194.0)</f>
        <v>70194</v>
      </c>
      <c r="H83" s="1" t="str">
        <f>IFERROR(__xludf.DUMMYFUNCTION("""COMPUTED_VALUE"""),"+355")</f>
        <v>+355</v>
      </c>
      <c r="I83" s="3">
        <f>IFERROR(__xludf.DUMMYFUNCTION("""COMPUTED_VALUE"""),17915.0)</f>
        <v>17915</v>
      </c>
      <c r="J83" s="1">
        <f>IFERROR(__xludf.DUMMYFUNCTION("""COMPUTED_VALUE"""),71.0)</f>
        <v>71</v>
      </c>
      <c r="K83" s="3">
        <f>IFERROR(__xludf.DUMMYFUNCTION("""COMPUTED_VALUE"""),1652.0)</f>
        <v>1652</v>
      </c>
      <c r="L83" s="1">
        <f>IFERROR(__xludf.DUMMYFUNCTION("""COMPUTED_VALUE"""),29.0)</f>
        <v>29</v>
      </c>
      <c r="M83" s="3">
        <f>IFERROR(__xludf.DUMMYFUNCTION("""COMPUTED_VALUE"""),938936.0)</f>
        <v>938936</v>
      </c>
      <c r="N83" s="3">
        <f>IFERROR(__xludf.DUMMYFUNCTION("""COMPUTED_VALUE"""),17297.0)</f>
        <v>17297</v>
      </c>
      <c r="O83" s="2">
        <f>IFERROR(__xludf.DUMMYFUNCTION("""COMPUTED_VALUE"""),5.4283372E7)</f>
        <v>54283372</v>
      </c>
      <c r="P83" s="1" t="str">
        <f>IFERROR(__xludf.DUMMYFUNCTION("""COMPUTED_VALUE"""),"Africa")</f>
        <v>Africa</v>
      </c>
      <c r="Q83" s="1">
        <f>IFERROR(__xludf.DUMMYFUNCTION("""COMPUTED_VALUE"""),605.0)</f>
        <v>605</v>
      </c>
      <c r="R83" s="3">
        <f>IFERROR(__xludf.DUMMYFUNCTION("""COMPUTED_VALUE"""),34976.0)</f>
        <v>34976</v>
      </c>
      <c r="S83" s="1">
        <f>IFERROR(__xludf.DUMMYFUNCTION("""COMPUTED_VALUE"""),58.0)</f>
        <v>58</v>
      </c>
    </row>
    <row r="84">
      <c r="A84" s="1">
        <f>IFERROR(__xludf.DUMMYFUNCTION("""COMPUTED_VALUE"""),75.0)</f>
        <v>75</v>
      </c>
      <c r="B84" s="1" t="str">
        <f>IFERROR(__xludf.DUMMYFUNCTION("""COMPUTED_VALUE"""),"Paraguay")</f>
        <v>Paraguay</v>
      </c>
      <c r="C84" s="3">
        <f>IFERROR(__xludf.DUMMYFUNCTION("""COMPUTED_VALUE"""),89421.0)</f>
        <v>89421</v>
      </c>
      <c r="D84" s="1"/>
      <c r="E84" s="3">
        <f>IFERROR(__xludf.DUMMYFUNCTION("""COMPUTED_VALUE"""),1887.0)</f>
        <v>1887</v>
      </c>
      <c r="F84" s="1"/>
      <c r="G84" s="3">
        <f>IFERROR(__xludf.DUMMYFUNCTION("""COMPUTED_VALUE"""),63243.0)</f>
        <v>63243</v>
      </c>
      <c r="H84" s="1"/>
      <c r="I84" s="3">
        <f>IFERROR(__xludf.DUMMYFUNCTION("""COMPUTED_VALUE"""),24291.0)</f>
        <v>24291</v>
      </c>
      <c r="J84" s="1">
        <f>IFERROR(__xludf.DUMMYFUNCTION("""COMPUTED_VALUE"""),145.0)</f>
        <v>145</v>
      </c>
      <c r="K84" s="3">
        <f>IFERROR(__xludf.DUMMYFUNCTION("""COMPUTED_VALUE"""),12470.0)</f>
        <v>12470</v>
      </c>
      <c r="L84" s="1">
        <f>IFERROR(__xludf.DUMMYFUNCTION("""COMPUTED_VALUE"""),263.0)</f>
        <v>263</v>
      </c>
      <c r="M84" s="3">
        <f>IFERROR(__xludf.DUMMYFUNCTION("""COMPUTED_VALUE"""),481180.0)</f>
        <v>481180</v>
      </c>
      <c r="N84" s="3">
        <f>IFERROR(__xludf.DUMMYFUNCTION("""COMPUTED_VALUE"""),67103.0)</f>
        <v>67103</v>
      </c>
      <c r="O84" s="2">
        <f>IFERROR(__xludf.DUMMYFUNCTION("""COMPUTED_VALUE"""),7170769.0)</f>
        <v>7170769</v>
      </c>
      <c r="P84" s="1" t="str">
        <f>IFERROR(__xludf.DUMMYFUNCTION("""COMPUTED_VALUE"""),"South America")</f>
        <v>South America</v>
      </c>
      <c r="Q84" s="1">
        <f>IFERROR(__xludf.DUMMYFUNCTION("""COMPUTED_VALUE"""),80.0)</f>
        <v>80</v>
      </c>
      <c r="R84" s="3">
        <f>IFERROR(__xludf.DUMMYFUNCTION("""COMPUTED_VALUE"""),3800.0)</f>
        <v>3800</v>
      </c>
      <c r="S84" s="1">
        <f>IFERROR(__xludf.DUMMYFUNCTION("""COMPUTED_VALUE"""),15.0)</f>
        <v>15</v>
      </c>
    </row>
    <row r="85">
      <c r="A85" s="1">
        <f>IFERROR(__xludf.DUMMYFUNCTION("""COMPUTED_VALUE"""),76.0)</f>
        <v>76</v>
      </c>
      <c r="B85" s="1" t="str">
        <f>IFERROR(__xludf.DUMMYFUNCTION("""COMPUTED_VALUE"""),"Libya")</f>
        <v>Libya</v>
      </c>
      <c r="C85" s="3">
        <f>IFERROR(__xludf.DUMMYFUNCTION("""COMPUTED_VALUE"""),88522.0)</f>
        <v>88522</v>
      </c>
      <c r="D85" s="1" t="str">
        <f>IFERROR(__xludf.DUMMYFUNCTION("""COMPUTED_VALUE"""),"+536")</f>
        <v>+536</v>
      </c>
      <c r="E85" s="3">
        <f>IFERROR(__xludf.DUMMYFUNCTION("""COMPUTED_VALUE"""),1261.0)</f>
        <v>1261</v>
      </c>
      <c r="F85" s="1" t="str">
        <f>IFERROR(__xludf.DUMMYFUNCTION("""COMPUTED_VALUE"""),"+6")</f>
        <v>+6</v>
      </c>
      <c r="G85" s="3">
        <f>IFERROR(__xludf.DUMMYFUNCTION("""COMPUTED_VALUE"""),58578.0)</f>
        <v>58578</v>
      </c>
      <c r="H85" s="1" t="str">
        <f>IFERROR(__xludf.DUMMYFUNCTION("""COMPUTED_VALUE"""),"+741")</f>
        <v>+741</v>
      </c>
      <c r="I85" s="3">
        <f>IFERROR(__xludf.DUMMYFUNCTION("""COMPUTED_VALUE"""),28683.0)</f>
        <v>28683</v>
      </c>
      <c r="J85" s="1"/>
      <c r="K85" s="3">
        <f>IFERROR(__xludf.DUMMYFUNCTION("""COMPUTED_VALUE"""),12807.0)</f>
        <v>12807</v>
      </c>
      <c r="L85" s="1">
        <f>IFERROR(__xludf.DUMMYFUNCTION("""COMPUTED_VALUE"""),182.0)</f>
        <v>182</v>
      </c>
      <c r="M85" s="3">
        <f>IFERROR(__xludf.DUMMYFUNCTION("""COMPUTED_VALUE"""),470005.0)</f>
        <v>470005</v>
      </c>
      <c r="N85" s="3">
        <f>IFERROR(__xludf.DUMMYFUNCTION("""COMPUTED_VALUE"""),67998.0)</f>
        <v>67998</v>
      </c>
      <c r="O85" s="2">
        <f>IFERROR(__xludf.DUMMYFUNCTION("""COMPUTED_VALUE"""),6912015.0)</f>
        <v>6912015</v>
      </c>
      <c r="P85" s="1" t="str">
        <f>IFERROR(__xludf.DUMMYFUNCTION("""COMPUTED_VALUE"""),"Africa")</f>
        <v>Africa</v>
      </c>
      <c r="Q85" s="1">
        <f>IFERROR(__xludf.DUMMYFUNCTION("""COMPUTED_VALUE"""),78.0)</f>
        <v>78</v>
      </c>
      <c r="R85" s="3">
        <f>IFERROR(__xludf.DUMMYFUNCTION("""COMPUTED_VALUE"""),5481.0)</f>
        <v>5481</v>
      </c>
      <c r="S85" s="1">
        <f>IFERROR(__xludf.DUMMYFUNCTION("""COMPUTED_VALUE"""),15.0)</f>
        <v>15</v>
      </c>
    </row>
    <row r="86">
      <c r="A86" s="1">
        <f>IFERROR(__xludf.DUMMYFUNCTION("""COMPUTED_VALUE"""),77.0)</f>
        <v>77</v>
      </c>
      <c r="B86" s="1" t="str">
        <f>IFERROR(__xludf.DUMMYFUNCTION("""COMPUTED_VALUE"""),"Bahrain")</f>
        <v>Bahrain</v>
      </c>
      <c r="C86" s="3">
        <f>IFERROR(__xludf.DUMMYFUNCTION("""COMPUTED_VALUE"""),88495.0)</f>
        <v>88495</v>
      </c>
      <c r="D86" s="1" t="str">
        <f>IFERROR(__xludf.DUMMYFUNCTION("""COMPUTED_VALUE"""),"+201")</f>
        <v>+201</v>
      </c>
      <c r="E86" s="1">
        <f>IFERROR(__xludf.DUMMYFUNCTION("""COMPUTED_VALUE"""),347.0)</f>
        <v>347</v>
      </c>
      <c r="F86" s="1" t="str">
        <f>IFERROR(__xludf.DUMMYFUNCTION("""COMPUTED_VALUE"""),"+4")</f>
        <v>+4</v>
      </c>
      <c r="G86" s="3">
        <f>IFERROR(__xludf.DUMMYFUNCTION("""COMPUTED_VALUE"""),86518.0)</f>
        <v>86518</v>
      </c>
      <c r="H86" s="1" t="str">
        <f>IFERROR(__xludf.DUMMYFUNCTION("""COMPUTED_VALUE"""),"+170")</f>
        <v>+170</v>
      </c>
      <c r="I86" s="3">
        <f>IFERROR(__xludf.DUMMYFUNCTION("""COMPUTED_VALUE"""),1630.0)</f>
        <v>1630</v>
      </c>
      <c r="J86" s="1">
        <f>IFERROR(__xludf.DUMMYFUNCTION("""COMPUTED_VALUE"""),6.0)</f>
        <v>6</v>
      </c>
      <c r="K86" s="3">
        <f>IFERROR(__xludf.DUMMYFUNCTION("""COMPUTED_VALUE"""),51247.0)</f>
        <v>51247</v>
      </c>
      <c r="L86" s="1">
        <f>IFERROR(__xludf.DUMMYFUNCTION("""COMPUTED_VALUE"""),201.0)</f>
        <v>201</v>
      </c>
      <c r="M86" s="3">
        <f>IFERROR(__xludf.DUMMYFUNCTION("""COMPUTED_VALUE"""),2149366.0)</f>
        <v>2149366</v>
      </c>
      <c r="N86" s="3">
        <f>IFERROR(__xludf.DUMMYFUNCTION("""COMPUTED_VALUE"""),1244695.0)</f>
        <v>1244695</v>
      </c>
      <c r="O86" s="2">
        <f>IFERROR(__xludf.DUMMYFUNCTION("""COMPUTED_VALUE"""),1726822.0)</f>
        <v>1726822</v>
      </c>
      <c r="P86" s="1" t="str">
        <f>IFERROR(__xludf.DUMMYFUNCTION("""COMPUTED_VALUE"""),"Asia")</f>
        <v>Asia</v>
      </c>
      <c r="Q86" s="1">
        <f>IFERROR(__xludf.DUMMYFUNCTION("""COMPUTED_VALUE"""),20.0)</f>
        <v>20</v>
      </c>
      <c r="R86" s="3">
        <f>IFERROR(__xludf.DUMMYFUNCTION("""COMPUTED_VALUE"""),4976.0)</f>
        <v>4976</v>
      </c>
      <c r="S86" s="1">
        <f>IFERROR(__xludf.DUMMYFUNCTION("""COMPUTED_VALUE"""),1.0)</f>
        <v>1</v>
      </c>
    </row>
    <row r="87">
      <c r="A87" s="1">
        <f>IFERROR(__xludf.DUMMYFUNCTION("""COMPUTED_VALUE"""),78.0)</f>
        <v>78</v>
      </c>
      <c r="B87" s="1" t="str">
        <f>IFERROR(__xludf.DUMMYFUNCTION("""COMPUTED_VALUE"""),"Lithuania")</f>
        <v>Lithuania</v>
      </c>
      <c r="C87" s="3">
        <f>IFERROR(__xludf.DUMMYFUNCTION("""COMPUTED_VALUE"""),80556.0)</f>
        <v>80556</v>
      </c>
      <c r="D87" s="1" t="str">
        <f>IFERROR(__xludf.DUMMYFUNCTION("""COMPUTED_VALUE"""),"+3,128")</f>
        <v>+3,128</v>
      </c>
      <c r="E87" s="1">
        <f>IFERROR(__xludf.DUMMYFUNCTION("""COMPUTED_VALUE"""),704.0)</f>
        <v>704</v>
      </c>
      <c r="F87" s="1" t="str">
        <f>IFERROR(__xludf.DUMMYFUNCTION("""COMPUTED_VALUE"""),"+31")</f>
        <v>+31</v>
      </c>
      <c r="G87" s="3">
        <f>IFERROR(__xludf.DUMMYFUNCTION("""COMPUTED_VALUE"""),33708.0)</f>
        <v>33708</v>
      </c>
      <c r="H87" s="1" t="str">
        <f>IFERROR(__xludf.DUMMYFUNCTION("""COMPUTED_VALUE"""),"+1,309")</f>
        <v>+1,309</v>
      </c>
      <c r="I87" s="3">
        <f>IFERROR(__xludf.DUMMYFUNCTION("""COMPUTED_VALUE"""),46144.0)</f>
        <v>46144</v>
      </c>
      <c r="J87" s="1">
        <f>IFERROR(__xludf.DUMMYFUNCTION("""COMPUTED_VALUE"""),161.0)</f>
        <v>161</v>
      </c>
      <c r="K87" s="3">
        <f>IFERROR(__xludf.DUMMYFUNCTION("""COMPUTED_VALUE"""),29777.0)</f>
        <v>29777</v>
      </c>
      <c r="L87" s="1">
        <f>IFERROR(__xludf.DUMMYFUNCTION("""COMPUTED_VALUE"""),260.0)</f>
        <v>260</v>
      </c>
      <c r="M87" s="3">
        <f>IFERROR(__xludf.DUMMYFUNCTION("""COMPUTED_VALUE"""),1357723.0)</f>
        <v>1357723</v>
      </c>
      <c r="N87" s="3">
        <f>IFERROR(__xludf.DUMMYFUNCTION("""COMPUTED_VALUE"""),501866.0)</f>
        <v>501866</v>
      </c>
      <c r="O87" s="2">
        <f>IFERROR(__xludf.DUMMYFUNCTION("""COMPUTED_VALUE"""),2705350.0)</f>
        <v>2705350</v>
      </c>
      <c r="P87" s="1" t="str">
        <f>IFERROR(__xludf.DUMMYFUNCTION("""COMPUTED_VALUE"""),"Europe")</f>
        <v>Europe</v>
      </c>
      <c r="Q87" s="1">
        <f>IFERROR(__xludf.DUMMYFUNCTION("""COMPUTED_VALUE"""),34.0)</f>
        <v>34</v>
      </c>
      <c r="R87" s="3">
        <f>IFERROR(__xludf.DUMMYFUNCTION("""COMPUTED_VALUE"""),3843.0)</f>
        <v>3843</v>
      </c>
      <c r="S87" s="1">
        <f>IFERROR(__xludf.DUMMYFUNCTION("""COMPUTED_VALUE"""),2.0)</f>
        <v>2</v>
      </c>
    </row>
    <row r="88">
      <c r="A88" s="1">
        <f>IFERROR(__xludf.DUMMYFUNCTION("""COMPUTED_VALUE"""),79.0)</f>
        <v>79</v>
      </c>
      <c r="B88" s="1" t="str">
        <f>IFERROR(__xludf.DUMMYFUNCTION("""COMPUTED_VALUE"""),"Malaysia")</f>
        <v>Malaysia</v>
      </c>
      <c r="C88" s="3">
        <f>IFERROR(__xludf.DUMMYFUNCTION("""COMPUTED_VALUE"""),76265.0)</f>
        <v>76265</v>
      </c>
      <c r="D88" s="1" t="str">
        <f>IFERROR(__xludf.DUMMYFUNCTION("""COMPUTED_VALUE"""),"+959")</f>
        <v>+959</v>
      </c>
      <c r="E88" s="1">
        <f>IFERROR(__xludf.DUMMYFUNCTION("""COMPUTED_VALUE"""),393.0)</f>
        <v>393</v>
      </c>
      <c r="F88" s="1" t="str">
        <f>IFERROR(__xludf.DUMMYFUNCTION("""COMPUTED_VALUE"""),"+5")</f>
        <v>+5</v>
      </c>
      <c r="G88" s="3">
        <f>IFERROR(__xludf.DUMMYFUNCTION("""COMPUTED_VALUE"""),65124.0)</f>
        <v>65124</v>
      </c>
      <c r="H88" s="1" t="str">
        <f>IFERROR(__xludf.DUMMYFUNCTION("""COMPUTED_VALUE"""),"+1,068")</f>
        <v>+1,068</v>
      </c>
      <c r="I88" s="3">
        <f>IFERROR(__xludf.DUMMYFUNCTION("""COMPUTED_VALUE"""),10748.0)</f>
        <v>10748</v>
      </c>
      <c r="J88" s="1">
        <f>IFERROR(__xludf.DUMMYFUNCTION("""COMPUTED_VALUE"""),127.0)</f>
        <v>127</v>
      </c>
      <c r="K88" s="3">
        <f>IFERROR(__xludf.DUMMYFUNCTION("""COMPUTED_VALUE"""),2343.0)</f>
        <v>2343</v>
      </c>
      <c r="L88" s="1">
        <f>IFERROR(__xludf.DUMMYFUNCTION("""COMPUTED_VALUE"""),12.0)</f>
        <v>12</v>
      </c>
      <c r="M88" s="3">
        <f>IFERROR(__xludf.DUMMYFUNCTION("""COMPUTED_VALUE"""),2851220.0)</f>
        <v>2851220</v>
      </c>
      <c r="N88" s="3">
        <f>IFERROR(__xludf.DUMMYFUNCTION("""COMPUTED_VALUE"""),87604.0)</f>
        <v>87604</v>
      </c>
      <c r="O88" s="2">
        <f>IFERROR(__xludf.DUMMYFUNCTION("""COMPUTED_VALUE"""),3.2546863E7)</f>
        <v>32546863</v>
      </c>
      <c r="P88" s="1" t="str">
        <f>IFERROR(__xludf.DUMMYFUNCTION("""COMPUTED_VALUE"""),"Asia")</f>
        <v>Asia</v>
      </c>
      <c r="Q88" s="1">
        <f>IFERROR(__xludf.DUMMYFUNCTION("""COMPUTED_VALUE"""),427.0)</f>
        <v>427</v>
      </c>
      <c r="R88" s="3">
        <f>IFERROR(__xludf.DUMMYFUNCTION("""COMPUTED_VALUE"""),82816.0)</f>
        <v>82816</v>
      </c>
      <c r="S88" s="1">
        <f>IFERROR(__xludf.DUMMYFUNCTION("""COMPUTED_VALUE"""),11.0)</f>
        <v>11</v>
      </c>
    </row>
    <row r="89">
      <c r="A89" s="1">
        <f>IFERROR(__xludf.DUMMYFUNCTION("""COMPUTED_VALUE"""),80.0)</f>
        <v>80</v>
      </c>
      <c r="B89" s="1" t="str">
        <f>IFERROR(__xludf.DUMMYFUNCTION("""COMPUTED_VALUE"""),"Kyrgyzstan")</f>
        <v>Kyrgyzstan</v>
      </c>
      <c r="C89" s="3">
        <f>IFERROR(__xludf.DUMMYFUNCTION("""COMPUTED_VALUE"""),76012.0)</f>
        <v>76012</v>
      </c>
      <c r="D89" s="1" t="str">
        <f>IFERROR(__xludf.DUMMYFUNCTION("""COMPUTED_VALUE"""),"+322")</f>
        <v>+322</v>
      </c>
      <c r="E89" s="3">
        <f>IFERROR(__xludf.DUMMYFUNCTION("""COMPUTED_VALUE"""),1303.0)</f>
        <v>1303</v>
      </c>
      <c r="F89" s="1" t="str">
        <f>IFERROR(__xludf.DUMMYFUNCTION("""COMPUTED_VALUE"""),"+2")</f>
        <v>+2</v>
      </c>
      <c r="G89" s="3">
        <f>IFERROR(__xludf.DUMMYFUNCTION("""COMPUTED_VALUE"""),68367.0)</f>
        <v>68367</v>
      </c>
      <c r="H89" s="1" t="str">
        <f>IFERROR(__xludf.DUMMYFUNCTION("""COMPUTED_VALUE"""),"+494")</f>
        <v>+494</v>
      </c>
      <c r="I89" s="3">
        <f>IFERROR(__xludf.DUMMYFUNCTION("""COMPUTED_VALUE"""),6342.0)</f>
        <v>6342</v>
      </c>
      <c r="J89" s="1">
        <f>IFERROR(__xludf.DUMMYFUNCTION("""COMPUTED_VALUE"""),106.0)</f>
        <v>106</v>
      </c>
      <c r="K89" s="3">
        <f>IFERROR(__xludf.DUMMYFUNCTION("""COMPUTED_VALUE"""),11568.0)</f>
        <v>11568</v>
      </c>
      <c r="L89" s="1">
        <f>IFERROR(__xludf.DUMMYFUNCTION("""COMPUTED_VALUE"""),198.0)</f>
        <v>198</v>
      </c>
      <c r="M89" s="3">
        <f>IFERROR(__xludf.DUMMYFUNCTION("""COMPUTED_VALUE"""),533736.0)</f>
        <v>533736</v>
      </c>
      <c r="N89" s="3">
        <f>IFERROR(__xludf.DUMMYFUNCTION("""COMPUTED_VALUE"""),81226.0)</f>
        <v>81226</v>
      </c>
      <c r="O89" s="2">
        <f>IFERROR(__xludf.DUMMYFUNCTION("""COMPUTED_VALUE"""),6570980.0)</f>
        <v>6570980</v>
      </c>
      <c r="P89" s="1" t="str">
        <f>IFERROR(__xludf.DUMMYFUNCTION("""COMPUTED_VALUE"""),"Asia")</f>
        <v>Asia</v>
      </c>
      <c r="Q89" s="1">
        <f>IFERROR(__xludf.DUMMYFUNCTION("""COMPUTED_VALUE"""),86.0)</f>
        <v>86</v>
      </c>
      <c r="R89" s="3">
        <f>IFERROR(__xludf.DUMMYFUNCTION("""COMPUTED_VALUE"""),5043.0)</f>
        <v>5043</v>
      </c>
      <c r="S89" s="1">
        <f>IFERROR(__xludf.DUMMYFUNCTION("""COMPUTED_VALUE"""),12.0)</f>
        <v>12</v>
      </c>
    </row>
    <row r="90">
      <c r="A90" s="1">
        <f>IFERROR(__xludf.DUMMYFUNCTION("""COMPUTED_VALUE"""),81.0)</f>
        <v>81</v>
      </c>
      <c r="B90" s="1" t="str">
        <f>IFERROR(__xludf.DUMMYFUNCTION("""COMPUTED_VALUE"""),"Ireland")</f>
        <v>Ireland</v>
      </c>
      <c r="C90" s="3">
        <f>IFERROR(__xludf.DUMMYFUNCTION("""COMPUTED_VALUE"""),74900.0)</f>
        <v>74900</v>
      </c>
      <c r="D90" s="1" t="str">
        <f>IFERROR(__xludf.DUMMYFUNCTION("""COMPUTED_VALUE"""),"+218")</f>
        <v>+218</v>
      </c>
      <c r="E90" s="3">
        <f>IFERROR(__xludf.DUMMYFUNCTION("""COMPUTED_VALUE"""),2102.0)</f>
        <v>2102</v>
      </c>
      <c r="F90" s="1" t="str">
        <f>IFERROR(__xludf.DUMMYFUNCTION("""COMPUTED_VALUE"""),"+5")</f>
        <v>+5</v>
      </c>
      <c r="G90" s="3">
        <f>IFERROR(__xludf.DUMMYFUNCTION("""COMPUTED_VALUE"""),23364.0)</f>
        <v>23364</v>
      </c>
      <c r="H90" s="1"/>
      <c r="I90" s="3">
        <f>IFERROR(__xludf.DUMMYFUNCTION("""COMPUTED_VALUE"""),49434.0)</f>
        <v>49434</v>
      </c>
      <c r="J90" s="1">
        <f>IFERROR(__xludf.DUMMYFUNCTION("""COMPUTED_VALUE"""),38.0)</f>
        <v>38</v>
      </c>
      <c r="K90" s="3">
        <f>IFERROR(__xludf.DUMMYFUNCTION("""COMPUTED_VALUE"""),15095.0)</f>
        <v>15095</v>
      </c>
      <c r="L90" s="1">
        <f>IFERROR(__xludf.DUMMYFUNCTION("""COMPUTED_VALUE"""),424.0)</f>
        <v>424</v>
      </c>
      <c r="M90" s="3">
        <f>IFERROR(__xludf.DUMMYFUNCTION("""COMPUTED_VALUE"""),2063450.0)</f>
        <v>2063450</v>
      </c>
      <c r="N90" s="3">
        <f>IFERROR(__xludf.DUMMYFUNCTION("""COMPUTED_VALUE"""),415861.0)</f>
        <v>415861</v>
      </c>
      <c r="O90" s="2">
        <f>IFERROR(__xludf.DUMMYFUNCTION("""COMPUTED_VALUE"""),4961879.0)</f>
        <v>4961879</v>
      </c>
      <c r="P90" s="1" t="str">
        <f>IFERROR(__xludf.DUMMYFUNCTION("""COMPUTED_VALUE"""),"Europe")</f>
        <v>Europe</v>
      </c>
      <c r="Q90" s="1">
        <f>IFERROR(__xludf.DUMMYFUNCTION("""COMPUTED_VALUE"""),66.0)</f>
        <v>66</v>
      </c>
      <c r="R90" s="3">
        <f>IFERROR(__xludf.DUMMYFUNCTION("""COMPUTED_VALUE"""),2361.0)</f>
        <v>2361</v>
      </c>
      <c r="S90" s="1">
        <f>IFERROR(__xludf.DUMMYFUNCTION("""COMPUTED_VALUE"""),2.0)</f>
        <v>2</v>
      </c>
    </row>
    <row r="91">
      <c r="A91" s="1">
        <f>IFERROR(__xludf.DUMMYFUNCTION("""COMPUTED_VALUE"""),82.0)</f>
        <v>82</v>
      </c>
      <c r="B91" s="1" t="str">
        <f>IFERROR(__xludf.DUMMYFUNCTION("""COMPUTED_VALUE"""),"Uzbekistan")</f>
        <v>Uzbekistan</v>
      </c>
      <c r="C91" s="3">
        <f>IFERROR(__xludf.DUMMYFUNCTION("""COMPUTED_VALUE"""),74352.0)</f>
        <v>74352</v>
      </c>
      <c r="D91" s="1" t="str">
        <f>IFERROR(__xludf.DUMMYFUNCTION("""COMPUTED_VALUE"""),"+146")</f>
        <v>+146</v>
      </c>
      <c r="E91" s="1">
        <f>IFERROR(__xludf.DUMMYFUNCTION("""COMPUTED_VALUE"""),611.0)</f>
        <v>611</v>
      </c>
      <c r="F91" s="1"/>
      <c r="G91" s="3">
        <f>IFERROR(__xludf.DUMMYFUNCTION("""COMPUTED_VALUE"""),71609.0)</f>
        <v>71609</v>
      </c>
      <c r="H91" s="1" t="str">
        <f>IFERROR(__xludf.DUMMYFUNCTION("""COMPUTED_VALUE"""),"+127")</f>
        <v>+127</v>
      </c>
      <c r="I91" s="3">
        <f>IFERROR(__xludf.DUMMYFUNCTION("""COMPUTED_VALUE"""),2132.0)</f>
        <v>2132</v>
      </c>
      <c r="J91" s="1">
        <f>IFERROR(__xludf.DUMMYFUNCTION("""COMPUTED_VALUE"""),179.0)</f>
        <v>179</v>
      </c>
      <c r="K91" s="3">
        <f>IFERROR(__xludf.DUMMYFUNCTION("""COMPUTED_VALUE"""),2208.0)</f>
        <v>2208</v>
      </c>
      <c r="L91" s="1">
        <f>IFERROR(__xludf.DUMMYFUNCTION("""COMPUTED_VALUE"""),18.0)</f>
        <v>18</v>
      </c>
      <c r="M91" s="3">
        <f>IFERROR(__xludf.DUMMYFUNCTION("""COMPUTED_VALUE"""),1377915.0)</f>
        <v>1377915</v>
      </c>
      <c r="N91" s="3">
        <f>IFERROR(__xludf.DUMMYFUNCTION("""COMPUTED_VALUE"""),40911.0)</f>
        <v>40911</v>
      </c>
      <c r="O91" s="2">
        <f>IFERROR(__xludf.DUMMYFUNCTION("""COMPUTED_VALUE"""),3.368043E7)</f>
        <v>33680430</v>
      </c>
      <c r="P91" s="1" t="str">
        <f>IFERROR(__xludf.DUMMYFUNCTION("""COMPUTED_VALUE"""),"Asia")</f>
        <v>Asia</v>
      </c>
      <c r="Q91" s="1">
        <f>IFERROR(__xludf.DUMMYFUNCTION("""COMPUTED_VALUE"""),453.0)</f>
        <v>453</v>
      </c>
      <c r="R91" s="3">
        <f>IFERROR(__xludf.DUMMYFUNCTION("""COMPUTED_VALUE"""),55123.0)</f>
        <v>55123</v>
      </c>
      <c r="S91" s="1">
        <f>IFERROR(__xludf.DUMMYFUNCTION("""COMPUTED_VALUE"""),24.0)</f>
        <v>24</v>
      </c>
    </row>
    <row r="92">
      <c r="A92" s="1">
        <f>IFERROR(__xludf.DUMMYFUNCTION("""COMPUTED_VALUE"""),83.0)</f>
        <v>83</v>
      </c>
      <c r="B92" s="1" t="str">
        <f>IFERROR(__xludf.DUMMYFUNCTION("""COMPUTED_VALUE"""),"Nigeria")</f>
        <v>Nigeria</v>
      </c>
      <c r="C92" s="3">
        <f>IFERROR(__xludf.DUMMYFUNCTION("""COMPUTED_VALUE"""),70195.0)</f>
        <v>70195</v>
      </c>
      <c r="D92" s="1"/>
      <c r="E92" s="3">
        <f>IFERROR(__xludf.DUMMYFUNCTION("""COMPUTED_VALUE"""),1182.0)</f>
        <v>1182</v>
      </c>
      <c r="F92" s="1"/>
      <c r="G92" s="3">
        <f>IFERROR(__xludf.DUMMYFUNCTION("""COMPUTED_VALUE"""),65110.0)</f>
        <v>65110</v>
      </c>
      <c r="H92" s="1"/>
      <c r="I92" s="3">
        <f>IFERROR(__xludf.DUMMYFUNCTION("""COMPUTED_VALUE"""),3903.0)</f>
        <v>3903</v>
      </c>
      <c r="J92" s="1">
        <f>IFERROR(__xludf.DUMMYFUNCTION("""COMPUTED_VALUE"""),10.0)</f>
        <v>10</v>
      </c>
      <c r="K92" s="1">
        <f>IFERROR(__xludf.DUMMYFUNCTION("""COMPUTED_VALUE"""),337.0)</f>
        <v>337</v>
      </c>
      <c r="L92" s="1">
        <f>IFERROR(__xludf.DUMMYFUNCTION("""COMPUTED_VALUE"""),6.0)</f>
        <v>6</v>
      </c>
      <c r="M92" s="3">
        <f>IFERROR(__xludf.DUMMYFUNCTION("""COMPUTED_VALUE"""),817913.0)</f>
        <v>817913</v>
      </c>
      <c r="N92" s="3">
        <f>IFERROR(__xludf.DUMMYFUNCTION("""COMPUTED_VALUE"""),3926.0)</f>
        <v>3926</v>
      </c>
      <c r="O92" s="2">
        <f>IFERROR(__xludf.DUMMYFUNCTION("""COMPUTED_VALUE"""),2.08342516E8)</f>
        <v>208342516</v>
      </c>
      <c r="P92" s="1" t="str">
        <f>IFERROR(__xludf.DUMMYFUNCTION("""COMPUTED_VALUE"""),"Africa")</f>
        <v>Africa</v>
      </c>
      <c r="Q92" s="3">
        <f>IFERROR(__xludf.DUMMYFUNCTION("""COMPUTED_VALUE"""),2968.0)</f>
        <v>2968</v>
      </c>
      <c r="R92" s="3">
        <f>IFERROR(__xludf.DUMMYFUNCTION("""COMPUTED_VALUE"""),176263.0)</f>
        <v>176263</v>
      </c>
      <c r="S92" s="1">
        <f>IFERROR(__xludf.DUMMYFUNCTION("""COMPUTED_VALUE"""),255.0)</f>
        <v>255</v>
      </c>
    </row>
    <row r="93">
      <c r="A93" s="1">
        <f>IFERROR(__xludf.DUMMYFUNCTION("""COMPUTED_VALUE"""),84.0)</f>
        <v>84</v>
      </c>
      <c r="B93" s="1" t="str">
        <f>IFERROR(__xludf.DUMMYFUNCTION("""COMPUTED_VALUE"""),"North Macedonia")</f>
        <v>North Macedonia</v>
      </c>
      <c r="C93" s="3">
        <f>IFERROR(__xludf.DUMMYFUNCTION("""COMPUTED_VALUE"""),69954.0)</f>
        <v>69954</v>
      </c>
      <c r="D93" s="1" t="str">
        <f>IFERROR(__xludf.DUMMYFUNCTION("""COMPUTED_VALUE"""),"+502")</f>
        <v>+502</v>
      </c>
      <c r="E93" s="3">
        <f>IFERROR(__xludf.DUMMYFUNCTION("""COMPUTED_VALUE"""),2023.0)</f>
        <v>2023</v>
      </c>
      <c r="F93" s="1" t="str">
        <f>IFERROR(__xludf.DUMMYFUNCTION("""COMPUTED_VALUE"""),"+46")</f>
        <v>+46</v>
      </c>
      <c r="G93" s="3">
        <f>IFERROR(__xludf.DUMMYFUNCTION("""COMPUTED_VALUE"""),46352.0)</f>
        <v>46352</v>
      </c>
      <c r="H93" s="1" t="str">
        <f>IFERROR(__xludf.DUMMYFUNCTION("""COMPUTED_VALUE"""),"+731")</f>
        <v>+731</v>
      </c>
      <c r="I93" s="3">
        <f>IFERROR(__xludf.DUMMYFUNCTION("""COMPUTED_VALUE"""),21579.0)</f>
        <v>21579</v>
      </c>
      <c r="J93" s="1">
        <f>IFERROR(__xludf.DUMMYFUNCTION("""COMPUTED_VALUE"""),138.0)</f>
        <v>138</v>
      </c>
      <c r="K93" s="3">
        <f>IFERROR(__xludf.DUMMYFUNCTION("""COMPUTED_VALUE"""),33578.0)</f>
        <v>33578</v>
      </c>
      <c r="L93" s="1">
        <f>IFERROR(__xludf.DUMMYFUNCTION("""COMPUTED_VALUE"""),971.0)</f>
        <v>971</v>
      </c>
      <c r="M93" s="3">
        <f>IFERROR(__xludf.DUMMYFUNCTION("""COMPUTED_VALUE"""),354205.0)</f>
        <v>354205</v>
      </c>
      <c r="N93" s="3">
        <f>IFERROR(__xludf.DUMMYFUNCTION("""COMPUTED_VALUE"""),170018.0)</f>
        <v>170018</v>
      </c>
      <c r="O93" s="2">
        <f>IFERROR(__xludf.DUMMYFUNCTION("""COMPUTED_VALUE"""),2083336.0)</f>
        <v>2083336</v>
      </c>
      <c r="P93" s="1" t="str">
        <f>IFERROR(__xludf.DUMMYFUNCTION("""COMPUTED_VALUE"""),"Europe")</f>
        <v>Europe</v>
      </c>
      <c r="Q93" s="1">
        <f>IFERROR(__xludf.DUMMYFUNCTION("""COMPUTED_VALUE"""),30.0)</f>
        <v>30</v>
      </c>
      <c r="R93" s="3">
        <f>IFERROR(__xludf.DUMMYFUNCTION("""COMPUTED_VALUE"""),1030.0)</f>
        <v>1030</v>
      </c>
      <c r="S93" s="1">
        <f>IFERROR(__xludf.DUMMYFUNCTION("""COMPUTED_VALUE"""),6.0)</f>
        <v>6</v>
      </c>
    </row>
    <row r="94">
      <c r="A94" s="1">
        <f>IFERROR(__xludf.DUMMYFUNCTION("""COMPUTED_VALUE"""),85.0)</f>
        <v>85</v>
      </c>
      <c r="B94" s="1" t="str">
        <f>IFERROR(__xludf.DUMMYFUNCTION("""COMPUTED_VALUE"""),"Singapore")</f>
        <v>Singapore</v>
      </c>
      <c r="C94" s="3">
        <f>IFERROR(__xludf.DUMMYFUNCTION("""COMPUTED_VALUE"""),58291.0)</f>
        <v>58291</v>
      </c>
      <c r="D94" s="1" t="str">
        <f>IFERROR(__xludf.DUMMYFUNCTION("""COMPUTED_VALUE"""),"+6")</f>
        <v>+6</v>
      </c>
      <c r="E94" s="1">
        <f>IFERROR(__xludf.DUMMYFUNCTION("""COMPUTED_VALUE"""),29.0)</f>
        <v>29</v>
      </c>
      <c r="F94" s="1"/>
      <c r="G94" s="3">
        <f>IFERROR(__xludf.DUMMYFUNCTION("""COMPUTED_VALUE"""),58182.0)</f>
        <v>58182</v>
      </c>
      <c r="H94" s="1" t="str">
        <f>IFERROR(__xludf.DUMMYFUNCTION("""COMPUTED_VALUE"""),"+6")</f>
        <v>+6</v>
      </c>
      <c r="I94" s="1">
        <f>IFERROR(__xludf.DUMMYFUNCTION("""COMPUTED_VALUE"""),80.0)</f>
        <v>80</v>
      </c>
      <c r="J94" s="1"/>
      <c r="K94" s="3">
        <f>IFERROR(__xludf.DUMMYFUNCTION("""COMPUTED_VALUE"""),9929.0)</f>
        <v>9929</v>
      </c>
      <c r="L94" s="1">
        <f>IFERROR(__xludf.DUMMYFUNCTION("""COMPUTED_VALUE"""),5.0)</f>
        <v>5</v>
      </c>
      <c r="M94" s="3">
        <f>IFERROR(__xludf.DUMMYFUNCTION("""COMPUTED_VALUE"""),4834370.0)</f>
        <v>4834370</v>
      </c>
      <c r="N94" s="3">
        <f>IFERROR(__xludf.DUMMYFUNCTION("""COMPUTED_VALUE"""),823502.0)</f>
        <v>823502</v>
      </c>
      <c r="O94" s="2">
        <f>IFERROR(__xludf.DUMMYFUNCTION("""COMPUTED_VALUE"""),5870500.0)</f>
        <v>5870500</v>
      </c>
      <c r="P94" s="1" t="str">
        <f>IFERROR(__xludf.DUMMYFUNCTION("""COMPUTED_VALUE"""),"Asia")</f>
        <v>Asia</v>
      </c>
      <c r="Q94" s="1">
        <f>IFERROR(__xludf.DUMMYFUNCTION("""COMPUTED_VALUE"""),101.0)</f>
        <v>101</v>
      </c>
      <c r="R94" s="3">
        <f>IFERROR(__xludf.DUMMYFUNCTION("""COMPUTED_VALUE"""),202431.0)</f>
        <v>202431</v>
      </c>
      <c r="S94" s="1">
        <f>IFERROR(__xludf.DUMMYFUNCTION("""COMPUTED_VALUE"""),1.0)</f>
        <v>1</v>
      </c>
    </row>
    <row r="95">
      <c r="A95" s="1">
        <f>IFERROR(__xludf.DUMMYFUNCTION("""COMPUTED_VALUE"""),86.0)</f>
        <v>86</v>
      </c>
      <c r="B95" s="1" t="str">
        <f>IFERROR(__xludf.DUMMYFUNCTION("""COMPUTED_VALUE"""),"Ghana")</f>
        <v>Ghana</v>
      </c>
      <c r="C95" s="3">
        <f>IFERROR(__xludf.DUMMYFUNCTION("""COMPUTED_VALUE"""),52622.0)</f>
        <v>52622</v>
      </c>
      <c r="D95" s="1" t="str">
        <f>IFERROR(__xludf.DUMMYFUNCTION("""COMPUTED_VALUE"""),"+122")</f>
        <v>+122</v>
      </c>
      <c r="E95" s="1">
        <f>IFERROR(__xludf.DUMMYFUNCTION("""COMPUTED_VALUE"""),326.0)</f>
        <v>326</v>
      </c>
      <c r="F95" s="1"/>
      <c r="G95" s="3">
        <f>IFERROR(__xludf.DUMMYFUNCTION("""COMPUTED_VALUE"""),51424.0)</f>
        <v>51424</v>
      </c>
      <c r="H95" s="1" t="str">
        <f>IFERROR(__xludf.DUMMYFUNCTION("""COMPUTED_VALUE"""),"+105")</f>
        <v>+105</v>
      </c>
      <c r="I95" s="1">
        <f>IFERROR(__xludf.DUMMYFUNCTION("""COMPUTED_VALUE"""),872.0)</f>
        <v>872</v>
      </c>
      <c r="J95" s="1">
        <f>IFERROR(__xludf.DUMMYFUNCTION("""COMPUTED_VALUE"""),19.0)</f>
        <v>19</v>
      </c>
      <c r="K95" s="3">
        <f>IFERROR(__xludf.DUMMYFUNCTION("""COMPUTED_VALUE"""),1678.0)</f>
        <v>1678</v>
      </c>
      <c r="L95" s="1">
        <f>IFERROR(__xludf.DUMMYFUNCTION("""COMPUTED_VALUE"""),10.0)</f>
        <v>10</v>
      </c>
      <c r="M95" s="3">
        <f>IFERROR(__xludf.DUMMYFUNCTION("""COMPUTED_VALUE"""),613831.0)</f>
        <v>613831</v>
      </c>
      <c r="N95" s="3">
        <f>IFERROR(__xludf.DUMMYFUNCTION("""COMPUTED_VALUE"""),19578.0)</f>
        <v>19578</v>
      </c>
      <c r="O95" s="2">
        <f>IFERROR(__xludf.DUMMYFUNCTION("""COMPUTED_VALUE"""),3.1353676E7)</f>
        <v>31353676</v>
      </c>
      <c r="P95" s="1" t="str">
        <f>IFERROR(__xludf.DUMMYFUNCTION("""COMPUTED_VALUE"""),"Africa")</f>
        <v>Africa</v>
      </c>
      <c r="Q95" s="1">
        <f>IFERROR(__xludf.DUMMYFUNCTION("""COMPUTED_VALUE"""),596.0)</f>
        <v>596</v>
      </c>
      <c r="R95" s="3">
        <f>IFERROR(__xludf.DUMMYFUNCTION("""COMPUTED_VALUE"""),96177.0)</f>
        <v>96177</v>
      </c>
      <c r="S95" s="1">
        <f>IFERROR(__xludf.DUMMYFUNCTION("""COMPUTED_VALUE"""),51.0)</f>
        <v>51</v>
      </c>
    </row>
    <row r="96">
      <c r="A96" s="1">
        <f>IFERROR(__xludf.DUMMYFUNCTION("""COMPUTED_VALUE"""),87.0)</f>
        <v>87</v>
      </c>
      <c r="B96" s="1" t="str">
        <f>IFERROR(__xludf.DUMMYFUNCTION("""COMPUTED_VALUE"""),"Afghanistan")</f>
        <v>Afghanistan</v>
      </c>
      <c r="C96" s="3">
        <f>IFERROR(__xludf.DUMMYFUNCTION("""COMPUTED_VALUE"""),48540.0)</f>
        <v>48540</v>
      </c>
      <c r="D96" s="1" t="str">
        <f>IFERROR(__xludf.DUMMYFUNCTION("""COMPUTED_VALUE"""),"+174")</f>
        <v>+174</v>
      </c>
      <c r="E96" s="3">
        <f>IFERROR(__xludf.DUMMYFUNCTION("""COMPUTED_VALUE"""),1921.0)</f>
        <v>1921</v>
      </c>
      <c r="F96" s="1" t="str">
        <f>IFERROR(__xludf.DUMMYFUNCTION("""COMPUTED_VALUE"""),"+13")</f>
        <v>+13</v>
      </c>
      <c r="G96" s="3">
        <f>IFERROR(__xludf.DUMMYFUNCTION("""COMPUTED_VALUE"""),38150.0)</f>
        <v>38150</v>
      </c>
      <c r="H96" s="1" t="str">
        <f>IFERROR(__xludf.DUMMYFUNCTION("""COMPUTED_VALUE"""),"+117")</f>
        <v>+117</v>
      </c>
      <c r="I96" s="3">
        <f>IFERROR(__xludf.DUMMYFUNCTION("""COMPUTED_VALUE"""),8469.0)</f>
        <v>8469</v>
      </c>
      <c r="J96" s="1">
        <f>IFERROR(__xludf.DUMMYFUNCTION("""COMPUTED_VALUE"""),93.0)</f>
        <v>93</v>
      </c>
      <c r="K96" s="3">
        <f>IFERROR(__xludf.DUMMYFUNCTION("""COMPUTED_VALUE"""),1235.0)</f>
        <v>1235</v>
      </c>
      <c r="L96" s="1">
        <f>IFERROR(__xludf.DUMMYFUNCTION("""COMPUTED_VALUE"""),49.0)</f>
        <v>49</v>
      </c>
      <c r="M96" s="3">
        <f>IFERROR(__xludf.DUMMYFUNCTION("""COMPUTED_VALUE"""),164062.0)</f>
        <v>164062</v>
      </c>
      <c r="N96" s="3">
        <f>IFERROR(__xludf.DUMMYFUNCTION("""COMPUTED_VALUE"""),4174.0)</f>
        <v>4174</v>
      </c>
      <c r="O96" s="2">
        <f>IFERROR(__xludf.DUMMYFUNCTION("""COMPUTED_VALUE"""),3.9307198E7)</f>
        <v>39307198</v>
      </c>
      <c r="P96" s="1" t="str">
        <f>IFERROR(__xludf.DUMMYFUNCTION("""COMPUTED_VALUE"""),"Asia")</f>
        <v>Asia</v>
      </c>
      <c r="Q96" s="1">
        <f>IFERROR(__xludf.DUMMYFUNCTION("""COMPUTED_VALUE"""),810.0)</f>
        <v>810</v>
      </c>
      <c r="R96" s="3">
        <f>IFERROR(__xludf.DUMMYFUNCTION("""COMPUTED_VALUE"""),20462.0)</f>
        <v>20462</v>
      </c>
      <c r="S96" s="1">
        <f>IFERROR(__xludf.DUMMYFUNCTION("""COMPUTED_VALUE"""),240.0)</f>
        <v>240</v>
      </c>
    </row>
    <row r="97">
      <c r="A97" s="1">
        <f>IFERROR(__xludf.DUMMYFUNCTION("""COMPUTED_VALUE"""),88.0)</f>
        <v>88</v>
      </c>
      <c r="B97" s="1" t="str">
        <f>IFERROR(__xludf.DUMMYFUNCTION("""COMPUTED_VALUE"""),"Albania")</f>
        <v>Albania</v>
      </c>
      <c r="C97" s="3">
        <f>IFERROR(__xludf.DUMMYFUNCTION("""COMPUTED_VALUE"""),45188.0)</f>
        <v>45188</v>
      </c>
      <c r="D97" s="1" t="str">
        <f>IFERROR(__xludf.DUMMYFUNCTION("""COMPUTED_VALUE"""),"+752")</f>
        <v>+752</v>
      </c>
      <c r="E97" s="1">
        <f>IFERROR(__xludf.DUMMYFUNCTION("""COMPUTED_VALUE"""),951.0)</f>
        <v>951</v>
      </c>
      <c r="F97" s="1" t="str">
        <f>IFERROR(__xludf.DUMMYFUNCTION("""COMPUTED_VALUE"""),"+15")</f>
        <v>+15</v>
      </c>
      <c r="G97" s="3">
        <f>IFERROR(__xludf.DUMMYFUNCTION("""COMPUTED_VALUE"""),23072.0)</f>
        <v>23072</v>
      </c>
      <c r="H97" s="1" t="str">
        <f>IFERROR(__xludf.DUMMYFUNCTION("""COMPUTED_VALUE"""),"+545")</f>
        <v>+545</v>
      </c>
      <c r="I97" s="3">
        <f>IFERROR(__xludf.DUMMYFUNCTION("""COMPUTED_VALUE"""),21165.0)</f>
        <v>21165</v>
      </c>
      <c r="J97" s="1">
        <f>IFERROR(__xludf.DUMMYFUNCTION("""COMPUTED_VALUE"""),38.0)</f>
        <v>38</v>
      </c>
      <c r="K97" s="3">
        <f>IFERROR(__xludf.DUMMYFUNCTION("""COMPUTED_VALUE"""),15710.0)</f>
        <v>15710</v>
      </c>
      <c r="L97" s="1">
        <f>IFERROR(__xludf.DUMMYFUNCTION("""COMPUTED_VALUE"""),331.0)</f>
        <v>331</v>
      </c>
      <c r="M97" s="3">
        <f>IFERROR(__xludf.DUMMYFUNCTION("""COMPUTED_VALUE"""),206724.0)</f>
        <v>206724</v>
      </c>
      <c r="N97" s="3">
        <f>IFERROR(__xludf.DUMMYFUNCTION("""COMPUTED_VALUE"""),71869.0)</f>
        <v>71869</v>
      </c>
      <c r="O97" s="2">
        <f>IFERROR(__xludf.DUMMYFUNCTION("""COMPUTED_VALUE"""),2876410.0)</f>
        <v>2876410</v>
      </c>
      <c r="P97" s="1" t="str">
        <f>IFERROR(__xludf.DUMMYFUNCTION("""COMPUTED_VALUE"""),"Europe")</f>
        <v>Europe</v>
      </c>
      <c r="Q97" s="1">
        <f>IFERROR(__xludf.DUMMYFUNCTION("""COMPUTED_VALUE"""),64.0)</f>
        <v>64</v>
      </c>
      <c r="R97" s="3">
        <f>IFERROR(__xludf.DUMMYFUNCTION("""COMPUTED_VALUE"""),3025.0)</f>
        <v>3025</v>
      </c>
      <c r="S97" s="1">
        <f>IFERROR(__xludf.DUMMYFUNCTION("""COMPUTED_VALUE"""),14.0)</f>
        <v>14</v>
      </c>
    </row>
    <row r="98">
      <c r="A98" s="1">
        <f>IFERROR(__xludf.DUMMYFUNCTION("""COMPUTED_VALUE"""),89.0)</f>
        <v>89</v>
      </c>
      <c r="B98" s="1" t="str">
        <f>IFERROR(__xludf.DUMMYFUNCTION("""COMPUTED_VALUE"""),"El Salvador")</f>
        <v>El Salvador</v>
      </c>
      <c r="C98" s="3">
        <f>IFERROR(__xludf.DUMMYFUNCTION("""COMPUTED_VALUE"""),40741.0)</f>
        <v>40741</v>
      </c>
      <c r="D98" s="1" t="str">
        <f>IFERROR(__xludf.DUMMYFUNCTION("""COMPUTED_VALUE"""),"+190")</f>
        <v>+190</v>
      </c>
      <c r="E98" s="3">
        <f>IFERROR(__xludf.DUMMYFUNCTION("""COMPUTED_VALUE"""),1174.0)</f>
        <v>1174</v>
      </c>
      <c r="F98" s="1" t="str">
        <f>IFERROR(__xludf.DUMMYFUNCTION("""COMPUTED_VALUE"""),"+6")</f>
        <v>+6</v>
      </c>
      <c r="G98" s="3">
        <f>IFERROR(__xludf.DUMMYFUNCTION("""COMPUTED_VALUE"""),37172.0)</f>
        <v>37172</v>
      </c>
      <c r="H98" s="1" t="str">
        <f>IFERROR(__xludf.DUMMYFUNCTION("""COMPUTED_VALUE"""),"+221")</f>
        <v>+221</v>
      </c>
      <c r="I98" s="3">
        <f>IFERROR(__xludf.DUMMYFUNCTION("""COMPUTED_VALUE"""),2395.0)</f>
        <v>2395</v>
      </c>
      <c r="J98" s="1">
        <f>IFERROR(__xludf.DUMMYFUNCTION("""COMPUTED_VALUE"""),71.0)</f>
        <v>71</v>
      </c>
      <c r="K98" s="3">
        <f>IFERROR(__xludf.DUMMYFUNCTION("""COMPUTED_VALUE"""),6267.0)</f>
        <v>6267</v>
      </c>
      <c r="L98" s="1">
        <f>IFERROR(__xludf.DUMMYFUNCTION("""COMPUTED_VALUE"""),181.0)</f>
        <v>181</v>
      </c>
      <c r="M98" s="3">
        <f>IFERROR(__xludf.DUMMYFUNCTION("""COMPUTED_VALUE"""),572266.0)</f>
        <v>572266</v>
      </c>
      <c r="N98" s="3">
        <f>IFERROR(__xludf.DUMMYFUNCTION("""COMPUTED_VALUE"""),88033.0)</f>
        <v>88033</v>
      </c>
      <c r="O98" s="2">
        <f>IFERROR(__xludf.DUMMYFUNCTION("""COMPUTED_VALUE"""),6500579.0)</f>
        <v>6500579</v>
      </c>
      <c r="P98" s="1" t="str">
        <f>IFERROR(__xludf.DUMMYFUNCTION("""COMPUTED_VALUE"""),"North America")</f>
        <v>North America</v>
      </c>
      <c r="Q98" s="1">
        <f>IFERROR(__xludf.DUMMYFUNCTION("""COMPUTED_VALUE"""),160.0)</f>
        <v>160</v>
      </c>
      <c r="R98" s="3">
        <f>IFERROR(__xludf.DUMMYFUNCTION("""COMPUTED_VALUE"""),5537.0)</f>
        <v>5537</v>
      </c>
      <c r="S98" s="1">
        <f>IFERROR(__xludf.DUMMYFUNCTION("""COMPUTED_VALUE"""),11.0)</f>
        <v>11</v>
      </c>
    </row>
    <row r="99">
      <c r="A99" s="1">
        <f>IFERROR(__xludf.DUMMYFUNCTION("""COMPUTED_VALUE"""),90.0)</f>
        <v>90</v>
      </c>
      <c r="B99" s="1" t="str">
        <f>IFERROR(__xludf.DUMMYFUNCTION("""COMPUTED_VALUE"""),"Montenegro")</f>
        <v>Montenegro</v>
      </c>
      <c r="C99" s="3">
        <f>IFERROR(__xludf.DUMMYFUNCTION("""COMPUTED_VALUE"""),39607.0)</f>
        <v>39607</v>
      </c>
      <c r="D99" s="1" t="str">
        <f>IFERROR(__xludf.DUMMYFUNCTION("""COMPUTED_VALUE"""),"+454")</f>
        <v>+454</v>
      </c>
      <c r="E99" s="1">
        <f>IFERROR(__xludf.DUMMYFUNCTION("""COMPUTED_VALUE"""),556.0)</f>
        <v>556</v>
      </c>
      <c r="F99" s="1" t="str">
        <f>IFERROR(__xludf.DUMMYFUNCTION("""COMPUTED_VALUE"""),"+7")</f>
        <v>+7</v>
      </c>
      <c r="G99" s="3">
        <f>IFERROR(__xludf.DUMMYFUNCTION("""COMPUTED_VALUE"""),28461.0)</f>
        <v>28461</v>
      </c>
      <c r="H99" s="1" t="str">
        <f>IFERROR(__xludf.DUMMYFUNCTION("""COMPUTED_VALUE"""),"+409")</f>
        <v>+409</v>
      </c>
      <c r="I99" s="3">
        <f>IFERROR(__xludf.DUMMYFUNCTION("""COMPUTED_VALUE"""),10590.0)</f>
        <v>10590</v>
      </c>
      <c r="J99" s="1">
        <f>IFERROR(__xludf.DUMMYFUNCTION("""COMPUTED_VALUE"""),68.0)</f>
        <v>68</v>
      </c>
      <c r="K99" s="3">
        <f>IFERROR(__xludf.DUMMYFUNCTION("""COMPUTED_VALUE"""),63058.0)</f>
        <v>63058</v>
      </c>
      <c r="L99" s="1">
        <f>IFERROR(__xludf.DUMMYFUNCTION("""COMPUTED_VALUE"""),885.0)</f>
        <v>885</v>
      </c>
      <c r="M99" s="3">
        <f>IFERROR(__xludf.DUMMYFUNCTION("""COMPUTED_VALUE"""),148056.0)</f>
        <v>148056</v>
      </c>
      <c r="N99" s="3">
        <f>IFERROR(__xludf.DUMMYFUNCTION("""COMPUTED_VALUE"""),235720.0)</f>
        <v>235720</v>
      </c>
      <c r="O99" s="2">
        <f>IFERROR(__xludf.DUMMYFUNCTION("""COMPUTED_VALUE"""),628101.0)</f>
        <v>628101</v>
      </c>
      <c r="P99" s="1" t="str">
        <f>IFERROR(__xludf.DUMMYFUNCTION("""COMPUTED_VALUE"""),"Europe")</f>
        <v>Europe</v>
      </c>
      <c r="Q99" s="1">
        <f>IFERROR(__xludf.DUMMYFUNCTION("""COMPUTED_VALUE"""),16.0)</f>
        <v>16</v>
      </c>
      <c r="R99" s="3">
        <f>IFERROR(__xludf.DUMMYFUNCTION("""COMPUTED_VALUE"""),1130.0)</f>
        <v>1130</v>
      </c>
      <c r="S99" s="1">
        <f>IFERROR(__xludf.DUMMYFUNCTION("""COMPUTED_VALUE"""),4.0)</f>
        <v>4</v>
      </c>
    </row>
    <row r="100">
      <c r="A100" s="1">
        <f>IFERROR(__xludf.DUMMYFUNCTION("""COMPUTED_VALUE"""),91.0)</f>
        <v>91</v>
      </c>
      <c r="B100" s="1" t="str">
        <f>IFERROR(__xludf.DUMMYFUNCTION("""COMPUTED_VALUE"""),"S. Korea")</f>
        <v>S. Korea</v>
      </c>
      <c r="C100" s="3">
        <f>IFERROR(__xludf.DUMMYFUNCTION("""COMPUTED_VALUE"""),39432.0)</f>
        <v>39432</v>
      </c>
      <c r="D100" s="1" t="str">
        <f>IFERROR(__xludf.DUMMYFUNCTION("""COMPUTED_VALUE"""),"+686")</f>
        <v>+686</v>
      </c>
      <c r="E100" s="1">
        <f>IFERROR(__xludf.DUMMYFUNCTION("""COMPUTED_VALUE"""),556.0)</f>
        <v>556</v>
      </c>
      <c r="F100" s="1" t="str">
        <f>IFERROR(__xludf.DUMMYFUNCTION("""COMPUTED_VALUE"""),"+4")</f>
        <v>+4</v>
      </c>
      <c r="G100" s="3">
        <f>IFERROR(__xludf.DUMMYFUNCTION("""COMPUTED_VALUE"""),30177.0)</f>
        <v>30177</v>
      </c>
      <c r="H100" s="1" t="str">
        <f>IFERROR(__xludf.DUMMYFUNCTION("""COMPUTED_VALUE"""),"+527")</f>
        <v>+527</v>
      </c>
      <c r="I100" s="3">
        <f>IFERROR(__xludf.DUMMYFUNCTION("""COMPUTED_VALUE"""),8699.0)</f>
        <v>8699</v>
      </c>
      <c r="J100" s="1">
        <f>IFERROR(__xludf.DUMMYFUNCTION("""COMPUTED_VALUE"""),149.0)</f>
        <v>149</v>
      </c>
      <c r="K100" s="1">
        <f>IFERROR(__xludf.DUMMYFUNCTION("""COMPUTED_VALUE"""),769.0)</f>
        <v>769</v>
      </c>
      <c r="L100" s="1">
        <f>IFERROR(__xludf.DUMMYFUNCTION("""COMPUTED_VALUE"""),11.0)</f>
        <v>11</v>
      </c>
      <c r="M100" s="3">
        <f>IFERROR(__xludf.DUMMYFUNCTION("""COMPUTED_VALUE"""),3253236.0)</f>
        <v>3253236</v>
      </c>
      <c r="N100" s="3">
        <f>IFERROR(__xludf.DUMMYFUNCTION("""COMPUTED_VALUE"""),63430.0)</f>
        <v>63430</v>
      </c>
      <c r="O100" s="2">
        <f>IFERROR(__xludf.DUMMYFUNCTION("""COMPUTED_VALUE"""),5.1288632E7)</f>
        <v>51288632</v>
      </c>
      <c r="P100" s="1" t="str">
        <f>IFERROR(__xludf.DUMMYFUNCTION("""COMPUTED_VALUE"""),"Asia")</f>
        <v>Asia</v>
      </c>
      <c r="Q100" s="3">
        <f>IFERROR(__xludf.DUMMYFUNCTION("""COMPUTED_VALUE"""),1301.0)</f>
        <v>1301</v>
      </c>
      <c r="R100" s="3">
        <f>IFERROR(__xludf.DUMMYFUNCTION("""COMPUTED_VALUE"""),92246.0)</f>
        <v>92246</v>
      </c>
      <c r="S100" s="1">
        <f>IFERROR(__xludf.DUMMYFUNCTION("""COMPUTED_VALUE"""),16.0)</f>
        <v>16</v>
      </c>
    </row>
    <row r="101">
      <c r="A101" s="1">
        <f>IFERROR(__xludf.DUMMYFUNCTION("""COMPUTED_VALUE"""),92.0)</f>
        <v>92</v>
      </c>
      <c r="B101" s="1" t="str">
        <f>IFERROR(__xludf.DUMMYFUNCTION("""COMPUTED_VALUE"""),"Norway")</f>
        <v>Norway</v>
      </c>
      <c r="C101" s="3">
        <f>IFERROR(__xludf.DUMMYFUNCTION("""COMPUTED_VALUE"""),39163.0)</f>
        <v>39163</v>
      </c>
      <c r="D101" s="1"/>
      <c r="E101" s="1">
        <f>IFERROR(__xludf.DUMMYFUNCTION("""COMPUTED_VALUE"""),361.0)</f>
        <v>361</v>
      </c>
      <c r="F101" s="1"/>
      <c r="G101" s="3">
        <f>IFERROR(__xludf.DUMMYFUNCTION("""COMPUTED_VALUE"""),34463.0)</f>
        <v>34463</v>
      </c>
      <c r="H101" s="1" t="str">
        <f>IFERROR(__xludf.DUMMYFUNCTION("""COMPUTED_VALUE"""),"+7,049")</f>
        <v>+7,049</v>
      </c>
      <c r="I101" s="3">
        <f>IFERROR(__xludf.DUMMYFUNCTION("""COMPUTED_VALUE"""),4339.0)</f>
        <v>4339</v>
      </c>
      <c r="J101" s="1">
        <f>IFERROR(__xludf.DUMMYFUNCTION("""COMPUTED_VALUE"""),34.0)</f>
        <v>34</v>
      </c>
      <c r="K101" s="3">
        <f>IFERROR(__xludf.DUMMYFUNCTION("""COMPUTED_VALUE"""),7199.0)</f>
        <v>7199</v>
      </c>
      <c r="L101" s="1">
        <f>IFERROR(__xludf.DUMMYFUNCTION("""COMPUTED_VALUE"""),66.0)</f>
        <v>66</v>
      </c>
      <c r="M101" s="3">
        <f>IFERROR(__xludf.DUMMYFUNCTION("""COMPUTED_VALUE"""),2400288.0)</f>
        <v>2400288</v>
      </c>
      <c r="N101" s="3">
        <f>IFERROR(__xludf.DUMMYFUNCTION("""COMPUTED_VALUE"""),441245.0)</f>
        <v>441245</v>
      </c>
      <c r="O101" s="2">
        <f>IFERROR(__xludf.DUMMYFUNCTION("""COMPUTED_VALUE"""),5439813.0)</f>
        <v>5439813</v>
      </c>
      <c r="P101" s="1" t="str">
        <f>IFERROR(__xludf.DUMMYFUNCTION("""COMPUTED_VALUE"""),"Europe")</f>
        <v>Europe</v>
      </c>
      <c r="Q101" s="1">
        <f>IFERROR(__xludf.DUMMYFUNCTION("""COMPUTED_VALUE"""),139.0)</f>
        <v>139</v>
      </c>
      <c r="R101" s="3">
        <f>IFERROR(__xludf.DUMMYFUNCTION("""COMPUTED_VALUE"""),15069.0)</f>
        <v>15069</v>
      </c>
      <c r="S101" s="1">
        <f>IFERROR(__xludf.DUMMYFUNCTION("""COMPUTED_VALUE"""),2.0)</f>
        <v>2</v>
      </c>
    </row>
    <row r="102">
      <c r="A102" s="1">
        <f>IFERROR(__xludf.DUMMYFUNCTION("""COMPUTED_VALUE"""),93.0)</f>
        <v>93</v>
      </c>
      <c r="B102" s="1" t="str">
        <f>IFERROR(__xludf.DUMMYFUNCTION("""COMPUTED_VALUE"""),"Luxembourg")</f>
        <v>Luxembourg</v>
      </c>
      <c r="C102" s="3">
        <f>IFERROR(__xludf.DUMMYFUNCTION("""COMPUTED_VALUE"""),38864.0)</f>
        <v>38864</v>
      </c>
      <c r="D102" s="1"/>
      <c r="E102" s="1">
        <f>IFERROR(__xludf.DUMMYFUNCTION("""COMPUTED_VALUE"""),369.0)</f>
        <v>369</v>
      </c>
      <c r="F102" s="1"/>
      <c r="G102" s="3">
        <f>IFERROR(__xludf.DUMMYFUNCTION("""COMPUTED_VALUE"""),29792.0)</f>
        <v>29792</v>
      </c>
      <c r="H102" s="1"/>
      <c r="I102" s="3">
        <f>IFERROR(__xludf.DUMMYFUNCTION("""COMPUTED_VALUE"""),8703.0)</f>
        <v>8703</v>
      </c>
      <c r="J102" s="1">
        <f>IFERROR(__xludf.DUMMYFUNCTION("""COMPUTED_VALUE"""),43.0)</f>
        <v>43</v>
      </c>
      <c r="K102" s="3">
        <f>IFERROR(__xludf.DUMMYFUNCTION("""COMPUTED_VALUE"""),61649.0)</f>
        <v>61649</v>
      </c>
      <c r="L102" s="1">
        <f>IFERROR(__xludf.DUMMYFUNCTION("""COMPUTED_VALUE"""),585.0)</f>
        <v>585</v>
      </c>
      <c r="M102" s="3">
        <f>IFERROR(__xludf.DUMMYFUNCTION("""COMPUTED_VALUE"""),1446528.0)</f>
        <v>1446528</v>
      </c>
      <c r="N102" s="3">
        <f>IFERROR(__xludf.DUMMYFUNCTION("""COMPUTED_VALUE"""),2294601.0)</f>
        <v>2294601</v>
      </c>
      <c r="O102" s="2">
        <f>IFERROR(__xludf.DUMMYFUNCTION("""COMPUTED_VALUE"""),630405.0)</f>
        <v>630405</v>
      </c>
      <c r="P102" s="1" t="str">
        <f>IFERROR(__xludf.DUMMYFUNCTION("""COMPUTED_VALUE"""),"Europe")</f>
        <v>Europe</v>
      </c>
      <c r="Q102" s="1">
        <f>IFERROR(__xludf.DUMMYFUNCTION("""COMPUTED_VALUE"""),16.0)</f>
        <v>16</v>
      </c>
      <c r="R102" s="3">
        <f>IFERROR(__xludf.DUMMYFUNCTION("""COMPUTED_VALUE"""),1708.0)</f>
        <v>1708</v>
      </c>
      <c r="S102" s="1">
        <f>IFERROR(__xludf.DUMMYFUNCTION("""COMPUTED_VALUE"""),0.0)</f>
        <v>0</v>
      </c>
    </row>
    <row r="103">
      <c r="A103" s="1">
        <f>IFERROR(__xludf.DUMMYFUNCTION("""COMPUTED_VALUE"""),94.0)</f>
        <v>94</v>
      </c>
      <c r="B103" s="1" t="str">
        <f>IFERROR(__xludf.DUMMYFUNCTION("""COMPUTED_VALUE"""),"Sri Lanka")</f>
        <v>Sri Lanka</v>
      </c>
      <c r="C103" s="3">
        <f>IFERROR(__xludf.DUMMYFUNCTION("""COMPUTED_VALUE"""),30072.0)</f>
        <v>30072</v>
      </c>
      <c r="D103" s="1" t="str">
        <f>IFERROR(__xludf.DUMMYFUNCTION("""COMPUTED_VALUE"""),"+694")</f>
        <v>+694</v>
      </c>
      <c r="E103" s="1">
        <f>IFERROR(__xludf.DUMMYFUNCTION("""COMPUTED_VALUE"""),144.0)</f>
        <v>144</v>
      </c>
      <c r="F103" s="1" t="str">
        <f>IFERROR(__xludf.DUMMYFUNCTION("""COMPUTED_VALUE"""),"+2")</f>
        <v>+2</v>
      </c>
      <c r="G103" s="3">
        <f>IFERROR(__xludf.DUMMYFUNCTION("""COMPUTED_VALUE"""),21800.0)</f>
        <v>21800</v>
      </c>
      <c r="H103" s="1" t="str">
        <f>IFERROR(__xludf.DUMMYFUNCTION("""COMPUTED_VALUE"""),"+542")</f>
        <v>+542</v>
      </c>
      <c r="I103" s="3">
        <f>IFERROR(__xludf.DUMMYFUNCTION("""COMPUTED_VALUE"""),8128.0)</f>
        <v>8128</v>
      </c>
      <c r="J103" s="1"/>
      <c r="K103" s="3">
        <f>IFERROR(__xludf.DUMMYFUNCTION("""COMPUTED_VALUE"""),1402.0)</f>
        <v>1402</v>
      </c>
      <c r="L103" s="1">
        <f>IFERROR(__xludf.DUMMYFUNCTION("""COMPUTED_VALUE"""),7.0)</f>
        <v>7</v>
      </c>
      <c r="M103" s="3">
        <f>IFERROR(__xludf.DUMMYFUNCTION("""COMPUTED_VALUE"""),941468.0)</f>
        <v>941468</v>
      </c>
      <c r="N103" s="3">
        <f>IFERROR(__xludf.DUMMYFUNCTION("""COMPUTED_VALUE"""),43886.0)</f>
        <v>43886</v>
      </c>
      <c r="O103" s="2">
        <f>IFERROR(__xludf.DUMMYFUNCTION("""COMPUTED_VALUE"""),2.145271E7)</f>
        <v>21452710</v>
      </c>
      <c r="P103" s="1" t="str">
        <f>IFERROR(__xludf.DUMMYFUNCTION("""COMPUTED_VALUE"""),"Asia")</f>
        <v>Asia</v>
      </c>
      <c r="Q103" s="1">
        <f>IFERROR(__xludf.DUMMYFUNCTION("""COMPUTED_VALUE"""),713.0)</f>
        <v>713</v>
      </c>
      <c r="R103" s="3">
        <f>IFERROR(__xludf.DUMMYFUNCTION("""COMPUTED_VALUE"""),148977.0)</f>
        <v>148977</v>
      </c>
      <c r="S103" s="1">
        <f>IFERROR(__xludf.DUMMYFUNCTION("""COMPUTED_VALUE"""),23.0)</f>
        <v>23</v>
      </c>
    </row>
    <row r="104">
      <c r="A104" s="1">
        <f>IFERROR(__xludf.DUMMYFUNCTION("""COMPUTED_VALUE"""),95.0)</f>
        <v>95</v>
      </c>
      <c r="B104" s="1" t="str">
        <f>IFERROR(__xludf.DUMMYFUNCTION("""COMPUTED_VALUE"""),"Finland")</f>
        <v>Finland</v>
      </c>
      <c r="C104" s="3">
        <f>IFERROR(__xludf.DUMMYFUNCTION("""COMPUTED_VALUE"""),28732.0)</f>
        <v>28732</v>
      </c>
      <c r="D104" s="1" t="str">
        <f>IFERROR(__xludf.DUMMYFUNCTION("""COMPUTED_VALUE"""),"+490")</f>
        <v>+490</v>
      </c>
      <c r="E104" s="1">
        <f>IFERROR(__xludf.DUMMYFUNCTION("""COMPUTED_VALUE"""),433.0)</f>
        <v>433</v>
      </c>
      <c r="F104" s="1" t="str">
        <f>IFERROR(__xludf.DUMMYFUNCTION("""COMPUTED_VALUE"""),"+9")</f>
        <v>+9</v>
      </c>
      <c r="G104" s="3">
        <f>IFERROR(__xludf.DUMMYFUNCTION("""COMPUTED_VALUE"""),18100.0)</f>
        <v>18100</v>
      </c>
      <c r="H104" s="1"/>
      <c r="I104" s="3">
        <f>IFERROR(__xludf.DUMMYFUNCTION("""COMPUTED_VALUE"""),10199.0)</f>
        <v>10199</v>
      </c>
      <c r="J104" s="1">
        <f>IFERROR(__xludf.DUMMYFUNCTION("""COMPUTED_VALUE"""),27.0)</f>
        <v>27</v>
      </c>
      <c r="K104" s="3">
        <f>IFERROR(__xludf.DUMMYFUNCTION("""COMPUTED_VALUE"""),5182.0)</f>
        <v>5182</v>
      </c>
      <c r="L104" s="1">
        <f>IFERROR(__xludf.DUMMYFUNCTION("""COMPUTED_VALUE"""),78.0)</f>
        <v>78</v>
      </c>
      <c r="M104" s="3">
        <f>IFERROR(__xludf.DUMMYFUNCTION("""COMPUTED_VALUE"""),2111412.0)</f>
        <v>2111412</v>
      </c>
      <c r="N104" s="3">
        <f>IFERROR(__xludf.DUMMYFUNCTION("""COMPUTED_VALUE"""),380811.0)</f>
        <v>380811</v>
      </c>
      <c r="O104" s="2">
        <f>IFERROR(__xludf.DUMMYFUNCTION("""COMPUTED_VALUE"""),5544511.0)</f>
        <v>5544511</v>
      </c>
      <c r="P104" s="1" t="str">
        <f>IFERROR(__xludf.DUMMYFUNCTION("""COMPUTED_VALUE"""),"Europe")</f>
        <v>Europe</v>
      </c>
      <c r="Q104" s="1">
        <f>IFERROR(__xludf.DUMMYFUNCTION("""COMPUTED_VALUE"""),193.0)</f>
        <v>193</v>
      </c>
      <c r="R104" s="3">
        <f>IFERROR(__xludf.DUMMYFUNCTION("""COMPUTED_VALUE"""),12805.0)</f>
        <v>12805</v>
      </c>
      <c r="S104" s="1">
        <f>IFERROR(__xludf.DUMMYFUNCTION("""COMPUTED_VALUE"""),3.0)</f>
        <v>3</v>
      </c>
    </row>
    <row r="105">
      <c r="A105" s="1">
        <f>IFERROR(__xludf.DUMMYFUNCTION("""COMPUTED_VALUE"""),96.0)</f>
        <v>96</v>
      </c>
      <c r="B105" s="1" t="str">
        <f>IFERROR(__xludf.DUMMYFUNCTION("""COMPUTED_VALUE"""),"Australia")</f>
        <v>Australia</v>
      </c>
      <c r="C105" s="3">
        <f>IFERROR(__xludf.DUMMYFUNCTION("""COMPUTED_VALUE"""),27993.0)</f>
        <v>27993</v>
      </c>
      <c r="D105" s="1" t="str">
        <f>IFERROR(__xludf.DUMMYFUNCTION("""COMPUTED_VALUE"""),"+6")</f>
        <v>+6</v>
      </c>
      <c r="E105" s="1">
        <f>IFERROR(__xludf.DUMMYFUNCTION("""COMPUTED_VALUE"""),908.0)</f>
        <v>908</v>
      </c>
      <c r="F105" s="1"/>
      <c r="G105" s="3">
        <f>IFERROR(__xludf.DUMMYFUNCTION("""COMPUTED_VALUE"""),25657.0)</f>
        <v>25657</v>
      </c>
      <c r="H105" s="1" t="str">
        <f>IFERROR(__xludf.DUMMYFUNCTION("""COMPUTED_VALUE"""),"+11")</f>
        <v>+11</v>
      </c>
      <c r="I105" s="3">
        <f>IFERROR(__xludf.DUMMYFUNCTION("""COMPUTED_VALUE"""),1428.0)</f>
        <v>1428</v>
      </c>
      <c r="J105" s="1"/>
      <c r="K105" s="3">
        <f>IFERROR(__xludf.DUMMYFUNCTION("""COMPUTED_VALUE"""),1092.0)</f>
        <v>1092</v>
      </c>
      <c r="L105" s="1">
        <f>IFERROR(__xludf.DUMMYFUNCTION("""COMPUTED_VALUE"""),35.0)</f>
        <v>35</v>
      </c>
      <c r="M105" s="3">
        <f>IFERROR(__xludf.DUMMYFUNCTION("""COMPUTED_VALUE"""),1.0265843E7)</f>
        <v>10265843</v>
      </c>
      <c r="N105" s="3">
        <f>IFERROR(__xludf.DUMMYFUNCTION("""COMPUTED_VALUE"""),400555.0)</f>
        <v>400555</v>
      </c>
      <c r="O105" s="2">
        <f>IFERROR(__xludf.DUMMYFUNCTION("""COMPUTED_VALUE"""),2.5629069E7)</f>
        <v>25629069</v>
      </c>
      <c r="P105" s="1" t="str">
        <f>IFERROR(__xludf.DUMMYFUNCTION("""COMPUTED_VALUE"""),"Australia/Oceania")</f>
        <v>Australia/Oceania</v>
      </c>
      <c r="Q105" s="1">
        <f>IFERROR(__xludf.DUMMYFUNCTION("""COMPUTED_VALUE"""),916.0)</f>
        <v>916</v>
      </c>
      <c r="R105" s="3">
        <f>IFERROR(__xludf.DUMMYFUNCTION("""COMPUTED_VALUE"""),28226.0)</f>
        <v>28226</v>
      </c>
      <c r="S105" s="1">
        <f>IFERROR(__xludf.DUMMYFUNCTION("""COMPUTED_VALUE"""),2.0)</f>
        <v>2</v>
      </c>
    </row>
    <row r="106">
      <c r="A106" s="1">
        <f>IFERROR(__xludf.DUMMYFUNCTION("""COMPUTED_VALUE"""),97.0)</f>
        <v>97</v>
      </c>
      <c r="B106" s="1" t="str">
        <f>IFERROR(__xludf.DUMMYFUNCTION("""COMPUTED_VALUE"""),"Uganda")</f>
        <v>Uganda</v>
      </c>
      <c r="C106" s="3">
        <f>IFERROR(__xludf.DUMMYFUNCTION("""COMPUTED_VALUE"""),25059.0)</f>
        <v>25059</v>
      </c>
      <c r="D106" s="1" t="str">
        <f>IFERROR(__xludf.DUMMYFUNCTION("""COMPUTED_VALUE"""),"+1,859")</f>
        <v>+1,859</v>
      </c>
      <c r="E106" s="1">
        <f>IFERROR(__xludf.DUMMYFUNCTION("""COMPUTED_VALUE"""),219.0)</f>
        <v>219</v>
      </c>
      <c r="F106" s="1" t="str">
        <f>IFERROR(__xludf.DUMMYFUNCTION("""COMPUTED_VALUE"""),"+12")</f>
        <v>+12</v>
      </c>
      <c r="G106" s="3">
        <f>IFERROR(__xludf.DUMMYFUNCTION("""COMPUTED_VALUE"""),9510.0)</f>
        <v>9510</v>
      </c>
      <c r="H106" s="1" t="str">
        <f>IFERROR(__xludf.DUMMYFUNCTION("""COMPUTED_VALUE"""),"+136")</f>
        <v>+136</v>
      </c>
      <c r="I106" s="3">
        <f>IFERROR(__xludf.DUMMYFUNCTION("""COMPUTED_VALUE"""),15330.0)</f>
        <v>15330</v>
      </c>
      <c r="J106" s="1"/>
      <c r="K106" s="1">
        <f>IFERROR(__xludf.DUMMYFUNCTION("""COMPUTED_VALUE"""),541.0)</f>
        <v>541</v>
      </c>
      <c r="L106" s="1">
        <f>IFERROR(__xludf.DUMMYFUNCTION("""COMPUTED_VALUE"""),5.0)</f>
        <v>5</v>
      </c>
      <c r="M106" s="3">
        <f>IFERROR(__xludf.DUMMYFUNCTION("""COMPUTED_VALUE"""),660758.0)</f>
        <v>660758</v>
      </c>
      <c r="N106" s="3">
        <f>IFERROR(__xludf.DUMMYFUNCTION("""COMPUTED_VALUE"""),14253.0)</f>
        <v>14253</v>
      </c>
      <c r="O106" s="2">
        <f>IFERROR(__xludf.DUMMYFUNCTION("""COMPUTED_VALUE"""),4.6359623E7)</f>
        <v>46359623</v>
      </c>
      <c r="P106" s="1" t="str">
        <f>IFERROR(__xludf.DUMMYFUNCTION("""COMPUTED_VALUE"""),"Africa")</f>
        <v>Africa</v>
      </c>
      <c r="Q106" s="3">
        <f>IFERROR(__xludf.DUMMYFUNCTION("""COMPUTED_VALUE"""),1850.0)</f>
        <v>1850</v>
      </c>
      <c r="R106" s="3">
        <f>IFERROR(__xludf.DUMMYFUNCTION("""COMPUTED_VALUE"""),211688.0)</f>
        <v>211688</v>
      </c>
      <c r="S106" s="1">
        <f>IFERROR(__xludf.DUMMYFUNCTION("""COMPUTED_VALUE"""),70.0)</f>
        <v>70</v>
      </c>
    </row>
    <row r="107">
      <c r="A107" s="1">
        <f>IFERROR(__xludf.DUMMYFUNCTION("""COMPUTED_VALUE"""),98.0)</f>
        <v>98</v>
      </c>
      <c r="B107" s="1" t="str">
        <f>IFERROR(__xludf.DUMMYFUNCTION("""COMPUTED_VALUE"""),"Cameroon")</f>
        <v>Cameroon</v>
      </c>
      <c r="C107" s="3">
        <f>IFERROR(__xludf.DUMMYFUNCTION("""COMPUTED_VALUE"""),24963.0)</f>
        <v>24963</v>
      </c>
      <c r="D107" s="1" t="str">
        <f>IFERROR(__xludf.DUMMYFUNCTION("""COMPUTED_VALUE"""),"+211")</f>
        <v>+211</v>
      </c>
      <c r="E107" s="1">
        <f>IFERROR(__xludf.DUMMYFUNCTION("""COMPUTED_VALUE"""),443.0)</f>
        <v>443</v>
      </c>
      <c r="F107" s="1"/>
      <c r="G107" s="3">
        <f>IFERROR(__xludf.DUMMYFUNCTION("""COMPUTED_VALUE"""),23344.0)</f>
        <v>23344</v>
      </c>
      <c r="H107" s="1"/>
      <c r="I107" s="3">
        <f>IFERROR(__xludf.DUMMYFUNCTION("""COMPUTED_VALUE"""),1176.0)</f>
        <v>1176</v>
      </c>
      <c r="J107" s="1">
        <f>IFERROR(__xludf.DUMMYFUNCTION("""COMPUTED_VALUE"""),52.0)</f>
        <v>52</v>
      </c>
      <c r="K107" s="1">
        <f>IFERROR(__xludf.DUMMYFUNCTION("""COMPUTED_VALUE"""),930.0)</f>
        <v>930</v>
      </c>
      <c r="L107" s="1">
        <f>IFERROR(__xludf.DUMMYFUNCTION("""COMPUTED_VALUE"""),17.0)</f>
        <v>17</v>
      </c>
      <c r="M107" s="3">
        <f>IFERROR(__xludf.DUMMYFUNCTION("""COMPUTED_VALUE"""),149000.0)</f>
        <v>149000</v>
      </c>
      <c r="N107" s="3">
        <f>IFERROR(__xludf.DUMMYFUNCTION("""COMPUTED_VALUE"""),5553.0)</f>
        <v>5553</v>
      </c>
      <c r="O107" s="2">
        <f>IFERROR(__xludf.DUMMYFUNCTION("""COMPUTED_VALUE"""),2.6830744E7)</f>
        <v>26830744</v>
      </c>
      <c r="P107" s="1" t="str">
        <f>IFERROR(__xludf.DUMMYFUNCTION("""COMPUTED_VALUE"""),"Africa")</f>
        <v>Africa</v>
      </c>
      <c r="Q107" s="3">
        <f>IFERROR(__xludf.DUMMYFUNCTION("""COMPUTED_VALUE"""),1075.0)</f>
        <v>1075</v>
      </c>
      <c r="R107" s="3">
        <f>IFERROR(__xludf.DUMMYFUNCTION("""COMPUTED_VALUE"""),60566.0)</f>
        <v>60566</v>
      </c>
      <c r="S107" s="1">
        <f>IFERROR(__xludf.DUMMYFUNCTION("""COMPUTED_VALUE"""),180.0)</f>
        <v>180</v>
      </c>
    </row>
    <row r="108">
      <c r="A108" s="1">
        <f>IFERROR(__xludf.DUMMYFUNCTION("""COMPUTED_VALUE"""),99.0)</f>
        <v>99</v>
      </c>
      <c r="B108" s="1" t="str">
        <f>IFERROR(__xludf.DUMMYFUNCTION("""COMPUTED_VALUE"""),"Latvia")</f>
        <v>Latvia</v>
      </c>
      <c r="C108" s="3">
        <f>IFERROR(__xludf.DUMMYFUNCTION("""COMPUTED_VALUE"""),22816.0)</f>
        <v>22816</v>
      </c>
      <c r="D108" s="1" t="str">
        <f>IFERROR(__xludf.DUMMYFUNCTION("""COMPUTED_VALUE"""),"+712")</f>
        <v>+712</v>
      </c>
      <c r="E108" s="1">
        <f>IFERROR(__xludf.DUMMYFUNCTION("""COMPUTED_VALUE"""),293.0)</f>
        <v>293</v>
      </c>
      <c r="F108" s="1" t="str">
        <f>IFERROR(__xludf.DUMMYFUNCTION("""COMPUTED_VALUE"""),"+5")</f>
        <v>+5</v>
      </c>
      <c r="G108" s="3">
        <f>IFERROR(__xludf.DUMMYFUNCTION("""COMPUTED_VALUE"""),1866.0)</f>
        <v>1866</v>
      </c>
      <c r="H108" s="1"/>
      <c r="I108" s="3">
        <f>IFERROR(__xludf.DUMMYFUNCTION("""COMPUTED_VALUE"""),20657.0)</f>
        <v>20657</v>
      </c>
      <c r="J108" s="1">
        <f>IFERROR(__xludf.DUMMYFUNCTION("""COMPUTED_VALUE"""),42.0)</f>
        <v>42</v>
      </c>
      <c r="K108" s="3">
        <f>IFERROR(__xludf.DUMMYFUNCTION("""COMPUTED_VALUE"""),12156.0)</f>
        <v>12156</v>
      </c>
      <c r="L108" s="1">
        <f>IFERROR(__xludf.DUMMYFUNCTION("""COMPUTED_VALUE"""),156.0)</f>
        <v>156</v>
      </c>
      <c r="M108" s="3">
        <f>IFERROR(__xludf.DUMMYFUNCTION("""COMPUTED_VALUE"""),694411.0)</f>
        <v>694411</v>
      </c>
      <c r="N108" s="3">
        <f>IFERROR(__xludf.DUMMYFUNCTION("""COMPUTED_VALUE"""),369974.0)</f>
        <v>369974</v>
      </c>
      <c r="O108" s="2">
        <f>IFERROR(__xludf.DUMMYFUNCTION("""COMPUTED_VALUE"""),1876919.0)</f>
        <v>1876919</v>
      </c>
      <c r="P108" s="1" t="str">
        <f>IFERROR(__xludf.DUMMYFUNCTION("""COMPUTED_VALUE"""),"Europe")</f>
        <v>Europe</v>
      </c>
      <c r="Q108" s="1">
        <f>IFERROR(__xludf.DUMMYFUNCTION("""COMPUTED_VALUE"""),82.0)</f>
        <v>82</v>
      </c>
      <c r="R108" s="3">
        <f>IFERROR(__xludf.DUMMYFUNCTION("""COMPUTED_VALUE"""),6406.0)</f>
        <v>6406</v>
      </c>
      <c r="S108" s="1">
        <f>IFERROR(__xludf.DUMMYFUNCTION("""COMPUTED_VALUE"""),3.0)</f>
        <v>3</v>
      </c>
    </row>
    <row r="109">
      <c r="A109" s="1">
        <f>IFERROR(__xludf.DUMMYFUNCTION("""COMPUTED_VALUE"""),100.0)</f>
        <v>100</v>
      </c>
      <c r="B109" s="1" t="str">
        <f>IFERROR(__xludf.DUMMYFUNCTION("""COMPUTED_VALUE"""),"Ivory Coast")</f>
        <v>Ivory Coast</v>
      </c>
      <c r="C109" s="3">
        <f>IFERROR(__xludf.DUMMYFUNCTION("""COMPUTED_VALUE"""),21547.0)</f>
        <v>21547</v>
      </c>
      <c r="D109" s="1" t="str">
        <f>IFERROR(__xludf.DUMMYFUNCTION("""COMPUTED_VALUE"""),"+34")</f>
        <v>+34</v>
      </c>
      <c r="E109" s="1">
        <f>IFERROR(__xludf.DUMMYFUNCTION("""COMPUTED_VALUE"""),133.0)</f>
        <v>133</v>
      </c>
      <c r="F109" s="1" t="str">
        <f>IFERROR(__xludf.DUMMYFUNCTION("""COMPUTED_VALUE"""),"+1")</f>
        <v>+1</v>
      </c>
      <c r="G109" s="3">
        <f>IFERROR(__xludf.DUMMYFUNCTION("""COMPUTED_VALUE"""),21176.0)</f>
        <v>21176</v>
      </c>
      <c r="H109" s="1" t="str">
        <f>IFERROR(__xludf.DUMMYFUNCTION("""COMPUTED_VALUE"""),"+15")</f>
        <v>+15</v>
      </c>
      <c r="I109" s="1">
        <f>IFERROR(__xludf.DUMMYFUNCTION("""COMPUTED_VALUE"""),238.0)</f>
        <v>238</v>
      </c>
      <c r="J109" s="1"/>
      <c r="K109" s="1">
        <f>IFERROR(__xludf.DUMMYFUNCTION("""COMPUTED_VALUE"""),808.0)</f>
        <v>808</v>
      </c>
      <c r="L109" s="1">
        <f>IFERROR(__xludf.DUMMYFUNCTION("""COMPUTED_VALUE"""),5.0)</f>
        <v>5</v>
      </c>
      <c r="M109" s="3">
        <f>IFERROR(__xludf.DUMMYFUNCTION("""COMPUTED_VALUE"""),227882.0)</f>
        <v>227882</v>
      </c>
      <c r="N109" s="3">
        <f>IFERROR(__xludf.DUMMYFUNCTION("""COMPUTED_VALUE"""),8548.0)</f>
        <v>8548</v>
      </c>
      <c r="O109" s="2">
        <f>IFERROR(__xludf.DUMMYFUNCTION("""COMPUTED_VALUE"""),2.6659921E7)</f>
        <v>26659921</v>
      </c>
      <c r="P109" s="1" t="str">
        <f>IFERROR(__xludf.DUMMYFUNCTION("""COMPUTED_VALUE"""),"Africa")</f>
        <v>Africa</v>
      </c>
      <c r="Q109" s="3">
        <f>IFERROR(__xludf.DUMMYFUNCTION("""COMPUTED_VALUE"""),1237.0)</f>
        <v>1237</v>
      </c>
      <c r="R109" s="3">
        <f>IFERROR(__xludf.DUMMYFUNCTION("""COMPUTED_VALUE"""),200451.0)</f>
        <v>200451</v>
      </c>
      <c r="S109" s="1">
        <f>IFERROR(__xludf.DUMMYFUNCTION("""COMPUTED_VALUE"""),117.0)</f>
        <v>117</v>
      </c>
    </row>
    <row r="110">
      <c r="A110" s="1">
        <f>IFERROR(__xludf.DUMMYFUNCTION("""COMPUTED_VALUE"""),101.0)</f>
        <v>101</v>
      </c>
      <c r="B110" s="1" t="str">
        <f>IFERROR(__xludf.DUMMYFUNCTION("""COMPUTED_VALUE"""),"Sudan")</f>
        <v>Sudan</v>
      </c>
      <c r="C110" s="3">
        <f>IFERROR(__xludf.DUMMYFUNCTION("""COMPUTED_VALUE"""),20084.0)</f>
        <v>20084</v>
      </c>
      <c r="D110" s="1" t="str">
        <f>IFERROR(__xludf.DUMMYFUNCTION("""COMPUTED_VALUE"""),"+337")</f>
        <v>+337</v>
      </c>
      <c r="E110" s="3">
        <f>IFERROR(__xludf.DUMMYFUNCTION("""COMPUTED_VALUE"""),1307.0)</f>
        <v>1307</v>
      </c>
      <c r="F110" s="1" t="str">
        <f>IFERROR(__xludf.DUMMYFUNCTION("""COMPUTED_VALUE"""),"+6")</f>
        <v>+6</v>
      </c>
      <c r="G110" s="3">
        <f>IFERROR(__xludf.DUMMYFUNCTION("""COMPUTED_VALUE"""),11344.0)</f>
        <v>11344</v>
      </c>
      <c r="H110" s="1" t="str">
        <f>IFERROR(__xludf.DUMMYFUNCTION("""COMPUTED_VALUE"""),"+160")</f>
        <v>+160</v>
      </c>
      <c r="I110" s="3">
        <f>IFERROR(__xludf.DUMMYFUNCTION("""COMPUTED_VALUE"""),7433.0)</f>
        <v>7433</v>
      </c>
      <c r="J110" s="1"/>
      <c r="K110" s="1">
        <f>IFERROR(__xludf.DUMMYFUNCTION("""COMPUTED_VALUE"""),453.0)</f>
        <v>453</v>
      </c>
      <c r="L110" s="1">
        <f>IFERROR(__xludf.DUMMYFUNCTION("""COMPUTED_VALUE"""),30.0)</f>
        <v>30</v>
      </c>
      <c r="M110" s="1"/>
      <c r="N110" s="1"/>
      <c r="O110" s="2">
        <f>IFERROR(__xludf.DUMMYFUNCTION("""COMPUTED_VALUE"""),4.429132E7)</f>
        <v>44291320</v>
      </c>
      <c r="P110" s="1" t="str">
        <f>IFERROR(__xludf.DUMMYFUNCTION("""COMPUTED_VALUE"""),"Africa")</f>
        <v>Africa</v>
      </c>
      <c r="Q110" s="3">
        <f>IFERROR(__xludf.DUMMYFUNCTION("""COMPUTED_VALUE"""),2205.0)</f>
        <v>2205</v>
      </c>
      <c r="R110" s="3">
        <f>IFERROR(__xludf.DUMMYFUNCTION("""COMPUTED_VALUE"""),33888.0)</f>
        <v>33888</v>
      </c>
      <c r="S110" s="1"/>
    </row>
    <row r="111">
      <c r="A111" s="1">
        <f>IFERROR(__xludf.DUMMYFUNCTION("""COMPUTED_VALUE"""),102.0)</f>
        <v>102</v>
      </c>
      <c r="B111" s="1" t="str">
        <f>IFERROR(__xludf.DUMMYFUNCTION("""COMPUTED_VALUE"""),"Zambia")</f>
        <v>Zambia</v>
      </c>
      <c r="C111" s="3">
        <f>IFERROR(__xludf.DUMMYFUNCTION("""COMPUTED_VALUE"""),18062.0)</f>
        <v>18062</v>
      </c>
      <c r="D111" s="1" t="str">
        <f>IFERROR(__xludf.DUMMYFUNCTION("""COMPUTED_VALUE"""),"+99")</f>
        <v>+99</v>
      </c>
      <c r="E111" s="1">
        <f>IFERROR(__xludf.DUMMYFUNCTION("""COMPUTED_VALUE"""),364.0)</f>
        <v>364</v>
      </c>
      <c r="F111" s="1"/>
      <c r="G111" s="3">
        <f>IFERROR(__xludf.DUMMYFUNCTION("""COMPUTED_VALUE"""),17295.0)</f>
        <v>17295</v>
      </c>
      <c r="H111" s="1" t="str">
        <f>IFERROR(__xludf.DUMMYFUNCTION("""COMPUTED_VALUE"""),"+27")</f>
        <v>+27</v>
      </c>
      <c r="I111" s="1">
        <f>IFERROR(__xludf.DUMMYFUNCTION("""COMPUTED_VALUE"""),403.0)</f>
        <v>403</v>
      </c>
      <c r="J111" s="1"/>
      <c r="K111" s="1">
        <f>IFERROR(__xludf.DUMMYFUNCTION("""COMPUTED_VALUE"""),971.0)</f>
        <v>971</v>
      </c>
      <c r="L111" s="1">
        <f>IFERROR(__xludf.DUMMYFUNCTION("""COMPUTED_VALUE"""),20.0)</f>
        <v>20</v>
      </c>
      <c r="M111" s="3">
        <f>IFERROR(__xludf.DUMMYFUNCTION("""COMPUTED_VALUE"""),461773.0)</f>
        <v>461773</v>
      </c>
      <c r="N111" s="3">
        <f>IFERROR(__xludf.DUMMYFUNCTION("""COMPUTED_VALUE"""),24820.0)</f>
        <v>24820</v>
      </c>
      <c r="O111" s="2">
        <f>IFERROR(__xludf.DUMMYFUNCTION("""COMPUTED_VALUE"""),1.8605236E7)</f>
        <v>18605236</v>
      </c>
      <c r="P111" s="1" t="str">
        <f>IFERROR(__xludf.DUMMYFUNCTION("""COMPUTED_VALUE"""),"Africa")</f>
        <v>Africa</v>
      </c>
      <c r="Q111" s="3">
        <f>IFERROR(__xludf.DUMMYFUNCTION("""COMPUTED_VALUE"""),1030.0)</f>
        <v>1030</v>
      </c>
      <c r="R111" s="3">
        <f>IFERROR(__xludf.DUMMYFUNCTION("""COMPUTED_VALUE"""),51113.0)</f>
        <v>51113</v>
      </c>
      <c r="S111" s="1">
        <f>IFERROR(__xludf.DUMMYFUNCTION("""COMPUTED_VALUE"""),40.0)</f>
        <v>40</v>
      </c>
    </row>
    <row r="112">
      <c r="A112" s="1">
        <f>IFERROR(__xludf.DUMMYFUNCTION("""COMPUTED_VALUE"""),103.0)</f>
        <v>103</v>
      </c>
      <c r="B112" s="1" t="str">
        <f>IFERROR(__xludf.DUMMYFUNCTION("""COMPUTED_VALUE"""),"Madagascar")</f>
        <v>Madagascar</v>
      </c>
      <c r="C112" s="3">
        <f>IFERROR(__xludf.DUMMYFUNCTION("""COMPUTED_VALUE"""),17473.0)</f>
        <v>17473</v>
      </c>
      <c r="D112" s="1"/>
      <c r="E112" s="1">
        <f>IFERROR(__xludf.DUMMYFUNCTION("""COMPUTED_VALUE"""),255.0)</f>
        <v>255</v>
      </c>
      <c r="F112" s="1"/>
      <c r="G112" s="3">
        <f>IFERROR(__xludf.DUMMYFUNCTION("""COMPUTED_VALUE"""),16927.0)</f>
        <v>16927</v>
      </c>
      <c r="H112" s="1"/>
      <c r="I112" s="1">
        <f>IFERROR(__xludf.DUMMYFUNCTION("""COMPUTED_VALUE"""),291.0)</f>
        <v>291</v>
      </c>
      <c r="J112" s="1">
        <f>IFERROR(__xludf.DUMMYFUNCTION("""COMPUTED_VALUE"""),16.0)</f>
        <v>16</v>
      </c>
      <c r="K112" s="1">
        <f>IFERROR(__xludf.DUMMYFUNCTION("""COMPUTED_VALUE"""),624.0)</f>
        <v>624</v>
      </c>
      <c r="L112" s="1">
        <f>IFERROR(__xludf.DUMMYFUNCTION("""COMPUTED_VALUE"""),9.0)</f>
        <v>9</v>
      </c>
      <c r="M112" s="3">
        <f>IFERROR(__xludf.DUMMYFUNCTION("""COMPUTED_VALUE"""),95472.0)</f>
        <v>95472</v>
      </c>
      <c r="N112" s="3">
        <f>IFERROR(__xludf.DUMMYFUNCTION("""COMPUTED_VALUE"""),3410.0)</f>
        <v>3410</v>
      </c>
      <c r="O112" s="2">
        <f>IFERROR(__xludf.DUMMYFUNCTION("""COMPUTED_VALUE"""),2.7997677E7)</f>
        <v>27997677</v>
      </c>
      <c r="P112" s="1" t="str">
        <f>IFERROR(__xludf.DUMMYFUNCTION("""COMPUTED_VALUE"""),"Africa")</f>
        <v>Africa</v>
      </c>
      <c r="Q112" s="3">
        <f>IFERROR(__xludf.DUMMYFUNCTION("""COMPUTED_VALUE"""),1602.0)</f>
        <v>1602</v>
      </c>
      <c r="R112" s="3">
        <f>IFERROR(__xludf.DUMMYFUNCTION("""COMPUTED_VALUE"""),109795.0)</f>
        <v>109795</v>
      </c>
      <c r="S112" s="1">
        <f>IFERROR(__xludf.DUMMYFUNCTION("""COMPUTED_VALUE"""),293.0)</f>
        <v>293</v>
      </c>
    </row>
    <row r="113">
      <c r="A113" s="1">
        <f>IFERROR(__xludf.DUMMYFUNCTION("""COMPUTED_VALUE"""),104.0)</f>
        <v>104</v>
      </c>
      <c r="B113" s="1" t="str">
        <f>IFERROR(__xludf.DUMMYFUNCTION("""COMPUTED_VALUE"""),"Senegal")</f>
        <v>Senegal</v>
      </c>
      <c r="C113" s="3">
        <f>IFERROR(__xludf.DUMMYFUNCTION("""COMPUTED_VALUE"""),16665.0)</f>
        <v>16665</v>
      </c>
      <c r="D113" s="1" t="str">
        <f>IFERROR(__xludf.DUMMYFUNCTION("""COMPUTED_VALUE"""),"+69")</f>
        <v>+69</v>
      </c>
      <c r="E113" s="1">
        <f>IFERROR(__xludf.DUMMYFUNCTION("""COMPUTED_VALUE"""),341.0)</f>
        <v>341</v>
      </c>
      <c r="F113" s="1" t="str">
        <f>IFERROR(__xludf.DUMMYFUNCTION("""COMPUTED_VALUE"""),"+1")</f>
        <v>+1</v>
      </c>
      <c r="G113" s="3">
        <f>IFERROR(__xludf.DUMMYFUNCTION("""COMPUTED_VALUE"""),15904.0)</f>
        <v>15904</v>
      </c>
      <c r="H113" s="1" t="str">
        <f>IFERROR(__xludf.DUMMYFUNCTION("""COMPUTED_VALUE"""),"+40")</f>
        <v>+40</v>
      </c>
      <c r="I113" s="1">
        <f>IFERROR(__xludf.DUMMYFUNCTION("""COMPUTED_VALUE"""),420.0)</f>
        <v>420</v>
      </c>
      <c r="J113" s="1">
        <f>IFERROR(__xludf.DUMMYFUNCTION("""COMPUTED_VALUE"""),10.0)</f>
        <v>10</v>
      </c>
      <c r="K113" s="1">
        <f>IFERROR(__xludf.DUMMYFUNCTION("""COMPUTED_VALUE"""),984.0)</f>
        <v>984</v>
      </c>
      <c r="L113" s="1">
        <f>IFERROR(__xludf.DUMMYFUNCTION("""COMPUTED_VALUE"""),20.0)</f>
        <v>20</v>
      </c>
      <c r="M113" s="3">
        <f>IFERROR(__xludf.DUMMYFUNCTION("""COMPUTED_VALUE"""),239789.0)</f>
        <v>239789</v>
      </c>
      <c r="N113" s="3">
        <f>IFERROR(__xludf.DUMMYFUNCTION("""COMPUTED_VALUE"""),14160.0)</f>
        <v>14160</v>
      </c>
      <c r="O113" s="2">
        <f>IFERROR(__xludf.DUMMYFUNCTION("""COMPUTED_VALUE"""),1.6933881E7)</f>
        <v>16933881</v>
      </c>
      <c r="P113" s="1" t="str">
        <f>IFERROR(__xludf.DUMMYFUNCTION("""COMPUTED_VALUE"""),"Africa")</f>
        <v>Africa</v>
      </c>
      <c r="Q113" s="3">
        <f>IFERROR(__xludf.DUMMYFUNCTION("""COMPUTED_VALUE"""),1016.0)</f>
        <v>1016</v>
      </c>
      <c r="R113" s="3">
        <f>IFERROR(__xludf.DUMMYFUNCTION("""COMPUTED_VALUE"""),49659.0)</f>
        <v>49659</v>
      </c>
      <c r="S113" s="1">
        <f>IFERROR(__xludf.DUMMYFUNCTION("""COMPUTED_VALUE"""),71.0)</f>
        <v>71</v>
      </c>
    </row>
    <row r="114">
      <c r="A114" s="1">
        <f>IFERROR(__xludf.DUMMYFUNCTION("""COMPUTED_VALUE"""),105.0)</f>
        <v>105</v>
      </c>
      <c r="B114" s="1" t="str">
        <f>IFERROR(__xludf.DUMMYFUNCTION("""COMPUTED_VALUE"""),"Mozambique")</f>
        <v>Mozambique</v>
      </c>
      <c r="C114" s="3">
        <f>IFERROR(__xludf.DUMMYFUNCTION("""COMPUTED_VALUE"""),16440.0)</f>
        <v>16440</v>
      </c>
      <c r="D114" s="1" t="str">
        <f>IFERROR(__xludf.DUMMYFUNCTION("""COMPUTED_VALUE"""),"+67")</f>
        <v>+67</v>
      </c>
      <c r="E114" s="1">
        <f>IFERROR(__xludf.DUMMYFUNCTION("""COMPUTED_VALUE"""),138.0)</f>
        <v>138</v>
      </c>
      <c r="F114" s="1" t="str">
        <f>IFERROR(__xludf.DUMMYFUNCTION("""COMPUTED_VALUE"""),"+2")</f>
        <v>+2</v>
      </c>
      <c r="G114" s="3">
        <f>IFERROR(__xludf.DUMMYFUNCTION("""COMPUTED_VALUE"""),14684.0)</f>
        <v>14684</v>
      </c>
      <c r="H114" s="1" t="str">
        <f>IFERROR(__xludf.DUMMYFUNCTION("""COMPUTED_VALUE"""),"+247")</f>
        <v>+247</v>
      </c>
      <c r="I114" s="3">
        <f>IFERROR(__xludf.DUMMYFUNCTION("""COMPUTED_VALUE"""),1618.0)</f>
        <v>1618</v>
      </c>
      <c r="J114" s="1"/>
      <c r="K114" s="1">
        <f>IFERROR(__xludf.DUMMYFUNCTION("""COMPUTED_VALUE"""),520.0)</f>
        <v>520</v>
      </c>
      <c r="L114" s="1">
        <f>IFERROR(__xludf.DUMMYFUNCTION("""COMPUTED_VALUE"""),4.0)</f>
        <v>4</v>
      </c>
      <c r="M114" s="3">
        <f>IFERROR(__xludf.DUMMYFUNCTION("""COMPUTED_VALUE"""),241226.0)</f>
        <v>241226</v>
      </c>
      <c r="N114" s="3">
        <f>IFERROR(__xludf.DUMMYFUNCTION("""COMPUTED_VALUE"""),7626.0)</f>
        <v>7626</v>
      </c>
      <c r="O114" s="2">
        <f>IFERROR(__xludf.DUMMYFUNCTION("""COMPUTED_VALUE"""),3.1631785E7)</f>
        <v>31631785</v>
      </c>
      <c r="P114" s="1" t="str">
        <f>IFERROR(__xludf.DUMMYFUNCTION("""COMPUTED_VALUE"""),"Africa")</f>
        <v>Africa</v>
      </c>
      <c r="Q114" s="3">
        <f>IFERROR(__xludf.DUMMYFUNCTION("""COMPUTED_VALUE"""),1924.0)</f>
        <v>1924</v>
      </c>
      <c r="R114" s="3">
        <f>IFERROR(__xludf.DUMMYFUNCTION("""COMPUTED_VALUE"""),229216.0)</f>
        <v>229216</v>
      </c>
      <c r="S114" s="1">
        <f>IFERROR(__xludf.DUMMYFUNCTION("""COMPUTED_VALUE"""),131.0)</f>
        <v>131</v>
      </c>
    </row>
    <row r="115">
      <c r="A115" s="1">
        <f>IFERROR(__xludf.DUMMYFUNCTION("""COMPUTED_VALUE"""),106.0)</f>
        <v>106</v>
      </c>
      <c r="B115" s="1" t="str">
        <f>IFERROR(__xludf.DUMMYFUNCTION("""COMPUTED_VALUE"""),"Estonia")</f>
        <v>Estonia</v>
      </c>
      <c r="C115" s="3">
        <f>IFERROR(__xludf.DUMMYFUNCTION("""COMPUTED_VALUE"""),16054.0)</f>
        <v>16054</v>
      </c>
      <c r="D115" s="1" t="str">
        <f>IFERROR(__xludf.DUMMYFUNCTION("""COMPUTED_VALUE"""),"+547")</f>
        <v>+547</v>
      </c>
      <c r="E115" s="1">
        <f>IFERROR(__xludf.DUMMYFUNCTION("""COMPUTED_VALUE"""),139.0)</f>
        <v>139</v>
      </c>
      <c r="F115" s="1" t="str">
        <f>IFERROR(__xludf.DUMMYFUNCTION("""COMPUTED_VALUE"""),"+2")</f>
        <v>+2</v>
      </c>
      <c r="G115" s="3">
        <f>IFERROR(__xludf.DUMMYFUNCTION("""COMPUTED_VALUE"""),9860.0)</f>
        <v>9860</v>
      </c>
      <c r="H115" s="1" t="str">
        <f>IFERROR(__xludf.DUMMYFUNCTION("""COMPUTED_VALUE"""),"+414")</f>
        <v>+414</v>
      </c>
      <c r="I115" s="3">
        <f>IFERROR(__xludf.DUMMYFUNCTION("""COMPUTED_VALUE"""),6055.0)</f>
        <v>6055</v>
      </c>
      <c r="J115" s="1">
        <f>IFERROR(__xludf.DUMMYFUNCTION("""COMPUTED_VALUE"""),26.0)</f>
        <v>26</v>
      </c>
      <c r="K115" s="3">
        <f>IFERROR(__xludf.DUMMYFUNCTION("""COMPUTED_VALUE"""),12099.0)</f>
        <v>12099</v>
      </c>
      <c r="L115" s="1">
        <f>IFERROR(__xludf.DUMMYFUNCTION("""COMPUTED_VALUE"""),105.0)</f>
        <v>105</v>
      </c>
      <c r="M115" s="3">
        <f>IFERROR(__xludf.DUMMYFUNCTION("""COMPUTED_VALUE"""),524270.0)</f>
        <v>524270</v>
      </c>
      <c r="N115" s="3">
        <f>IFERROR(__xludf.DUMMYFUNCTION("""COMPUTED_VALUE"""),395101.0)</f>
        <v>395101</v>
      </c>
      <c r="O115" s="2">
        <f>IFERROR(__xludf.DUMMYFUNCTION("""COMPUTED_VALUE"""),1326928.0)</f>
        <v>1326928</v>
      </c>
      <c r="P115" s="1" t="str">
        <f>IFERROR(__xludf.DUMMYFUNCTION("""COMPUTED_VALUE"""),"Europe")</f>
        <v>Europe</v>
      </c>
      <c r="Q115" s="1">
        <f>IFERROR(__xludf.DUMMYFUNCTION("""COMPUTED_VALUE"""),83.0)</f>
        <v>83</v>
      </c>
      <c r="R115" s="3">
        <f>IFERROR(__xludf.DUMMYFUNCTION("""COMPUTED_VALUE"""),9546.0)</f>
        <v>9546</v>
      </c>
      <c r="S115" s="1">
        <f>IFERROR(__xludf.DUMMYFUNCTION("""COMPUTED_VALUE"""),3.0)</f>
        <v>3</v>
      </c>
    </row>
    <row r="116">
      <c r="A116" s="1">
        <f>IFERROR(__xludf.DUMMYFUNCTION("""COMPUTED_VALUE"""),107.0)</f>
        <v>107</v>
      </c>
      <c r="B116" s="1" t="str">
        <f>IFERROR(__xludf.DUMMYFUNCTION("""COMPUTED_VALUE"""),"Angola")</f>
        <v>Angola</v>
      </c>
      <c r="C116" s="3">
        <f>IFERROR(__xludf.DUMMYFUNCTION("""COMPUTED_VALUE"""),15804.0)</f>
        <v>15804</v>
      </c>
      <c r="D116" s="1" t="str">
        <f>IFERROR(__xludf.DUMMYFUNCTION("""COMPUTED_VALUE"""),"+75")</f>
        <v>+75</v>
      </c>
      <c r="E116" s="1">
        <f>IFERROR(__xludf.DUMMYFUNCTION("""COMPUTED_VALUE"""),358.0)</f>
        <v>358</v>
      </c>
      <c r="F116" s="1" t="str">
        <f>IFERROR(__xludf.DUMMYFUNCTION("""COMPUTED_VALUE"""),"+3")</f>
        <v>+3</v>
      </c>
      <c r="G116" s="3">
        <f>IFERROR(__xludf.DUMMYFUNCTION("""COMPUTED_VALUE"""),8579.0)</f>
        <v>8579</v>
      </c>
      <c r="H116" s="1" t="str">
        <f>IFERROR(__xludf.DUMMYFUNCTION("""COMPUTED_VALUE"""),"+109")</f>
        <v>+109</v>
      </c>
      <c r="I116" s="3">
        <f>IFERROR(__xludf.DUMMYFUNCTION("""COMPUTED_VALUE"""),6867.0)</f>
        <v>6867</v>
      </c>
      <c r="J116" s="1">
        <f>IFERROR(__xludf.DUMMYFUNCTION("""COMPUTED_VALUE"""),14.0)</f>
        <v>14</v>
      </c>
      <c r="K116" s="1">
        <f>IFERROR(__xludf.DUMMYFUNCTION("""COMPUTED_VALUE"""),475.0)</f>
        <v>475</v>
      </c>
      <c r="L116" s="1">
        <f>IFERROR(__xludf.DUMMYFUNCTION("""COMPUTED_VALUE"""),11.0)</f>
        <v>11</v>
      </c>
      <c r="M116" s="3">
        <f>IFERROR(__xludf.DUMMYFUNCTION("""COMPUTED_VALUE"""),171247.0)</f>
        <v>171247</v>
      </c>
      <c r="N116" s="3">
        <f>IFERROR(__xludf.DUMMYFUNCTION("""COMPUTED_VALUE"""),5142.0)</f>
        <v>5142</v>
      </c>
      <c r="O116" s="2">
        <f>IFERROR(__xludf.DUMMYFUNCTION("""COMPUTED_VALUE"""),3.3304302E7)</f>
        <v>33304302</v>
      </c>
      <c r="P116" s="1" t="str">
        <f>IFERROR(__xludf.DUMMYFUNCTION("""COMPUTED_VALUE"""),"Africa")</f>
        <v>Africa</v>
      </c>
      <c r="Q116" s="3">
        <f>IFERROR(__xludf.DUMMYFUNCTION("""COMPUTED_VALUE"""),2107.0)</f>
        <v>2107</v>
      </c>
      <c r="R116" s="3">
        <f>IFERROR(__xludf.DUMMYFUNCTION("""COMPUTED_VALUE"""),93029.0)</f>
        <v>93029</v>
      </c>
      <c r="S116" s="1">
        <f>IFERROR(__xludf.DUMMYFUNCTION("""COMPUTED_VALUE"""),194.0)</f>
        <v>194</v>
      </c>
    </row>
    <row r="117">
      <c r="A117" s="1">
        <f>IFERROR(__xludf.DUMMYFUNCTION("""COMPUTED_VALUE"""),108.0)</f>
        <v>108</v>
      </c>
      <c r="B117" s="1" t="str">
        <f>IFERROR(__xludf.DUMMYFUNCTION("""COMPUTED_VALUE"""),"Namibia")</f>
        <v>Namibia</v>
      </c>
      <c r="C117" s="3">
        <f>IFERROR(__xludf.DUMMYFUNCTION("""COMPUTED_VALUE"""),15472.0)</f>
        <v>15472</v>
      </c>
      <c r="D117" s="1" t="str">
        <f>IFERROR(__xludf.DUMMYFUNCTION("""COMPUTED_VALUE"""),"+174")</f>
        <v>+174</v>
      </c>
      <c r="E117" s="1">
        <f>IFERROR(__xludf.DUMMYFUNCTION("""COMPUTED_VALUE"""),155.0)</f>
        <v>155</v>
      </c>
      <c r="F117" s="1" t="str">
        <f>IFERROR(__xludf.DUMMYFUNCTION("""COMPUTED_VALUE"""),"+2")</f>
        <v>+2</v>
      </c>
      <c r="G117" s="3">
        <f>IFERROR(__xludf.DUMMYFUNCTION("""COMPUTED_VALUE"""),14195.0)</f>
        <v>14195</v>
      </c>
      <c r="H117" s="1" t="str">
        <f>IFERROR(__xludf.DUMMYFUNCTION("""COMPUTED_VALUE"""),"+191")</f>
        <v>+191</v>
      </c>
      <c r="I117" s="3">
        <f>IFERROR(__xludf.DUMMYFUNCTION("""COMPUTED_VALUE"""),1122.0)</f>
        <v>1122</v>
      </c>
      <c r="J117" s="1">
        <f>IFERROR(__xludf.DUMMYFUNCTION("""COMPUTED_VALUE"""),10.0)</f>
        <v>10</v>
      </c>
      <c r="K117" s="3">
        <f>IFERROR(__xludf.DUMMYFUNCTION("""COMPUTED_VALUE"""),6042.0)</f>
        <v>6042</v>
      </c>
      <c r="L117" s="1">
        <f>IFERROR(__xludf.DUMMYFUNCTION("""COMPUTED_VALUE"""),61.0)</f>
        <v>61</v>
      </c>
      <c r="M117" s="3">
        <f>IFERROR(__xludf.DUMMYFUNCTION("""COMPUTED_VALUE"""),168805.0)</f>
        <v>168805</v>
      </c>
      <c r="N117" s="3">
        <f>IFERROR(__xludf.DUMMYFUNCTION("""COMPUTED_VALUE"""),65917.0)</f>
        <v>65917</v>
      </c>
      <c r="O117" s="2">
        <f>IFERROR(__xludf.DUMMYFUNCTION("""COMPUTED_VALUE"""),2560875.0)</f>
        <v>2560875</v>
      </c>
      <c r="P117" s="1" t="str">
        <f>IFERROR(__xludf.DUMMYFUNCTION("""COMPUTED_VALUE"""),"Africa")</f>
        <v>Africa</v>
      </c>
      <c r="Q117" s="1">
        <f>IFERROR(__xludf.DUMMYFUNCTION("""COMPUTED_VALUE"""),166.0)</f>
        <v>166</v>
      </c>
      <c r="R117" s="3">
        <f>IFERROR(__xludf.DUMMYFUNCTION("""COMPUTED_VALUE"""),16522.0)</f>
        <v>16522</v>
      </c>
      <c r="S117" s="1">
        <f>IFERROR(__xludf.DUMMYFUNCTION("""COMPUTED_VALUE"""),15.0)</f>
        <v>15</v>
      </c>
    </row>
    <row r="118">
      <c r="A118" s="1">
        <f>IFERROR(__xludf.DUMMYFUNCTION("""COMPUTED_VALUE"""),109.0)</f>
        <v>109</v>
      </c>
      <c r="B118" s="1" t="str">
        <f>IFERROR(__xludf.DUMMYFUNCTION("""COMPUTED_VALUE"""),"French Polynesia")</f>
        <v>French Polynesia</v>
      </c>
      <c r="C118" s="3">
        <f>IFERROR(__xludf.DUMMYFUNCTION("""COMPUTED_VALUE"""),15332.0)</f>
        <v>15332</v>
      </c>
      <c r="D118" s="1"/>
      <c r="E118" s="1">
        <f>IFERROR(__xludf.DUMMYFUNCTION("""COMPUTED_VALUE"""),86.0)</f>
        <v>86</v>
      </c>
      <c r="F118" s="1"/>
      <c r="G118" s="3">
        <f>IFERROR(__xludf.DUMMYFUNCTION("""COMPUTED_VALUE"""),4842.0)</f>
        <v>4842</v>
      </c>
      <c r="H118" s="1"/>
      <c r="I118" s="3">
        <f>IFERROR(__xludf.DUMMYFUNCTION("""COMPUTED_VALUE"""),10404.0)</f>
        <v>10404</v>
      </c>
      <c r="J118" s="1">
        <f>IFERROR(__xludf.DUMMYFUNCTION("""COMPUTED_VALUE"""),25.0)</f>
        <v>25</v>
      </c>
      <c r="K118" s="3">
        <f>IFERROR(__xludf.DUMMYFUNCTION("""COMPUTED_VALUE"""),54442.0)</f>
        <v>54442</v>
      </c>
      <c r="L118" s="1">
        <f>IFERROR(__xludf.DUMMYFUNCTION("""COMPUTED_VALUE"""),305.0)</f>
        <v>305</v>
      </c>
      <c r="M118" s="3">
        <f>IFERROR(__xludf.DUMMYFUNCTION("""COMPUTED_VALUE"""),26355.0)</f>
        <v>26355</v>
      </c>
      <c r="N118" s="3">
        <f>IFERROR(__xludf.DUMMYFUNCTION("""COMPUTED_VALUE"""),93583.0)</f>
        <v>93583</v>
      </c>
      <c r="O118" s="2">
        <f>IFERROR(__xludf.DUMMYFUNCTION("""COMPUTED_VALUE"""),281621.0)</f>
        <v>281621</v>
      </c>
      <c r="P118" s="1" t="str">
        <f>IFERROR(__xludf.DUMMYFUNCTION("""COMPUTED_VALUE"""),"Australia/Oceania")</f>
        <v>Australia/Oceania</v>
      </c>
      <c r="Q118" s="1">
        <f>IFERROR(__xludf.DUMMYFUNCTION("""COMPUTED_VALUE"""),18.0)</f>
        <v>18</v>
      </c>
      <c r="R118" s="3">
        <f>IFERROR(__xludf.DUMMYFUNCTION("""COMPUTED_VALUE"""),3275.0)</f>
        <v>3275</v>
      </c>
      <c r="S118" s="1">
        <f>IFERROR(__xludf.DUMMYFUNCTION("""COMPUTED_VALUE"""),11.0)</f>
        <v>11</v>
      </c>
    </row>
    <row r="119">
      <c r="A119" s="1">
        <f>IFERROR(__xludf.DUMMYFUNCTION("""COMPUTED_VALUE"""),110.0)</f>
        <v>110</v>
      </c>
      <c r="B119" s="1" t="str">
        <f>IFERROR(__xludf.DUMMYFUNCTION("""COMPUTED_VALUE"""),"DRC")</f>
        <v>DRC</v>
      </c>
      <c r="C119" s="3">
        <f>IFERROR(__xludf.DUMMYFUNCTION("""COMPUTED_VALUE"""),13750.0)</f>
        <v>13750</v>
      </c>
      <c r="D119" s="1"/>
      <c r="E119" s="1">
        <f>IFERROR(__xludf.DUMMYFUNCTION("""COMPUTED_VALUE"""),344.0)</f>
        <v>344</v>
      </c>
      <c r="F119" s="1"/>
      <c r="G119" s="3">
        <f>IFERROR(__xludf.DUMMYFUNCTION("""COMPUTED_VALUE"""),12059.0)</f>
        <v>12059</v>
      </c>
      <c r="H119" s="1"/>
      <c r="I119" s="3">
        <f>IFERROR(__xludf.DUMMYFUNCTION("""COMPUTED_VALUE"""),1347.0)</f>
        <v>1347</v>
      </c>
      <c r="J119" s="1"/>
      <c r="K119" s="1">
        <f>IFERROR(__xludf.DUMMYFUNCTION("""COMPUTED_VALUE"""),152.0)</f>
        <v>152</v>
      </c>
      <c r="L119" s="1">
        <f>IFERROR(__xludf.DUMMYFUNCTION("""COMPUTED_VALUE"""),4.0)</f>
        <v>4</v>
      </c>
      <c r="M119" s="1"/>
      <c r="N119" s="1"/>
      <c r="O119" s="2">
        <f>IFERROR(__xludf.DUMMYFUNCTION("""COMPUTED_VALUE"""),9.0728835E7)</f>
        <v>90728835</v>
      </c>
      <c r="P119" s="1" t="str">
        <f>IFERROR(__xludf.DUMMYFUNCTION("""COMPUTED_VALUE"""),"Africa")</f>
        <v>Africa</v>
      </c>
      <c r="Q119" s="3">
        <f>IFERROR(__xludf.DUMMYFUNCTION("""COMPUTED_VALUE"""),6598.0)</f>
        <v>6598</v>
      </c>
      <c r="R119" s="3">
        <f>IFERROR(__xludf.DUMMYFUNCTION("""COMPUTED_VALUE"""),263747.0)</f>
        <v>263747</v>
      </c>
      <c r="S119" s="1"/>
    </row>
    <row r="120">
      <c r="A120" s="1">
        <f>IFERROR(__xludf.DUMMYFUNCTION("""COMPUTED_VALUE"""),111.0)</f>
        <v>111</v>
      </c>
      <c r="B120" s="1" t="str">
        <f>IFERROR(__xludf.DUMMYFUNCTION("""COMPUTED_VALUE"""),"Guinea")</f>
        <v>Guinea</v>
      </c>
      <c r="C120" s="3">
        <f>IFERROR(__xludf.DUMMYFUNCTION("""COMPUTED_VALUE"""),13325.0)</f>
        <v>13325</v>
      </c>
      <c r="D120" s="1" t="str">
        <f>IFERROR(__xludf.DUMMYFUNCTION("""COMPUTED_VALUE"""),"+61")</f>
        <v>+61</v>
      </c>
      <c r="E120" s="1">
        <f>IFERROR(__xludf.DUMMYFUNCTION("""COMPUTED_VALUE"""),79.0)</f>
        <v>79</v>
      </c>
      <c r="F120" s="1"/>
      <c r="G120" s="3">
        <f>IFERROR(__xludf.DUMMYFUNCTION("""COMPUTED_VALUE"""),12548.0)</f>
        <v>12548</v>
      </c>
      <c r="H120" s="1" t="str">
        <f>IFERROR(__xludf.DUMMYFUNCTION("""COMPUTED_VALUE"""),"+83")</f>
        <v>+83</v>
      </c>
      <c r="I120" s="1">
        <f>IFERROR(__xludf.DUMMYFUNCTION("""COMPUTED_VALUE"""),698.0)</f>
        <v>698</v>
      </c>
      <c r="J120" s="1">
        <f>IFERROR(__xludf.DUMMYFUNCTION("""COMPUTED_VALUE"""),24.0)</f>
        <v>24</v>
      </c>
      <c r="K120" s="3">
        <f>IFERROR(__xludf.DUMMYFUNCTION("""COMPUTED_VALUE"""),1003.0)</f>
        <v>1003</v>
      </c>
      <c r="L120" s="1">
        <f>IFERROR(__xludf.DUMMYFUNCTION("""COMPUTED_VALUE"""),6.0)</f>
        <v>6</v>
      </c>
      <c r="M120" s="3">
        <f>IFERROR(__xludf.DUMMYFUNCTION("""COMPUTED_VALUE"""),82528.0)</f>
        <v>82528</v>
      </c>
      <c r="N120" s="3">
        <f>IFERROR(__xludf.DUMMYFUNCTION("""COMPUTED_VALUE"""),6212.0)</f>
        <v>6212</v>
      </c>
      <c r="O120" s="2">
        <f>IFERROR(__xludf.DUMMYFUNCTION("""COMPUTED_VALUE"""),1.3286031E7)</f>
        <v>13286031</v>
      </c>
      <c r="P120" s="1" t="str">
        <f>IFERROR(__xludf.DUMMYFUNCTION("""COMPUTED_VALUE"""),"Africa")</f>
        <v>Africa</v>
      </c>
      <c r="Q120" s="1">
        <f>IFERROR(__xludf.DUMMYFUNCTION("""COMPUTED_VALUE"""),997.0)</f>
        <v>997</v>
      </c>
      <c r="R120" s="3">
        <f>IFERROR(__xludf.DUMMYFUNCTION("""COMPUTED_VALUE"""),168178.0)</f>
        <v>168178</v>
      </c>
      <c r="S120" s="1">
        <f>IFERROR(__xludf.DUMMYFUNCTION("""COMPUTED_VALUE"""),161.0)</f>
        <v>161</v>
      </c>
    </row>
    <row r="121">
      <c r="A121" s="1">
        <f>IFERROR(__xludf.DUMMYFUNCTION("""COMPUTED_VALUE"""),112.0)</f>
        <v>112</v>
      </c>
      <c r="B121" s="1" t="str">
        <f>IFERROR(__xludf.DUMMYFUNCTION("""COMPUTED_VALUE"""),"Cyprus")</f>
        <v>Cyprus</v>
      </c>
      <c r="C121" s="3">
        <f>IFERROR(__xludf.DUMMYFUNCTION("""COMPUTED_VALUE"""),13286.0)</f>
        <v>13286</v>
      </c>
      <c r="D121" s="1"/>
      <c r="E121" s="1">
        <f>IFERROR(__xludf.DUMMYFUNCTION("""COMPUTED_VALUE"""),68.0)</f>
        <v>68</v>
      </c>
      <c r="F121" s="1"/>
      <c r="G121" s="3">
        <f>IFERROR(__xludf.DUMMYFUNCTION("""COMPUTED_VALUE"""),2057.0)</f>
        <v>2057</v>
      </c>
      <c r="H121" s="1"/>
      <c r="I121" s="3">
        <f>IFERROR(__xludf.DUMMYFUNCTION("""COMPUTED_VALUE"""),11161.0)</f>
        <v>11161</v>
      </c>
      <c r="J121" s="1">
        <f>IFERROR(__xludf.DUMMYFUNCTION("""COMPUTED_VALUE"""),20.0)</f>
        <v>20</v>
      </c>
      <c r="K121" s="3">
        <f>IFERROR(__xludf.DUMMYFUNCTION("""COMPUTED_VALUE"""),10969.0)</f>
        <v>10969</v>
      </c>
      <c r="L121" s="1">
        <f>IFERROR(__xludf.DUMMYFUNCTION("""COMPUTED_VALUE"""),56.0)</f>
        <v>56</v>
      </c>
      <c r="M121" s="3">
        <f>IFERROR(__xludf.DUMMYFUNCTION("""COMPUTED_VALUE"""),639047.0)</f>
        <v>639047</v>
      </c>
      <c r="N121" s="3">
        <f>IFERROR(__xludf.DUMMYFUNCTION("""COMPUTED_VALUE"""),527610.0)</f>
        <v>527610</v>
      </c>
      <c r="O121" s="2">
        <f>IFERROR(__xludf.DUMMYFUNCTION("""COMPUTED_VALUE"""),1211212.0)</f>
        <v>1211212</v>
      </c>
      <c r="P121" s="1" t="str">
        <f>IFERROR(__xludf.DUMMYFUNCTION("""COMPUTED_VALUE"""),"Asia")</f>
        <v>Asia</v>
      </c>
      <c r="Q121" s="1">
        <f>IFERROR(__xludf.DUMMYFUNCTION("""COMPUTED_VALUE"""),91.0)</f>
        <v>91</v>
      </c>
      <c r="R121" s="3">
        <f>IFERROR(__xludf.DUMMYFUNCTION("""COMPUTED_VALUE"""),17812.0)</f>
        <v>17812</v>
      </c>
      <c r="S121" s="1">
        <f>IFERROR(__xludf.DUMMYFUNCTION("""COMPUTED_VALUE"""),2.0)</f>
        <v>2</v>
      </c>
    </row>
    <row r="122">
      <c r="A122" s="1">
        <f>IFERROR(__xludf.DUMMYFUNCTION("""COMPUTED_VALUE"""),113.0)</f>
        <v>113</v>
      </c>
      <c r="B122" s="1" t="str">
        <f>IFERROR(__xludf.DUMMYFUNCTION("""COMPUTED_VALUE"""),"Maldives")</f>
        <v>Maldives</v>
      </c>
      <c r="C122" s="3">
        <f>IFERROR(__xludf.DUMMYFUNCTION("""COMPUTED_VALUE"""),13274.0)</f>
        <v>13274</v>
      </c>
      <c r="D122" s="1" t="str">
        <f>IFERROR(__xludf.DUMMYFUNCTION("""COMPUTED_VALUE"""),"+26")</f>
        <v>+26</v>
      </c>
      <c r="E122" s="1">
        <f>IFERROR(__xludf.DUMMYFUNCTION("""COMPUTED_VALUE"""),47.0)</f>
        <v>47</v>
      </c>
      <c r="F122" s="1"/>
      <c r="G122" s="3">
        <f>IFERROR(__xludf.DUMMYFUNCTION("""COMPUTED_VALUE"""),12591.0)</f>
        <v>12591</v>
      </c>
      <c r="H122" s="1" t="str">
        <f>IFERROR(__xludf.DUMMYFUNCTION("""COMPUTED_VALUE"""),"+104")</f>
        <v>+104</v>
      </c>
      <c r="I122" s="1">
        <f>IFERROR(__xludf.DUMMYFUNCTION("""COMPUTED_VALUE"""),636.0)</f>
        <v>636</v>
      </c>
      <c r="J122" s="1">
        <f>IFERROR(__xludf.DUMMYFUNCTION("""COMPUTED_VALUE"""),12.0)</f>
        <v>12</v>
      </c>
      <c r="K122" s="3">
        <f>IFERROR(__xludf.DUMMYFUNCTION("""COMPUTED_VALUE"""),24370.0)</f>
        <v>24370</v>
      </c>
      <c r="L122" s="1">
        <f>IFERROR(__xludf.DUMMYFUNCTION("""COMPUTED_VALUE"""),86.0)</f>
        <v>86</v>
      </c>
      <c r="M122" s="3">
        <f>IFERROR(__xludf.DUMMYFUNCTION("""COMPUTED_VALUE"""),261047.0)</f>
        <v>261047</v>
      </c>
      <c r="N122" s="3">
        <f>IFERROR(__xludf.DUMMYFUNCTION("""COMPUTED_VALUE"""),479268.0)</f>
        <v>479268</v>
      </c>
      <c r="O122" s="2">
        <f>IFERROR(__xludf.DUMMYFUNCTION("""COMPUTED_VALUE"""),544678.0)</f>
        <v>544678</v>
      </c>
      <c r="P122" s="1" t="str">
        <f>IFERROR(__xludf.DUMMYFUNCTION("""COMPUTED_VALUE"""),"Asia")</f>
        <v>Asia</v>
      </c>
      <c r="Q122" s="1">
        <f>IFERROR(__xludf.DUMMYFUNCTION("""COMPUTED_VALUE"""),41.0)</f>
        <v>41</v>
      </c>
      <c r="R122" s="3">
        <f>IFERROR(__xludf.DUMMYFUNCTION("""COMPUTED_VALUE"""),11589.0)</f>
        <v>11589</v>
      </c>
      <c r="S122" s="1">
        <f>IFERROR(__xludf.DUMMYFUNCTION("""COMPUTED_VALUE"""),2.0)</f>
        <v>2</v>
      </c>
    </row>
    <row r="123">
      <c r="A123" s="1">
        <f>IFERROR(__xludf.DUMMYFUNCTION("""COMPUTED_VALUE"""),114.0)</f>
        <v>114</v>
      </c>
      <c r="B123" s="1" t="str">
        <f>IFERROR(__xludf.DUMMYFUNCTION("""COMPUTED_VALUE"""),"Tajikistan")</f>
        <v>Tajikistan</v>
      </c>
      <c r="C123" s="3">
        <f>IFERROR(__xludf.DUMMYFUNCTION("""COMPUTED_VALUE"""),12551.0)</f>
        <v>12551</v>
      </c>
      <c r="D123" s="1" t="str">
        <f>IFERROR(__xludf.DUMMYFUNCTION("""COMPUTED_VALUE"""),"+40")</f>
        <v>+40</v>
      </c>
      <c r="E123" s="1">
        <f>IFERROR(__xludf.DUMMYFUNCTION("""COMPUTED_VALUE"""),88.0)</f>
        <v>88</v>
      </c>
      <c r="F123" s="1"/>
      <c r="G123" s="3">
        <f>IFERROR(__xludf.DUMMYFUNCTION("""COMPUTED_VALUE"""),11968.0)</f>
        <v>11968</v>
      </c>
      <c r="H123" s="1" t="str">
        <f>IFERROR(__xludf.DUMMYFUNCTION("""COMPUTED_VALUE"""),"+42")</f>
        <v>+42</v>
      </c>
      <c r="I123" s="1">
        <f>IFERROR(__xludf.DUMMYFUNCTION("""COMPUTED_VALUE"""),495.0)</f>
        <v>495</v>
      </c>
      <c r="J123" s="1"/>
      <c r="K123" s="3">
        <f>IFERROR(__xludf.DUMMYFUNCTION("""COMPUTED_VALUE"""),1303.0)</f>
        <v>1303</v>
      </c>
      <c r="L123" s="1">
        <f>IFERROR(__xludf.DUMMYFUNCTION("""COMPUTED_VALUE"""),9.0)</f>
        <v>9</v>
      </c>
      <c r="M123" s="1"/>
      <c r="N123" s="1"/>
      <c r="O123" s="2">
        <f>IFERROR(__xludf.DUMMYFUNCTION("""COMPUTED_VALUE"""),9630222.0)</f>
        <v>9630222</v>
      </c>
      <c r="P123" s="1" t="str">
        <f>IFERROR(__xludf.DUMMYFUNCTION("""COMPUTED_VALUE"""),"Asia")</f>
        <v>Asia</v>
      </c>
      <c r="Q123" s="1">
        <f>IFERROR(__xludf.DUMMYFUNCTION("""COMPUTED_VALUE"""),767.0)</f>
        <v>767</v>
      </c>
      <c r="R123" s="3">
        <f>IFERROR(__xludf.DUMMYFUNCTION("""COMPUTED_VALUE"""),109434.0)</f>
        <v>109434</v>
      </c>
      <c r="S123" s="1"/>
    </row>
    <row r="124">
      <c r="A124" s="1">
        <f>IFERROR(__xludf.DUMMYFUNCTION("""COMPUTED_VALUE"""),115.0)</f>
        <v>115</v>
      </c>
      <c r="B124" s="1" t="str">
        <f>IFERROR(__xludf.DUMMYFUNCTION("""COMPUTED_VALUE"""),"Botswana")</f>
        <v>Botswana</v>
      </c>
      <c r="C124" s="3">
        <f>IFERROR(__xludf.DUMMYFUNCTION("""COMPUTED_VALUE"""),12058.0)</f>
        <v>12058</v>
      </c>
      <c r="D124" s="1"/>
      <c r="E124" s="1">
        <f>IFERROR(__xludf.DUMMYFUNCTION("""COMPUTED_VALUE"""),36.0)</f>
        <v>36</v>
      </c>
      <c r="F124" s="1"/>
      <c r="G124" s="3">
        <f>IFERROR(__xludf.DUMMYFUNCTION("""COMPUTED_VALUE"""),9400.0)</f>
        <v>9400</v>
      </c>
      <c r="H124" s="1"/>
      <c r="I124" s="3">
        <f>IFERROR(__xludf.DUMMYFUNCTION("""COMPUTED_VALUE"""),2622.0)</f>
        <v>2622</v>
      </c>
      <c r="J124" s="1">
        <f>IFERROR(__xludf.DUMMYFUNCTION("""COMPUTED_VALUE"""),1.0)</f>
        <v>1</v>
      </c>
      <c r="K124" s="3">
        <f>IFERROR(__xludf.DUMMYFUNCTION("""COMPUTED_VALUE"""),5083.0)</f>
        <v>5083</v>
      </c>
      <c r="L124" s="1">
        <f>IFERROR(__xludf.DUMMYFUNCTION("""COMPUTED_VALUE"""),15.0)</f>
        <v>15</v>
      </c>
      <c r="M124" s="3">
        <f>IFERROR(__xludf.DUMMYFUNCTION("""COMPUTED_VALUE"""),455040.0)</f>
        <v>455040</v>
      </c>
      <c r="N124" s="3">
        <f>IFERROR(__xludf.DUMMYFUNCTION("""COMPUTED_VALUE"""),191823.0)</f>
        <v>191823</v>
      </c>
      <c r="O124" s="2">
        <f>IFERROR(__xludf.DUMMYFUNCTION("""COMPUTED_VALUE"""),2372192.0)</f>
        <v>2372192</v>
      </c>
      <c r="P124" s="1" t="str">
        <f>IFERROR(__xludf.DUMMYFUNCTION("""COMPUTED_VALUE"""),"Africa")</f>
        <v>Africa</v>
      </c>
      <c r="Q124" s="1">
        <f>IFERROR(__xludf.DUMMYFUNCTION("""COMPUTED_VALUE"""),197.0)</f>
        <v>197</v>
      </c>
      <c r="R124" s="3">
        <f>IFERROR(__xludf.DUMMYFUNCTION("""COMPUTED_VALUE"""),65894.0)</f>
        <v>65894</v>
      </c>
      <c r="S124" s="1">
        <f>IFERROR(__xludf.DUMMYFUNCTION("""COMPUTED_VALUE"""),5.0)</f>
        <v>5</v>
      </c>
    </row>
    <row r="125">
      <c r="A125" s="1">
        <f>IFERROR(__xludf.DUMMYFUNCTION("""COMPUTED_VALUE"""),116.0)</f>
        <v>116</v>
      </c>
      <c r="B125" s="1" t="str">
        <f>IFERROR(__xludf.DUMMYFUNCTION("""COMPUTED_VALUE"""),"French Guiana")</f>
        <v>French Guiana</v>
      </c>
      <c r="C125" s="3">
        <f>IFERROR(__xludf.DUMMYFUNCTION("""COMPUTED_VALUE"""),11513.0)</f>
        <v>11513</v>
      </c>
      <c r="D125" s="1"/>
      <c r="E125" s="1">
        <f>IFERROR(__xludf.DUMMYFUNCTION("""COMPUTED_VALUE"""),71.0)</f>
        <v>71</v>
      </c>
      <c r="F125" s="1"/>
      <c r="G125" s="3">
        <f>IFERROR(__xludf.DUMMYFUNCTION("""COMPUTED_VALUE"""),9995.0)</f>
        <v>9995</v>
      </c>
      <c r="H125" s="1"/>
      <c r="I125" s="3">
        <f>IFERROR(__xludf.DUMMYFUNCTION("""COMPUTED_VALUE"""),1447.0)</f>
        <v>1447</v>
      </c>
      <c r="J125" s="1"/>
      <c r="K125" s="3">
        <f>IFERROR(__xludf.DUMMYFUNCTION("""COMPUTED_VALUE"""),38120.0)</f>
        <v>38120</v>
      </c>
      <c r="L125" s="1">
        <f>IFERROR(__xludf.DUMMYFUNCTION("""COMPUTED_VALUE"""),235.0)</f>
        <v>235</v>
      </c>
      <c r="M125" s="3">
        <f>IFERROR(__xludf.DUMMYFUNCTION("""COMPUTED_VALUE"""),86348.0)</f>
        <v>86348</v>
      </c>
      <c r="N125" s="3">
        <f>IFERROR(__xludf.DUMMYFUNCTION("""COMPUTED_VALUE"""),285905.0)</f>
        <v>285905</v>
      </c>
      <c r="O125" s="2">
        <f>IFERROR(__xludf.DUMMYFUNCTION("""COMPUTED_VALUE"""),302016.0)</f>
        <v>302016</v>
      </c>
      <c r="P125" s="1" t="str">
        <f>IFERROR(__xludf.DUMMYFUNCTION("""COMPUTED_VALUE"""),"South America")</f>
        <v>South America</v>
      </c>
      <c r="Q125" s="1">
        <f>IFERROR(__xludf.DUMMYFUNCTION("""COMPUTED_VALUE"""),26.0)</f>
        <v>26</v>
      </c>
      <c r="R125" s="3">
        <f>IFERROR(__xludf.DUMMYFUNCTION("""COMPUTED_VALUE"""),4254.0)</f>
        <v>4254</v>
      </c>
      <c r="S125" s="1">
        <f>IFERROR(__xludf.DUMMYFUNCTION("""COMPUTED_VALUE"""),3.0)</f>
        <v>3</v>
      </c>
    </row>
    <row r="126">
      <c r="A126" s="1">
        <f>IFERROR(__xludf.DUMMYFUNCTION("""COMPUTED_VALUE"""),117.0)</f>
        <v>117</v>
      </c>
      <c r="B126" s="1" t="str">
        <f>IFERROR(__xludf.DUMMYFUNCTION("""COMPUTED_VALUE"""),"Jamaica")</f>
        <v>Jamaica</v>
      </c>
      <c r="C126" s="3">
        <f>IFERROR(__xludf.DUMMYFUNCTION("""COMPUTED_VALUE"""),11369.0)</f>
        <v>11369</v>
      </c>
      <c r="D126" s="1" t="str">
        <f>IFERROR(__xludf.DUMMYFUNCTION("""COMPUTED_VALUE"""),"+98")</f>
        <v>+98</v>
      </c>
      <c r="E126" s="1">
        <f>IFERROR(__xludf.DUMMYFUNCTION("""COMPUTED_VALUE"""),266.0)</f>
        <v>266</v>
      </c>
      <c r="F126" s="1" t="str">
        <f>IFERROR(__xludf.DUMMYFUNCTION("""COMPUTED_VALUE"""),"+1")</f>
        <v>+1</v>
      </c>
      <c r="G126" s="3">
        <f>IFERROR(__xludf.DUMMYFUNCTION("""COMPUTED_VALUE"""),7390.0)</f>
        <v>7390</v>
      </c>
      <c r="H126" s="1" t="str">
        <f>IFERROR(__xludf.DUMMYFUNCTION("""COMPUTED_VALUE"""),"+98")</f>
        <v>+98</v>
      </c>
      <c r="I126" s="3">
        <f>IFERROR(__xludf.DUMMYFUNCTION("""COMPUTED_VALUE"""),3713.0)</f>
        <v>3713</v>
      </c>
      <c r="J126" s="1">
        <f>IFERROR(__xludf.DUMMYFUNCTION("""COMPUTED_VALUE"""),7.0)</f>
        <v>7</v>
      </c>
      <c r="K126" s="3">
        <f>IFERROR(__xludf.DUMMYFUNCTION("""COMPUTED_VALUE"""),3832.0)</f>
        <v>3832</v>
      </c>
      <c r="L126" s="1">
        <f>IFERROR(__xludf.DUMMYFUNCTION("""COMPUTED_VALUE"""),90.0)</f>
        <v>90</v>
      </c>
      <c r="M126" s="3">
        <f>IFERROR(__xludf.DUMMYFUNCTION("""COMPUTED_VALUE"""),122186.0)</f>
        <v>122186</v>
      </c>
      <c r="N126" s="3">
        <f>IFERROR(__xludf.DUMMYFUNCTION("""COMPUTED_VALUE"""),41184.0)</f>
        <v>41184</v>
      </c>
      <c r="O126" s="2">
        <f>IFERROR(__xludf.DUMMYFUNCTION("""COMPUTED_VALUE"""),2966847.0)</f>
        <v>2966847</v>
      </c>
      <c r="P126" s="1" t="str">
        <f>IFERROR(__xludf.DUMMYFUNCTION("""COMPUTED_VALUE"""),"North America")</f>
        <v>North America</v>
      </c>
      <c r="Q126" s="1">
        <f>IFERROR(__xludf.DUMMYFUNCTION("""COMPUTED_VALUE"""),261.0)</f>
        <v>261</v>
      </c>
      <c r="R126" s="3">
        <f>IFERROR(__xludf.DUMMYFUNCTION("""COMPUTED_VALUE"""),11154.0)</f>
        <v>11154</v>
      </c>
      <c r="S126" s="1">
        <f>IFERROR(__xludf.DUMMYFUNCTION("""COMPUTED_VALUE"""),24.0)</f>
        <v>24</v>
      </c>
    </row>
    <row r="127">
      <c r="A127" s="1">
        <f>IFERROR(__xludf.DUMMYFUNCTION("""COMPUTED_VALUE"""),118.0)</f>
        <v>118</v>
      </c>
      <c r="B127" s="1" t="str">
        <f>IFERROR(__xludf.DUMMYFUNCTION("""COMPUTED_VALUE"""),"Cabo Verde")</f>
        <v>Cabo Verde</v>
      </c>
      <c r="C127" s="3">
        <f>IFERROR(__xludf.DUMMYFUNCTION("""COMPUTED_VALUE"""),11118.0)</f>
        <v>11118</v>
      </c>
      <c r="D127" s="1"/>
      <c r="E127" s="1">
        <f>IFERROR(__xludf.DUMMYFUNCTION("""COMPUTED_VALUE"""),109.0)</f>
        <v>109</v>
      </c>
      <c r="F127" s="1"/>
      <c r="G127" s="3">
        <f>IFERROR(__xludf.DUMMYFUNCTION("""COMPUTED_VALUE"""),10712.0)</f>
        <v>10712</v>
      </c>
      <c r="H127" s="1"/>
      <c r="I127" s="1">
        <f>IFERROR(__xludf.DUMMYFUNCTION("""COMPUTED_VALUE"""),297.0)</f>
        <v>297</v>
      </c>
      <c r="J127" s="1">
        <f>IFERROR(__xludf.DUMMYFUNCTION("""COMPUTED_VALUE"""),23.0)</f>
        <v>23</v>
      </c>
      <c r="K127" s="3">
        <f>IFERROR(__xludf.DUMMYFUNCTION("""COMPUTED_VALUE"""),19902.0)</f>
        <v>19902</v>
      </c>
      <c r="L127" s="1">
        <f>IFERROR(__xludf.DUMMYFUNCTION("""COMPUTED_VALUE"""),195.0)</f>
        <v>195</v>
      </c>
      <c r="M127" s="3">
        <f>IFERROR(__xludf.DUMMYFUNCTION("""COMPUTED_VALUE"""),106093.0)</f>
        <v>106093</v>
      </c>
      <c r="N127" s="3">
        <f>IFERROR(__xludf.DUMMYFUNCTION("""COMPUTED_VALUE"""),189918.0)</f>
        <v>189918</v>
      </c>
      <c r="O127" s="2">
        <f>IFERROR(__xludf.DUMMYFUNCTION("""COMPUTED_VALUE"""),558625.0)</f>
        <v>558625</v>
      </c>
      <c r="P127" s="1" t="str">
        <f>IFERROR(__xludf.DUMMYFUNCTION("""COMPUTED_VALUE"""),"Africa")</f>
        <v>Africa</v>
      </c>
      <c r="Q127" s="1">
        <f>IFERROR(__xludf.DUMMYFUNCTION("""COMPUTED_VALUE"""),50.0)</f>
        <v>50</v>
      </c>
      <c r="R127" s="3">
        <f>IFERROR(__xludf.DUMMYFUNCTION("""COMPUTED_VALUE"""),5125.0)</f>
        <v>5125</v>
      </c>
      <c r="S127" s="1">
        <f>IFERROR(__xludf.DUMMYFUNCTION("""COMPUTED_VALUE"""),5.0)</f>
        <v>5</v>
      </c>
    </row>
    <row r="128">
      <c r="A128" s="1">
        <f>IFERROR(__xludf.DUMMYFUNCTION("""COMPUTED_VALUE"""),119.0)</f>
        <v>119</v>
      </c>
      <c r="B128" s="1" t="str">
        <f>IFERROR(__xludf.DUMMYFUNCTION("""COMPUTED_VALUE"""),"Zimbabwe")</f>
        <v>Zimbabwe</v>
      </c>
      <c r="C128" s="3">
        <f>IFERROR(__xludf.DUMMYFUNCTION("""COMPUTED_VALUE"""),11007.0)</f>
        <v>11007</v>
      </c>
      <c r="D128" s="1" t="str">
        <f>IFERROR(__xludf.DUMMYFUNCTION("""COMPUTED_VALUE"""),"+95")</f>
        <v>+95</v>
      </c>
      <c r="E128" s="1">
        <f>IFERROR(__xludf.DUMMYFUNCTION("""COMPUTED_VALUE"""),304.0)</f>
        <v>304</v>
      </c>
      <c r="F128" s="1" t="str">
        <f>IFERROR(__xludf.DUMMYFUNCTION("""COMPUTED_VALUE"""),"+1")</f>
        <v>+1</v>
      </c>
      <c r="G128" s="3">
        <f>IFERROR(__xludf.DUMMYFUNCTION("""COMPUTED_VALUE"""),9147.0)</f>
        <v>9147</v>
      </c>
      <c r="H128" s="1" t="str">
        <f>IFERROR(__xludf.DUMMYFUNCTION("""COMPUTED_VALUE"""),"+85")</f>
        <v>+85</v>
      </c>
      <c r="I128" s="3">
        <f>IFERROR(__xludf.DUMMYFUNCTION("""COMPUTED_VALUE"""),1556.0)</f>
        <v>1556</v>
      </c>
      <c r="J128" s="1"/>
      <c r="K128" s="1">
        <f>IFERROR(__xludf.DUMMYFUNCTION("""COMPUTED_VALUE"""),736.0)</f>
        <v>736</v>
      </c>
      <c r="L128" s="1">
        <f>IFERROR(__xludf.DUMMYFUNCTION("""COMPUTED_VALUE"""),20.0)</f>
        <v>20</v>
      </c>
      <c r="M128" s="3">
        <f>IFERROR(__xludf.DUMMYFUNCTION("""COMPUTED_VALUE"""),187667.0)</f>
        <v>187667</v>
      </c>
      <c r="N128" s="3">
        <f>IFERROR(__xludf.DUMMYFUNCTION("""COMPUTED_VALUE"""),12547.0)</f>
        <v>12547</v>
      </c>
      <c r="O128" s="2">
        <f>IFERROR(__xludf.DUMMYFUNCTION("""COMPUTED_VALUE"""),1.4957137E7)</f>
        <v>14957137</v>
      </c>
      <c r="P128" s="1" t="str">
        <f>IFERROR(__xludf.DUMMYFUNCTION("""COMPUTED_VALUE"""),"Africa")</f>
        <v>Africa</v>
      </c>
      <c r="Q128" s="3">
        <f>IFERROR(__xludf.DUMMYFUNCTION("""COMPUTED_VALUE"""),1359.0)</f>
        <v>1359</v>
      </c>
      <c r="R128" s="3">
        <f>IFERROR(__xludf.DUMMYFUNCTION("""COMPUTED_VALUE"""),49201.0)</f>
        <v>49201</v>
      </c>
      <c r="S128" s="1">
        <f>IFERROR(__xludf.DUMMYFUNCTION("""COMPUTED_VALUE"""),80.0)</f>
        <v>80</v>
      </c>
    </row>
    <row r="129">
      <c r="A129" s="1">
        <f>IFERROR(__xludf.DUMMYFUNCTION("""COMPUTED_VALUE"""),120.0)</f>
        <v>120</v>
      </c>
      <c r="B129" s="1" t="str">
        <f>IFERROR(__xludf.DUMMYFUNCTION("""COMPUTED_VALUE"""),"Malta")</f>
        <v>Malta</v>
      </c>
      <c r="C129" s="3">
        <f>IFERROR(__xludf.DUMMYFUNCTION("""COMPUTED_VALUE"""),10778.0)</f>
        <v>10778</v>
      </c>
      <c r="D129" s="1" t="str">
        <f>IFERROR(__xludf.DUMMYFUNCTION("""COMPUTED_VALUE"""),"+79")</f>
        <v>+79</v>
      </c>
      <c r="E129" s="1">
        <f>IFERROR(__xludf.DUMMYFUNCTION("""COMPUTED_VALUE"""),160.0)</f>
        <v>160</v>
      </c>
      <c r="F129" s="1" t="str">
        <f>IFERROR(__xludf.DUMMYFUNCTION("""COMPUTED_VALUE"""),"+3")</f>
        <v>+3</v>
      </c>
      <c r="G129" s="3">
        <f>IFERROR(__xludf.DUMMYFUNCTION("""COMPUTED_VALUE"""),8720.0)</f>
        <v>8720</v>
      </c>
      <c r="H129" s="1" t="str">
        <f>IFERROR(__xludf.DUMMYFUNCTION("""COMPUTED_VALUE"""),"+79")</f>
        <v>+79</v>
      </c>
      <c r="I129" s="3">
        <f>IFERROR(__xludf.DUMMYFUNCTION("""COMPUTED_VALUE"""),1898.0)</f>
        <v>1898</v>
      </c>
      <c r="J129" s="1">
        <f>IFERROR(__xludf.DUMMYFUNCTION("""COMPUTED_VALUE"""),18.0)</f>
        <v>18</v>
      </c>
      <c r="K129" s="3">
        <f>IFERROR(__xludf.DUMMYFUNCTION("""COMPUTED_VALUE"""),24381.0)</f>
        <v>24381</v>
      </c>
      <c r="L129" s="1">
        <f>IFERROR(__xludf.DUMMYFUNCTION("""COMPUTED_VALUE"""),362.0)</f>
        <v>362</v>
      </c>
      <c r="M129" s="3">
        <f>IFERROR(__xludf.DUMMYFUNCTION("""COMPUTED_VALUE"""),453271.0)</f>
        <v>453271</v>
      </c>
      <c r="N129" s="3">
        <f>IFERROR(__xludf.DUMMYFUNCTION("""COMPUTED_VALUE"""),1025361.0)</f>
        <v>1025361</v>
      </c>
      <c r="O129" s="2">
        <f>IFERROR(__xludf.DUMMYFUNCTION("""COMPUTED_VALUE"""),442060.0)</f>
        <v>442060</v>
      </c>
      <c r="P129" s="1" t="str">
        <f>IFERROR(__xludf.DUMMYFUNCTION("""COMPUTED_VALUE"""),"Europe")</f>
        <v>Europe</v>
      </c>
      <c r="Q129" s="1">
        <f>IFERROR(__xludf.DUMMYFUNCTION("""COMPUTED_VALUE"""),41.0)</f>
        <v>41</v>
      </c>
      <c r="R129" s="3">
        <f>IFERROR(__xludf.DUMMYFUNCTION("""COMPUTED_VALUE"""),2763.0)</f>
        <v>2763</v>
      </c>
      <c r="S129" s="1">
        <f>IFERROR(__xludf.DUMMYFUNCTION("""COMPUTED_VALUE"""),1.0)</f>
        <v>1</v>
      </c>
    </row>
    <row r="130">
      <c r="A130" s="1">
        <f>IFERROR(__xludf.DUMMYFUNCTION("""COMPUTED_VALUE"""),121.0)</f>
        <v>121</v>
      </c>
      <c r="B130" s="1" t="str">
        <f>IFERROR(__xludf.DUMMYFUNCTION("""COMPUTED_VALUE"""),"Mauritania")</f>
        <v>Mauritania</v>
      </c>
      <c r="C130" s="3">
        <f>IFERROR(__xludf.DUMMYFUNCTION("""COMPUTED_VALUE"""),10105.0)</f>
        <v>10105</v>
      </c>
      <c r="D130" s="1" t="str">
        <f>IFERROR(__xludf.DUMMYFUNCTION("""COMPUTED_VALUE"""),"+229")</f>
        <v>+229</v>
      </c>
      <c r="E130" s="1">
        <f>IFERROR(__xludf.DUMMYFUNCTION("""COMPUTED_VALUE"""),202.0)</f>
        <v>202</v>
      </c>
      <c r="F130" s="1" t="str">
        <f>IFERROR(__xludf.DUMMYFUNCTION("""COMPUTED_VALUE"""),"+5")</f>
        <v>+5</v>
      </c>
      <c r="G130" s="3">
        <f>IFERROR(__xludf.DUMMYFUNCTION("""COMPUTED_VALUE"""),7925.0)</f>
        <v>7925</v>
      </c>
      <c r="H130" s="1" t="str">
        <f>IFERROR(__xludf.DUMMYFUNCTION("""COMPUTED_VALUE"""),"+21")</f>
        <v>+21</v>
      </c>
      <c r="I130" s="3">
        <f>IFERROR(__xludf.DUMMYFUNCTION("""COMPUTED_VALUE"""),1978.0)</f>
        <v>1978</v>
      </c>
      <c r="J130" s="1">
        <f>IFERROR(__xludf.DUMMYFUNCTION("""COMPUTED_VALUE"""),37.0)</f>
        <v>37</v>
      </c>
      <c r="K130" s="3">
        <f>IFERROR(__xludf.DUMMYFUNCTION("""COMPUTED_VALUE"""),2149.0)</f>
        <v>2149</v>
      </c>
      <c r="L130" s="1">
        <f>IFERROR(__xludf.DUMMYFUNCTION("""COMPUTED_VALUE"""),43.0)</f>
        <v>43</v>
      </c>
      <c r="M130" s="3">
        <f>IFERROR(__xludf.DUMMYFUNCTION("""COMPUTED_VALUE"""),106996.0)</f>
        <v>106996</v>
      </c>
      <c r="N130" s="3">
        <f>IFERROR(__xludf.DUMMYFUNCTION("""COMPUTED_VALUE"""),22754.0)</f>
        <v>22754</v>
      </c>
      <c r="O130" s="2">
        <f>IFERROR(__xludf.DUMMYFUNCTION("""COMPUTED_VALUE"""),4702276.0)</f>
        <v>4702276</v>
      </c>
      <c r="P130" s="1" t="str">
        <f>IFERROR(__xludf.DUMMYFUNCTION("""COMPUTED_VALUE"""),"Africa")</f>
        <v>Africa</v>
      </c>
      <c r="Q130" s="1">
        <f>IFERROR(__xludf.DUMMYFUNCTION("""COMPUTED_VALUE"""),465.0)</f>
        <v>465</v>
      </c>
      <c r="R130" s="3">
        <f>IFERROR(__xludf.DUMMYFUNCTION("""COMPUTED_VALUE"""),23279.0)</f>
        <v>23279</v>
      </c>
      <c r="S130" s="1">
        <f>IFERROR(__xludf.DUMMYFUNCTION("""COMPUTED_VALUE"""),44.0)</f>
        <v>44</v>
      </c>
    </row>
    <row r="131">
      <c r="A131" s="1">
        <f>IFERROR(__xludf.DUMMYFUNCTION("""COMPUTED_VALUE"""),122.0)</f>
        <v>122</v>
      </c>
      <c r="B131" s="1" t="str">
        <f>IFERROR(__xludf.DUMMYFUNCTION("""COMPUTED_VALUE"""),"Haiti")</f>
        <v>Haiti</v>
      </c>
      <c r="C131" s="3">
        <f>IFERROR(__xludf.DUMMYFUNCTION("""COMPUTED_VALUE"""),9399.0)</f>
        <v>9399</v>
      </c>
      <c r="D131" s="1"/>
      <c r="E131" s="1">
        <f>IFERROR(__xludf.DUMMYFUNCTION("""COMPUTED_VALUE"""),233.0)</f>
        <v>233</v>
      </c>
      <c r="F131" s="1"/>
      <c r="G131" s="3">
        <f>IFERROR(__xludf.DUMMYFUNCTION("""COMPUTED_VALUE"""),8148.0)</f>
        <v>8148</v>
      </c>
      <c r="H131" s="1"/>
      <c r="I131" s="3">
        <f>IFERROR(__xludf.DUMMYFUNCTION("""COMPUTED_VALUE"""),1018.0)</f>
        <v>1018</v>
      </c>
      <c r="J131" s="1"/>
      <c r="K131" s="1">
        <f>IFERROR(__xludf.DUMMYFUNCTION("""COMPUTED_VALUE"""),820.0)</f>
        <v>820</v>
      </c>
      <c r="L131" s="1">
        <f>IFERROR(__xludf.DUMMYFUNCTION("""COMPUTED_VALUE"""),20.0)</f>
        <v>20</v>
      </c>
      <c r="M131" s="3">
        <f>IFERROR(__xludf.DUMMYFUNCTION("""COMPUTED_VALUE"""),34734.0)</f>
        <v>34734</v>
      </c>
      <c r="N131" s="3">
        <f>IFERROR(__xludf.DUMMYFUNCTION("""COMPUTED_VALUE"""),3030.0)</f>
        <v>3030</v>
      </c>
      <c r="O131" s="2">
        <f>IFERROR(__xludf.DUMMYFUNCTION("""COMPUTED_VALUE"""),1.1463188E7)</f>
        <v>11463188</v>
      </c>
      <c r="P131" s="1" t="str">
        <f>IFERROR(__xludf.DUMMYFUNCTION("""COMPUTED_VALUE"""),"North America")</f>
        <v>North America</v>
      </c>
      <c r="Q131" s="3">
        <f>IFERROR(__xludf.DUMMYFUNCTION("""COMPUTED_VALUE"""),1220.0)</f>
        <v>1220</v>
      </c>
      <c r="R131" s="3">
        <f>IFERROR(__xludf.DUMMYFUNCTION("""COMPUTED_VALUE"""),49198.0)</f>
        <v>49198</v>
      </c>
      <c r="S131" s="1">
        <f>IFERROR(__xludf.DUMMYFUNCTION("""COMPUTED_VALUE"""),330.0)</f>
        <v>330</v>
      </c>
    </row>
    <row r="132">
      <c r="A132" s="1">
        <f>IFERROR(__xludf.DUMMYFUNCTION("""COMPUTED_VALUE"""),123.0)</f>
        <v>123</v>
      </c>
      <c r="B132" s="1" t="str">
        <f>IFERROR(__xludf.DUMMYFUNCTION("""COMPUTED_VALUE"""),"Gabon")</f>
        <v>Gabon</v>
      </c>
      <c r="C132" s="3">
        <f>IFERROR(__xludf.DUMMYFUNCTION("""COMPUTED_VALUE"""),9300.0)</f>
        <v>9300</v>
      </c>
      <c r="D132" s="1" t="str">
        <f>IFERROR(__xludf.DUMMYFUNCTION("""COMPUTED_VALUE"""),"+22")</f>
        <v>+22</v>
      </c>
      <c r="E132" s="1">
        <f>IFERROR(__xludf.DUMMYFUNCTION("""COMPUTED_VALUE"""),62.0)</f>
        <v>62</v>
      </c>
      <c r="F132" s="1" t="str">
        <f>IFERROR(__xludf.DUMMYFUNCTION("""COMPUTED_VALUE"""),"+2")</f>
        <v>+2</v>
      </c>
      <c r="G132" s="3">
        <f>IFERROR(__xludf.DUMMYFUNCTION("""COMPUTED_VALUE"""),9155.0)</f>
        <v>9155</v>
      </c>
      <c r="H132" s="1" t="str">
        <f>IFERROR(__xludf.DUMMYFUNCTION("""COMPUTED_VALUE"""),"+23")</f>
        <v>+23</v>
      </c>
      <c r="I132" s="1">
        <f>IFERROR(__xludf.DUMMYFUNCTION("""COMPUTED_VALUE"""),83.0)</f>
        <v>83</v>
      </c>
      <c r="J132" s="1">
        <f>IFERROR(__xludf.DUMMYFUNCTION("""COMPUTED_VALUE"""),9.0)</f>
        <v>9</v>
      </c>
      <c r="K132" s="3">
        <f>IFERROR(__xludf.DUMMYFUNCTION("""COMPUTED_VALUE"""),4136.0)</f>
        <v>4136</v>
      </c>
      <c r="L132" s="1">
        <f>IFERROR(__xludf.DUMMYFUNCTION("""COMPUTED_VALUE"""),28.0)</f>
        <v>28</v>
      </c>
      <c r="M132" s="3">
        <f>IFERROR(__xludf.DUMMYFUNCTION("""COMPUTED_VALUE"""),322361.0)</f>
        <v>322361</v>
      </c>
      <c r="N132" s="3">
        <f>IFERROR(__xludf.DUMMYFUNCTION("""COMPUTED_VALUE"""),143373.0)</f>
        <v>143373</v>
      </c>
      <c r="O132" s="2">
        <f>IFERROR(__xludf.DUMMYFUNCTION("""COMPUTED_VALUE"""),2248405.0)</f>
        <v>2248405</v>
      </c>
      <c r="P132" s="1" t="str">
        <f>IFERROR(__xludf.DUMMYFUNCTION("""COMPUTED_VALUE"""),"Africa")</f>
        <v>Africa</v>
      </c>
      <c r="Q132" s="1">
        <f>IFERROR(__xludf.DUMMYFUNCTION("""COMPUTED_VALUE"""),242.0)</f>
        <v>242</v>
      </c>
      <c r="R132" s="3">
        <f>IFERROR(__xludf.DUMMYFUNCTION("""COMPUTED_VALUE"""),36265.0)</f>
        <v>36265</v>
      </c>
      <c r="S132" s="1">
        <f>IFERROR(__xludf.DUMMYFUNCTION("""COMPUTED_VALUE"""),7.0)</f>
        <v>7</v>
      </c>
    </row>
    <row r="133">
      <c r="A133" s="1">
        <f>IFERROR(__xludf.DUMMYFUNCTION("""COMPUTED_VALUE"""),124.0)</f>
        <v>124</v>
      </c>
      <c r="B133" s="1" t="str">
        <f>IFERROR(__xludf.DUMMYFUNCTION("""COMPUTED_VALUE"""),"Cuba")</f>
        <v>Cuba</v>
      </c>
      <c r="C133" s="3">
        <f>IFERROR(__xludf.DUMMYFUNCTION("""COMPUTED_VALUE"""),9106.0)</f>
        <v>9106</v>
      </c>
      <c r="D133" s="1" t="str">
        <f>IFERROR(__xludf.DUMMYFUNCTION("""COMPUTED_VALUE"""),"+124")</f>
        <v>+124</v>
      </c>
      <c r="E133" s="1">
        <f>IFERROR(__xludf.DUMMYFUNCTION("""COMPUTED_VALUE"""),136.0)</f>
        <v>136</v>
      </c>
      <c r="F133" s="1"/>
      <c r="G133" s="3">
        <f>IFERROR(__xludf.DUMMYFUNCTION("""COMPUTED_VALUE"""),8137.0)</f>
        <v>8137</v>
      </c>
      <c r="H133" s="1" t="str">
        <f>IFERROR(__xludf.DUMMYFUNCTION("""COMPUTED_VALUE"""),"+90")</f>
        <v>+90</v>
      </c>
      <c r="I133" s="1">
        <f>IFERROR(__xludf.DUMMYFUNCTION("""COMPUTED_VALUE"""),833.0)</f>
        <v>833</v>
      </c>
      <c r="J133" s="1">
        <f>IFERROR(__xludf.DUMMYFUNCTION("""COMPUTED_VALUE"""),11.0)</f>
        <v>11</v>
      </c>
      <c r="K133" s="1">
        <f>IFERROR(__xludf.DUMMYFUNCTION("""COMPUTED_VALUE"""),804.0)</f>
        <v>804</v>
      </c>
      <c r="L133" s="1">
        <f>IFERROR(__xludf.DUMMYFUNCTION("""COMPUTED_VALUE"""),12.0)</f>
        <v>12</v>
      </c>
      <c r="M133" s="3">
        <f>IFERROR(__xludf.DUMMYFUNCTION("""COMPUTED_VALUE"""),1197963.0)</f>
        <v>1197963</v>
      </c>
      <c r="N133" s="3">
        <f>IFERROR(__xludf.DUMMYFUNCTION("""COMPUTED_VALUE"""),105794.0)</f>
        <v>105794</v>
      </c>
      <c r="O133" s="2">
        <f>IFERROR(__xludf.DUMMYFUNCTION("""COMPUTED_VALUE"""),1.1323565E7)</f>
        <v>11323565</v>
      </c>
      <c r="P133" s="1" t="str">
        <f>IFERROR(__xludf.DUMMYFUNCTION("""COMPUTED_VALUE"""),"North America")</f>
        <v>North America</v>
      </c>
      <c r="Q133" s="3">
        <f>IFERROR(__xludf.DUMMYFUNCTION("""COMPUTED_VALUE"""),1244.0)</f>
        <v>1244</v>
      </c>
      <c r="R133" s="3">
        <f>IFERROR(__xludf.DUMMYFUNCTION("""COMPUTED_VALUE"""),83262.0)</f>
        <v>83262</v>
      </c>
      <c r="S133" s="1">
        <f>IFERROR(__xludf.DUMMYFUNCTION("""COMPUTED_VALUE"""),9.0)</f>
        <v>9</v>
      </c>
    </row>
    <row r="134">
      <c r="A134" s="1">
        <f>IFERROR(__xludf.DUMMYFUNCTION("""COMPUTED_VALUE"""),125.0)</f>
        <v>125</v>
      </c>
      <c r="B134" s="1" t="str">
        <f>IFERROR(__xludf.DUMMYFUNCTION("""COMPUTED_VALUE"""),"Syria")</f>
        <v>Syria</v>
      </c>
      <c r="C134" s="3">
        <f>IFERROR(__xludf.DUMMYFUNCTION("""COMPUTED_VALUE"""),8675.0)</f>
        <v>8675</v>
      </c>
      <c r="D134" s="1" t="str">
        <f>IFERROR(__xludf.DUMMYFUNCTION("""COMPUTED_VALUE"""),"+95")</f>
        <v>+95</v>
      </c>
      <c r="E134" s="1">
        <f>IFERROR(__xludf.DUMMYFUNCTION("""COMPUTED_VALUE"""),465.0)</f>
        <v>465</v>
      </c>
      <c r="F134" s="1" t="str">
        <f>IFERROR(__xludf.DUMMYFUNCTION("""COMPUTED_VALUE"""),"+7")</f>
        <v>+7</v>
      </c>
      <c r="G134" s="3">
        <f>IFERROR(__xludf.DUMMYFUNCTION("""COMPUTED_VALUE"""),4114.0)</f>
        <v>4114</v>
      </c>
      <c r="H134" s="1" t="str">
        <f>IFERROR(__xludf.DUMMYFUNCTION("""COMPUTED_VALUE"""),"+55")</f>
        <v>+55</v>
      </c>
      <c r="I134" s="3">
        <f>IFERROR(__xludf.DUMMYFUNCTION("""COMPUTED_VALUE"""),4096.0)</f>
        <v>4096</v>
      </c>
      <c r="J134" s="1"/>
      <c r="K134" s="1">
        <f>IFERROR(__xludf.DUMMYFUNCTION("""COMPUTED_VALUE"""),491.0)</f>
        <v>491</v>
      </c>
      <c r="L134" s="1">
        <f>IFERROR(__xludf.DUMMYFUNCTION("""COMPUTED_VALUE"""),26.0)</f>
        <v>26</v>
      </c>
      <c r="M134" s="1"/>
      <c r="N134" s="1"/>
      <c r="O134" s="2">
        <f>IFERROR(__xludf.DUMMYFUNCTION("""COMPUTED_VALUE"""),1.7684051E7)</f>
        <v>17684051</v>
      </c>
      <c r="P134" s="1" t="str">
        <f>IFERROR(__xludf.DUMMYFUNCTION("""COMPUTED_VALUE"""),"Asia")</f>
        <v>Asia</v>
      </c>
      <c r="Q134" s="3">
        <f>IFERROR(__xludf.DUMMYFUNCTION("""COMPUTED_VALUE"""),2039.0)</f>
        <v>2039</v>
      </c>
      <c r="R134" s="3">
        <f>IFERROR(__xludf.DUMMYFUNCTION("""COMPUTED_VALUE"""),38030.0)</f>
        <v>38030</v>
      </c>
      <c r="S134" s="1"/>
    </row>
    <row r="135">
      <c r="A135" s="1">
        <f>IFERROR(__xludf.DUMMYFUNCTION("""COMPUTED_VALUE"""),126.0)</f>
        <v>126</v>
      </c>
      <c r="B135" s="1" t="str">
        <f>IFERROR(__xludf.DUMMYFUNCTION("""COMPUTED_VALUE"""),"Guadeloupe")</f>
        <v>Guadeloupe</v>
      </c>
      <c r="C135" s="3">
        <f>IFERROR(__xludf.DUMMYFUNCTION("""COMPUTED_VALUE"""),8472.0)</f>
        <v>8472</v>
      </c>
      <c r="D135" s="1"/>
      <c r="E135" s="1">
        <f>IFERROR(__xludf.DUMMYFUNCTION("""COMPUTED_VALUE"""),151.0)</f>
        <v>151</v>
      </c>
      <c r="F135" s="1"/>
      <c r="G135" s="3">
        <f>IFERROR(__xludf.DUMMYFUNCTION("""COMPUTED_VALUE"""),2242.0)</f>
        <v>2242</v>
      </c>
      <c r="H135" s="1"/>
      <c r="I135" s="3">
        <f>IFERROR(__xludf.DUMMYFUNCTION("""COMPUTED_VALUE"""),6079.0)</f>
        <v>6079</v>
      </c>
      <c r="J135" s="1">
        <f>IFERROR(__xludf.DUMMYFUNCTION("""COMPUTED_VALUE"""),7.0)</f>
        <v>7</v>
      </c>
      <c r="K135" s="3">
        <f>IFERROR(__xludf.DUMMYFUNCTION("""COMPUTED_VALUE"""),21172.0)</f>
        <v>21172</v>
      </c>
      <c r="L135" s="1">
        <f>IFERROR(__xludf.DUMMYFUNCTION("""COMPUTED_VALUE"""),377.0)</f>
        <v>377</v>
      </c>
      <c r="M135" s="3">
        <f>IFERROR(__xludf.DUMMYFUNCTION("""COMPUTED_VALUE"""),78966.0)</f>
        <v>78966</v>
      </c>
      <c r="N135" s="3">
        <f>IFERROR(__xludf.DUMMYFUNCTION("""COMPUTED_VALUE"""),197339.0)</f>
        <v>197339</v>
      </c>
      <c r="O135" s="2">
        <f>IFERROR(__xludf.DUMMYFUNCTION("""COMPUTED_VALUE"""),400154.0)</f>
        <v>400154</v>
      </c>
      <c r="P135" s="1" t="str">
        <f>IFERROR(__xludf.DUMMYFUNCTION("""COMPUTED_VALUE"""),"North America")</f>
        <v>North America</v>
      </c>
      <c r="Q135" s="1">
        <f>IFERROR(__xludf.DUMMYFUNCTION("""COMPUTED_VALUE"""),47.0)</f>
        <v>47</v>
      </c>
      <c r="R135" s="3">
        <f>IFERROR(__xludf.DUMMYFUNCTION("""COMPUTED_VALUE"""),2650.0)</f>
        <v>2650</v>
      </c>
      <c r="S135" s="1">
        <f>IFERROR(__xludf.DUMMYFUNCTION("""COMPUTED_VALUE"""),5.0)</f>
        <v>5</v>
      </c>
    </row>
    <row r="136">
      <c r="A136" s="1">
        <f>IFERROR(__xludf.DUMMYFUNCTION("""COMPUTED_VALUE"""),127.0)</f>
        <v>127</v>
      </c>
      <c r="B136" s="1" t="str">
        <f>IFERROR(__xludf.DUMMYFUNCTION("""COMPUTED_VALUE"""),"Réunion")</f>
        <v>Réunion</v>
      </c>
      <c r="C136" s="3">
        <f>IFERROR(__xludf.DUMMYFUNCTION("""COMPUTED_VALUE"""),8345.0)</f>
        <v>8345</v>
      </c>
      <c r="D136" s="1" t="str">
        <f>IFERROR(__xludf.DUMMYFUNCTION("""COMPUTED_VALUE"""),"+51")</f>
        <v>+51</v>
      </c>
      <c r="E136" s="1">
        <f>IFERROR(__xludf.DUMMYFUNCTION("""COMPUTED_VALUE"""),41.0)</f>
        <v>41</v>
      </c>
      <c r="F136" s="1"/>
      <c r="G136" s="3">
        <f>IFERROR(__xludf.DUMMYFUNCTION("""COMPUTED_VALUE"""),7729.0)</f>
        <v>7729</v>
      </c>
      <c r="H136" s="1"/>
      <c r="I136" s="1">
        <f>IFERROR(__xludf.DUMMYFUNCTION("""COMPUTED_VALUE"""),575.0)</f>
        <v>575</v>
      </c>
      <c r="J136" s="1">
        <f>IFERROR(__xludf.DUMMYFUNCTION("""COMPUTED_VALUE"""),8.0)</f>
        <v>8</v>
      </c>
      <c r="K136" s="3">
        <f>IFERROR(__xludf.DUMMYFUNCTION("""COMPUTED_VALUE"""),9292.0)</f>
        <v>9292</v>
      </c>
      <c r="L136" s="1">
        <f>IFERROR(__xludf.DUMMYFUNCTION("""COMPUTED_VALUE"""),46.0)</f>
        <v>46</v>
      </c>
      <c r="M136" s="3">
        <f>IFERROR(__xludf.DUMMYFUNCTION("""COMPUTED_VALUE"""),48859.0)</f>
        <v>48859</v>
      </c>
      <c r="N136" s="3">
        <f>IFERROR(__xludf.DUMMYFUNCTION("""COMPUTED_VALUE"""),54402.0)</f>
        <v>54402</v>
      </c>
      <c r="O136" s="2">
        <f>IFERROR(__xludf.DUMMYFUNCTION("""COMPUTED_VALUE"""),898113.0)</f>
        <v>898113</v>
      </c>
      <c r="P136" s="1" t="str">
        <f>IFERROR(__xludf.DUMMYFUNCTION("""COMPUTED_VALUE"""),"Africa")</f>
        <v>Africa</v>
      </c>
      <c r="Q136" s="1">
        <f>IFERROR(__xludf.DUMMYFUNCTION("""COMPUTED_VALUE"""),108.0)</f>
        <v>108</v>
      </c>
      <c r="R136" s="3">
        <f>IFERROR(__xludf.DUMMYFUNCTION("""COMPUTED_VALUE"""),21905.0)</f>
        <v>21905</v>
      </c>
      <c r="S136" s="1">
        <f>IFERROR(__xludf.DUMMYFUNCTION("""COMPUTED_VALUE"""),18.0)</f>
        <v>18</v>
      </c>
    </row>
    <row r="137">
      <c r="A137" s="1">
        <f>IFERROR(__xludf.DUMMYFUNCTION("""COMPUTED_VALUE"""),128.0)</f>
        <v>128</v>
      </c>
      <c r="B137" s="1" t="str">
        <f>IFERROR(__xludf.DUMMYFUNCTION("""COMPUTED_VALUE"""),"Belize")</f>
        <v>Belize</v>
      </c>
      <c r="C137" s="3">
        <f>IFERROR(__xludf.DUMMYFUNCTION("""COMPUTED_VALUE"""),8013.0)</f>
        <v>8013</v>
      </c>
      <c r="D137" s="1"/>
      <c r="E137" s="1">
        <f>IFERROR(__xludf.DUMMYFUNCTION("""COMPUTED_VALUE"""),179.0)</f>
        <v>179</v>
      </c>
      <c r="F137" s="1"/>
      <c r="G137" s="3">
        <f>IFERROR(__xludf.DUMMYFUNCTION("""COMPUTED_VALUE"""),4012.0)</f>
        <v>4012</v>
      </c>
      <c r="H137" s="1"/>
      <c r="I137" s="3">
        <f>IFERROR(__xludf.DUMMYFUNCTION("""COMPUTED_VALUE"""),3822.0)</f>
        <v>3822</v>
      </c>
      <c r="J137" s="1">
        <f>IFERROR(__xludf.DUMMYFUNCTION("""COMPUTED_VALUE"""),4.0)</f>
        <v>4</v>
      </c>
      <c r="K137" s="3">
        <f>IFERROR(__xludf.DUMMYFUNCTION("""COMPUTED_VALUE"""),19995.0)</f>
        <v>19995</v>
      </c>
      <c r="L137" s="1">
        <f>IFERROR(__xludf.DUMMYFUNCTION("""COMPUTED_VALUE"""),447.0)</f>
        <v>447</v>
      </c>
      <c r="M137" s="3">
        <f>IFERROR(__xludf.DUMMYFUNCTION("""COMPUTED_VALUE"""),44349.0)</f>
        <v>44349</v>
      </c>
      <c r="N137" s="3">
        <f>IFERROR(__xludf.DUMMYFUNCTION("""COMPUTED_VALUE"""),110662.0)</f>
        <v>110662</v>
      </c>
      <c r="O137" s="2">
        <f>IFERROR(__xludf.DUMMYFUNCTION("""COMPUTED_VALUE"""),400760.0)</f>
        <v>400760</v>
      </c>
      <c r="P137" s="1" t="str">
        <f>IFERROR(__xludf.DUMMYFUNCTION("""COMPUTED_VALUE"""),"North America")</f>
        <v>North America</v>
      </c>
      <c r="Q137" s="1">
        <f>IFERROR(__xludf.DUMMYFUNCTION("""COMPUTED_VALUE"""),50.0)</f>
        <v>50</v>
      </c>
      <c r="R137" s="3">
        <f>IFERROR(__xludf.DUMMYFUNCTION("""COMPUTED_VALUE"""),2239.0)</f>
        <v>2239</v>
      </c>
      <c r="S137" s="1">
        <f>IFERROR(__xludf.DUMMYFUNCTION("""COMPUTED_VALUE"""),9.0)</f>
        <v>9</v>
      </c>
    </row>
    <row r="138">
      <c r="A138" s="1">
        <f>IFERROR(__xludf.DUMMYFUNCTION("""COMPUTED_VALUE"""),129.0)</f>
        <v>129</v>
      </c>
      <c r="B138" s="1" t="str">
        <f>IFERROR(__xludf.DUMMYFUNCTION("""COMPUTED_VALUE"""),"Uruguay")</f>
        <v>Uruguay</v>
      </c>
      <c r="C138" s="3">
        <f>IFERROR(__xludf.DUMMYFUNCTION("""COMPUTED_VALUE"""),7806.0)</f>
        <v>7806</v>
      </c>
      <c r="D138" s="1"/>
      <c r="E138" s="1">
        <f>IFERROR(__xludf.DUMMYFUNCTION("""COMPUTED_VALUE"""),86.0)</f>
        <v>86</v>
      </c>
      <c r="F138" s="1"/>
      <c r="G138" s="3">
        <f>IFERROR(__xludf.DUMMYFUNCTION("""COMPUTED_VALUE"""),5415.0)</f>
        <v>5415</v>
      </c>
      <c r="H138" s="1"/>
      <c r="I138" s="3">
        <f>IFERROR(__xludf.DUMMYFUNCTION("""COMPUTED_VALUE"""),2305.0)</f>
        <v>2305</v>
      </c>
      <c r="J138" s="1">
        <f>IFERROR(__xludf.DUMMYFUNCTION("""COMPUTED_VALUE"""),26.0)</f>
        <v>26</v>
      </c>
      <c r="K138" s="3">
        <f>IFERROR(__xludf.DUMMYFUNCTION("""COMPUTED_VALUE"""),2244.0)</f>
        <v>2244</v>
      </c>
      <c r="L138" s="1">
        <f>IFERROR(__xludf.DUMMYFUNCTION("""COMPUTED_VALUE"""),25.0)</f>
        <v>25</v>
      </c>
      <c r="M138" s="3">
        <f>IFERROR(__xludf.DUMMYFUNCTION("""COMPUTED_VALUE"""),477921.0)</f>
        <v>477921</v>
      </c>
      <c r="N138" s="3">
        <f>IFERROR(__xludf.DUMMYFUNCTION("""COMPUTED_VALUE"""),137372.0)</f>
        <v>137372</v>
      </c>
      <c r="O138" s="2">
        <f>IFERROR(__xludf.DUMMYFUNCTION("""COMPUTED_VALUE"""),3479024.0)</f>
        <v>3479024</v>
      </c>
      <c r="P138" s="1" t="str">
        <f>IFERROR(__xludf.DUMMYFUNCTION("""COMPUTED_VALUE"""),"South America")</f>
        <v>South America</v>
      </c>
      <c r="Q138" s="1">
        <f>IFERROR(__xludf.DUMMYFUNCTION("""COMPUTED_VALUE"""),446.0)</f>
        <v>446</v>
      </c>
      <c r="R138" s="3">
        <f>IFERROR(__xludf.DUMMYFUNCTION("""COMPUTED_VALUE"""),40454.0)</f>
        <v>40454</v>
      </c>
      <c r="S138" s="1">
        <f>IFERROR(__xludf.DUMMYFUNCTION("""COMPUTED_VALUE"""),7.0)</f>
        <v>7</v>
      </c>
    </row>
    <row r="139">
      <c r="A139" s="1">
        <f>IFERROR(__xludf.DUMMYFUNCTION("""COMPUTED_VALUE"""),130.0)</f>
        <v>130</v>
      </c>
      <c r="B139" s="1" t="str">
        <f>IFERROR(__xludf.DUMMYFUNCTION("""COMPUTED_VALUE"""),"Bahamas")</f>
        <v>Bahamas</v>
      </c>
      <c r="C139" s="3">
        <f>IFERROR(__xludf.DUMMYFUNCTION("""COMPUTED_VALUE"""),7585.0)</f>
        <v>7585</v>
      </c>
      <c r="D139" s="1" t="str">
        <f>IFERROR(__xludf.DUMMYFUNCTION("""COMPUTED_VALUE"""),"+6")</f>
        <v>+6</v>
      </c>
      <c r="E139" s="1">
        <f>IFERROR(__xludf.DUMMYFUNCTION("""COMPUTED_VALUE"""),163.0)</f>
        <v>163</v>
      </c>
      <c r="F139" s="1"/>
      <c r="G139" s="3">
        <f>IFERROR(__xludf.DUMMYFUNCTION("""COMPUTED_VALUE"""),6032.0)</f>
        <v>6032</v>
      </c>
      <c r="H139" s="1" t="str">
        <f>IFERROR(__xludf.DUMMYFUNCTION("""COMPUTED_VALUE"""),"+29")</f>
        <v>+29</v>
      </c>
      <c r="I139" s="3">
        <f>IFERROR(__xludf.DUMMYFUNCTION("""COMPUTED_VALUE"""),1390.0)</f>
        <v>1390</v>
      </c>
      <c r="J139" s="1">
        <f>IFERROR(__xludf.DUMMYFUNCTION("""COMPUTED_VALUE"""),11.0)</f>
        <v>11</v>
      </c>
      <c r="K139" s="3">
        <f>IFERROR(__xludf.DUMMYFUNCTION("""COMPUTED_VALUE"""),19208.0)</f>
        <v>19208</v>
      </c>
      <c r="L139" s="1">
        <f>IFERROR(__xludf.DUMMYFUNCTION("""COMPUTED_VALUE"""),413.0)</f>
        <v>413</v>
      </c>
      <c r="M139" s="3">
        <f>IFERROR(__xludf.DUMMYFUNCTION("""COMPUTED_VALUE"""),45112.0)</f>
        <v>45112</v>
      </c>
      <c r="N139" s="3">
        <f>IFERROR(__xludf.DUMMYFUNCTION("""COMPUTED_VALUE"""),114240.0)</f>
        <v>114240</v>
      </c>
      <c r="O139" s="2">
        <f>IFERROR(__xludf.DUMMYFUNCTION("""COMPUTED_VALUE"""),394888.0)</f>
        <v>394888</v>
      </c>
      <c r="P139" s="1" t="str">
        <f>IFERROR(__xludf.DUMMYFUNCTION("""COMPUTED_VALUE"""),"North America")</f>
        <v>North America</v>
      </c>
      <c r="Q139" s="1">
        <f>IFERROR(__xludf.DUMMYFUNCTION("""COMPUTED_VALUE"""),52.0)</f>
        <v>52</v>
      </c>
      <c r="R139" s="3">
        <f>IFERROR(__xludf.DUMMYFUNCTION("""COMPUTED_VALUE"""),2423.0)</f>
        <v>2423</v>
      </c>
      <c r="S139" s="1">
        <f>IFERROR(__xludf.DUMMYFUNCTION("""COMPUTED_VALUE"""),9.0)</f>
        <v>9</v>
      </c>
    </row>
    <row r="140">
      <c r="A140" s="1">
        <f>IFERROR(__xludf.DUMMYFUNCTION("""COMPUTED_VALUE"""),131.0)</f>
        <v>131</v>
      </c>
      <c r="B140" s="1" t="str">
        <f>IFERROR(__xludf.DUMMYFUNCTION("""COMPUTED_VALUE"""),"Hong Kong")</f>
        <v>Hong Kong</v>
      </c>
      <c r="C140" s="3">
        <f>IFERROR(__xludf.DUMMYFUNCTION("""COMPUTED_VALUE"""),7180.0)</f>
        <v>7180</v>
      </c>
      <c r="D140" s="1" t="str">
        <f>IFERROR(__xludf.DUMMYFUNCTION("""COMPUTED_VALUE"""),"+104")</f>
        <v>+104</v>
      </c>
      <c r="E140" s="1">
        <f>IFERROR(__xludf.DUMMYFUNCTION("""COMPUTED_VALUE"""),113.0)</f>
        <v>113</v>
      </c>
      <c r="F140" s="1" t="str">
        <f>IFERROR(__xludf.DUMMYFUNCTION("""COMPUTED_VALUE"""),"+1")</f>
        <v>+1</v>
      </c>
      <c r="G140" s="3">
        <f>IFERROR(__xludf.DUMMYFUNCTION("""COMPUTED_VALUE"""),5783.0)</f>
        <v>5783</v>
      </c>
      <c r="H140" s="1" t="str">
        <f>IFERROR(__xludf.DUMMYFUNCTION("""COMPUTED_VALUE"""),"+87")</f>
        <v>+87</v>
      </c>
      <c r="I140" s="3">
        <f>IFERROR(__xludf.DUMMYFUNCTION("""COMPUTED_VALUE"""),1284.0)</f>
        <v>1284</v>
      </c>
      <c r="J140" s="1">
        <f>IFERROR(__xludf.DUMMYFUNCTION("""COMPUTED_VALUE"""),39.0)</f>
        <v>39</v>
      </c>
      <c r="K140" s="1">
        <f>IFERROR(__xludf.DUMMYFUNCTION("""COMPUTED_VALUE"""),954.0)</f>
        <v>954</v>
      </c>
      <c r="L140" s="1">
        <f>IFERROR(__xludf.DUMMYFUNCTION("""COMPUTED_VALUE"""),15.0)</f>
        <v>15</v>
      </c>
      <c r="M140" s="3">
        <f>IFERROR(__xludf.DUMMYFUNCTION("""COMPUTED_VALUE"""),4382709.0)</f>
        <v>4382709</v>
      </c>
      <c r="N140" s="3">
        <f>IFERROR(__xludf.DUMMYFUNCTION("""COMPUTED_VALUE"""),582526.0)</f>
        <v>582526</v>
      </c>
      <c r="O140" s="2">
        <f>IFERROR(__xludf.DUMMYFUNCTION("""COMPUTED_VALUE"""),7523622.0)</f>
        <v>7523622</v>
      </c>
      <c r="P140" s="1" t="str">
        <f>IFERROR(__xludf.DUMMYFUNCTION("""COMPUTED_VALUE"""),"Asia")</f>
        <v>Asia</v>
      </c>
      <c r="Q140" s="3">
        <f>IFERROR(__xludf.DUMMYFUNCTION("""COMPUTED_VALUE"""),1048.0)</f>
        <v>1048</v>
      </c>
      <c r="R140" s="3">
        <f>IFERROR(__xludf.DUMMYFUNCTION("""COMPUTED_VALUE"""),66581.0)</f>
        <v>66581</v>
      </c>
      <c r="S140" s="1">
        <f>IFERROR(__xludf.DUMMYFUNCTION("""COMPUTED_VALUE"""),2.0)</f>
        <v>2</v>
      </c>
    </row>
    <row r="141">
      <c r="A141" s="1">
        <f>IFERROR(__xludf.DUMMYFUNCTION("""COMPUTED_VALUE"""),132.0)</f>
        <v>132</v>
      </c>
      <c r="B141" s="1" t="str">
        <f>IFERROR(__xludf.DUMMYFUNCTION("""COMPUTED_VALUE"""),"Andorra")</f>
        <v>Andorra</v>
      </c>
      <c r="C141" s="3">
        <f>IFERROR(__xludf.DUMMYFUNCTION("""COMPUTED_VALUE"""),7162.0)</f>
        <v>7162</v>
      </c>
      <c r="D141" s="1" t="str">
        <f>IFERROR(__xludf.DUMMYFUNCTION("""COMPUTED_VALUE"""),"+35")</f>
        <v>+35</v>
      </c>
      <c r="E141" s="1">
        <f>IFERROR(__xludf.DUMMYFUNCTION("""COMPUTED_VALUE"""),78.0)</f>
        <v>78</v>
      </c>
      <c r="F141" s="1"/>
      <c r="G141" s="3">
        <f>IFERROR(__xludf.DUMMYFUNCTION("""COMPUTED_VALUE"""),6452.0)</f>
        <v>6452</v>
      </c>
      <c r="H141" s="1" t="str">
        <f>IFERROR(__xludf.DUMMYFUNCTION("""COMPUTED_VALUE"""),"+85")</f>
        <v>+85</v>
      </c>
      <c r="I141" s="1">
        <f>IFERROR(__xludf.DUMMYFUNCTION("""COMPUTED_VALUE"""),632.0)</f>
        <v>632</v>
      </c>
      <c r="J141" s="1">
        <f>IFERROR(__xludf.DUMMYFUNCTION("""COMPUTED_VALUE"""),20.0)</f>
        <v>20</v>
      </c>
      <c r="K141" s="3">
        <f>IFERROR(__xludf.DUMMYFUNCTION("""COMPUTED_VALUE"""),92629.0)</f>
        <v>92629</v>
      </c>
      <c r="L141" s="3">
        <f>IFERROR(__xludf.DUMMYFUNCTION("""COMPUTED_VALUE"""),1009.0)</f>
        <v>1009</v>
      </c>
      <c r="M141" s="3">
        <f>IFERROR(__xludf.DUMMYFUNCTION("""COMPUTED_VALUE"""),173151.0)</f>
        <v>173151</v>
      </c>
      <c r="N141" s="3">
        <f>IFERROR(__xludf.DUMMYFUNCTION("""COMPUTED_VALUE"""),2239437.0)</f>
        <v>2239437</v>
      </c>
      <c r="O141" s="2">
        <f>IFERROR(__xludf.DUMMYFUNCTION("""COMPUTED_VALUE"""),77319.0)</f>
        <v>77319</v>
      </c>
      <c r="P141" s="1" t="str">
        <f>IFERROR(__xludf.DUMMYFUNCTION("""COMPUTED_VALUE"""),"Europe")</f>
        <v>Europe</v>
      </c>
      <c r="Q141" s="1">
        <f>IFERROR(__xludf.DUMMYFUNCTION("""COMPUTED_VALUE"""),11.0)</f>
        <v>11</v>
      </c>
      <c r="R141" s="1">
        <f>IFERROR(__xludf.DUMMYFUNCTION("""COMPUTED_VALUE"""),991.0)</f>
        <v>991</v>
      </c>
      <c r="S141" s="1">
        <f>IFERROR(__xludf.DUMMYFUNCTION("""COMPUTED_VALUE"""),0.0)</f>
        <v>0</v>
      </c>
    </row>
    <row r="142">
      <c r="A142" s="1">
        <f>IFERROR(__xludf.DUMMYFUNCTION("""COMPUTED_VALUE"""),133.0)</f>
        <v>133</v>
      </c>
      <c r="B142" s="1" t="str">
        <f>IFERROR(__xludf.DUMMYFUNCTION("""COMPUTED_VALUE"""),"Trinidad and Tobago")</f>
        <v>Trinidad and Tobago</v>
      </c>
      <c r="C142" s="3">
        <f>IFERROR(__xludf.DUMMYFUNCTION("""COMPUTED_VALUE"""),6808.0)</f>
        <v>6808</v>
      </c>
      <c r="D142" s="1" t="str">
        <f>IFERROR(__xludf.DUMMYFUNCTION("""COMPUTED_VALUE"""),"+26")</f>
        <v>+26</v>
      </c>
      <c r="E142" s="1">
        <f>IFERROR(__xludf.DUMMYFUNCTION("""COMPUTED_VALUE"""),122.0)</f>
        <v>122</v>
      </c>
      <c r="F142" s="1"/>
      <c r="G142" s="3">
        <f>IFERROR(__xludf.DUMMYFUNCTION("""COMPUTED_VALUE"""),6036.0)</f>
        <v>6036</v>
      </c>
      <c r="H142" s="1" t="str">
        <f>IFERROR(__xludf.DUMMYFUNCTION("""COMPUTED_VALUE"""),"+40")</f>
        <v>+40</v>
      </c>
      <c r="I142" s="1">
        <f>IFERROR(__xludf.DUMMYFUNCTION("""COMPUTED_VALUE"""),650.0)</f>
        <v>650</v>
      </c>
      <c r="J142" s="1">
        <f>IFERROR(__xludf.DUMMYFUNCTION("""COMPUTED_VALUE"""),2.0)</f>
        <v>2</v>
      </c>
      <c r="K142" s="3">
        <f>IFERROR(__xludf.DUMMYFUNCTION("""COMPUTED_VALUE"""),4858.0)</f>
        <v>4858</v>
      </c>
      <c r="L142" s="1">
        <f>IFERROR(__xludf.DUMMYFUNCTION("""COMPUTED_VALUE"""),87.0)</f>
        <v>87</v>
      </c>
      <c r="M142" s="3">
        <f>IFERROR(__xludf.DUMMYFUNCTION("""COMPUTED_VALUE"""),37942.0)</f>
        <v>37942</v>
      </c>
      <c r="N142" s="3">
        <f>IFERROR(__xludf.DUMMYFUNCTION("""COMPUTED_VALUE"""),27073.0)</f>
        <v>27073</v>
      </c>
      <c r="O142" s="2">
        <f>IFERROR(__xludf.DUMMYFUNCTION("""COMPUTED_VALUE"""),1401481.0)</f>
        <v>1401481</v>
      </c>
      <c r="P142" s="1" t="str">
        <f>IFERROR(__xludf.DUMMYFUNCTION("""COMPUTED_VALUE"""),"North America")</f>
        <v>North America</v>
      </c>
      <c r="Q142" s="1">
        <f>IFERROR(__xludf.DUMMYFUNCTION("""COMPUTED_VALUE"""),206.0)</f>
        <v>206</v>
      </c>
      <c r="R142" s="3">
        <f>IFERROR(__xludf.DUMMYFUNCTION("""COMPUTED_VALUE"""),11488.0)</f>
        <v>11488</v>
      </c>
      <c r="S142" s="1">
        <f>IFERROR(__xludf.DUMMYFUNCTION("""COMPUTED_VALUE"""),37.0)</f>
        <v>37</v>
      </c>
    </row>
    <row r="143">
      <c r="A143" s="1">
        <f>IFERROR(__xludf.DUMMYFUNCTION("""COMPUTED_VALUE"""),134.0)</f>
        <v>134</v>
      </c>
      <c r="B143" s="1" t="str">
        <f>IFERROR(__xludf.DUMMYFUNCTION("""COMPUTED_VALUE"""),"Eswatini")</f>
        <v>Eswatini</v>
      </c>
      <c r="C143" s="3">
        <f>IFERROR(__xludf.DUMMYFUNCTION("""COMPUTED_VALUE"""),6612.0)</f>
        <v>6612</v>
      </c>
      <c r="D143" s="1" t="str">
        <f>IFERROR(__xludf.DUMMYFUNCTION("""COMPUTED_VALUE"""),"+49")</f>
        <v>+49</v>
      </c>
      <c r="E143" s="1">
        <f>IFERROR(__xludf.DUMMYFUNCTION("""COMPUTED_VALUE"""),125.0)</f>
        <v>125</v>
      </c>
      <c r="F143" s="1" t="str">
        <f>IFERROR(__xludf.DUMMYFUNCTION("""COMPUTED_VALUE"""),"+1")</f>
        <v>+1</v>
      </c>
      <c r="G143" s="3">
        <f>IFERROR(__xludf.DUMMYFUNCTION("""COMPUTED_VALUE"""),6175.0)</f>
        <v>6175</v>
      </c>
      <c r="H143" s="1" t="str">
        <f>IFERROR(__xludf.DUMMYFUNCTION("""COMPUTED_VALUE"""),"+38")</f>
        <v>+38</v>
      </c>
      <c r="I143" s="1">
        <f>IFERROR(__xludf.DUMMYFUNCTION("""COMPUTED_VALUE"""),312.0)</f>
        <v>312</v>
      </c>
      <c r="J143" s="1">
        <f>IFERROR(__xludf.DUMMYFUNCTION("""COMPUTED_VALUE"""),11.0)</f>
        <v>11</v>
      </c>
      <c r="K143" s="3">
        <f>IFERROR(__xludf.DUMMYFUNCTION("""COMPUTED_VALUE"""),5674.0)</f>
        <v>5674</v>
      </c>
      <c r="L143" s="1">
        <f>IFERROR(__xludf.DUMMYFUNCTION("""COMPUTED_VALUE"""),107.0)</f>
        <v>107</v>
      </c>
      <c r="M143" s="3">
        <f>IFERROR(__xludf.DUMMYFUNCTION("""COMPUTED_VALUE"""),63144.0)</f>
        <v>63144</v>
      </c>
      <c r="N143" s="3">
        <f>IFERROR(__xludf.DUMMYFUNCTION("""COMPUTED_VALUE"""),54182.0)</f>
        <v>54182</v>
      </c>
      <c r="O143" s="2">
        <f>IFERROR(__xludf.DUMMYFUNCTION("""COMPUTED_VALUE"""),1165415.0)</f>
        <v>1165415</v>
      </c>
      <c r="P143" s="1" t="str">
        <f>IFERROR(__xludf.DUMMYFUNCTION("""COMPUTED_VALUE"""),"Africa")</f>
        <v>Africa</v>
      </c>
      <c r="Q143" s="1">
        <f>IFERROR(__xludf.DUMMYFUNCTION("""COMPUTED_VALUE"""),176.0)</f>
        <v>176</v>
      </c>
      <c r="R143" s="3">
        <f>IFERROR(__xludf.DUMMYFUNCTION("""COMPUTED_VALUE"""),9323.0)</f>
        <v>9323</v>
      </c>
      <c r="S143" s="1">
        <f>IFERROR(__xludf.DUMMYFUNCTION("""COMPUTED_VALUE"""),18.0)</f>
        <v>18</v>
      </c>
    </row>
    <row r="144">
      <c r="A144" s="1">
        <f>IFERROR(__xludf.DUMMYFUNCTION("""COMPUTED_VALUE"""),135.0)</f>
        <v>135</v>
      </c>
      <c r="B144" s="1" t="str">
        <f>IFERROR(__xludf.DUMMYFUNCTION("""COMPUTED_VALUE"""),"Rwanda")</f>
        <v>Rwanda</v>
      </c>
      <c r="C144" s="3">
        <f>IFERROR(__xludf.DUMMYFUNCTION("""COMPUTED_VALUE"""),6278.0)</f>
        <v>6278</v>
      </c>
      <c r="D144" s="1" t="str">
        <f>IFERROR(__xludf.DUMMYFUNCTION("""COMPUTED_VALUE"""),"+41")</f>
        <v>+41</v>
      </c>
      <c r="E144" s="1">
        <f>IFERROR(__xludf.DUMMYFUNCTION("""COMPUTED_VALUE"""),53.0)</f>
        <v>53</v>
      </c>
      <c r="F144" s="1" t="str">
        <f>IFERROR(__xludf.DUMMYFUNCTION("""COMPUTED_VALUE"""),"+2")</f>
        <v>+2</v>
      </c>
      <c r="G144" s="3">
        <f>IFERROR(__xludf.DUMMYFUNCTION("""COMPUTED_VALUE"""),5715.0)</f>
        <v>5715</v>
      </c>
      <c r="H144" s="1"/>
      <c r="I144" s="1">
        <f>IFERROR(__xludf.DUMMYFUNCTION("""COMPUTED_VALUE"""),510.0)</f>
        <v>510</v>
      </c>
      <c r="J144" s="1"/>
      <c r="K144" s="1">
        <f>IFERROR(__xludf.DUMMYFUNCTION("""COMPUTED_VALUE"""),480.0)</f>
        <v>480</v>
      </c>
      <c r="L144" s="1">
        <f>IFERROR(__xludf.DUMMYFUNCTION("""COMPUTED_VALUE"""),4.0)</f>
        <v>4</v>
      </c>
      <c r="M144" s="3">
        <f>IFERROR(__xludf.DUMMYFUNCTION("""COMPUTED_VALUE"""),654322.0)</f>
        <v>654322</v>
      </c>
      <c r="N144" s="3">
        <f>IFERROR(__xludf.DUMMYFUNCTION("""COMPUTED_VALUE"""),49984.0)</f>
        <v>49984</v>
      </c>
      <c r="O144" s="2">
        <f>IFERROR(__xludf.DUMMYFUNCTION("""COMPUTED_VALUE"""),1.3090653E7)</f>
        <v>13090653</v>
      </c>
      <c r="P144" s="1" t="str">
        <f>IFERROR(__xludf.DUMMYFUNCTION("""COMPUTED_VALUE"""),"Africa")</f>
        <v>Africa</v>
      </c>
      <c r="Q144" s="3">
        <f>IFERROR(__xludf.DUMMYFUNCTION("""COMPUTED_VALUE"""),2085.0)</f>
        <v>2085</v>
      </c>
      <c r="R144" s="3">
        <f>IFERROR(__xludf.DUMMYFUNCTION("""COMPUTED_VALUE"""),246993.0)</f>
        <v>246993</v>
      </c>
      <c r="S144" s="1">
        <f>IFERROR(__xludf.DUMMYFUNCTION("""COMPUTED_VALUE"""),20.0)</f>
        <v>20</v>
      </c>
    </row>
    <row r="145">
      <c r="A145" s="1">
        <f>IFERROR(__xludf.DUMMYFUNCTION("""COMPUTED_VALUE"""),136.0)</f>
        <v>136</v>
      </c>
      <c r="B145" s="1" t="str">
        <f>IFERROR(__xludf.DUMMYFUNCTION("""COMPUTED_VALUE"""),"Malawi")</f>
        <v>Malawi</v>
      </c>
      <c r="C145" s="3">
        <f>IFERROR(__xludf.DUMMYFUNCTION("""COMPUTED_VALUE"""),6051.0)</f>
        <v>6051</v>
      </c>
      <c r="D145" s="1"/>
      <c r="E145" s="1">
        <f>IFERROR(__xludf.DUMMYFUNCTION("""COMPUTED_VALUE"""),186.0)</f>
        <v>186</v>
      </c>
      <c r="F145" s="1"/>
      <c r="G145" s="3">
        <f>IFERROR(__xludf.DUMMYFUNCTION("""COMPUTED_VALUE"""),5487.0)</f>
        <v>5487</v>
      </c>
      <c r="H145" s="1" t="str">
        <f>IFERROR(__xludf.DUMMYFUNCTION("""COMPUTED_VALUE"""),"+5")</f>
        <v>+5</v>
      </c>
      <c r="I145" s="1">
        <f>IFERROR(__xludf.DUMMYFUNCTION("""COMPUTED_VALUE"""),378.0)</f>
        <v>378</v>
      </c>
      <c r="J145" s="1">
        <f>IFERROR(__xludf.DUMMYFUNCTION("""COMPUTED_VALUE"""),4.0)</f>
        <v>4</v>
      </c>
      <c r="K145" s="1">
        <f>IFERROR(__xludf.DUMMYFUNCTION("""COMPUTED_VALUE"""),313.0)</f>
        <v>313</v>
      </c>
      <c r="L145" s="1">
        <f>IFERROR(__xludf.DUMMYFUNCTION("""COMPUTED_VALUE"""),10.0)</f>
        <v>10</v>
      </c>
      <c r="M145" s="3">
        <f>IFERROR(__xludf.DUMMYFUNCTION("""COMPUTED_VALUE"""),77323.0)</f>
        <v>77323</v>
      </c>
      <c r="N145" s="3">
        <f>IFERROR(__xludf.DUMMYFUNCTION("""COMPUTED_VALUE"""),3997.0)</f>
        <v>3997</v>
      </c>
      <c r="O145" s="2">
        <f>IFERROR(__xludf.DUMMYFUNCTION("""COMPUTED_VALUE"""),1.9342867E7)</f>
        <v>19342867</v>
      </c>
      <c r="P145" s="1" t="str">
        <f>IFERROR(__xludf.DUMMYFUNCTION("""COMPUTED_VALUE"""),"Africa")</f>
        <v>Africa</v>
      </c>
      <c r="Q145" s="3">
        <f>IFERROR(__xludf.DUMMYFUNCTION("""COMPUTED_VALUE"""),3197.0)</f>
        <v>3197</v>
      </c>
      <c r="R145" s="3">
        <f>IFERROR(__xludf.DUMMYFUNCTION("""COMPUTED_VALUE"""),103994.0)</f>
        <v>103994</v>
      </c>
      <c r="S145" s="1">
        <f>IFERROR(__xludf.DUMMYFUNCTION("""COMPUTED_VALUE"""),250.0)</f>
        <v>250</v>
      </c>
    </row>
    <row r="146">
      <c r="A146" s="1">
        <f>IFERROR(__xludf.DUMMYFUNCTION("""COMPUTED_VALUE"""),137.0)</f>
        <v>137</v>
      </c>
      <c r="B146" s="1" t="str">
        <f>IFERROR(__xludf.DUMMYFUNCTION("""COMPUTED_VALUE"""),"Nicaragua")</f>
        <v>Nicaragua</v>
      </c>
      <c r="C146" s="3">
        <f>IFERROR(__xludf.DUMMYFUNCTION("""COMPUTED_VALUE"""),5887.0)</f>
        <v>5887</v>
      </c>
      <c r="D146" s="1"/>
      <c r="E146" s="1">
        <f>IFERROR(__xludf.DUMMYFUNCTION("""COMPUTED_VALUE"""),162.0)</f>
        <v>162</v>
      </c>
      <c r="F146" s="1"/>
      <c r="G146" s="3">
        <f>IFERROR(__xludf.DUMMYFUNCTION("""COMPUTED_VALUE"""),4225.0)</f>
        <v>4225</v>
      </c>
      <c r="H146" s="1"/>
      <c r="I146" s="3">
        <f>IFERROR(__xludf.DUMMYFUNCTION("""COMPUTED_VALUE"""),1500.0)</f>
        <v>1500</v>
      </c>
      <c r="J146" s="1"/>
      <c r="K146" s="1">
        <f>IFERROR(__xludf.DUMMYFUNCTION("""COMPUTED_VALUE"""),884.0)</f>
        <v>884</v>
      </c>
      <c r="L146" s="1">
        <f>IFERROR(__xludf.DUMMYFUNCTION("""COMPUTED_VALUE"""),24.0)</f>
        <v>24</v>
      </c>
      <c r="M146" s="1"/>
      <c r="N146" s="1"/>
      <c r="O146" s="2">
        <f>IFERROR(__xludf.DUMMYFUNCTION("""COMPUTED_VALUE"""),6658958.0)</f>
        <v>6658958</v>
      </c>
      <c r="P146" s="1" t="str">
        <f>IFERROR(__xludf.DUMMYFUNCTION("""COMPUTED_VALUE"""),"North America")</f>
        <v>North America</v>
      </c>
      <c r="Q146" s="3">
        <f>IFERROR(__xludf.DUMMYFUNCTION("""COMPUTED_VALUE"""),1131.0)</f>
        <v>1131</v>
      </c>
      <c r="R146" s="3">
        <f>IFERROR(__xludf.DUMMYFUNCTION("""COMPUTED_VALUE"""),41105.0)</f>
        <v>41105</v>
      </c>
      <c r="S146" s="1"/>
    </row>
    <row r="147">
      <c r="A147" s="1">
        <f>IFERROR(__xludf.DUMMYFUNCTION("""COMPUTED_VALUE"""),138.0)</f>
        <v>138</v>
      </c>
      <c r="B147" s="1" t="str">
        <f>IFERROR(__xludf.DUMMYFUNCTION("""COMPUTED_VALUE"""),"Congo")</f>
        <v>Congo</v>
      </c>
      <c r="C147" s="3">
        <f>IFERROR(__xludf.DUMMYFUNCTION("""COMPUTED_VALUE"""),5774.0)</f>
        <v>5774</v>
      </c>
      <c r="D147" s="1"/>
      <c r="E147" s="1">
        <f>IFERROR(__xludf.DUMMYFUNCTION("""COMPUTED_VALUE"""),94.0)</f>
        <v>94</v>
      </c>
      <c r="F147" s="1"/>
      <c r="G147" s="3">
        <f>IFERROR(__xludf.DUMMYFUNCTION("""COMPUTED_VALUE"""),4988.0)</f>
        <v>4988</v>
      </c>
      <c r="H147" s="1"/>
      <c r="I147" s="1">
        <f>IFERROR(__xludf.DUMMYFUNCTION("""COMPUTED_VALUE"""),692.0)</f>
        <v>692</v>
      </c>
      <c r="J147" s="1"/>
      <c r="K147" s="3">
        <f>IFERROR(__xludf.DUMMYFUNCTION("""COMPUTED_VALUE"""),1035.0)</f>
        <v>1035</v>
      </c>
      <c r="L147" s="1">
        <f>IFERROR(__xludf.DUMMYFUNCTION("""COMPUTED_VALUE"""),17.0)</f>
        <v>17</v>
      </c>
      <c r="M147" s="1"/>
      <c r="N147" s="1"/>
      <c r="O147" s="2">
        <f>IFERROR(__xludf.DUMMYFUNCTION("""COMPUTED_VALUE"""),5576659.0)</f>
        <v>5576659</v>
      </c>
      <c r="P147" s="1" t="str">
        <f>IFERROR(__xludf.DUMMYFUNCTION("""COMPUTED_VALUE"""),"Africa")</f>
        <v>Africa</v>
      </c>
      <c r="Q147" s="1">
        <f>IFERROR(__xludf.DUMMYFUNCTION("""COMPUTED_VALUE"""),966.0)</f>
        <v>966</v>
      </c>
      <c r="R147" s="3">
        <f>IFERROR(__xludf.DUMMYFUNCTION("""COMPUTED_VALUE"""),59326.0)</f>
        <v>59326</v>
      </c>
      <c r="S147" s="1"/>
    </row>
    <row r="148">
      <c r="A148" s="1">
        <f>IFERROR(__xludf.DUMMYFUNCTION("""COMPUTED_VALUE"""),139.0)</f>
        <v>139</v>
      </c>
      <c r="B148" s="1" t="str">
        <f>IFERROR(__xludf.DUMMYFUNCTION("""COMPUTED_VALUE"""),"Guyana")</f>
        <v>Guyana</v>
      </c>
      <c r="C148" s="3">
        <f>IFERROR(__xludf.DUMMYFUNCTION("""COMPUTED_VALUE"""),5732.0)</f>
        <v>5732</v>
      </c>
      <c r="D148" s="1" t="str">
        <f>IFERROR(__xludf.DUMMYFUNCTION("""COMPUTED_VALUE"""),"+32")</f>
        <v>+32</v>
      </c>
      <c r="E148" s="1">
        <f>IFERROR(__xludf.DUMMYFUNCTION("""COMPUTED_VALUE"""),154.0)</f>
        <v>154</v>
      </c>
      <c r="F148" s="1"/>
      <c r="G148" s="3">
        <f>IFERROR(__xludf.DUMMYFUNCTION("""COMPUTED_VALUE"""),4888.0)</f>
        <v>4888</v>
      </c>
      <c r="H148" s="1" t="str">
        <f>IFERROR(__xludf.DUMMYFUNCTION("""COMPUTED_VALUE"""),"+18")</f>
        <v>+18</v>
      </c>
      <c r="I148" s="1">
        <f>IFERROR(__xludf.DUMMYFUNCTION("""COMPUTED_VALUE"""),690.0)</f>
        <v>690</v>
      </c>
      <c r="J148" s="1">
        <f>IFERROR(__xludf.DUMMYFUNCTION("""COMPUTED_VALUE"""),5.0)</f>
        <v>5</v>
      </c>
      <c r="K148" s="3">
        <f>IFERROR(__xludf.DUMMYFUNCTION("""COMPUTED_VALUE"""),7272.0)</f>
        <v>7272</v>
      </c>
      <c r="L148" s="1">
        <f>IFERROR(__xludf.DUMMYFUNCTION("""COMPUTED_VALUE"""),195.0)</f>
        <v>195</v>
      </c>
      <c r="M148" s="3">
        <f>IFERROR(__xludf.DUMMYFUNCTION("""COMPUTED_VALUE"""),32782.0)</f>
        <v>32782</v>
      </c>
      <c r="N148" s="3">
        <f>IFERROR(__xludf.DUMMYFUNCTION("""COMPUTED_VALUE"""),41590.0)</f>
        <v>41590</v>
      </c>
      <c r="O148" s="2">
        <f>IFERROR(__xludf.DUMMYFUNCTION("""COMPUTED_VALUE"""),788219.0)</f>
        <v>788219</v>
      </c>
      <c r="P148" s="1" t="str">
        <f>IFERROR(__xludf.DUMMYFUNCTION("""COMPUTED_VALUE"""),"South America")</f>
        <v>South America</v>
      </c>
      <c r="Q148" s="1">
        <f>IFERROR(__xludf.DUMMYFUNCTION("""COMPUTED_VALUE"""),138.0)</f>
        <v>138</v>
      </c>
      <c r="R148" s="3">
        <f>IFERROR(__xludf.DUMMYFUNCTION("""COMPUTED_VALUE"""),5118.0)</f>
        <v>5118</v>
      </c>
      <c r="S148" s="1">
        <f>IFERROR(__xludf.DUMMYFUNCTION("""COMPUTED_VALUE"""),24.0)</f>
        <v>24</v>
      </c>
    </row>
    <row r="149">
      <c r="A149" s="1">
        <f>IFERROR(__xludf.DUMMYFUNCTION("""COMPUTED_VALUE"""),140.0)</f>
        <v>140</v>
      </c>
      <c r="B149" s="1" t="str">
        <f>IFERROR(__xludf.DUMMYFUNCTION("""COMPUTED_VALUE"""),"Djibouti")</f>
        <v>Djibouti</v>
      </c>
      <c r="C149" s="3">
        <f>IFERROR(__xludf.DUMMYFUNCTION("""COMPUTED_VALUE"""),5717.0)</f>
        <v>5717</v>
      </c>
      <c r="D149" s="1" t="str">
        <f>IFERROR(__xludf.DUMMYFUNCTION("""COMPUTED_VALUE"""),"+3")</f>
        <v>+3</v>
      </c>
      <c r="E149" s="1">
        <f>IFERROR(__xludf.DUMMYFUNCTION("""COMPUTED_VALUE"""),61.0)</f>
        <v>61</v>
      </c>
      <c r="F149" s="1"/>
      <c r="G149" s="3">
        <f>IFERROR(__xludf.DUMMYFUNCTION("""COMPUTED_VALUE"""),5599.0)</f>
        <v>5599</v>
      </c>
      <c r="H149" s="1" t="str">
        <f>IFERROR(__xludf.DUMMYFUNCTION("""COMPUTED_VALUE"""),"+2")</f>
        <v>+2</v>
      </c>
      <c r="I149" s="1">
        <f>IFERROR(__xludf.DUMMYFUNCTION("""COMPUTED_VALUE"""),57.0)</f>
        <v>57</v>
      </c>
      <c r="J149" s="1"/>
      <c r="K149" s="3">
        <f>IFERROR(__xludf.DUMMYFUNCTION("""COMPUTED_VALUE"""),5750.0)</f>
        <v>5750</v>
      </c>
      <c r="L149" s="1">
        <f>IFERROR(__xludf.DUMMYFUNCTION("""COMPUTED_VALUE"""),61.0)</f>
        <v>61</v>
      </c>
      <c r="M149" s="3">
        <f>IFERROR(__xludf.DUMMYFUNCTION("""COMPUTED_VALUE"""),94295.0)</f>
        <v>94295</v>
      </c>
      <c r="N149" s="3">
        <f>IFERROR(__xludf.DUMMYFUNCTION("""COMPUTED_VALUE"""),94840.0)</f>
        <v>94840</v>
      </c>
      <c r="O149" s="2">
        <f>IFERROR(__xludf.DUMMYFUNCTION("""COMPUTED_VALUE"""),994256.0)</f>
        <v>994256</v>
      </c>
      <c r="P149" s="1" t="str">
        <f>IFERROR(__xludf.DUMMYFUNCTION("""COMPUTED_VALUE"""),"Africa")</f>
        <v>Africa</v>
      </c>
      <c r="Q149" s="1">
        <f>IFERROR(__xludf.DUMMYFUNCTION("""COMPUTED_VALUE"""),174.0)</f>
        <v>174</v>
      </c>
      <c r="R149" s="3">
        <f>IFERROR(__xludf.DUMMYFUNCTION("""COMPUTED_VALUE"""),16299.0)</f>
        <v>16299</v>
      </c>
      <c r="S149" s="1">
        <f>IFERROR(__xludf.DUMMYFUNCTION("""COMPUTED_VALUE"""),11.0)</f>
        <v>11</v>
      </c>
    </row>
    <row r="150">
      <c r="A150" s="1">
        <f>IFERROR(__xludf.DUMMYFUNCTION("""COMPUTED_VALUE"""),141.0)</f>
        <v>141</v>
      </c>
      <c r="B150" s="1" t="str">
        <f>IFERROR(__xludf.DUMMYFUNCTION("""COMPUTED_VALUE"""),"Martinique")</f>
        <v>Martinique</v>
      </c>
      <c r="C150" s="3">
        <f>IFERROR(__xludf.DUMMYFUNCTION("""COMPUTED_VALUE"""),5520.0)</f>
        <v>5520</v>
      </c>
      <c r="D150" s="1"/>
      <c r="E150" s="1">
        <f>IFERROR(__xludf.DUMMYFUNCTION("""COMPUTED_VALUE"""),41.0)</f>
        <v>41</v>
      </c>
      <c r="F150" s="1"/>
      <c r="G150" s="1">
        <f>IFERROR(__xludf.DUMMYFUNCTION("""COMPUTED_VALUE"""),98.0)</f>
        <v>98</v>
      </c>
      <c r="H150" s="1"/>
      <c r="I150" s="3">
        <f>IFERROR(__xludf.DUMMYFUNCTION("""COMPUTED_VALUE"""),5381.0)</f>
        <v>5381</v>
      </c>
      <c r="J150" s="1">
        <f>IFERROR(__xludf.DUMMYFUNCTION("""COMPUTED_VALUE"""),9.0)</f>
        <v>9</v>
      </c>
      <c r="K150" s="3">
        <f>IFERROR(__xludf.DUMMYFUNCTION("""COMPUTED_VALUE"""),14715.0)</f>
        <v>14715</v>
      </c>
      <c r="L150" s="1">
        <f>IFERROR(__xludf.DUMMYFUNCTION("""COMPUTED_VALUE"""),109.0)</f>
        <v>109</v>
      </c>
      <c r="M150" s="3">
        <f>IFERROR(__xludf.DUMMYFUNCTION("""COMPUTED_VALUE"""),65748.0)</f>
        <v>65748</v>
      </c>
      <c r="N150" s="3">
        <f>IFERROR(__xludf.DUMMYFUNCTION("""COMPUTED_VALUE"""),175264.0)</f>
        <v>175264</v>
      </c>
      <c r="O150" s="2">
        <f>IFERROR(__xludf.DUMMYFUNCTION("""COMPUTED_VALUE"""),375137.0)</f>
        <v>375137</v>
      </c>
      <c r="P150" s="1" t="str">
        <f>IFERROR(__xludf.DUMMYFUNCTION("""COMPUTED_VALUE"""),"North America")</f>
        <v>North America</v>
      </c>
      <c r="Q150" s="1">
        <f>IFERROR(__xludf.DUMMYFUNCTION("""COMPUTED_VALUE"""),68.0)</f>
        <v>68</v>
      </c>
      <c r="R150" s="3">
        <f>IFERROR(__xludf.DUMMYFUNCTION("""COMPUTED_VALUE"""),9150.0)</f>
        <v>9150</v>
      </c>
      <c r="S150" s="1">
        <f>IFERROR(__xludf.DUMMYFUNCTION("""COMPUTED_VALUE"""),6.0)</f>
        <v>6</v>
      </c>
    </row>
    <row r="151">
      <c r="A151" s="1">
        <f>IFERROR(__xludf.DUMMYFUNCTION("""COMPUTED_VALUE"""),142.0)</f>
        <v>142</v>
      </c>
      <c r="B151" s="1" t="str">
        <f>IFERROR(__xludf.DUMMYFUNCTION("""COMPUTED_VALUE"""),"Iceland")</f>
        <v>Iceland</v>
      </c>
      <c r="C151" s="3">
        <f>IFERROR(__xludf.DUMMYFUNCTION("""COMPUTED_VALUE"""),5516.0)</f>
        <v>5516</v>
      </c>
      <c r="D151" s="1" t="str">
        <f>IFERROR(__xludf.DUMMYFUNCTION("""COMPUTED_VALUE"""),"+10")</f>
        <v>+10</v>
      </c>
      <c r="E151" s="1">
        <f>IFERROR(__xludf.DUMMYFUNCTION("""COMPUTED_VALUE"""),28.0)</f>
        <v>28</v>
      </c>
      <c r="F151" s="1"/>
      <c r="G151" s="3">
        <f>IFERROR(__xludf.DUMMYFUNCTION("""COMPUTED_VALUE"""),5302.0)</f>
        <v>5302</v>
      </c>
      <c r="H151" s="1" t="str">
        <f>IFERROR(__xludf.DUMMYFUNCTION("""COMPUTED_VALUE"""),"+10")</f>
        <v>+10</v>
      </c>
      <c r="I151" s="1">
        <f>IFERROR(__xludf.DUMMYFUNCTION("""COMPUTED_VALUE"""),186.0)</f>
        <v>186</v>
      </c>
      <c r="J151" s="1">
        <f>IFERROR(__xludf.DUMMYFUNCTION("""COMPUTED_VALUE"""),3.0)</f>
        <v>3</v>
      </c>
      <c r="K151" s="3">
        <f>IFERROR(__xludf.DUMMYFUNCTION("""COMPUTED_VALUE"""),16119.0)</f>
        <v>16119</v>
      </c>
      <c r="L151" s="1">
        <f>IFERROR(__xludf.DUMMYFUNCTION("""COMPUTED_VALUE"""),82.0)</f>
        <v>82</v>
      </c>
      <c r="M151" s="3">
        <f>IFERROR(__xludf.DUMMYFUNCTION("""COMPUTED_VALUE"""),402484.0)</f>
        <v>402484</v>
      </c>
      <c r="N151" s="3">
        <f>IFERROR(__xludf.DUMMYFUNCTION("""COMPUTED_VALUE"""),1176118.0)</f>
        <v>1176118</v>
      </c>
      <c r="O151" s="2">
        <f>IFERROR(__xludf.DUMMYFUNCTION("""COMPUTED_VALUE"""),342214.0)</f>
        <v>342214</v>
      </c>
      <c r="P151" s="1" t="str">
        <f>IFERROR(__xludf.DUMMYFUNCTION("""COMPUTED_VALUE"""),"Europe")</f>
        <v>Europe</v>
      </c>
      <c r="Q151" s="1">
        <f>IFERROR(__xludf.DUMMYFUNCTION("""COMPUTED_VALUE"""),62.0)</f>
        <v>62</v>
      </c>
      <c r="R151" s="3">
        <f>IFERROR(__xludf.DUMMYFUNCTION("""COMPUTED_VALUE"""),12222.0)</f>
        <v>12222</v>
      </c>
      <c r="S151" s="1">
        <f>IFERROR(__xludf.DUMMYFUNCTION("""COMPUTED_VALUE"""),1.0)</f>
        <v>1</v>
      </c>
    </row>
    <row r="152">
      <c r="A152" s="1">
        <f>IFERROR(__xludf.DUMMYFUNCTION("""COMPUTED_VALUE"""),143.0)</f>
        <v>143</v>
      </c>
      <c r="B152" s="1" t="str">
        <f>IFERROR(__xludf.DUMMYFUNCTION("""COMPUTED_VALUE"""),"Mayotte")</f>
        <v>Mayotte</v>
      </c>
      <c r="C152" s="3">
        <f>IFERROR(__xludf.DUMMYFUNCTION("""COMPUTED_VALUE"""),5499.0)</f>
        <v>5499</v>
      </c>
      <c r="D152" s="1" t="str">
        <f>IFERROR(__xludf.DUMMYFUNCTION("""COMPUTED_VALUE"""),"+318")</f>
        <v>+318</v>
      </c>
      <c r="E152" s="1">
        <f>IFERROR(__xludf.DUMMYFUNCTION("""COMPUTED_VALUE"""),51.0)</f>
        <v>51</v>
      </c>
      <c r="F152" s="1" t="str">
        <f>IFERROR(__xludf.DUMMYFUNCTION("""COMPUTED_VALUE"""),"+2")</f>
        <v>+2</v>
      </c>
      <c r="G152" s="3">
        <f>IFERROR(__xludf.DUMMYFUNCTION("""COMPUTED_VALUE"""),2964.0)</f>
        <v>2964</v>
      </c>
      <c r="H152" s="1"/>
      <c r="I152" s="3">
        <f>IFERROR(__xludf.DUMMYFUNCTION("""COMPUTED_VALUE"""),2484.0)</f>
        <v>2484</v>
      </c>
      <c r="J152" s="1">
        <f>IFERROR(__xludf.DUMMYFUNCTION("""COMPUTED_VALUE"""),4.0)</f>
        <v>4</v>
      </c>
      <c r="K152" s="3">
        <f>IFERROR(__xludf.DUMMYFUNCTION("""COMPUTED_VALUE"""),19949.0)</f>
        <v>19949</v>
      </c>
      <c r="L152" s="1">
        <f>IFERROR(__xludf.DUMMYFUNCTION("""COMPUTED_VALUE"""),185.0)</f>
        <v>185</v>
      </c>
      <c r="M152" s="3">
        <f>IFERROR(__xludf.DUMMYFUNCTION("""COMPUTED_VALUE"""),27129.0)</f>
        <v>27129</v>
      </c>
      <c r="N152" s="3">
        <f>IFERROR(__xludf.DUMMYFUNCTION("""COMPUTED_VALUE"""),98416.0)</f>
        <v>98416</v>
      </c>
      <c r="O152" s="2">
        <f>IFERROR(__xludf.DUMMYFUNCTION("""COMPUTED_VALUE"""),275655.0)</f>
        <v>275655</v>
      </c>
      <c r="P152" s="1" t="str">
        <f>IFERROR(__xludf.DUMMYFUNCTION("""COMPUTED_VALUE"""),"Africa")</f>
        <v>Africa</v>
      </c>
      <c r="Q152" s="1">
        <f>IFERROR(__xludf.DUMMYFUNCTION("""COMPUTED_VALUE"""),50.0)</f>
        <v>50</v>
      </c>
      <c r="R152" s="3">
        <f>IFERROR(__xludf.DUMMYFUNCTION("""COMPUTED_VALUE"""),5405.0)</f>
        <v>5405</v>
      </c>
      <c r="S152" s="1">
        <f>IFERROR(__xludf.DUMMYFUNCTION("""COMPUTED_VALUE"""),10.0)</f>
        <v>10</v>
      </c>
    </row>
    <row r="153">
      <c r="A153" s="1">
        <f>IFERROR(__xludf.DUMMYFUNCTION("""COMPUTED_VALUE"""),144.0)</f>
        <v>144</v>
      </c>
      <c r="B153" s="1" t="str">
        <f>IFERROR(__xludf.DUMMYFUNCTION("""COMPUTED_VALUE"""),"Mali")</f>
        <v>Mali</v>
      </c>
      <c r="C153" s="3">
        <f>IFERROR(__xludf.DUMMYFUNCTION("""COMPUTED_VALUE"""),5469.0)</f>
        <v>5469</v>
      </c>
      <c r="D153" s="1" t="str">
        <f>IFERROR(__xludf.DUMMYFUNCTION("""COMPUTED_VALUE"""),"+27")</f>
        <v>+27</v>
      </c>
      <c r="E153" s="1">
        <f>IFERROR(__xludf.DUMMYFUNCTION("""COMPUTED_VALUE"""),181.0)</f>
        <v>181</v>
      </c>
      <c r="F153" s="1" t="str">
        <f>IFERROR(__xludf.DUMMYFUNCTION("""COMPUTED_VALUE"""),"+1")</f>
        <v>+1</v>
      </c>
      <c r="G153" s="3">
        <f>IFERROR(__xludf.DUMMYFUNCTION("""COMPUTED_VALUE"""),3454.0)</f>
        <v>3454</v>
      </c>
      <c r="H153" s="1" t="str">
        <f>IFERROR(__xludf.DUMMYFUNCTION("""COMPUTED_VALUE"""),"+38")</f>
        <v>+38</v>
      </c>
      <c r="I153" s="3">
        <f>IFERROR(__xludf.DUMMYFUNCTION("""COMPUTED_VALUE"""),1834.0)</f>
        <v>1834</v>
      </c>
      <c r="J153" s="1"/>
      <c r="K153" s="1">
        <f>IFERROR(__xludf.DUMMYFUNCTION("""COMPUTED_VALUE"""),267.0)</f>
        <v>267</v>
      </c>
      <c r="L153" s="1">
        <f>IFERROR(__xludf.DUMMYFUNCTION("""COMPUTED_VALUE"""),9.0)</f>
        <v>9</v>
      </c>
      <c r="M153" s="3">
        <f>IFERROR(__xludf.DUMMYFUNCTION("""COMPUTED_VALUE"""),108259.0)</f>
        <v>108259</v>
      </c>
      <c r="N153" s="3">
        <f>IFERROR(__xludf.DUMMYFUNCTION("""COMPUTED_VALUE"""),5281.0)</f>
        <v>5281</v>
      </c>
      <c r="O153" s="2">
        <f>IFERROR(__xludf.DUMMYFUNCTION("""COMPUTED_VALUE"""),2.0501322E7)</f>
        <v>20501322</v>
      </c>
      <c r="P153" s="1" t="str">
        <f>IFERROR(__xludf.DUMMYFUNCTION("""COMPUTED_VALUE"""),"Africa")</f>
        <v>Africa</v>
      </c>
      <c r="Q153" s="3">
        <f>IFERROR(__xludf.DUMMYFUNCTION("""COMPUTED_VALUE"""),3749.0)</f>
        <v>3749</v>
      </c>
      <c r="R153" s="3">
        <f>IFERROR(__xludf.DUMMYFUNCTION("""COMPUTED_VALUE"""),113267.0)</f>
        <v>113267</v>
      </c>
      <c r="S153" s="1">
        <f>IFERROR(__xludf.DUMMYFUNCTION("""COMPUTED_VALUE"""),189.0)</f>
        <v>189</v>
      </c>
    </row>
    <row r="154">
      <c r="A154" s="1">
        <f>IFERROR(__xludf.DUMMYFUNCTION("""COMPUTED_VALUE"""),145.0)</f>
        <v>145</v>
      </c>
      <c r="B154" s="1" t="str">
        <f>IFERROR(__xludf.DUMMYFUNCTION("""COMPUTED_VALUE"""),"Suriname")</f>
        <v>Suriname</v>
      </c>
      <c r="C154" s="3">
        <f>IFERROR(__xludf.DUMMYFUNCTION("""COMPUTED_VALUE"""),5326.0)</f>
        <v>5326</v>
      </c>
      <c r="D154" s="1"/>
      <c r="E154" s="1">
        <f>IFERROR(__xludf.DUMMYFUNCTION("""COMPUTED_VALUE"""),117.0)</f>
        <v>117</v>
      </c>
      <c r="F154" s="1"/>
      <c r="G154" s="3">
        <f>IFERROR(__xludf.DUMMYFUNCTION("""COMPUTED_VALUE"""),5217.0)</f>
        <v>5217</v>
      </c>
      <c r="H154" s="1"/>
      <c r="I154" s="1">
        <f>IFERROR(__xludf.DUMMYFUNCTION("""COMPUTED_VALUE"""),-8.0)</f>
        <v>-8</v>
      </c>
      <c r="J154" s="1">
        <f>IFERROR(__xludf.DUMMYFUNCTION("""COMPUTED_VALUE"""),2.0)</f>
        <v>2</v>
      </c>
      <c r="K154" s="3">
        <f>IFERROR(__xludf.DUMMYFUNCTION("""COMPUTED_VALUE"""),9043.0)</f>
        <v>9043</v>
      </c>
      <c r="L154" s="1">
        <f>IFERROR(__xludf.DUMMYFUNCTION("""COMPUTED_VALUE"""),199.0)</f>
        <v>199</v>
      </c>
      <c r="M154" s="3">
        <f>IFERROR(__xludf.DUMMYFUNCTION("""COMPUTED_VALUE"""),22311.0)</f>
        <v>22311</v>
      </c>
      <c r="N154" s="3">
        <f>IFERROR(__xludf.DUMMYFUNCTION("""COMPUTED_VALUE"""),37884.0)</f>
        <v>37884</v>
      </c>
      <c r="O154" s="2">
        <f>IFERROR(__xludf.DUMMYFUNCTION("""COMPUTED_VALUE"""),588933.0)</f>
        <v>588933</v>
      </c>
      <c r="P154" s="1" t="str">
        <f>IFERROR(__xludf.DUMMYFUNCTION("""COMPUTED_VALUE"""),"South America")</f>
        <v>South America</v>
      </c>
      <c r="Q154" s="1">
        <f>IFERROR(__xludf.DUMMYFUNCTION("""COMPUTED_VALUE"""),111.0)</f>
        <v>111</v>
      </c>
      <c r="R154" s="3">
        <f>IFERROR(__xludf.DUMMYFUNCTION("""COMPUTED_VALUE"""),5034.0)</f>
        <v>5034</v>
      </c>
      <c r="S154" s="1">
        <f>IFERROR(__xludf.DUMMYFUNCTION("""COMPUTED_VALUE"""),26.0)</f>
        <v>26</v>
      </c>
    </row>
    <row r="155">
      <c r="A155" s="1">
        <f>IFERROR(__xludf.DUMMYFUNCTION("""COMPUTED_VALUE"""),146.0)</f>
        <v>146</v>
      </c>
      <c r="B155" s="1" t="str">
        <f>IFERROR(__xludf.DUMMYFUNCTION("""COMPUTED_VALUE"""),"Equatorial Guinea")</f>
        <v>Equatorial Guinea</v>
      </c>
      <c r="C155" s="3">
        <f>IFERROR(__xludf.DUMMYFUNCTION("""COMPUTED_VALUE"""),5166.0)</f>
        <v>5166</v>
      </c>
      <c r="D155" s="1"/>
      <c r="E155" s="1">
        <f>IFERROR(__xludf.DUMMYFUNCTION("""COMPUTED_VALUE"""),85.0)</f>
        <v>85</v>
      </c>
      <c r="F155" s="1"/>
      <c r="G155" s="3">
        <f>IFERROR(__xludf.DUMMYFUNCTION("""COMPUTED_VALUE"""),5036.0)</f>
        <v>5036</v>
      </c>
      <c r="H155" s="1"/>
      <c r="I155" s="1">
        <f>IFERROR(__xludf.DUMMYFUNCTION("""COMPUTED_VALUE"""),45.0)</f>
        <v>45</v>
      </c>
      <c r="J155" s="1"/>
      <c r="K155" s="3">
        <f>IFERROR(__xludf.DUMMYFUNCTION("""COMPUTED_VALUE"""),3631.0)</f>
        <v>3631</v>
      </c>
      <c r="L155" s="1">
        <f>IFERROR(__xludf.DUMMYFUNCTION("""COMPUTED_VALUE"""),60.0)</f>
        <v>60</v>
      </c>
      <c r="M155" s="3">
        <f>IFERROR(__xludf.DUMMYFUNCTION("""COMPUTED_VALUE"""),71619.0)</f>
        <v>71619</v>
      </c>
      <c r="N155" s="3">
        <f>IFERROR(__xludf.DUMMYFUNCTION("""COMPUTED_VALUE"""),50340.0)</f>
        <v>50340</v>
      </c>
      <c r="O155" s="2">
        <f>IFERROR(__xludf.DUMMYFUNCTION("""COMPUTED_VALUE"""),1422698.0)</f>
        <v>1422698</v>
      </c>
      <c r="P155" s="1" t="str">
        <f>IFERROR(__xludf.DUMMYFUNCTION("""COMPUTED_VALUE"""),"Africa")</f>
        <v>Africa</v>
      </c>
      <c r="Q155" s="1">
        <f>IFERROR(__xludf.DUMMYFUNCTION("""COMPUTED_VALUE"""),275.0)</f>
        <v>275</v>
      </c>
      <c r="R155" s="3">
        <f>IFERROR(__xludf.DUMMYFUNCTION("""COMPUTED_VALUE"""),16738.0)</f>
        <v>16738</v>
      </c>
      <c r="S155" s="1">
        <f>IFERROR(__xludf.DUMMYFUNCTION("""COMPUTED_VALUE"""),20.0)</f>
        <v>20</v>
      </c>
    </row>
    <row r="156">
      <c r="A156" s="1">
        <f>IFERROR(__xludf.DUMMYFUNCTION("""COMPUTED_VALUE"""),147.0)</f>
        <v>147</v>
      </c>
      <c r="B156" s="1" t="str">
        <f>IFERROR(__xludf.DUMMYFUNCTION("""COMPUTED_VALUE"""),"Aruba")</f>
        <v>Aruba</v>
      </c>
      <c r="C156" s="3">
        <f>IFERROR(__xludf.DUMMYFUNCTION("""COMPUTED_VALUE"""),4996.0)</f>
        <v>4996</v>
      </c>
      <c r="D156" s="1" t="str">
        <f>IFERROR(__xludf.DUMMYFUNCTION("""COMPUTED_VALUE"""),"+12")</f>
        <v>+12</v>
      </c>
      <c r="E156" s="1">
        <f>IFERROR(__xludf.DUMMYFUNCTION("""COMPUTED_VALUE"""),45.0)</f>
        <v>45</v>
      </c>
      <c r="F156" s="1"/>
      <c r="G156" s="3">
        <f>IFERROR(__xludf.DUMMYFUNCTION("""COMPUTED_VALUE"""),4856.0)</f>
        <v>4856</v>
      </c>
      <c r="H156" s="1" t="str">
        <f>IFERROR(__xludf.DUMMYFUNCTION("""COMPUTED_VALUE"""),"+29")</f>
        <v>+29</v>
      </c>
      <c r="I156" s="1">
        <f>IFERROR(__xludf.DUMMYFUNCTION("""COMPUTED_VALUE"""),95.0)</f>
        <v>95</v>
      </c>
      <c r="J156" s="1">
        <f>IFERROR(__xludf.DUMMYFUNCTION("""COMPUTED_VALUE"""),4.0)</f>
        <v>4</v>
      </c>
      <c r="K156" s="3">
        <f>IFERROR(__xludf.DUMMYFUNCTION("""COMPUTED_VALUE"""),46707.0)</f>
        <v>46707</v>
      </c>
      <c r="L156" s="1">
        <f>IFERROR(__xludf.DUMMYFUNCTION("""COMPUTED_VALUE"""),421.0)</f>
        <v>421</v>
      </c>
      <c r="M156" s="3">
        <f>IFERROR(__xludf.DUMMYFUNCTION("""COMPUTED_VALUE"""),53920.0)</f>
        <v>53920</v>
      </c>
      <c r="N156" s="3">
        <f>IFERROR(__xludf.DUMMYFUNCTION("""COMPUTED_VALUE"""),504090.0)</f>
        <v>504090</v>
      </c>
      <c r="O156" s="2">
        <f>IFERROR(__xludf.DUMMYFUNCTION("""COMPUTED_VALUE"""),106965.0)</f>
        <v>106965</v>
      </c>
      <c r="P156" s="1" t="str">
        <f>IFERROR(__xludf.DUMMYFUNCTION("""COMPUTED_VALUE"""),"North America")</f>
        <v>North America</v>
      </c>
      <c r="Q156" s="1">
        <f>IFERROR(__xludf.DUMMYFUNCTION("""COMPUTED_VALUE"""),21.0)</f>
        <v>21</v>
      </c>
      <c r="R156" s="3">
        <f>IFERROR(__xludf.DUMMYFUNCTION("""COMPUTED_VALUE"""),2377.0)</f>
        <v>2377</v>
      </c>
      <c r="S156" s="1">
        <f>IFERROR(__xludf.DUMMYFUNCTION("""COMPUTED_VALUE"""),2.0)</f>
        <v>2</v>
      </c>
    </row>
    <row r="157">
      <c r="A157" s="1">
        <f>IFERROR(__xludf.DUMMYFUNCTION("""COMPUTED_VALUE"""),148.0)</f>
        <v>148</v>
      </c>
      <c r="B157" s="1" t="str">
        <f>IFERROR(__xludf.DUMMYFUNCTION("""COMPUTED_VALUE"""),"CAR")</f>
        <v>CAR</v>
      </c>
      <c r="C157" s="3">
        <f>IFERROR(__xludf.DUMMYFUNCTION("""COMPUTED_VALUE"""),4927.0)</f>
        <v>4927</v>
      </c>
      <c r="D157" s="1"/>
      <c r="E157" s="1">
        <f>IFERROR(__xludf.DUMMYFUNCTION("""COMPUTED_VALUE"""),63.0)</f>
        <v>63</v>
      </c>
      <c r="F157" s="1"/>
      <c r="G157" s="3">
        <f>IFERROR(__xludf.DUMMYFUNCTION("""COMPUTED_VALUE"""),1924.0)</f>
        <v>1924</v>
      </c>
      <c r="H157" s="1"/>
      <c r="I157" s="3">
        <f>IFERROR(__xludf.DUMMYFUNCTION("""COMPUTED_VALUE"""),2940.0)</f>
        <v>2940</v>
      </c>
      <c r="J157" s="1">
        <f>IFERROR(__xludf.DUMMYFUNCTION("""COMPUTED_VALUE"""),2.0)</f>
        <v>2</v>
      </c>
      <c r="K157" s="3">
        <f>IFERROR(__xludf.DUMMYFUNCTION("""COMPUTED_VALUE"""),1012.0)</f>
        <v>1012</v>
      </c>
      <c r="L157" s="1">
        <f>IFERROR(__xludf.DUMMYFUNCTION("""COMPUTED_VALUE"""),13.0)</f>
        <v>13</v>
      </c>
      <c r="M157" s="3">
        <f>IFERROR(__xludf.DUMMYFUNCTION("""COMPUTED_VALUE"""),32711.0)</f>
        <v>32711</v>
      </c>
      <c r="N157" s="3">
        <f>IFERROR(__xludf.DUMMYFUNCTION("""COMPUTED_VALUE"""),6722.0)</f>
        <v>6722</v>
      </c>
      <c r="O157" s="2">
        <f>IFERROR(__xludf.DUMMYFUNCTION("""COMPUTED_VALUE"""),4866235.0)</f>
        <v>4866235</v>
      </c>
      <c r="P157" s="1" t="str">
        <f>IFERROR(__xludf.DUMMYFUNCTION("""COMPUTED_VALUE"""),"Africa")</f>
        <v>Africa</v>
      </c>
      <c r="Q157" s="1">
        <f>IFERROR(__xludf.DUMMYFUNCTION("""COMPUTED_VALUE"""),988.0)</f>
        <v>988</v>
      </c>
      <c r="R157" s="3">
        <f>IFERROR(__xludf.DUMMYFUNCTION("""COMPUTED_VALUE"""),77242.0)</f>
        <v>77242</v>
      </c>
      <c r="S157" s="1">
        <f>IFERROR(__xludf.DUMMYFUNCTION("""COMPUTED_VALUE"""),149.0)</f>
        <v>149</v>
      </c>
    </row>
    <row r="158">
      <c r="A158" s="1">
        <f>IFERROR(__xludf.DUMMYFUNCTION("""COMPUTED_VALUE"""),149.0)</f>
        <v>149</v>
      </c>
      <c r="B158" s="1" t="str">
        <f>IFERROR(__xludf.DUMMYFUNCTION("""COMPUTED_VALUE"""),"Somalia")</f>
        <v>Somalia</v>
      </c>
      <c r="C158" s="3">
        <f>IFERROR(__xludf.DUMMYFUNCTION("""COMPUTED_VALUE"""),4579.0)</f>
        <v>4579</v>
      </c>
      <c r="D158" s="1"/>
      <c r="E158" s="1">
        <f>IFERROR(__xludf.DUMMYFUNCTION("""COMPUTED_VALUE"""),121.0)</f>
        <v>121</v>
      </c>
      <c r="F158" s="1"/>
      <c r="G158" s="3">
        <f>IFERROR(__xludf.DUMMYFUNCTION("""COMPUTED_VALUE"""),3529.0)</f>
        <v>3529</v>
      </c>
      <c r="H158" s="1"/>
      <c r="I158" s="1">
        <f>IFERROR(__xludf.DUMMYFUNCTION("""COMPUTED_VALUE"""),929.0)</f>
        <v>929</v>
      </c>
      <c r="J158" s="1"/>
      <c r="K158" s="1">
        <f>IFERROR(__xludf.DUMMYFUNCTION("""COMPUTED_VALUE"""),285.0)</f>
        <v>285</v>
      </c>
      <c r="L158" s="1">
        <f>IFERROR(__xludf.DUMMYFUNCTION("""COMPUTED_VALUE"""),8.0)</f>
        <v>8</v>
      </c>
      <c r="M158" s="1"/>
      <c r="N158" s="1"/>
      <c r="O158" s="2">
        <f>IFERROR(__xludf.DUMMYFUNCTION("""COMPUTED_VALUE"""),1.6083815E7)</f>
        <v>16083815</v>
      </c>
      <c r="P158" s="1" t="str">
        <f>IFERROR(__xludf.DUMMYFUNCTION("""COMPUTED_VALUE"""),"Africa")</f>
        <v>Africa</v>
      </c>
      <c r="Q158" s="3">
        <f>IFERROR(__xludf.DUMMYFUNCTION("""COMPUTED_VALUE"""),3513.0)</f>
        <v>3513</v>
      </c>
      <c r="R158" s="3">
        <f>IFERROR(__xludf.DUMMYFUNCTION("""COMPUTED_VALUE"""),132924.0)</f>
        <v>132924</v>
      </c>
      <c r="S158" s="1"/>
    </row>
    <row r="159">
      <c r="A159" s="1">
        <f>IFERROR(__xludf.DUMMYFUNCTION("""COMPUTED_VALUE"""),150.0)</f>
        <v>150</v>
      </c>
      <c r="B159" s="1" t="str">
        <f>IFERROR(__xludf.DUMMYFUNCTION("""COMPUTED_VALUE"""),"Thailand")</f>
        <v>Thailand</v>
      </c>
      <c r="C159" s="3">
        <f>IFERROR(__xludf.DUMMYFUNCTION("""COMPUTED_VALUE"""),4151.0)</f>
        <v>4151</v>
      </c>
      <c r="D159" s="1" t="str">
        <f>IFERROR(__xludf.DUMMYFUNCTION("""COMPUTED_VALUE"""),"+25")</f>
        <v>+25</v>
      </c>
      <c r="E159" s="1">
        <f>IFERROR(__xludf.DUMMYFUNCTION("""COMPUTED_VALUE"""),60.0)</f>
        <v>60</v>
      </c>
      <c r="F159" s="1"/>
      <c r="G159" s="3">
        <f>IFERROR(__xludf.DUMMYFUNCTION("""COMPUTED_VALUE"""),3880.0)</f>
        <v>3880</v>
      </c>
      <c r="H159" s="1" t="str">
        <f>IFERROR(__xludf.DUMMYFUNCTION("""COMPUTED_VALUE"""),"+6")</f>
        <v>+6</v>
      </c>
      <c r="I159" s="1">
        <f>IFERROR(__xludf.DUMMYFUNCTION("""COMPUTED_VALUE"""),211.0)</f>
        <v>211</v>
      </c>
      <c r="J159" s="1">
        <f>IFERROR(__xludf.DUMMYFUNCTION("""COMPUTED_VALUE"""),1.0)</f>
        <v>1</v>
      </c>
      <c r="K159" s="1">
        <f>IFERROR(__xludf.DUMMYFUNCTION("""COMPUTED_VALUE"""),59.0)</f>
        <v>59</v>
      </c>
      <c r="L159" s="1">
        <f>IFERROR(__xludf.DUMMYFUNCTION("""COMPUTED_VALUE"""),0.9)</f>
        <v>0.9</v>
      </c>
      <c r="M159" s="3">
        <f>IFERROR(__xludf.DUMMYFUNCTION("""COMPUTED_VALUE"""),977854.0)</f>
        <v>977854</v>
      </c>
      <c r="N159" s="3">
        <f>IFERROR(__xludf.DUMMYFUNCTION("""COMPUTED_VALUE"""),13994.0)</f>
        <v>13994</v>
      </c>
      <c r="O159" s="2">
        <f>IFERROR(__xludf.DUMMYFUNCTION("""COMPUTED_VALUE"""),6.9877067E7)</f>
        <v>69877067</v>
      </c>
      <c r="P159" s="1" t="str">
        <f>IFERROR(__xludf.DUMMYFUNCTION("""COMPUTED_VALUE"""),"Asia")</f>
        <v>Asia</v>
      </c>
      <c r="Q159" s="3">
        <f>IFERROR(__xludf.DUMMYFUNCTION("""COMPUTED_VALUE"""),16834.0)</f>
        <v>16834</v>
      </c>
      <c r="R159" s="3">
        <f>IFERROR(__xludf.DUMMYFUNCTION("""COMPUTED_VALUE"""),1164618.0)</f>
        <v>1164618</v>
      </c>
      <c r="S159" s="1">
        <f>IFERROR(__xludf.DUMMYFUNCTION("""COMPUTED_VALUE"""),71.0)</f>
        <v>71</v>
      </c>
    </row>
    <row r="160">
      <c r="A160" s="1">
        <f>IFERROR(__xludf.DUMMYFUNCTION("""COMPUTED_VALUE"""),151.0)</f>
        <v>151</v>
      </c>
      <c r="B160" s="1" t="str">
        <f>IFERROR(__xludf.DUMMYFUNCTION("""COMPUTED_VALUE"""),"Gambia")</f>
        <v>Gambia</v>
      </c>
      <c r="C160" s="3">
        <f>IFERROR(__xludf.DUMMYFUNCTION("""COMPUTED_VALUE"""),3776.0)</f>
        <v>3776</v>
      </c>
      <c r="D160" s="1"/>
      <c r="E160" s="1">
        <f>IFERROR(__xludf.DUMMYFUNCTION("""COMPUTED_VALUE"""),123.0)</f>
        <v>123</v>
      </c>
      <c r="F160" s="1"/>
      <c r="G160" s="3">
        <f>IFERROR(__xludf.DUMMYFUNCTION("""COMPUTED_VALUE"""),3631.0)</f>
        <v>3631</v>
      </c>
      <c r="H160" s="1"/>
      <c r="I160" s="1">
        <f>IFERROR(__xludf.DUMMYFUNCTION("""COMPUTED_VALUE"""),22.0)</f>
        <v>22</v>
      </c>
      <c r="J160" s="1">
        <f>IFERROR(__xludf.DUMMYFUNCTION("""COMPUTED_VALUE"""),1.0)</f>
        <v>1</v>
      </c>
      <c r="K160" s="3">
        <f>IFERROR(__xludf.DUMMYFUNCTION("""COMPUTED_VALUE"""),1544.0)</f>
        <v>1544</v>
      </c>
      <c r="L160" s="1">
        <f>IFERROR(__xludf.DUMMYFUNCTION("""COMPUTED_VALUE"""),50.0)</f>
        <v>50</v>
      </c>
      <c r="M160" s="3">
        <f>IFERROR(__xludf.DUMMYFUNCTION("""COMPUTED_VALUE"""),26604.0)</f>
        <v>26604</v>
      </c>
      <c r="N160" s="3">
        <f>IFERROR(__xludf.DUMMYFUNCTION("""COMPUTED_VALUE"""),10877.0)</f>
        <v>10877</v>
      </c>
      <c r="O160" s="2">
        <f>IFERROR(__xludf.DUMMYFUNCTION("""COMPUTED_VALUE"""),2445845.0)</f>
        <v>2445845</v>
      </c>
      <c r="P160" s="1" t="str">
        <f>IFERROR(__xludf.DUMMYFUNCTION("""COMPUTED_VALUE"""),"Africa")</f>
        <v>Africa</v>
      </c>
      <c r="Q160" s="1">
        <f>IFERROR(__xludf.DUMMYFUNCTION("""COMPUTED_VALUE"""),648.0)</f>
        <v>648</v>
      </c>
      <c r="R160" s="3">
        <f>IFERROR(__xludf.DUMMYFUNCTION("""COMPUTED_VALUE"""),19885.0)</f>
        <v>19885</v>
      </c>
      <c r="S160" s="1">
        <f>IFERROR(__xludf.DUMMYFUNCTION("""COMPUTED_VALUE"""),92.0)</f>
        <v>92</v>
      </c>
    </row>
    <row r="161">
      <c r="A161" s="1">
        <f>IFERROR(__xludf.DUMMYFUNCTION("""COMPUTED_VALUE"""),152.0)</f>
        <v>152</v>
      </c>
      <c r="B161" s="1" t="str">
        <f>IFERROR(__xludf.DUMMYFUNCTION("""COMPUTED_VALUE"""),"Burkina Faso")</f>
        <v>Burkina Faso</v>
      </c>
      <c r="C161" s="3">
        <f>IFERROR(__xludf.DUMMYFUNCTION("""COMPUTED_VALUE"""),3469.0)</f>
        <v>3469</v>
      </c>
      <c r="D161" s="1"/>
      <c r="E161" s="1">
        <f>IFERROR(__xludf.DUMMYFUNCTION("""COMPUTED_VALUE"""),69.0)</f>
        <v>69</v>
      </c>
      <c r="F161" s="1"/>
      <c r="G161" s="3">
        <f>IFERROR(__xludf.DUMMYFUNCTION("""COMPUTED_VALUE"""),2742.0)</f>
        <v>2742</v>
      </c>
      <c r="H161" s="1"/>
      <c r="I161" s="1">
        <f>IFERROR(__xludf.DUMMYFUNCTION("""COMPUTED_VALUE"""),658.0)</f>
        <v>658</v>
      </c>
      <c r="J161" s="1"/>
      <c r="K161" s="1">
        <f>IFERROR(__xludf.DUMMYFUNCTION("""COMPUTED_VALUE"""),164.0)</f>
        <v>164</v>
      </c>
      <c r="L161" s="1">
        <f>IFERROR(__xludf.DUMMYFUNCTION("""COMPUTED_VALUE"""),3.0)</f>
        <v>3</v>
      </c>
      <c r="M161" s="1"/>
      <c r="N161" s="1"/>
      <c r="O161" s="2">
        <f>IFERROR(__xludf.DUMMYFUNCTION("""COMPUTED_VALUE"""),2.1149767E7)</f>
        <v>21149767</v>
      </c>
      <c r="P161" s="1" t="str">
        <f>IFERROR(__xludf.DUMMYFUNCTION("""COMPUTED_VALUE"""),"Africa")</f>
        <v>Africa</v>
      </c>
      <c r="Q161" s="3">
        <f>IFERROR(__xludf.DUMMYFUNCTION("""COMPUTED_VALUE"""),6097.0)</f>
        <v>6097</v>
      </c>
      <c r="R161" s="3">
        <f>IFERROR(__xludf.DUMMYFUNCTION("""COMPUTED_VALUE"""),306518.0)</f>
        <v>306518</v>
      </c>
      <c r="S161" s="1"/>
    </row>
    <row r="162">
      <c r="A162" s="1">
        <f>IFERROR(__xludf.DUMMYFUNCTION("""COMPUTED_VALUE"""),153.0)</f>
        <v>153</v>
      </c>
      <c r="B162" s="1" t="str">
        <f>IFERROR(__xludf.DUMMYFUNCTION("""COMPUTED_VALUE"""),"Curaçao")</f>
        <v>Curaçao</v>
      </c>
      <c r="C162" s="3">
        <f>IFERROR(__xludf.DUMMYFUNCTION("""COMPUTED_VALUE"""),3325.0)</f>
        <v>3325</v>
      </c>
      <c r="D162" s="1" t="str">
        <f>IFERROR(__xludf.DUMMYFUNCTION("""COMPUTED_VALUE"""),"+79")</f>
        <v>+79</v>
      </c>
      <c r="E162" s="1">
        <f>IFERROR(__xludf.DUMMYFUNCTION("""COMPUTED_VALUE"""),8.0)</f>
        <v>8</v>
      </c>
      <c r="F162" s="1"/>
      <c r="G162" s="3">
        <f>IFERROR(__xludf.DUMMYFUNCTION("""COMPUTED_VALUE"""),1488.0)</f>
        <v>1488</v>
      </c>
      <c r="H162" s="1" t="str">
        <f>IFERROR(__xludf.DUMMYFUNCTION("""COMPUTED_VALUE"""),"+102")</f>
        <v>+102</v>
      </c>
      <c r="I162" s="3">
        <f>IFERROR(__xludf.DUMMYFUNCTION("""COMPUTED_VALUE"""),1829.0)</f>
        <v>1829</v>
      </c>
      <c r="J162" s="1">
        <f>IFERROR(__xludf.DUMMYFUNCTION("""COMPUTED_VALUE"""),18.0)</f>
        <v>18</v>
      </c>
      <c r="K162" s="3">
        <f>IFERROR(__xludf.DUMMYFUNCTION("""COMPUTED_VALUE"""),20227.0)</f>
        <v>20227</v>
      </c>
      <c r="L162" s="1">
        <f>IFERROR(__xludf.DUMMYFUNCTION("""COMPUTED_VALUE"""),49.0)</f>
        <v>49</v>
      </c>
      <c r="M162" s="3">
        <f>IFERROR(__xludf.DUMMYFUNCTION("""COMPUTED_VALUE"""),26604.0)</f>
        <v>26604</v>
      </c>
      <c r="N162" s="3">
        <f>IFERROR(__xludf.DUMMYFUNCTION("""COMPUTED_VALUE"""),161837.0)</f>
        <v>161837</v>
      </c>
      <c r="O162" s="2">
        <f>IFERROR(__xludf.DUMMYFUNCTION("""COMPUTED_VALUE"""),164388.0)</f>
        <v>164388</v>
      </c>
      <c r="P162" s="1" t="str">
        <f>IFERROR(__xludf.DUMMYFUNCTION("""COMPUTED_VALUE"""),"North America")</f>
        <v>North America</v>
      </c>
      <c r="Q162" s="1">
        <f>IFERROR(__xludf.DUMMYFUNCTION("""COMPUTED_VALUE"""),49.0)</f>
        <v>49</v>
      </c>
      <c r="R162" s="3">
        <f>IFERROR(__xludf.DUMMYFUNCTION("""COMPUTED_VALUE"""),20549.0)</f>
        <v>20549</v>
      </c>
      <c r="S162" s="1">
        <f>IFERROR(__xludf.DUMMYFUNCTION("""COMPUTED_VALUE"""),6.0)</f>
        <v>6</v>
      </c>
    </row>
    <row r="163">
      <c r="A163" s="1">
        <f>IFERROR(__xludf.DUMMYFUNCTION("""COMPUTED_VALUE"""),154.0)</f>
        <v>154</v>
      </c>
      <c r="B163" s="1" t="str">
        <f>IFERROR(__xludf.DUMMYFUNCTION("""COMPUTED_VALUE"""),"South Sudan")</f>
        <v>South Sudan</v>
      </c>
      <c r="C163" s="3">
        <f>IFERROR(__xludf.DUMMYFUNCTION("""COMPUTED_VALUE"""),3181.0)</f>
        <v>3181</v>
      </c>
      <c r="D163" s="1"/>
      <c r="E163" s="1">
        <f>IFERROR(__xludf.DUMMYFUNCTION("""COMPUTED_VALUE"""),62.0)</f>
        <v>62</v>
      </c>
      <c r="F163" s="1"/>
      <c r="G163" s="3">
        <f>IFERROR(__xludf.DUMMYFUNCTION("""COMPUTED_VALUE"""),3003.0)</f>
        <v>3003</v>
      </c>
      <c r="H163" s="1"/>
      <c r="I163" s="1">
        <f>IFERROR(__xludf.DUMMYFUNCTION("""COMPUTED_VALUE"""),116.0)</f>
        <v>116</v>
      </c>
      <c r="J163" s="1">
        <f>IFERROR(__xludf.DUMMYFUNCTION("""COMPUTED_VALUE"""),1.0)</f>
        <v>1</v>
      </c>
      <c r="K163" s="1">
        <f>IFERROR(__xludf.DUMMYFUNCTION("""COMPUTED_VALUE"""),283.0)</f>
        <v>283</v>
      </c>
      <c r="L163" s="1">
        <f>IFERROR(__xludf.DUMMYFUNCTION("""COMPUTED_VALUE"""),6.0)</f>
        <v>6</v>
      </c>
      <c r="M163" s="3">
        <f>IFERROR(__xludf.DUMMYFUNCTION("""COMPUTED_VALUE"""),62494.0)</f>
        <v>62494</v>
      </c>
      <c r="N163" s="3">
        <f>IFERROR(__xludf.DUMMYFUNCTION("""COMPUTED_VALUE"""),5555.0)</f>
        <v>5555</v>
      </c>
      <c r="O163" s="2">
        <f>IFERROR(__xludf.DUMMYFUNCTION("""COMPUTED_VALUE"""),1.1251021E7)</f>
        <v>11251021</v>
      </c>
      <c r="P163" s="1" t="str">
        <f>IFERROR(__xludf.DUMMYFUNCTION("""COMPUTED_VALUE"""),"Africa")</f>
        <v>Africa</v>
      </c>
      <c r="Q163" s="3">
        <f>IFERROR(__xludf.DUMMYFUNCTION("""COMPUTED_VALUE"""),3537.0)</f>
        <v>3537</v>
      </c>
      <c r="R163" s="3">
        <f>IFERROR(__xludf.DUMMYFUNCTION("""COMPUTED_VALUE"""),181468.0)</f>
        <v>181468</v>
      </c>
      <c r="S163" s="1">
        <f>IFERROR(__xludf.DUMMYFUNCTION("""COMPUTED_VALUE"""),180.0)</f>
        <v>180</v>
      </c>
    </row>
    <row r="164">
      <c r="A164" s="1">
        <f>IFERROR(__xludf.DUMMYFUNCTION("""COMPUTED_VALUE"""),155.0)</f>
        <v>155</v>
      </c>
      <c r="B164" s="1" t="str">
        <f>IFERROR(__xludf.DUMMYFUNCTION("""COMPUTED_VALUE"""),"Togo")</f>
        <v>Togo</v>
      </c>
      <c r="C164" s="3">
        <f>IFERROR(__xludf.DUMMYFUNCTION("""COMPUTED_VALUE"""),3132.0)</f>
        <v>3132</v>
      </c>
      <c r="D164" s="1"/>
      <c r="E164" s="1">
        <f>IFERROR(__xludf.DUMMYFUNCTION("""COMPUTED_VALUE"""),65.0)</f>
        <v>65</v>
      </c>
      <c r="F164" s="1"/>
      <c r="G164" s="3">
        <f>IFERROR(__xludf.DUMMYFUNCTION("""COMPUTED_VALUE"""),2691.0)</f>
        <v>2691</v>
      </c>
      <c r="H164" s="1"/>
      <c r="I164" s="1">
        <f>IFERROR(__xludf.DUMMYFUNCTION("""COMPUTED_VALUE"""),376.0)</f>
        <v>376</v>
      </c>
      <c r="J164" s="1"/>
      <c r="K164" s="1">
        <f>IFERROR(__xludf.DUMMYFUNCTION("""COMPUTED_VALUE"""),375.0)</f>
        <v>375</v>
      </c>
      <c r="L164" s="1">
        <f>IFERROR(__xludf.DUMMYFUNCTION("""COMPUTED_VALUE"""),8.0)</f>
        <v>8</v>
      </c>
      <c r="M164" s="3">
        <f>IFERROR(__xludf.DUMMYFUNCTION("""COMPUTED_VALUE"""),156333.0)</f>
        <v>156333</v>
      </c>
      <c r="N164" s="3">
        <f>IFERROR(__xludf.DUMMYFUNCTION("""COMPUTED_VALUE"""),18695.0)</f>
        <v>18695</v>
      </c>
      <c r="O164" s="2">
        <f>IFERROR(__xludf.DUMMYFUNCTION("""COMPUTED_VALUE"""),8362495.0)</f>
        <v>8362495</v>
      </c>
      <c r="P164" s="1" t="str">
        <f>IFERROR(__xludf.DUMMYFUNCTION("""COMPUTED_VALUE"""),"Africa")</f>
        <v>Africa</v>
      </c>
      <c r="Q164" s="3">
        <f>IFERROR(__xludf.DUMMYFUNCTION("""COMPUTED_VALUE"""),2670.0)</f>
        <v>2670</v>
      </c>
      <c r="R164" s="3">
        <f>IFERROR(__xludf.DUMMYFUNCTION("""COMPUTED_VALUE"""),128654.0)</f>
        <v>128654</v>
      </c>
      <c r="S164" s="1">
        <f>IFERROR(__xludf.DUMMYFUNCTION("""COMPUTED_VALUE"""),53.0)</f>
        <v>53</v>
      </c>
    </row>
    <row r="165">
      <c r="A165" s="1">
        <f>IFERROR(__xludf.DUMMYFUNCTION("""COMPUTED_VALUE"""),156.0)</f>
        <v>156</v>
      </c>
      <c r="B165" s="1" t="str">
        <f>IFERROR(__xludf.DUMMYFUNCTION("""COMPUTED_VALUE"""),"Benin")</f>
        <v>Benin</v>
      </c>
      <c r="C165" s="3">
        <f>IFERROR(__xludf.DUMMYFUNCTION("""COMPUTED_VALUE"""),3090.0)</f>
        <v>3090</v>
      </c>
      <c r="D165" s="1" t="str">
        <f>IFERROR(__xludf.DUMMYFUNCTION("""COMPUTED_VALUE"""),"+17")</f>
        <v>+17</v>
      </c>
      <c r="E165" s="1">
        <f>IFERROR(__xludf.DUMMYFUNCTION("""COMPUTED_VALUE"""),44.0)</f>
        <v>44</v>
      </c>
      <c r="F165" s="1"/>
      <c r="G165" s="3">
        <f>IFERROR(__xludf.DUMMYFUNCTION("""COMPUTED_VALUE"""),2972.0)</f>
        <v>2972</v>
      </c>
      <c r="H165" s="1" t="str">
        <f>IFERROR(__xludf.DUMMYFUNCTION("""COMPUTED_VALUE"""),"+50")</f>
        <v>+50</v>
      </c>
      <c r="I165" s="1">
        <f>IFERROR(__xludf.DUMMYFUNCTION("""COMPUTED_VALUE"""),74.0)</f>
        <v>74</v>
      </c>
      <c r="J165" s="1"/>
      <c r="K165" s="1">
        <f>IFERROR(__xludf.DUMMYFUNCTION("""COMPUTED_VALUE"""),252.0)</f>
        <v>252</v>
      </c>
      <c r="L165" s="1">
        <f>IFERROR(__xludf.DUMMYFUNCTION("""COMPUTED_VALUE"""),4.0)</f>
        <v>4</v>
      </c>
      <c r="M165" s="3">
        <f>IFERROR(__xludf.DUMMYFUNCTION("""COMPUTED_VALUE"""),360194.0)</f>
        <v>360194</v>
      </c>
      <c r="N165" s="3">
        <f>IFERROR(__xludf.DUMMYFUNCTION("""COMPUTED_VALUE"""),29380.0)</f>
        <v>29380</v>
      </c>
      <c r="O165" s="2">
        <f>IFERROR(__xludf.DUMMYFUNCTION("""COMPUTED_VALUE"""),1.2259922E7)</f>
        <v>12259922</v>
      </c>
      <c r="P165" s="1" t="str">
        <f>IFERROR(__xludf.DUMMYFUNCTION("""COMPUTED_VALUE"""),"Africa")</f>
        <v>Africa</v>
      </c>
      <c r="Q165" s="3">
        <f>IFERROR(__xludf.DUMMYFUNCTION("""COMPUTED_VALUE"""),3968.0)</f>
        <v>3968</v>
      </c>
      <c r="R165" s="3">
        <f>IFERROR(__xludf.DUMMYFUNCTION("""COMPUTED_VALUE"""),278635.0)</f>
        <v>278635</v>
      </c>
      <c r="S165" s="1">
        <f>IFERROR(__xludf.DUMMYFUNCTION("""COMPUTED_VALUE"""),34.0)</f>
        <v>34</v>
      </c>
    </row>
    <row r="166">
      <c r="A166" s="1">
        <f>IFERROR(__xludf.DUMMYFUNCTION("""COMPUTED_VALUE"""),157.0)</f>
        <v>157</v>
      </c>
      <c r="B166" s="1" t="str">
        <f>IFERROR(__xludf.DUMMYFUNCTION("""COMPUTED_VALUE"""),"Guinea-Bissau")</f>
        <v>Guinea-Bissau</v>
      </c>
      <c r="C166" s="3">
        <f>IFERROR(__xludf.DUMMYFUNCTION("""COMPUTED_VALUE"""),2444.0)</f>
        <v>2444</v>
      </c>
      <c r="D166" s="1"/>
      <c r="E166" s="1">
        <f>IFERROR(__xludf.DUMMYFUNCTION("""COMPUTED_VALUE"""),44.0)</f>
        <v>44</v>
      </c>
      <c r="F166" s="1"/>
      <c r="G166" s="3">
        <f>IFERROR(__xludf.DUMMYFUNCTION("""COMPUTED_VALUE"""),2337.0)</f>
        <v>2337</v>
      </c>
      <c r="H166" s="1"/>
      <c r="I166" s="1">
        <f>IFERROR(__xludf.DUMMYFUNCTION("""COMPUTED_VALUE"""),63.0)</f>
        <v>63</v>
      </c>
      <c r="J166" s="1">
        <f>IFERROR(__xludf.DUMMYFUNCTION("""COMPUTED_VALUE"""),5.0)</f>
        <v>5</v>
      </c>
      <c r="K166" s="3">
        <f>IFERROR(__xludf.DUMMYFUNCTION("""COMPUTED_VALUE"""),1229.0)</f>
        <v>1229</v>
      </c>
      <c r="L166" s="1">
        <f>IFERROR(__xludf.DUMMYFUNCTION("""COMPUTED_VALUE"""),22.0)</f>
        <v>22</v>
      </c>
      <c r="M166" s="3">
        <f>IFERROR(__xludf.DUMMYFUNCTION("""COMPUTED_VALUE"""),33033.0)</f>
        <v>33033</v>
      </c>
      <c r="N166" s="3">
        <f>IFERROR(__xludf.DUMMYFUNCTION("""COMPUTED_VALUE"""),16616.0)</f>
        <v>16616</v>
      </c>
      <c r="O166" s="2">
        <f>IFERROR(__xludf.DUMMYFUNCTION("""COMPUTED_VALUE"""),1988079.0)</f>
        <v>1988079</v>
      </c>
      <c r="P166" s="1" t="str">
        <f>IFERROR(__xludf.DUMMYFUNCTION("""COMPUTED_VALUE"""),"Africa")</f>
        <v>Africa</v>
      </c>
      <c r="Q166" s="1">
        <f>IFERROR(__xludf.DUMMYFUNCTION("""COMPUTED_VALUE"""),813.0)</f>
        <v>813</v>
      </c>
      <c r="R166" s="3">
        <f>IFERROR(__xludf.DUMMYFUNCTION("""COMPUTED_VALUE"""),45184.0)</f>
        <v>45184</v>
      </c>
      <c r="S166" s="1">
        <f>IFERROR(__xludf.DUMMYFUNCTION("""COMPUTED_VALUE"""),60.0)</f>
        <v>60</v>
      </c>
    </row>
    <row r="167">
      <c r="A167" s="1">
        <f>IFERROR(__xludf.DUMMYFUNCTION("""COMPUTED_VALUE"""),158.0)</f>
        <v>158</v>
      </c>
      <c r="B167" s="1" t="str">
        <f>IFERROR(__xludf.DUMMYFUNCTION("""COMPUTED_VALUE"""),"Sierra Leone")</f>
        <v>Sierra Leone</v>
      </c>
      <c r="C167" s="3">
        <f>IFERROR(__xludf.DUMMYFUNCTION("""COMPUTED_VALUE"""),2434.0)</f>
        <v>2434</v>
      </c>
      <c r="D167" s="1" t="str">
        <f>IFERROR(__xludf.DUMMYFUNCTION("""COMPUTED_VALUE"""),"+6")</f>
        <v>+6</v>
      </c>
      <c r="E167" s="1">
        <f>IFERROR(__xludf.DUMMYFUNCTION("""COMPUTED_VALUE"""),74.0)</f>
        <v>74</v>
      </c>
      <c r="F167" s="1"/>
      <c r="G167" s="3">
        <f>IFERROR(__xludf.DUMMYFUNCTION("""COMPUTED_VALUE"""),1847.0)</f>
        <v>1847</v>
      </c>
      <c r="H167" s="1" t="str">
        <f>IFERROR(__xludf.DUMMYFUNCTION("""COMPUTED_VALUE"""),"+1")</f>
        <v>+1</v>
      </c>
      <c r="I167" s="1">
        <f>IFERROR(__xludf.DUMMYFUNCTION("""COMPUTED_VALUE"""),513.0)</f>
        <v>513</v>
      </c>
      <c r="J167" s="1"/>
      <c r="K167" s="1">
        <f>IFERROR(__xludf.DUMMYFUNCTION("""COMPUTED_VALUE"""),302.0)</f>
        <v>302</v>
      </c>
      <c r="L167" s="1">
        <f>IFERROR(__xludf.DUMMYFUNCTION("""COMPUTED_VALUE"""),9.0)</f>
        <v>9</v>
      </c>
      <c r="M167" s="1"/>
      <c r="N167" s="1"/>
      <c r="O167" s="2">
        <f>IFERROR(__xludf.DUMMYFUNCTION("""COMPUTED_VALUE"""),8047232.0)</f>
        <v>8047232</v>
      </c>
      <c r="P167" s="1" t="str">
        <f>IFERROR(__xludf.DUMMYFUNCTION("""COMPUTED_VALUE"""),"Africa")</f>
        <v>Africa</v>
      </c>
      <c r="Q167" s="3">
        <f>IFERROR(__xludf.DUMMYFUNCTION("""COMPUTED_VALUE"""),3306.0)</f>
        <v>3306</v>
      </c>
      <c r="R167" s="3">
        <f>IFERROR(__xludf.DUMMYFUNCTION("""COMPUTED_VALUE"""),108746.0)</f>
        <v>108746</v>
      </c>
      <c r="S167" s="1"/>
    </row>
    <row r="168">
      <c r="A168" s="1">
        <f>IFERROR(__xludf.DUMMYFUNCTION("""COMPUTED_VALUE"""),159.0)</f>
        <v>159</v>
      </c>
      <c r="B168" s="1" t="str">
        <f>IFERROR(__xludf.DUMMYFUNCTION("""COMPUTED_VALUE"""),"Lesotho")</f>
        <v>Lesotho</v>
      </c>
      <c r="C168" s="3">
        <f>IFERROR(__xludf.DUMMYFUNCTION("""COMPUTED_VALUE"""),2164.0)</f>
        <v>2164</v>
      </c>
      <c r="D168" s="1" t="str">
        <f>IFERROR(__xludf.DUMMYFUNCTION("""COMPUTED_VALUE"""),"+14")</f>
        <v>+14</v>
      </c>
      <c r="E168" s="1">
        <f>IFERROR(__xludf.DUMMYFUNCTION("""COMPUTED_VALUE"""),44.0)</f>
        <v>44</v>
      </c>
      <c r="F168" s="1"/>
      <c r="G168" s="3">
        <f>IFERROR(__xludf.DUMMYFUNCTION("""COMPUTED_VALUE"""),1283.0)</f>
        <v>1283</v>
      </c>
      <c r="H168" s="1" t="str">
        <f>IFERROR(__xludf.DUMMYFUNCTION("""COMPUTED_VALUE"""),"+5")</f>
        <v>+5</v>
      </c>
      <c r="I168" s="1">
        <f>IFERROR(__xludf.DUMMYFUNCTION("""COMPUTED_VALUE"""),837.0)</f>
        <v>837</v>
      </c>
      <c r="J168" s="1"/>
      <c r="K168" s="3">
        <f>IFERROR(__xludf.DUMMYFUNCTION("""COMPUTED_VALUE"""),1007.0)</f>
        <v>1007</v>
      </c>
      <c r="L168" s="1">
        <f>IFERROR(__xludf.DUMMYFUNCTION("""COMPUTED_VALUE"""),20.0)</f>
        <v>20</v>
      </c>
      <c r="M168" s="3">
        <f>IFERROR(__xludf.DUMMYFUNCTION("""COMPUTED_VALUE"""),27017.0)</f>
        <v>27017</v>
      </c>
      <c r="N168" s="3">
        <f>IFERROR(__xludf.DUMMYFUNCTION("""COMPUTED_VALUE"""),12568.0)</f>
        <v>12568</v>
      </c>
      <c r="O168" s="2">
        <f>IFERROR(__xludf.DUMMYFUNCTION("""COMPUTED_VALUE"""),2149689.0)</f>
        <v>2149689</v>
      </c>
      <c r="P168" s="1" t="str">
        <f>IFERROR(__xludf.DUMMYFUNCTION("""COMPUTED_VALUE"""),"Africa")</f>
        <v>Africa</v>
      </c>
      <c r="Q168" s="1">
        <f>IFERROR(__xludf.DUMMYFUNCTION("""COMPUTED_VALUE"""),993.0)</f>
        <v>993</v>
      </c>
      <c r="R168" s="3">
        <f>IFERROR(__xludf.DUMMYFUNCTION("""COMPUTED_VALUE"""),48857.0)</f>
        <v>48857</v>
      </c>
      <c r="S168" s="1">
        <f>IFERROR(__xludf.DUMMYFUNCTION("""COMPUTED_VALUE"""),80.0)</f>
        <v>80</v>
      </c>
    </row>
    <row r="169">
      <c r="A169" s="1">
        <f>IFERROR(__xludf.DUMMYFUNCTION("""COMPUTED_VALUE"""),160.0)</f>
        <v>160</v>
      </c>
      <c r="B169" s="1" t="str">
        <f>IFERROR(__xludf.DUMMYFUNCTION("""COMPUTED_VALUE"""),"New Zealand")</f>
        <v>New Zealand</v>
      </c>
      <c r="C169" s="3">
        <f>IFERROR(__xludf.DUMMYFUNCTION("""COMPUTED_VALUE"""),2088.0)</f>
        <v>2088</v>
      </c>
      <c r="D169" s="1" t="str">
        <f>IFERROR(__xludf.DUMMYFUNCTION("""COMPUTED_VALUE"""),"+3")</f>
        <v>+3</v>
      </c>
      <c r="E169" s="1">
        <f>IFERROR(__xludf.DUMMYFUNCTION("""COMPUTED_VALUE"""),25.0)</f>
        <v>25</v>
      </c>
      <c r="F169" s="1"/>
      <c r="G169" s="3">
        <f>IFERROR(__xludf.DUMMYFUNCTION("""COMPUTED_VALUE"""),2008.0)</f>
        <v>2008</v>
      </c>
      <c r="H169" s="1" t="str">
        <f>IFERROR(__xludf.DUMMYFUNCTION("""COMPUTED_VALUE"""),"+2")</f>
        <v>+2</v>
      </c>
      <c r="I169" s="1">
        <f>IFERROR(__xludf.DUMMYFUNCTION("""COMPUTED_VALUE"""),55.0)</f>
        <v>55</v>
      </c>
      <c r="J169" s="1"/>
      <c r="K169" s="1">
        <f>IFERROR(__xludf.DUMMYFUNCTION("""COMPUTED_VALUE"""),417.0)</f>
        <v>417</v>
      </c>
      <c r="L169" s="1">
        <f>IFERROR(__xludf.DUMMYFUNCTION("""COMPUTED_VALUE"""),5.0)</f>
        <v>5</v>
      </c>
      <c r="M169" s="3">
        <f>IFERROR(__xludf.DUMMYFUNCTION("""COMPUTED_VALUE"""),1321598.0)</f>
        <v>1321598</v>
      </c>
      <c r="N169" s="3">
        <f>IFERROR(__xludf.DUMMYFUNCTION("""COMPUTED_VALUE"""),264209.0)</f>
        <v>264209</v>
      </c>
      <c r="O169" s="2">
        <f>IFERROR(__xludf.DUMMYFUNCTION("""COMPUTED_VALUE"""),5002100.0)</f>
        <v>5002100</v>
      </c>
      <c r="P169" s="1" t="str">
        <f>IFERROR(__xludf.DUMMYFUNCTION("""COMPUTED_VALUE"""),"Australia/Oceania")</f>
        <v>Australia/Oceania</v>
      </c>
      <c r="Q169" s="3">
        <f>IFERROR(__xludf.DUMMYFUNCTION("""COMPUTED_VALUE"""),2396.0)</f>
        <v>2396</v>
      </c>
      <c r="R169" s="3">
        <f>IFERROR(__xludf.DUMMYFUNCTION("""COMPUTED_VALUE"""),200084.0)</f>
        <v>200084</v>
      </c>
      <c r="S169" s="1">
        <f>IFERROR(__xludf.DUMMYFUNCTION("""COMPUTED_VALUE"""),4.0)</f>
        <v>4</v>
      </c>
    </row>
    <row r="170">
      <c r="A170" s="1">
        <f>IFERROR(__xludf.DUMMYFUNCTION("""COMPUTED_VALUE"""),161.0)</f>
        <v>161</v>
      </c>
      <c r="B170" s="1" t="str">
        <f>IFERROR(__xludf.DUMMYFUNCTION("""COMPUTED_VALUE"""),"Yemen")</f>
        <v>Yemen</v>
      </c>
      <c r="C170" s="3">
        <f>IFERROR(__xludf.DUMMYFUNCTION("""COMPUTED_VALUE"""),2079.0)</f>
        <v>2079</v>
      </c>
      <c r="D170" s="1" t="str">
        <f>IFERROR(__xludf.DUMMYFUNCTION("""COMPUTED_VALUE"""),"+1")</f>
        <v>+1</v>
      </c>
      <c r="E170" s="1">
        <f>IFERROR(__xludf.DUMMYFUNCTION("""COMPUTED_VALUE"""),606.0)</f>
        <v>606</v>
      </c>
      <c r="F170" s="1"/>
      <c r="G170" s="3">
        <f>IFERROR(__xludf.DUMMYFUNCTION("""COMPUTED_VALUE"""),1383.0)</f>
        <v>1383</v>
      </c>
      <c r="H170" s="1" t="str">
        <f>IFERROR(__xludf.DUMMYFUNCTION("""COMPUTED_VALUE"""),"+1")</f>
        <v>+1</v>
      </c>
      <c r="I170" s="1">
        <f>IFERROR(__xludf.DUMMYFUNCTION("""COMPUTED_VALUE"""),90.0)</f>
        <v>90</v>
      </c>
      <c r="J170" s="1">
        <f>IFERROR(__xludf.DUMMYFUNCTION("""COMPUTED_VALUE"""),23.0)</f>
        <v>23</v>
      </c>
      <c r="K170" s="1">
        <f>IFERROR(__xludf.DUMMYFUNCTION("""COMPUTED_VALUE"""),69.0)</f>
        <v>69</v>
      </c>
      <c r="L170" s="1">
        <f>IFERROR(__xludf.DUMMYFUNCTION("""COMPUTED_VALUE"""),20.0)</f>
        <v>20</v>
      </c>
      <c r="M170" s="3">
        <f>IFERROR(__xludf.DUMMYFUNCTION("""COMPUTED_VALUE"""),17404.0)</f>
        <v>17404</v>
      </c>
      <c r="N170" s="1">
        <f>IFERROR(__xludf.DUMMYFUNCTION("""COMPUTED_VALUE"""),578.0)</f>
        <v>578</v>
      </c>
      <c r="O170" s="2">
        <f>IFERROR(__xludf.DUMMYFUNCTION("""COMPUTED_VALUE"""),3.0109966E7)</f>
        <v>30109966</v>
      </c>
      <c r="P170" s="1" t="str">
        <f>IFERROR(__xludf.DUMMYFUNCTION("""COMPUTED_VALUE"""),"Asia")</f>
        <v>Asia</v>
      </c>
      <c r="Q170" s="3">
        <f>IFERROR(__xludf.DUMMYFUNCTION("""COMPUTED_VALUE"""),14483.0)</f>
        <v>14483</v>
      </c>
      <c r="R170" s="3">
        <f>IFERROR(__xludf.DUMMYFUNCTION("""COMPUTED_VALUE"""),49686.0)</f>
        <v>49686</v>
      </c>
      <c r="S170" s="3">
        <f>IFERROR(__xludf.DUMMYFUNCTION("""COMPUTED_VALUE"""),1730.0)</f>
        <v>1730</v>
      </c>
    </row>
    <row r="171">
      <c r="A171" s="1">
        <f>IFERROR(__xludf.DUMMYFUNCTION("""COMPUTED_VALUE"""),162.0)</f>
        <v>162</v>
      </c>
      <c r="B171" s="1" t="str">
        <f>IFERROR(__xludf.DUMMYFUNCTION("""COMPUTED_VALUE"""),"Niger")</f>
        <v>Niger</v>
      </c>
      <c r="C171" s="3">
        <f>IFERROR(__xludf.DUMMYFUNCTION("""COMPUTED_VALUE"""),1987.0)</f>
        <v>1987</v>
      </c>
      <c r="D171" s="1"/>
      <c r="E171" s="1">
        <f>IFERROR(__xludf.DUMMYFUNCTION("""COMPUTED_VALUE"""),79.0)</f>
        <v>79</v>
      </c>
      <c r="F171" s="1"/>
      <c r="G171" s="3">
        <f>IFERROR(__xludf.DUMMYFUNCTION("""COMPUTED_VALUE"""),1239.0)</f>
        <v>1239</v>
      </c>
      <c r="H171" s="1"/>
      <c r="I171" s="1">
        <f>IFERROR(__xludf.DUMMYFUNCTION("""COMPUTED_VALUE"""),669.0)</f>
        <v>669</v>
      </c>
      <c r="J171" s="1">
        <f>IFERROR(__xludf.DUMMYFUNCTION("""COMPUTED_VALUE"""),9.0)</f>
        <v>9</v>
      </c>
      <c r="K171" s="1">
        <f>IFERROR(__xludf.DUMMYFUNCTION("""COMPUTED_VALUE"""),81.0)</f>
        <v>81</v>
      </c>
      <c r="L171" s="1">
        <f>IFERROR(__xludf.DUMMYFUNCTION("""COMPUTED_VALUE"""),3.0)</f>
        <v>3</v>
      </c>
      <c r="M171" s="3">
        <f>IFERROR(__xludf.DUMMYFUNCTION("""COMPUTED_VALUE"""),47907.0)</f>
        <v>47907</v>
      </c>
      <c r="N171" s="3">
        <f>IFERROR(__xludf.DUMMYFUNCTION("""COMPUTED_VALUE"""),1949.0)</f>
        <v>1949</v>
      </c>
      <c r="O171" s="2">
        <f>IFERROR(__xludf.DUMMYFUNCTION("""COMPUTED_VALUE"""),2.4580115E7)</f>
        <v>24580115</v>
      </c>
      <c r="P171" s="1" t="str">
        <f>IFERROR(__xludf.DUMMYFUNCTION("""COMPUTED_VALUE"""),"Africa")</f>
        <v>Africa</v>
      </c>
      <c r="Q171" s="3">
        <f>IFERROR(__xludf.DUMMYFUNCTION("""COMPUTED_VALUE"""),12370.0)</f>
        <v>12370</v>
      </c>
      <c r="R171" s="3">
        <f>IFERROR(__xludf.DUMMYFUNCTION("""COMPUTED_VALUE"""),311141.0)</f>
        <v>311141</v>
      </c>
      <c r="S171" s="1">
        <f>IFERROR(__xludf.DUMMYFUNCTION("""COMPUTED_VALUE"""),513.0)</f>
        <v>513</v>
      </c>
    </row>
    <row r="172">
      <c r="A172" s="1">
        <f>IFERROR(__xludf.DUMMYFUNCTION("""COMPUTED_VALUE"""),163.0)</f>
        <v>163</v>
      </c>
      <c r="B172" s="1" t="str">
        <f>IFERROR(__xludf.DUMMYFUNCTION("""COMPUTED_VALUE"""),"San Marino")</f>
        <v>San Marino</v>
      </c>
      <c r="C172" s="3">
        <f>IFERROR(__xludf.DUMMYFUNCTION("""COMPUTED_VALUE"""),1834.0)</f>
        <v>1834</v>
      </c>
      <c r="D172" s="1" t="str">
        <f>IFERROR(__xludf.DUMMYFUNCTION("""COMPUTED_VALUE"""),"+34")</f>
        <v>+34</v>
      </c>
      <c r="E172" s="1">
        <f>IFERROR(__xludf.DUMMYFUNCTION("""COMPUTED_VALUE"""),49.0)</f>
        <v>49</v>
      </c>
      <c r="F172" s="1" t="str">
        <f>IFERROR(__xludf.DUMMYFUNCTION("""COMPUTED_VALUE"""),"+1")</f>
        <v>+1</v>
      </c>
      <c r="G172" s="3">
        <f>IFERROR(__xludf.DUMMYFUNCTION("""COMPUTED_VALUE"""),1492.0)</f>
        <v>1492</v>
      </c>
      <c r="H172" s="1" t="str">
        <f>IFERROR(__xludf.DUMMYFUNCTION("""COMPUTED_VALUE"""),"+54")</f>
        <v>+54</v>
      </c>
      <c r="I172" s="1">
        <f>IFERROR(__xludf.DUMMYFUNCTION("""COMPUTED_VALUE"""),293.0)</f>
        <v>293</v>
      </c>
      <c r="J172" s="1">
        <f>IFERROR(__xludf.DUMMYFUNCTION("""COMPUTED_VALUE"""),7.0)</f>
        <v>7</v>
      </c>
      <c r="K172" s="3">
        <f>IFERROR(__xludf.DUMMYFUNCTION("""COMPUTED_VALUE"""),54002.0)</f>
        <v>54002</v>
      </c>
      <c r="L172" s="3">
        <f>IFERROR(__xludf.DUMMYFUNCTION("""COMPUTED_VALUE"""),1443.0)</f>
        <v>1443</v>
      </c>
      <c r="M172" s="3">
        <f>IFERROR(__xludf.DUMMYFUNCTION("""COMPUTED_VALUE"""),19775.0)</f>
        <v>19775</v>
      </c>
      <c r="N172" s="3">
        <f>IFERROR(__xludf.DUMMYFUNCTION("""COMPUTED_VALUE"""),582268.0)</f>
        <v>582268</v>
      </c>
      <c r="O172" s="2">
        <f>IFERROR(__xludf.DUMMYFUNCTION("""COMPUTED_VALUE"""),33962.0)</f>
        <v>33962</v>
      </c>
      <c r="P172" s="1" t="str">
        <f>IFERROR(__xludf.DUMMYFUNCTION("""COMPUTED_VALUE"""),"Europe")</f>
        <v>Europe</v>
      </c>
      <c r="Q172" s="1">
        <f>IFERROR(__xludf.DUMMYFUNCTION("""COMPUTED_VALUE"""),19.0)</f>
        <v>19</v>
      </c>
      <c r="R172" s="1">
        <f>IFERROR(__xludf.DUMMYFUNCTION("""COMPUTED_VALUE"""),693.0)</f>
        <v>693</v>
      </c>
      <c r="S172" s="1">
        <f>IFERROR(__xludf.DUMMYFUNCTION("""COMPUTED_VALUE"""),2.0)</f>
        <v>2</v>
      </c>
    </row>
    <row r="173">
      <c r="A173" s="1">
        <f>IFERROR(__xludf.DUMMYFUNCTION("""COMPUTED_VALUE"""),164.0)</f>
        <v>164</v>
      </c>
      <c r="B173" s="1" t="str">
        <f>IFERROR(__xludf.DUMMYFUNCTION("""COMPUTED_VALUE"""),"Channel Islands")</f>
        <v>Channel Islands</v>
      </c>
      <c r="C173" s="3">
        <f>IFERROR(__xludf.DUMMYFUNCTION("""COMPUTED_VALUE"""),1786.0)</f>
        <v>1786</v>
      </c>
      <c r="D173" s="1" t="str">
        <f>IFERROR(__xludf.DUMMYFUNCTION("""COMPUTED_VALUE"""),"+38")</f>
        <v>+38</v>
      </c>
      <c r="E173" s="1">
        <f>IFERROR(__xludf.DUMMYFUNCTION("""COMPUTED_VALUE"""),48.0)</f>
        <v>48</v>
      </c>
      <c r="F173" s="1"/>
      <c r="G173" s="3">
        <f>IFERROR(__xludf.DUMMYFUNCTION("""COMPUTED_VALUE"""),1088.0)</f>
        <v>1088</v>
      </c>
      <c r="H173" s="1"/>
      <c r="I173" s="1">
        <f>IFERROR(__xludf.DUMMYFUNCTION("""COMPUTED_VALUE"""),650.0)</f>
        <v>650</v>
      </c>
      <c r="J173" s="1">
        <f>IFERROR(__xludf.DUMMYFUNCTION("""COMPUTED_VALUE"""),10.0)</f>
        <v>10</v>
      </c>
      <c r="K173" s="3">
        <f>IFERROR(__xludf.DUMMYFUNCTION("""COMPUTED_VALUE"""),10231.0)</f>
        <v>10231</v>
      </c>
      <c r="L173" s="1">
        <f>IFERROR(__xludf.DUMMYFUNCTION("""COMPUTED_VALUE"""),275.0)</f>
        <v>275</v>
      </c>
      <c r="M173" s="3">
        <f>IFERROR(__xludf.DUMMYFUNCTION("""COMPUTED_VALUE"""),199491.0)</f>
        <v>199491</v>
      </c>
      <c r="N173" s="3">
        <f>IFERROR(__xludf.DUMMYFUNCTION("""COMPUTED_VALUE"""),1142796.0)</f>
        <v>1142796</v>
      </c>
      <c r="O173" s="2">
        <f>IFERROR(__xludf.DUMMYFUNCTION("""COMPUTED_VALUE"""),174564.0)</f>
        <v>174564</v>
      </c>
      <c r="P173" s="1" t="str">
        <f>IFERROR(__xludf.DUMMYFUNCTION("""COMPUTED_VALUE"""),"Europe")</f>
        <v>Europe</v>
      </c>
      <c r="Q173" s="1">
        <f>IFERROR(__xludf.DUMMYFUNCTION("""COMPUTED_VALUE"""),98.0)</f>
        <v>98</v>
      </c>
      <c r="R173" s="3">
        <f>IFERROR(__xludf.DUMMYFUNCTION("""COMPUTED_VALUE"""),3637.0)</f>
        <v>3637</v>
      </c>
      <c r="S173" s="1">
        <f>IFERROR(__xludf.DUMMYFUNCTION("""COMPUTED_VALUE"""),1.0)</f>
        <v>1</v>
      </c>
    </row>
    <row r="174">
      <c r="A174" s="1">
        <f>IFERROR(__xludf.DUMMYFUNCTION("""COMPUTED_VALUE"""),165.0)</f>
        <v>165</v>
      </c>
      <c r="B174" s="1" t="str">
        <f>IFERROR(__xludf.DUMMYFUNCTION("""COMPUTED_VALUE"""),"Chad")</f>
        <v>Chad</v>
      </c>
      <c r="C174" s="3">
        <f>IFERROR(__xludf.DUMMYFUNCTION("""COMPUTED_VALUE"""),1732.0)</f>
        <v>1732</v>
      </c>
      <c r="D174" s="1" t="str">
        <f>IFERROR(__xludf.DUMMYFUNCTION("""COMPUTED_VALUE"""),"+3")</f>
        <v>+3</v>
      </c>
      <c r="E174" s="1">
        <f>IFERROR(__xludf.DUMMYFUNCTION("""COMPUTED_VALUE"""),102.0)</f>
        <v>102</v>
      </c>
      <c r="F174" s="1"/>
      <c r="G174" s="3">
        <f>IFERROR(__xludf.DUMMYFUNCTION("""COMPUTED_VALUE"""),1581.0)</f>
        <v>1581</v>
      </c>
      <c r="H174" s="1" t="str">
        <f>IFERROR(__xludf.DUMMYFUNCTION("""COMPUTED_VALUE"""),"+8")</f>
        <v>+8</v>
      </c>
      <c r="I174" s="1">
        <f>IFERROR(__xludf.DUMMYFUNCTION("""COMPUTED_VALUE"""),49.0)</f>
        <v>49</v>
      </c>
      <c r="J174" s="1"/>
      <c r="K174" s="1">
        <f>IFERROR(__xludf.DUMMYFUNCTION("""COMPUTED_VALUE"""),104.0)</f>
        <v>104</v>
      </c>
      <c r="L174" s="1">
        <f>IFERROR(__xludf.DUMMYFUNCTION("""COMPUTED_VALUE"""),6.0)</f>
        <v>6</v>
      </c>
      <c r="M174" s="1"/>
      <c r="N174" s="1"/>
      <c r="O174" s="2">
        <f>IFERROR(__xludf.DUMMYFUNCTION("""COMPUTED_VALUE"""),1.6628301E7)</f>
        <v>16628301</v>
      </c>
      <c r="P174" s="1" t="str">
        <f>IFERROR(__xludf.DUMMYFUNCTION("""COMPUTED_VALUE"""),"Africa")</f>
        <v>Africa</v>
      </c>
      <c r="Q174" s="3">
        <f>IFERROR(__xludf.DUMMYFUNCTION("""COMPUTED_VALUE"""),9601.0)</f>
        <v>9601</v>
      </c>
      <c r="R174" s="3">
        <f>IFERROR(__xludf.DUMMYFUNCTION("""COMPUTED_VALUE"""),163023.0)</f>
        <v>163023</v>
      </c>
      <c r="S174" s="1"/>
    </row>
    <row r="175">
      <c r="A175" s="1">
        <f>IFERROR(__xludf.DUMMYFUNCTION("""COMPUTED_VALUE"""),166.0)</f>
        <v>166</v>
      </c>
      <c r="B175" s="1" t="str">
        <f>IFERROR(__xludf.DUMMYFUNCTION("""COMPUTED_VALUE"""),"Liberia")</f>
        <v>Liberia</v>
      </c>
      <c r="C175" s="3">
        <f>IFERROR(__xludf.DUMMYFUNCTION("""COMPUTED_VALUE"""),1676.0)</f>
        <v>1676</v>
      </c>
      <c r="D175" s="1"/>
      <c r="E175" s="1">
        <f>IFERROR(__xludf.DUMMYFUNCTION("""COMPUTED_VALUE"""),83.0)</f>
        <v>83</v>
      </c>
      <c r="F175" s="1"/>
      <c r="G175" s="3">
        <f>IFERROR(__xludf.DUMMYFUNCTION("""COMPUTED_VALUE"""),1358.0)</f>
        <v>1358</v>
      </c>
      <c r="H175" s="1"/>
      <c r="I175" s="1">
        <f>IFERROR(__xludf.DUMMYFUNCTION("""COMPUTED_VALUE"""),235.0)</f>
        <v>235</v>
      </c>
      <c r="J175" s="1">
        <f>IFERROR(__xludf.DUMMYFUNCTION("""COMPUTED_VALUE"""),2.0)</f>
        <v>2</v>
      </c>
      <c r="K175" s="1">
        <f>IFERROR(__xludf.DUMMYFUNCTION("""COMPUTED_VALUE"""),328.0)</f>
        <v>328</v>
      </c>
      <c r="L175" s="1">
        <f>IFERROR(__xludf.DUMMYFUNCTION("""COMPUTED_VALUE"""),16.0)</f>
        <v>16</v>
      </c>
      <c r="M175" s="3">
        <f>IFERROR(__xludf.DUMMYFUNCTION("""COMPUTED_VALUE"""),35957.0)</f>
        <v>35957</v>
      </c>
      <c r="N175" s="3">
        <f>IFERROR(__xludf.DUMMYFUNCTION("""COMPUTED_VALUE"""),7038.0)</f>
        <v>7038</v>
      </c>
      <c r="O175" s="2">
        <f>IFERROR(__xludf.DUMMYFUNCTION("""COMPUTED_VALUE"""),5109001.0)</f>
        <v>5109001</v>
      </c>
      <c r="P175" s="1" t="str">
        <f>IFERROR(__xludf.DUMMYFUNCTION("""COMPUTED_VALUE"""),"Africa")</f>
        <v>Africa</v>
      </c>
      <c r="Q175" s="3">
        <f>IFERROR(__xludf.DUMMYFUNCTION("""COMPUTED_VALUE"""),3048.0)</f>
        <v>3048</v>
      </c>
      <c r="R175" s="3">
        <f>IFERROR(__xludf.DUMMYFUNCTION("""COMPUTED_VALUE"""),61554.0)</f>
        <v>61554</v>
      </c>
      <c r="S175" s="1">
        <f>IFERROR(__xludf.DUMMYFUNCTION("""COMPUTED_VALUE"""),142.0)</f>
        <v>142</v>
      </c>
    </row>
    <row r="176">
      <c r="A176" s="1">
        <f>IFERROR(__xludf.DUMMYFUNCTION("""COMPUTED_VALUE"""),167.0)</f>
        <v>167</v>
      </c>
      <c r="B176" s="1" t="str">
        <f>IFERROR(__xludf.DUMMYFUNCTION("""COMPUTED_VALUE"""),"Liechtenstein")</f>
        <v>Liechtenstein</v>
      </c>
      <c r="C176" s="3">
        <f>IFERROR(__xludf.DUMMYFUNCTION("""COMPUTED_VALUE"""),1432.0)</f>
        <v>1432</v>
      </c>
      <c r="D176" s="1" t="str">
        <f>IFERROR(__xludf.DUMMYFUNCTION("""COMPUTED_VALUE"""),"+28")</f>
        <v>+28</v>
      </c>
      <c r="E176" s="1">
        <f>IFERROR(__xludf.DUMMYFUNCTION("""COMPUTED_VALUE"""),19.0)</f>
        <v>19</v>
      </c>
      <c r="F176" s="1"/>
      <c r="G176" s="3">
        <f>IFERROR(__xludf.DUMMYFUNCTION("""COMPUTED_VALUE"""),1270.0)</f>
        <v>1270</v>
      </c>
      <c r="H176" s="1" t="str">
        <f>IFERROR(__xludf.DUMMYFUNCTION("""COMPUTED_VALUE"""),"+35")</f>
        <v>+35</v>
      </c>
      <c r="I176" s="1">
        <f>IFERROR(__xludf.DUMMYFUNCTION("""COMPUTED_VALUE"""),143.0)</f>
        <v>143</v>
      </c>
      <c r="J176" s="1">
        <f>IFERROR(__xludf.DUMMYFUNCTION("""COMPUTED_VALUE"""),20.0)</f>
        <v>20</v>
      </c>
      <c r="K176" s="3">
        <f>IFERROR(__xludf.DUMMYFUNCTION("""COMPUTED_VALUE"""),37510.0)</f>
        <v>37510</v>
      </c>
      <c r="L176" s="1">
        <f>IFERROR(__xludf.DUMMYFUNCTION("""COMPUTED_VALUE"""),498.0)</f>
        <v>498</v>
      </c>
      <c r="M176" s="3">
        <f>IFERROR(__xludf.DUMMYFUNCTION("""COMPUTED_VALUE"""),15735.0)</f>
        <v>15735</v>
      </c>
      <c r="N176" s="3">
        <f>IFERROR(__xludf.DUMMYFUNCTION("""COMPUTED_VALUE"""),412170.0)</f>
        <v>412170</v>
      </c>
      <c r="O176" s="2">
        <f>IFERROR(__xludf.DUMMYFUNCTION("""COMPUTED_VALUE"""),38176.0)</f>
        <v>38176</v>
      </c>
      <c r="P176" s="1" t="str">
        <f>IFERROR(__xludf.DUMMYFUNCTION("""COMPUTED_VALUE"""),"Europe")</f>
        <v>Europe</v>
      </c>
      <c r="Q176" s="1">
        <f>IFERROR(__xludf.DUMMYFUNCTION("""COMPUTED_VALUE"""),27.0)</f>
        <v>27</v>
      </c>
      <c r="R176" s="3">
        <f>IFERROR(__xludf.DUMMYFUNCTION("""COMPUTED_VALUE"""),2009.0)</f>
        <v>2009</v>
      </c>
      <c r="S176" s="1">
        <f>IFERROR(__xludf.DUMMYFUNCTION("""COMPUTED_VALUE"""),2.0)</f>
        <v>2</v>
      </c>
    </row>
    <row r="177">
      <c r="A177" s="1">
        <f>IFERROR(__xludf.DUMMYFUNCTION("""COMPUTED_VALUE"""),168.0)</f>
        <v>168</v>
      </c>
      <c r="B177" s="1" t="str">
        <f>IFERROR(__xludf.DUMMYFUNCTION("""COMPUTED_VALUE"""),"Vietnam")</f>
        <v>Vietnam</v>
      </c>
      <c r="C177" s="3">
        <f>IFERROR(__xludf.DUMMYFUNCTION("""COMPUTED_VALUE"""),1381.0)</f>
        <v>1381</v>
      </c>
      <c r="D177" s="1" t="str">
        <f>IFERROR(__xludf.DUMMYFUNCTION("""COMPUTED_VALUE"""),"+4")</f>
        <v>+4</v>
      </c>
      <c r="E177" s="1">
        <f>IFERROR(__xludf.DUMMYFUNCTION("""COMPUTED_VALUE"""),35.0)</f>
        <v>35</v>
      </c>
      <c r="F177" s="1"/>
      <c r="G177" s="3">
        <f>IFERROR(__xludf.DUMMYFUNCTION("""COMPUTED_VALUE"""),1225.0)</f>
        <v>1225</v>
      </c>
      <c r="H177" s="1" t="str">
        <f>IFERROR(__xludf.DUMMYFUNCTION("""COMPUTED_VALUE"""),"+1")</f>
        <v>+1</v>
      </c>
      <c r="I177" s="1">
        <f>IFERROR(__xludf.DUMMYFUNCTION("""COMPUTED_VALUE"""),121.0)</f>
        <v>121</v>
      </c>
      <c r="J177" s="1"/>
      <c r="K177" s="1">
        <f>IFERROR(__xludf.DUMMYFUNCTION("""COMPUTED_VALUE"""),14.0)</f>
        <v>14</v>
      </c>
      <c r="L177" s="1">
        <f>IFERROR(__xludf.DUMMYFUNCTION("""COMPUTED_VALUE"""),0.4)</f>
        <v>0.4</v>
      </c>
      <c r="M177" s="3">
        <f>IFERROR(__xludf.DUMMYFUNCTION("""COMPUTED_VALUE"""),1339465.0)</f>
        <v>1339465</v>
      </c>
      <c r="N177" s="3">
        <f>IFERROR(__xludf.DUMMYFUNCTION("""COMPUTED_VALUE"""),13707.0)</f>
        <v>13707</v>
      </c>
      <c r="O177" s="2">
        <f>IFERROR(__xludf.DUMMYFUNCTION("""COMPUTED_VALUE"""),9.772189E7)</f>
        <v>97721890</v>
      </c>
      <c r="P177" s="1" t="str">
        <f>IFERROR(__xludf.DUMMYFUNCTION("""COMPUTED_VALUE"""),"Asia")</f>
        <v>Asia</v>
      </c>
      <c r="Q177" s="3">
        <f>IFERROR(__xludf.DUMMYFUNCTION("""COMPUTED_VALUE"""),70762.0)</f>
        <v>70762</v>
      </c>
      <c r="R177" s="3">
        <f>IFERROR(__xludf.DUMMYFUNCTION("""COMPUTED_VALUE"""),2792054.0)</f>
        <v>2792054</v>
      </c>
      <c r="S177" s="1">
        <f>IFERROR(__xludf.DUMMYFUNCTION("""COMPUTED_VALUE"""),73.0)</f>
        <v>73</v>
      </c>
    </row>
    <row r="178">
      <c r="A178" s="1">
        <f>IFERROR(__xludf.DUMMYFUNCTION("""COMPUTED_VALUE"""),169.0)</f>
        <v>169</v>
      </c>
      <c r="B178" s="1" t="str">
        <f>IFERROR(__xludf.DUMMYFUNCTION("""COMPUTED_VALUE"""),"Sint Maarten")</f>
        <v>Sint Maarten</v>
      </c>
      <c r="C178" s="3">
        <f>IFERROR(__xludf.DUMMYFUNCTION("""COMPUTED_VALUE"""),1161.0)</f>
        <v>1161</v>
      </c>
      <c r="D178" s="1" t="str">
        <f>IFERROR(__xludf.DUMMYFUNCTION("""COMPUTED_VALUE"""),"+6")</f>
        <v>+6</v>
      </c>
      <c r="E178" s="1">
        <f>IFERROR(__xludf.DUMMYFUNCTION("""COMPUTED_VALUE"""),26.0)</f>
        <v>26</v>
      </c>
      <c r="F178" s="1"/>
      <c r="G178" s="3">
        <f>IFERROR(__xludf.DUMMYFUNCTION("""COMPUTED_VALUE"""),1041.0)</f>
        <v>1041</v>
      </c>
      <c r="H178" s="1" t="str">
        <f>IFERROR(__xludf.DUMMYFUNCTION("""COMPUTED_VALUE"""),"+11")</f>
        <v>+11</v>
      </c>
      <c r="I178" s="1">
        <f>IFERROR(__xludf.DUMMYFUNCTION("""COMPUTED_VALUE"""),94.0)</f>
        <v>94</v>
      </c>
      <c r="J178" s="1">
        <f>IFERROR(__xludf.DUMMYFUNCTION("""COMPUTED_VALUE"""),4.0)</f>
        <v>4</v>
      </c>
      <c r="K178" s="3">
        <f>IFERROR(__xludf.DUMMYFUNCTION("""COMPUTED_VALUE"""),26944.0)</f>
        <v>26944</v>
      </c>
      <c r="L178" s="1">
        <f>IFERROR(__xludf.DUMMYFUNCTION("""COMPUTED_VALUE"""),603.0)</f>
        <v>603</v>
      </c>
      <c r="M178" s="3">
        <f>IFERROR(__xludf.DUMMYFUNCTION("""COMPUTED_VALUE"""),8306.0)</f>
        <v>8306</v>
      </c>
      <c r="N178" s="3">
        <f>IFERROR(__xludf.DUMMYFUNCTION("""COMPUTED_VALUE"""),192764.0)</f>
        <v>192764</v>
      </c>
      <c r="O178" s="2">
        <f>IFERROR(__xludf.DUMMYFUNCTION("""COMPUTED_VALUE"""),43089.0)</f>
        <v>43089</v>
      </c>
      <c r="P178" s="1" t="str">
        <f>IFERROR(__xludf.DUMMYFUNCTION("""COMPUTED_VALUE"""),"North America")</f>
        <v>North America</v>
      </c>
      <c r="Q178" s="1">
        <f>IFERROR(__xludf.DUMMYFUNCTION("""COMPUTED_VALUE"""),37.0)</f>
        <v>37</v>
      </c>
      <c r="R178" s="3">
        <f>IFERROR(__xludf.DUMMYFUNCTION("""COMPUTED_VALUE"""),1657.0)</f>
        <v>1657</v>
      </c>
      <c r="S178" s="1">
        <f>IFERROR(__xludf.DUMMYFUNCTION("""COMPUTED_VALUE"""),5.0)</f>
        <v>5</v>
      </c>
    </row>
    <row r="179">
      <c r="A179" s="1">
        <f>IFERROR(__xludf.DUMMYFUNCTION("""COMPUTED_VALUE"""),170.0)</f>
        <v>170</v>
      </c>
      <c r="B179" s="1" t="str">
        <f>IFERROR(__xludf.DUMMYFUNCTION("""COMPUTED_VALUE"""),"Gibraltar")</f>
        <v>Gibraltar</v>
      </c>
      <c r="C179" s="3">
        <f>IFERROR(__xludf.DUMMYFUNCTION("""COMPUTED_VALUE"""),1065.0)</f>
        <v>1065</v>
      </c>
      <c r="D179" s="1" t="str">
        <f>IFERROR(__xludf.DUMMYFUNCTION("""COMPUTED_VALUE"""),"+7")</f>
        <v>+7</v>
      </c>
      <c r="E179" s="1">
        <f>IFERROR(__xludf.DUMMYFUNCTION("""COMPUTED_VALUE"""),5.0)</f>
        <v>5</v>
      </c>
      <c r="F179" s="1"/>
      <c r="G179" s="3">
        <f>IFERROR(__xludf.DUMMYFUNCTION("""COMPUTED_VALUE"""),1009.0)</f>
        <v>1009</v>
      </c>
      <c r="H179" s="1" t="str">
        <f>IFERROR(__xludf.DUMMYFUNCTION("""COMPUTED_VALUE"""),"+5")</f>
        <v>+5</v>
      </c>
      <c r="I179" s="1">
        <f>IFERROR(__xludf.DUMMYFUNCTION("""COMPUTED_VALUE"""),51.0)</f>
        <v>51</v>
      </c>
      <c r="J179" s="1">
        <f>IFERROR(__xludf.DUMMYFUNCTION("""COMPUTED_VALUE"""),1.0)</f>
        <v>1</v>
      </c>
      <c r="K179" s="3">
        <f>IFERROR(__xludf.DUMMYFUNCTION("""COMPUTED_VALUE"""),31615.0)</f>
        <v>31615</v>
      </c>
      <c r="L179" s="1">
        <f>IFERROR(__xludf.DUMMYFUNCTION("""COMPUTED_VALUE"""),148.0)</f>
        <v>148</v>
      </c>
      <c r="M179" s="3">
        <f>IFERROR(__xludf.DUMMYFUNCTION("""COMPUTED_VALUE"""),98775.0)</f>
        <v>98775</v>
      </c>
      <c r="N179" s="3">
        <f>IFERROR(__xludf.DUMMYFUNCTION("""COMPUTED_VALUE"""),2932140.0)</f>
        <v>2932140</v>
      </c>
      <c r="O179" s="2">
        <f>IFERROR(__xludf.DUMMYFUNCTION("""COMPUTED_VALUE"""),33687.0)</f>
        <v>33687</v>
      </c>
      <c r="P179" s="1" t="str">
        <f>IFERROR(__xludf.DUMMYFUNCTION("""COMPUTED_VALUE"""),"Europe")</f>
        <v>Europe</v>
      </c>
      <c r="Q179" s="1">
        <f>IFERROR(__xludf.DUMMYFUNCTION("""COMPUTED_VALUE"""),32.0)</f>
        <v>32</v>
      </c>
      <c r="R179" s="3">
        <f>IFERROR(__xludf.DUMMYFUNCTION("""COMPUTED_VALUE"""),6737.0)</f>
        <v>6737</v>
      </c>
      <c r="S179" s="1">
        <f>IFERROR(__xludf.DUMMYFUNCTION("""COMPUTED_VALUE"""),0.0)</f>
        <v>0</v>
      </c>
    </row>
    <row r="180">
      <c r="A180" s="1">
        <f>IFERROR(__xludf.DUMMYFUNCTION("""COMPUTED_VALUE"""),171.0)</f>
        <v>171</v>
      </c>
      <c r="B180" s="1" t="str">
        <f>IFERROR(__xludf.DUMMYFUNCTION("""COMPUTED_VALUE"""),"Sao Tome and Principe")</f>
        <v>Sao Tome and Principe</v>
      </c>
      <c r="C180" s="3">
        <f>IFERROR(__xludf.DUMMYFUNCTION("""COMPUTED_VALUE"""),1005.0)</f>
        <v>1005</v>
      </c>
      <c r="D180" s="1"/>
      <c r="E180" s="1">
        <f>IFERROR(__xludf.DUMMYFUNCTION("""COMPUTED_VALUE"""),17.0)</f>
        <v>17</v>
      </c>
      <c r="F180" s="1"/>
      <c r="G180" s="1">
        <f>IFERROR(__xludf.DUMMYFUNCTION("""COMPUTED_VALUE"""),944.0)</f>
        <v>944</v>
      </c>
      <c r="H180" s="1"/>
      <c r="I180" s="1">
        <f>IFERROR(__xludf.DUMMYFUNCTION("""COMPUTED_VALUE"""),44.0)</f>
        <v>44</v>
      </c>
      <c r="J180" s="1"/>
      <c r="K180" s="3">
        <f>IFERROR(__xludf.DUMMYFUNCTION("""COMPUTED_VALUE"""),4549.0)</f>
        <v>4549</v>
      </c>
      <c r="L180" s="1">
        <f>IFERROR(__xludf.DUMMYFUNCTION("""COMPUTED_VALUE"""),77.0)</f>
        <v>77</v>
      </c>
      <c r="M180" s="3">
        <f>IFERROR(__xludf.DUMMYFUNCTION("""COMPUTED_VALUE"""),7498.0)</f>
        <v>7498</v>
      </c>
      <c r="N180" s="3">
        <f>IFERROR(__xludf.DUMMYFUNCTION("""COMPUTED_VALUE"""),33939.0)</f>
        <v>33939</v>
      </c>
      <c r="O180" s="2">
        <f>IFERROR(__xludf.DUMMYFUNCTION("""COMPUTED_VALUE"""),220924.0)</f>
        <v>220924</v>
      </c>
      <c r="P180" s="1" t="str">
        <f>IFERROR(__xludf.DUMMYFUNCTION("""COMPUTED_VALUE"""),"Africa")</f>
        <v>Africa</v>
      </c>
      <c r="Q180" s="1">
        <f>IFERROR(__xludf.DUMMYFUNCTION("""COMPUTED_VALUE"""),220.0)</f>
        <v>220</v>
      </c>
      <c r="R180" s="3">
        <f>IFERROR(__xludf.DUMMYFUNCTION("""COMPUTED_VALUE"""),12996.0)</f>
        <v>12996</v>
      </c>
      <c r="S180" s="1">
        <f>IFERROR(__xludf.DUMMYFUNCTION("""COMPUTED_VALUE"""),29.0)</f>
        <v>29</v>
      </c>
    </row>
    <row r="181">
      <c r="A181" s="1">
        <f>IFERROR(__xludf.DUMMYFUNCTION("""COMPUTED_VALUE"""),172.0)</f>
        <v>172</v>
      </c>
      <c r="B181" s="1" t="str">
        <f>IFERROR(__xludf.DUMMYFUNCTION("""COMPUTED_VALUE"""),"Mongolia")</f>
        <v>Mongolia</v>
      </c>
      <c r="C181" s="1">
        <f>IFERROR(__xludf.DUMMYFUNCTION("""COMPUTED_VALUE"""),893.0)</f>
        <v>893</v>
      </c>
      <c r="D181" s="1" t="str">
        <f>IFERROR(__xludf.DUMMYFUNCTION("""COMPUTED_VALUE"""),"+5")</f>
        <v>+5</v>
      </c>
      <c r="E181" s="1"/>
      <c r="F181" s="1"/>
      <c r="G181" s="1">
        <f>IFERROR(__xludf.DUMMYFUNCTION("""COMPUTED_VALUE"""),384.0)</f>
        <v>384</v>
      </c>
      <c r="H181" s="1"/>
      <c r="I181" s="1">
        <f>IFERROR(__xludf.DUMMYFUNCTION("""COMPUTED_VALUE"""),509.0)</f>
        <v>509</v>
      </c>
      <c r="J181" s="1">
        <f>IFERROR(__xludf.DUMMYFUNCTION("""COMPUTED_VALUE"""),6.0)</f>
        <v>6</v>
      </c>
      <c r="K181" s="1">
        <f>IFERROR(__xludf.DUMMYFUNCTION("""COMPUTED_VALUE"""),271.0)</f>
        <v>271</v>
      </c>
      <c r="L181" s="1"/>
      <c r="M181" s="3">
        <f>IFERROR(__xludf.DUMMYFUNCTION("""COMPUTED_VALUE"""),345381.0)</f>
        <v>345381</v>
      </c>
      <c r="N181" s="3">
        <f>IFERROR(__xludf.DUMMYFUNCTION("""COMPUTED_VALUE"""),104621.0)</f>
        <v>104621</v>
      </c>
      <c r="O181" s="2">
        <f>IFERROR(__xludf.DUMMYFUNCTION("""COMPUTED_VALUE"""),3301245.0)</f>
        <v>3301245</v>
      </c>
      <c r="P181" s="1" t="str">
        <f>IFERROR(__xludf.DUMMYFUNCTION("""COMPUTED_VALUE"""),"Asia")</f>
        <v>Asia</v>
      </c>
      <c r="Q181" s="3">
        <f>IFERROR(__xludf.DUMMYFUNCTION("""COMPUTED_VALUE"""),3697.0)</f>
        <v>3697</v>
      </c>
      <c r="R181" s="1"/>
      <c r="S181" s="1">
        <f>IFERROR(__xludf.DUMMYFUNCTION("""COMPUTED_VALUE"""),10.0)</f>
        <v>10</v>
      </c>
    </row>
    <row r="182">
      <c r="A182" s="1">
        <f>IFERROR(__xludf.DUMMYFUNCTION("""COMPUTED_VALUE"""),173.0)</f>
        <v>173</v>
      </c>
      <c r="B182" s="1" t="str">
        <f>IFERROR(__xludf.DUMMYFUNCTION("""COMPUTED_VALUE"""),"Saint Martin")</f>
        <v>Saint Martin</v>
      </c>
      <c r="C182" s="1">
        <f>IFERROR(__xludf.DUMMYFUNCTION("""COMPUTED_VALUE"""),801.0)</f>
        <v>801</v>
      </c>
      <c r="D182" s="1"/>
      <c r="E182" s="1">
        <f>IFERROR(__xludf.DUMMYFUNCTION("""COMPUTED_VALUE"""),12.0)</f>
        <v>12</v>
      </c>
      <c r="F182" s="1"/>
      <c r="G182" s="1">
        <f>IFERROR(__xludf.DUMMYFUNCTION("""COMPUTED_VALUE"""),675.0)</f>
        <v>675</v>
      </c>
      <c r="H182" s="1"/>
      <c r="I182" s="1">
        <f>IFERROR(__xludf.DUMMYFUNCTION("""COMPUTED_VALUE"""),114.0)</f>
        <v>114</v>
      </c>
      <c r="J182" s="1">
        <f>IFERROR(__xludf.DUMMYFUNCTION("""COMPUTED_VALUE"""),7.0)</f>
        <v>7</v>
      </c>
      <c r="K182" s="3">
        <f>IFERROR(__xludf.DUMMYFUNCTION("""COMPUTED_VALUE"""),20564.0)</f>
        <v>20564</v>
      </c>
      <c r="L182" s="1">
        <f>IFERROR(__xludf.DUMMYFUNCTION("""COMPUTED_VALUE"""),308.0)</f>
        <v>308</v>
      </c>
      <c r="M182" s="3">
        <f>IFERROR(__xludf.DUMMYFUNCTION("""COMPUTED_VALUE"""),7838.0)</f>
        <v>7838</v>
      </c>
      <c r="N182" s="3">
        <f>IFERROR(__xludf.DUMMYFUNCTION("""COMPUTED_VALUE"""),201222.0)</f>
        <v>201222</v>
      </c>
      <c r="O182" s="2">
        <f>IFERROR(__xludf.DUMMYFUNCTION("""COMPUTED_VALUE"""),38952.0)</f>
        <v>38952</v>
      </c>
      <c r="P182" s="1" t="str">
        <f>IFERROR(__xludf.DUMMYFUNCTION("""COMPUTED_VALUE"""),"North America")</f>
        <v>North America</v>
      </c>
      <c r="Q182" s="1">
        <f>IFERROR(__xludf.DUMMYFUNCTION("""COMPUTED_VALUE"""),49.0)</f>
        <v>49</v>
      </c>
      <c r="R182" s="3">
        <f>IFERROR(__xludf.DUMMYFUNCTION("""COMPUTED_VALUE"""),3246.0)</f>
        <v>3246</v>
      </c>
      <c r="S182" s="1">
        <f>IFERROR(__xludf.DUMMYFUNCTION("""COMPUTED_VALUE"""),5.0)</f>
        <v>5</v>
      </c>
    </row>
    <row r="183">
      <c r="A183" s="1">
        <f>IFERROR(__xludf.DUMMYFUNCTION("""COMPUTED_VALUE"""),174.0)</f>
        <v>174</v>
      </c>
      <c r="B183" s="1" t="str">
        <f>IFERROR(__xludf.DUMMYFUNCTION("""COMPUTED_VALUE"""),"Turks and Caicos")</f>
        <v>Turks and Caicos</v>
      </c>
      <c r="C183" s="1">
        <f>IFERROR(__xludf.DUMMYFUNCTION("""COMPUTED_VALUE"""),761.0)</f>
        <v>761</v>
      </c>
      <c r="D183" s="1" t="str">
        <f>IFERROR(__xludf.DUMMYFUNCTION("""COMPUTED_VALUE"""),"+5")</f>
        <v>+5</v>
      </c>
      <c r="E183" s="1">
        <f>IFERROR(__xludf.DUMMYFUNCTION("""COMPUTED_VALUE"""),6.0)</f>
        <v>6</v>
      </c>
      <c r="F183" s="1"/>
      <c r="G183" s="1">
        <f>IFERROR(__xludf.DUMMYFUNCTION("""COMPUTED_VALUE"""),740.0)</f>
        <v>740</v>
      </c>
      <c r="H183" s="1"/>
      <c r="I183" s="1">
        <f>IFERROR(__xludf.DUMMYFUNCTION("""COMPUTED_VALUE"""),15.0)</f>
        <v>15</v>
      </c>
      <c r="J183" s="1">
        <f>IFERROR(__xludf.DUMMYFUNCTION("""COMPUTED_VALUE"""),1.0)</f>
        <v>1</v>
      </c>
      <c r="K183" s="3">
        <f>IFERROR(__xludf.DUMMYFUNCTION("""COMPUTED_VALUE"""),19540.0)</f>
        <v>19540</v>
      </c>
      <c r="L183" s="1">
        <f>IFERROR(__xludf.DUMMYFUNCTION("""COMPUTED_VALUE"""),154.0)</f>
        <v>154</v>
      </c>
      <c r="M183" s="3">
        <f>IFERROR(__xludf.DUMMYFUNCTION("""COMPUTED_VALUE"""),9877.0)</f>
        <v>9877</v>
      </c>
      <c r="N183" s="3">
        <f>IFERROR(__xludf.DUMMYFUNCTION("""COMPUTED_VALUE"""),253614.0)</f>
        <v>253614</v>
      </c>
      <c r="O183" s="2">
        <f>IFERROR(__xludf.DUMMYFUNCTION("""COMPUTED_VALUE"""),38945.0)</f>
        <v>38945</v>
      </c>
      <c r="P183" s="1" t="str">
        <f>IFERROR(__xludf.DUMMYFUNCTION("""COMPUTED_VALUE"""),"North America")</f>
        <v>North America</v>
      </c>
      <c r="Q183" s="1">
        <f>IFERROR(__xludf.DUMMYFUNCTION("""COMPUTED_VALUE"""),51.0)</f>
        <v>51</v>
      </c>
      <c r="R183" s="3">
        <f>IFERROR(__xludf.DUMMYFUNCTION("""COMPUTED_VALUE"""),6491.0)</f>
        <v>6491</v>
      </c>
      <c r="S183" s="1">
        <f>IFERROR(__xludf.DUMMYFUNCTION("""COMPUTED_VALUE"""),4.0)</f>
        <v>4</v>
      </c>
    </row>
    <row r="184">
      <c r="A184" s="1">
        <f>IFERROR(__xludf.DUMMYFUNCTION("""COMPUTED_VALUE"""),175.0)</f>
        <v>175</v>
      </c>
      <c r="B184" s="1" t="str">
        <f>IFERROR(__xludf.DUMMYFUNCTION("""COMPUTED_VALUE"""),"Taiwan")</f>
        <v>Taiwan</v>
      </c>
      <c r="C184" s="1">
        <f>IFERROR(__xludf.DUMMYFUNCTION("""COMPUTED_VALUE"""),720.0)</f>
        <v>720</v>
      </c>
      <c r="D184" s="1" t="str">
        <f>IFERROR(__xludf.DUMMYFUNCTION("""COMPUTED_VALUE"""),"+2")</f>
        <v>+2</v>
      </c>
      <c r="E184" s="1">
        <f>IFERROR(__xludf.DUMMYFUNCTION("""COMPUTED_VALUE"""),7.0)</f>
        <v>7</v>
      </c>
      <c r="F184" s="1"/>
      <c r="G184" s="1">
        <f>IFERROR(__xludf.DUMMYFUNCTION("""COMPUTED_VALUE"""),582.0)</f>
        <v>582</v>
      </c>
      <c r="H184" s="1"/>
      <c r="I184" s="1">
        <f>IFERROR(__xludf.DUMMYFUNCTION("""COMPUTED_VALUE"""),131.0)</f>
        <v>131</v>
      </c>
      <c r="J184" s="1"/>
      <c r="K184" s="1">
        <f>IFERROR(__xludf.DUMMYFUNCTION("""COMPUTED_VALUE"""),30.0)</f>
        <v>30</v>
      </c>
      <c r="L184" s="1">
        <f>IFERROR(__xludf.DUMMYFUNCTION("""COMPUTED_VALUE"""),0.3)</f>
        <v>0.3</v>
      </c>
      <c r="M184" s="3">
        <f>IFERROR(__xludf.DUMMYFUNCTION("""COMPUTED_VALUE"""),112939.0)</f>
        <v>112939</v>
      </c>
      <c r="N184" s="3">
        <f>IFERROR(__xludf.DUMMYFUNCTION("""COMPUTED_VALUE"""),4738.0)</f>
        <v>4738</v>
      </c>
      <c r="O184" s="2">
        <f>IFERROR(__xludf.DUMMYFUNCTION("""COMPUTED_VALUE"""),2.3835759E7)</f>
        <v>23835759</v>
      </c>
      <c r="P184" s="1" t="str">
        <f>IFERROR(__xludf.DUMMYFUNCTION("""COMPUTED_VALUE"""),"Asia")</f>
        <v>Asia</v>
      </c>
      <c r="Q184" s="3">
        <f>IFERROR(__xludf.DUMMYFUNCTION("""COMPUTED_VALUE"""),33105.0)</f>
        <v>33105</v>
      </c>
      <c r="R184" s="3">
        <f>IFERROR(__xludf.DUMMYFUNCTION("""COMPUTED_VALUE"""),3405108.0)</f>
        <v>3405108</v>
      </c>
      <c r="S184" s="1">
        <f>IFERROR(__xludf.DUMMYFUNCTION("""COMPUTED_VALUE"""),211.0)</f>
        <v>211</v>
      </c>
    </row>
    <row r="185">
      <c r="A185" s="1">
        <f>IFERROR(__xludf.DUMMYFUNCTION("""COMPUTED_VALUE"""),176.0)</f>
        <v>176</v>
      </c>
      <c r="B185" s="1" t="str">
        <f>IFERROR(__xludf.DUMMYFUNCTION("""COMPUTED_VALUE"""),"Burundi")</f>
        <v>Burundi</v>
      </c>
      <c r="C185" s="1">
        <f>IFERROR(__xludf.DUMMYFUNCTION("""COMPUTED_VALUE"""),720.0)</f>
        <v>720</v>
      </c>
      <c r="D185" s="1" t="str">
        <f>IFERROR(__xludf.DUMMYFUNCTION("""COMPUTED_VALUE"""),"+4")</f>
        <v>+4</v>
      </c>
      <c r="E185" s="1">
        <f>IFERROR(__xludf.DUMMYFUNCTION("""COMPUTED_VALUE"""),1.0)</f>
        <v>1</v>
      </c>
      <c r="F185" s="1"/>
      <c r="G185" s="1">
        <f>IFERROR(__xludf.DUMMYFUNCTION("""COMPUTED_VALUE"""),630.0)</f>
        <v>630</v>
      </c>
      <c r="H185" s="1"/>
      <c r="I185" s="1">
        <f>IFERROR(__xludf.DUMMYFUNCTION("""COMPUTED_VALUE"""),89.0)</f>
        <v>89</v>
      </c>
      <c r="J185" s="1"/>
      <c r="K185" s="1">
        <f>IFERROR(__xludf.DUMMYFUNCTION("""COMPUTED_VALUE"""),60.0)</f>
        <v>60</v>
      </c>
      <c r="L185" s="1">
        <f>IFERROR(__xludf.DUMMYFUNCTION("""COMPUTED_VALUE"""),0.08)</f>
        <v>0.08</v>
      </c>
      <c r="M185" s="3">
        <f>IFERROR(__xludf.DUMMYFUNCTION("""COMPUTED_VALUE"""),67818.0)</f>
        <v>67818</v>
      </c>
      <c r="N185" s="3">
        <f>IFERROR(__xludf.DUMMYFUNCTION("""COMPUTED_VALUE"""),5631.0)</f>
        <v>5631</v>
      </c>
      <c r="O185" s="2">
        <f>IFERROR(__xludf.DUMMYFUNCTION("""COMPUTED_VALUE"""),1.2042719E7)</f>
        <v>12042719</v>
      </c>
      <c r="P185" s="1" t="str">
        <f>IFERROR(__xludf.DUMMYFUNCTION("""COMPUTED_VALUE"""),"Africa")</f>
        <v>Africa</v>
      </c>
      <c r="Q185" s="3">
        <f>IFERROR(__xludf.DUMMYFUNCTION("""COMPUTED_VALUE"""),16726.0)</f>
        <v>16726</v>
      </c>
      <c r="R185" s="3">
        <f>IFERROR(__xludf.DUMMYFUNCTION("""COMPUTED_VALUE"""),1.2042719E7)</f>
        <v>12042719</v>
      </c>
      <c r="S185" s="1">
        <f>IFERROR(__xludf.DUMMYFUNCTION("""COMPUTED_VALUE"""),178.0)</f>
        <v>178</v>
      </c>
    </row>
    <row r="186">
      <c r="A186" s="1">
        <f>IFERROR(__xludf.DUMMYFUNCTION("""COMPUTED_VALUE"""),177.0)</f>
        <v>177</v>
      </c>
      <c r="B186" s="1" t="str">
        <f>IFERROR(__xludf.DUMMYFUNCTION("""COMPUTED_VALUE"""),"Diamond Princess")</f>
        <v>Diamond Princess</v>
      </c>
      <c r="C186" s="1">
        <f>IFERROR(__xludf.DUMMYFUNCTION("""COMPUTED_VALUE"""),712.0)</f>
        <v>712</v>
      </c>
      <c r="D186" s="1"/>
      <c r="E186" s="1">
        <f>IFERROR(__xludf.DUMMYFUNCTION("""COMPUTED_VALUE"""),13.0)</f>
        <v>13</v>
      </c>
      <c r="F186" s="1"/>
      <c r="G186" s="1">
        <f>IFERROR(__xludf.DUMMYFUNCTION("""COMPUTED_VALUE"""),699.0)</f>
        <v>699</v>
      </c>
      <c r="H186" s="1"/>
      <c r="I186" s="1">
        <f>IFERROR(__xludf.DUMMYFUNCTION("""COMPUTED_VALUE"""),0.0)</f>
        <v>0</v>
      </c>
      <c r="J186" s="1"/>
      <c r="K186" s="1"/>
      <c r="L186" s="1"/>
      <c r="M186" s="1"/>
      <c r="N186" s="1"/>
      <c r="O186" s="2"/>
      <c r="P186" s="1"/>
      <c r="Q186" s="1"/>
      <c r="R186" s="1"/>
      <c r="S186" s="1"/>
    </row>
    <row r="187">
      <c r="A187" s="1">
        <f>IFERROR(__xludf.DUMMYFUNCTION("""COMPUTED_VALUE"""),178.0)</f>
        <v>178</v>
      </c>
      <c r="B187" s="1" t="str">
        <f>IFERROR(__xludf.DUMMYFUNCTION("""COMPUTED_VALUE"""),"Papua New Guinea")</f>
        <v>Papua New Guinea</v>
      </c>
      <c r="C187" s="1">
        <f>IFERROR(__xludf.DUMMYFUNCTION("""COMPUTED_VALUE"""),684.0)</f>
        <v>684</v>
      </c>
      <c r="D187" s="1"/>
      <c r="E187" s="1">
        <f>IFERROR(__xludf.DUMMYFUNCTION("""COMPUTED_VALUE"""),7.0)</f>
        <v>7</v>
      </c>
      <c r="F187" s="1"/>
      <c r="G187" s="1">
        <f>IFERROR(__xludf.DUMMYFUNCTION("""COMPUTED_VALUE"""),601.0)</f>
        <v>601</v>
      </c>
      <c r="H187" s="1"/>
      <c r="I187" s="1">
        <f>IFERROR(__xludf.DUMMYFUNCTION("""COMPUTED_VALUE"""),76.0)</f>
        <v>76</v>
      </c>
      <c r="J187" s="1"/>
      <c r="K187" s="1">
        <f>IFERROR(__xludf.DUMMYFUNCTION("""COMPUTED_VALUE"""),76.0)</f>
        <v>76</v>
      </c>
      <c r="L187" s="1">
        <f>IFERROR(__xludf.DUMMYFUNCTION("""COMPUTED_VALUE"""),0.8)</f>
        <v>0.8</v>
      </c>
      <c r="M187" s="3">
        <f>IFERROR(__xludf.DUMMYFUNCTION("""COMPUTED_VALUE"""),32221.0)</f>
        <v>32221</v>
      </c>
      <c r="N187" s="3">
        <f>IFERROR(__xludf.DUMMYFUNCTION("""COMPUTED_VALUE"""),3572.0)</f>
        <v>3572</v>
      </c>
      <c r="O187" s="2">
        <f>IFERROR(__xludf.DUMMYFUNCTION("""COMPUTED_VALUE"""),9020516.0)</f>
        <v>9020516</v>
      </c>
      <c r="P187" s="1" t="str">
        <f>IFERROR(__xludf.DUMMYFUNCTION("""COMPUTED_VALUE"""),"Australia/Oceania")</f>
        <v>Australia/Oceania</v>
      </c>
      <c r="Q187" s="3">
        <f>IFERROR(__xludf.DUMMYFUNCTION("""COMPUTED_VALUE"""),13188.0)</f>
        <v>13188</v>
      </c>
      <c r="R187" s="3">
        <f>IFERROR(__xludf.DUMMYFUNCTION("""COMPUTED_VALUE"""),1288645.0)</f>
        <v>1288645</v>
      </c>
      <c r="S187" s="1">
        <f>IFERROR(__xludf.DUMMYFUNCTION("""COMPUTED_VALUE"""),280.0)</f>
        <v>280</v>
      </c>
    </row>
    <row r="188">
      <c r="A188" s="1">
        <f>IFERROR(__xludf.DUMMYFUNCTION("""COMPUTED_VALUE"""),179.0)</f>
        <v>179</v>
      </c>
      <c r="B188" s="1" t="str">
        <f>IFERROR(__xludf.DUMMYFUNCTION("""COMPUTED_VALUE"""),"Monaco")</f>
        <v>Monaco</v>
      </c>
      <c r="C188" s="1">
        <f>IFERROR(__xludf.DUMMYFUNCTION("""COMPUTED_VALUE"""),655.0)</f>
        <v>655</v>
      </c>
      <c r="D188" s="1" t="str">
        <f>IFERROR(__xludf.DUMMYFUNCTION("""COMPUTED_VALUE"""),"+7")</f>
        <v>+7</v>
      </c>
      <c r="E188" s="1">
        <f>IFERROR(__xludf.DUMMYFUNCTION("""COMPUTED_VALUE"""),3.0)</f>
        <v>3</v>
      </c>
      <c r="F188" s="1"/>
      <c r="G188" s="1">
        <f>IFERROR(__xludf.DUMMYFUNCTION("""COMPUTED_VALUE"""),585.0)</f>
        <v>585</v>
      </c>
      <c r="H188" s="1" t="str">
        <f>IFERROR(__xludf.DUMMYFUNCTION("""COMPUTED_VALUE"""),"+5")</f>
        <v>+5</v>
      </c>
      <c r="I188" s="1">
        <f>IFERROR(__xludf.DUMMYFUNCTION("""COMPUTED_VALUE"""),67.0)</f>
        <v>67</v>
      </c>
      <c r="J188" s="1">
        <f>IFERROR(__xludf.DUMMYFUNCTION("""COMPUTED_VALUE"""),4.0)</f>
        <v>4</v>
      </c>
      <c r="K188" s="3">
        <f>IFERROR(__xludf.DUMMYFUNCTION("""COMPUTED_VALUE"""),16640.0)</f>
        <v>16640</v>
      </c>
      <c r="L188" s="1">
        <f>IFERROR(__xludf.DUMMYFUNCTION("""COMPUTED_VALUE"""),76.0)</f>
        <v>76</v>
      </c>
      <c r="M188" s="3">
        <f>IFERROR(__xludf.DUMMYFUNCTION("""COMPUTED_VALUE"""),51953.0)</f>
        <v>51953</v>
      </c>
      <c r="N188" s="3">
        <f>IFERROR(__xludf.DUMMYFUNCTION("""COMPUTED_VALUE"""),1319810.0)</f>
        <v>1319810</v>
      </c>
      <c r="O188" s="2">
        <f>IFERROR(__xludf.DUMMYFUNCTION("""COMPUTED_VALUE"""),39364.0)</f>
        <v>39364</v>
      </c>
      <c r="P188" s="1" t="str">
        <f>IFERROR(__xludf.DUMMYFUNCTION("""COMPUTED_VALUE"""),"Europe")</f>
        <v>Europe</v>
      </c>
      <c r="Q188" s="1">
        <f>IFERROR(__xludf.DUMMYFUNCTION("""COMPUTED_VALUE"""),60.0)</f>
        <v>60</v>
      </c>
      <c r="R188" s="3">
        <f>IFERROR(__xludf.DUMMYFUNCTION("""COMPUTED_VALUE"""),13121.0)</f>
        <v>13121</v>
      </c>
      <c r="S188" s="1">
        <f>IFERROR(__xludf.DUMMYFUNCTION("""COMPUTED_VALUE"""),1.0)</f>
        <v>1</v>
      </c>
    </row>
    <row r="189">
      <c r="A189" s="1">
        <f>IFERROR(__xludf.DUMMYFUNCTION("""COMPUTED_VALUE"""),180.0)</f>
        <v>180</v>
      </c>
      <c r="B189" s="1" t="str">
        <f>IFERROR(__xludf.DUMMYFUNCTION("""COMPUTED_VALUE"""),"Eritrea")</f>
        <v>Eritrea</v>
      </c>
      <c r="C189" s="1">
        <f>IFERROR(__xludf.DUMMYFUNCTION("""COMPUTED_VALUE"""),649.0)</f>
        <v>649</v>
      </c>
      <c r="D189" s="1"/>
      <c r="E189" s="1"/>
      <c r="F189" s="1"/>
      <c r="G189" s="1">
        <f>IFERROR(__xludf.DUMMYFUNCTION("""COMPUTED_VALUE"""),517.0)</f>
        <v>517</v>
      </c>
      <c r="H189" s="1"/>
      <c r="I189" s="1">
        <f>IFERROR(__xludf.DUMMYFUNCTION("""COMPUTED_VALUE"""),132.0)</f>
        <v>132</v>
      </c>
      <c r="J189" s="1"/>
      <c r="K189" s="1">
        <f>IFERROR(__xludf.DUMMYFUNCTION("""COMPUTED_VALUE"""),182.0)</f>
        <v>182</v>
      </c>
      <c r="L189" s="1"/>
      <c r="M189" s="3">
        <f>IFERROR(__xludf.DUMMYFUNCTION("""COMPUTED_VALUE"""),22647.0)</f>
        <v>22647</v>
      </c>
      <c r="N189" s="3">
        <f>IFERROR(__xludf.DUMMYFUNCTION("""COMPUTED_VALUE"""),6348.0)</f>
        <v>6348</v>
      </c>
      <c r="O189" s="2">
        <f>IFERROR(__xludf.DUMMYFUNCTION("""COMPUTED_VALUE"""),3567808.0)</f>
        <v>3567808</v>
      </c>
      <c r="P189" s="1" t="str">
        <f>IFERROR(__xludf.DUMMYFUNCTION("""COMPUTED_VALUE"""),"Africa")</f>
        <v>Africa</v>
      </c>
      <c r="Q189" s="3">
        <f>IFERROR(__xludf.DUMMYFUNCTION("""COMPUTED_VALUE"""),5497.0)</f>
        <v>5497</v>
      </c>
      <c r="R189" s="1"/>
      <c r="S189" s="1">
        <f>IFERROR(__xludf.DUMMYFUNCTION("""COMPUTED_VALUE"""),158.0)</f>
        <v>158</v>
      </c>
    </row>
    <row r="190">
      <c r="A190" s="1">
        <f>IFERROR(__xludf.DUMMYFUNCTION("""COMPUTED_VALUE"""),181.0)</f>
        <v>181</v>
      </c>
      <c r="B190" s="1" t="str">
        <f>IFERROR(__xludf.DUMMYFUNCTION("""COMPUTED_VALUE"""),"Comoros")</f>
        <v>Comoros</v>
      </c>
      <c r="C190" s="1">
        <f>IFERROR(__xludf.DUMMYFUNCTION("""COMPUTED_VALUE"""),617.0)</f>
        <v>617</v>
      </c>
      <c r="D190" s="1"/>
      <c r="E190" s="1">
        <f>IFERROR(__xludf.DUMMYFUNCTION("""COMPUTED_VALUE"""),7.0)</f>
        <v>7</v>
      </c>
      <c r="F190" s="1"/>
      <c r="G190" s="1">
        <f>IFERROR(__xludf.DUMMYFUNCTION("""COMPUTED_VALUE"""),605.0)</f>
        <v>605</v>
      </c>
      <c r="H190" s="1"/>
      <c r="I190" s="1">
        <f>IFERROR(__xludf.DUMMYFUNCTION("""COMPUTED_VALUE"""),5.0)</f>
        <v>5</v>
      </c>
      <c r="J190" s="1"/>
      <c r="K190" s="1">
        <f>IFERROR(__xludf.DUMMYFUNCTION("""COMPUTED_VALUE"""),703.0)</f>
        <v>703</v>
      </c>
      <c r="L190" s="1">
        <f>IFERROR(__xludf.DUMMYFUNCTION("""COMPUTED_VALUE"""),8.0)</f>
        <v>8</v>
      </c>
      <c r="M190" s="1"/>
      <c r="N190" s="1"/>
      <c r="O190" s="2">
        <f>IFERROR(__xludf.DUMMYFUNCTION("""COMPUTED_VALUE"""),877615.0)</f>
        <v>877615</v>
      </c>
      <c r="P190" s="1" t="str">
        <f>IFERROR(__xludf.DUMMYFUNCTION("""COMPUTED_VALUE"""),"Africa")</f>
        <v>Africa</v>
      </c>
      <c r="Q190" s="3">
        <f>IFERROR(__xludf.DUMMYFUNCTION("""COMPUTED_VALUE"""),1422.0)</f>
        <v>1422</v>
      </c>
      <c r="R190" s="3">
        <f>IFERROR(__xludf.DUMMYFUNCTION("""COMPUTED_VALUE"""),125374.0)</f>
        <v>125374</v>
      </c>
      <c r="S190" s="1"/>
    </row>
    <row r="191">
      <c r="A191" s="1">
        <f>IFERROR(__xludf.DUMMYFUNCTION("""COMPUTED_VALUE"""),182.0)</f>
        <v>182</v>
      </c>
      <c r="B191" s="1" t="str">
        <f>IFERROR(__xludf.DUMMYFUNCTION("""COMPUTED_VALUE"""),"Faeroe Islands")</f>
        <v>Faeroe Islands</v>
      </c>
      <c r="C191" s="1">
        <f>IFERROR(__xludf.DUMMYFUNCTION("""COMPUTED_VALUE"""),519.0)</f>
        <v>519</v>
      </c>
      <c r="D191" s="1" t="str">
        <f>IFERROR(__xludf.DUMMYFUNCTION("""COMPUTED_VALUE"""),"+5")</f>
        <v>+5</v>
      </c>
      <c r="E191" s="1"/>
      <c r="F191" s="1"/>
      <c r="G191" s="1">
        <f>IFERROR(__xludf.DUMMYFUNCTION("""COMPUTED_VALUE"""),503.0)</f>
        <v>503</v>
      </c>
      <c r="H191" s="1" t="str">
        <f>IFERROR(__xludf.DUMMYFUNCTION("""COMPUTED_VALUE"""),"+1")</f>
        <v>+1</v>
      </c>
      <c r="I191" s="1">
        <f>IFERROR(__xludf.DUMMYFUNCTION("""COMPUTED_VALUE"""),16.0)</f>
        <v>16</v>
      </c>
      <c r="J191" s="1"/>
      <c r="K191" s="3">
        <f>IFERROR(__xludf.DUMMYFUNCTION("""COMPUTED_VALUE"""),10604.0)</f>
        <v>10604</v>
      </c>
      <c r="L191" s="1"/>
      <c r="M191" s="3">
        <f>IFERROR(__xludf.DUMMYFUNCTION("""COMPUTED_VALUE"""),172978.0)</f>
        <v>172978</v>
      </c>
      <c r="N191" s="3">
        <f>IFERROR(__xludf.DUMMYFUNCTION("""COMPUTED_VALUE"""),3534130.0)</f>
        <v>3534130</v>
      </c>
      <c r="O191" s="2">
        <f>IFERROR(__xludf.DUMMYFUNCTION("""COMPUTED_VALUE"""),48945.0)</f>
        <v>48945</v>
      </c>
      <c r="P191" s="1" t="str">
        <f>IFERROR(__xludf.DUMMYFUNCTION("""COMPUTED_VALUE"""),"Europe")</f>
        <v>Europe</v>
      </c>
      <c r="Q191" s="1">
        <f>IFERROR(__xludf.DUMMYFUNCTION("""COMPUTED_VALUE"""),94.0)</f>
        <v>94</v>
      </c>
      <c r="R191" s="1"/>
      <c r="S191" s="1">
        <f>IFERROR(__xludf.DUMMYFUNCTION("""COMPUTED_VALUE"""),0.0)</f>
        <v>0</v>
      </c>
    </row>
    <row r="192">
      <c r="A192" s="1">
        <f>IFERROR(__xludf.DUMMYFUNCTION("""COMPUTED_VALUE"""),183.0)</f>
        <v>183</v>
      </c>
      <c r="B192" s="1" t="str">
        <f>IFERROR(__xludf.DUMMYFUNCTION("""COMPUTED_VALUE"""),"Mauritius")</f>
        <v>Mauritius</v>
      </c>
      <c r="C192" s="1">
        <f>IFERROR(__xludf.DUMMYFUNCTION("""COMPUTED_VALUE"""),515.0)</f>
        <v>515</v>
      </c>
      <c r="D192" s="1"/>
      <c r="E192" s="1">
        <f>IFERROR(__xludf.DUMMYFUNCTION("""COMPUTED_VALUE"""),10.0)</f>
        <v>10</v>
      </c>
      <c r="F192" s="1"/>
      <c r="G192" s="1">
        <f>IFERROR(__xludf.DUMMYFUNCTION("""COMPUTED_VALUE"""),478.0)</f>
        <v>478</v>
      </c>
      <c r="H192" s="1"/>
      <c r="I192" s="1">
        <f>IFERROR(__xludf.DUMMYFUNCTION("""COMPUTED_VALUE"""),27.0)</f>
        <v>27</v>
      </c>
      <c r="J192" s="1"/>
      <c r="K192" s="1">
        <f>IFERROR(__xludf.DUMMYFUNCTION("""COMPUTED_VALUE"""),405.0)</f>
        <v>405</v>
      </c>
      <c r="L192" s="1">
        <f>IFERROR(__xludf.DUMMYFUNCTION("""COMPUTED_VALUE"""),8.0)</f>
        <v>8</v>
      </c>
      <c r="M192" s="3">
        <f>IFERROR(__xludf.DUMMYFUNCTION("""COMPUTED_VALUE"""),289552.0)</f>
        <v>289552</v>
      </c>
      <c r="N192" s="3">
        <f>IFERROR(__xludf.DUMMYFUNCTION("""COMPUTED_VALUE"""),227510.0)</f>
        <v>227510</v>
      </c>
      <c r="O192" s="2">
        <f>IFERROR(__xludf.DUMMYFUNCTION("""COMPUTED_VALUE"""),1272698.0)</f>
        <v>1272698</v>
      </c>
      <c r="P192" s="1" t="str">
        <f>IFERROR(__xludf.DUMMYFUNCTION("""COMPUTED_VALUE"""),"Africa")</f>
        <v>Africa</v>
      </c>
      <c r="Q192" s="3">
        <f>IFERROR(__xludf.DUMMYFUNCTION("""COMPUTED_VALUE"""),2471.0)</f>
        <v>2471</v>
      </c>
      <c r="R192" s="3">
        <f>IFERROR(__xludf.DUMMYFUNCTION("""COMPUTED_VALUE"""),127270.0)</f>
        <v>127270</v>
      </c>
      <c r="S192" s="1">
        <f>IFERROR(__xludf.DUMMYFUNCTION("""COMPUTED_VALUE"""),4.0)</f>
        <v>4</v>
      </c>
    </row>
    <row r="193">
      <c r="A193" s="1">
        <f>IFERROR(__xludf.DUMMYFUNCTION("""COMPUTED_VALUE"""),184.0)</f>
        <v>184</v>
      </c>
      <c r="B193" s="1" t="str">
        <f>IFERROR(__xludf.DUMMYFUNCTION("""COMPUTED_VALUE"""),"Tanzania")</f>
        <v>Tanzania</v>
      </c>
      <c r="C193" s="1">
        <f>IFERROR(__xludf.DUMMYFUNCTION("""COMPUTED_VALUE"""),509.0)</f>
        <v>509</v>
      </c>
      <c r="D193" s="1"/>
      <c r="E193" s="1">
        <f>IFERROR(__xludf.DUMMYFUNCTION("""COMPUTED_VALUE"""),21.0)</f>
        <v>21</v>
      </c>
      <c r="F193" s="1"/>
      <c r="G193" s="1">
        <f>IFERROR(__xludf.DUMMYFUNCTION("""COMPUTED_VALUE"""),183.0)</f>
        <v>183</v>
      </c>
      <c r="H193" s="1"/>
      <c r="I193" s="1">
        <f>IFERROR(__xludf.DUMMYFUNCTION("""COMPUTED_VALUE"""),305.0)</f>
        <v>305</v>
      </c>
      <c r="J193" s="1">
        <f>IFERROR(__xludf.DUMMYFUNCTION("""COMPUTED_VALUE"""),7.0)</f>
        <v>7</v>
      </c>
      <c r="K193" s="1">
        <f>IFERROR(__xludf.DUMMYFUNCTION("""COMPUTED_VALUE"""),8.0)</f>
        <v>8</v>
      </c>
      <c r="L193" s="1">
        <f>IFERROR(__xludf.DUMMYFUNCTION("""COMPUTED_VALUE"""),0.3)</f>
        <v>0.3</v>
      </c>
      <c r="M193" s="1"/>
      <c r="N193" s="1"/>
      <c r="O193" s="2">
        <f>IFERROR(__xludf.DUMMYFUNCTION("""COMPUTED_VALUE"""),6.0465128E7)</f>
        <v>60465128</v>
      </c>
      <c r="P193" s="1" t="str">
        <f>IFERROR(__xludf.DUMMYFUNCTION("""COMPUTED_VALUE"""),"Africa")</f>
        <v>Africa</v>
      </c>
      <c r="Q193" s="3">
        <f>IFERROR(__xludf.DUMMYFUNCTION("""COMPUTED_VALUE"""),118792.0)</f>
        <v>118792</v>
      </c>
      <c r="R193" s="3">
        <f>IFERROR(__xludf.DUMMYFUNCTION("""COMPUTED_VALUE"""),2879292.0)</f>
        <v>2879292</v>
      </c>
      <c r="S193" s="1"/>
    </row>
    <row r="194">
      <c r="A194" s="1">
        <f>IFERROR(__xludf.DUMMYFUNCTION("""COMPUTED_VALUE"""),185.0)</f>
        <v>185</v>
      </c>
      <c r="B194" s="1" t="str">
        <f>IFERROR(__xludf.DUMMYFUNCTION("""COMPUTED_VALUE"""),"Bhutan")</f>
        <v>Bhutan</v>
      </c>
      <c r="C194" s="1">
        <f>IFERROR(__xludf.DUMMYFUNCTION("""COMPUTED_VALUE"""),433.0)</f>
        <v>433</v>
      </c>
      <c r="D194" s="1" t="str">
        <f>IFERROR(__xludf.DUMMYFUNCTION("""COMPUTED_VALUE"""),"+1")</f>
        <v>+1</v>
      </c>
      <c r="E194" s="1"/>
      <c r="F194" s="1"/>
      <c r="G194" s="1">
        <f>IFERROR(__xludf.DUMMYFUNCTION("""COMPUTED_VALUE"""),393.0)</f>
        <v>393</v>
      </c>
      <c r="H194" s="1" t="str">
        <f>IFERROR(__xludf.DUMMYFUNCTION("""COMPUTED_VALUE"""),"+3")</f>
        <v>+3</v>
      </c>
      <c r="I194" s="1">
        <f>IFERROR(__xludf.DUMMYFUNCTION("""COMPUTED_VALUE"""),40.0)</f>
        <v>40</v>
      </c>
      <c r="J194" s="1"/>
      <c r="K194" s="1">
        <f>IFERROR(__xludf.DUMMYFUNCTION("""COMPUTED_VALUE"""),558.0)</f>
        <v>558</v>
      </c>
      <c r="L194" s="1"/>
      <c r="M194" s="3">
        <f>IFERROR(__xludf.DUMMYFUNCTION("""COMPUTED_VALUE"""),212537.0)</f>
        <v>212537</v>
      </c>
      <c r="N194" s="3">
        <f>IFERROR(__xludf.DUMMYFUNCTION("""COMPUTED_VALUE"""),274128.0)</f>
        <v>274128</v>
      </c>
      <c r="O194" s="2">
        <f>IFERROR(__xludf.DUMMYFUNCTION("""COMPUTED_VALUE"""),775320.0)</f>
        <v>775320</v>
      </c>
      <c r="P194" s="1" t="str">
        <f>IFERROR(__xludf.DUMMYFUNCTION("""COMPUTED_VALUE"""),"Asia")</f>
        <v>Asia</v>
      </c>
      <c r="Q194" s="3">
        <f>IFERROR(__xludf.DUMMYFUNCTION("""COMPUTED_VALUE"""),1791.0)</f>
        <v>1791</v>
      </c>
      <c r="R194" s="1"/>
      <c r="S194" s="1">
        <f>IFERROR(__xludf.DUMMYFUNCTION("""COMPUTED_VALUE"""),4.0)</f>
        <v>4</v>
      </c>
    </row>
    <row r="195">
      <c r="A195" s="1">
        <f>IFERROR(__xludf.DUMMYFUNCTION("""COMPUTED_VALUE"""),186.0)</f>
        <v>186</v>
      </c>
      <c r="B195" s="1" t="str">
        <f>IFERROR(__xludf.DUMMYFUNCTION("""COMPUTED_VALUE"""),"Isle of Man")</f>
        <v>Isle of Man</v>
      </c>
      <c r="C195" s="1">
        <f>IFERROR(__xludf.DUMMYFUNCTION("""COMPUTED_VALUE"""),370.0)</f>
        <v>370</v>
      </c>
      <c r="D195" s="1"/>
      <c r="E195" s="1">
        <f>IFERROR(__xludf.DUMMYFUNCTION("""COMPUTED_VALUE"""),25.0)</f>
        <v>25</v>
      </c>
      <c r="F195" s="1"/>
      <c r="G195" s="1">
        <f>IFERROR(__xludf.DUMMYFUNCTION("""COMPUTED_VALUE"""),344.0)</f>
        <v>344</v>
      </c>
      <c r="H195" s="1"/>
      <c r="I195" s="1">
        <f>IFERROR(__xludf.DUMMYFUNCTION("""COMPUTED_VALUE"""),1.0)</f>
        <v>1</v>
      </c>
      <c r="J195" s="1"/>
      <c r="K195" s="3">
        <f>IFERROR(__xludf.DUMMYFUNCTION("""COMPUTED_VALUE"""),4341.0)</f>
        <v>4341</v>
      </c>
      <c r="L195" s="1">
        <f>IFERROR(__xludf.DUMMYFUNCTION("""COMPUTED_VALUE"""),293.0)</f>
        <v>293</v>
      </c>
      <c r="M195" s="3">
        <f>IFERROR(__xludf.DUMMYFUNCTION("""COMPUTED_VALUE"""),19138.0)</f>
        <v>19138</v>
      </c>
      <c r="N195" s="3">
        <f>IFERROR(__xludf.DUMMYFUNCTION("""COMPUTED_VALUE"""),224543.0)</f>
        <v>224543</v>
      </c>
      <c r="O195" s="2">
        <f>IFERROR(__xludf.DUMMYFUNCTION("""COMPUTED_VALUE"""),85231.0)</f>
        <v>85231</v>
      </c>
      <c r="P195" s="1" t="str">
        <f>IFERROR(__xludf.DUMMYFUNCTION("""COMPUTED_VALUE"""),"Europe")</f>
        <v>Europe</v>
      </c>
      <c r="Q195" s="1">
        <f>IFERROR(__xludf.DUMMYFUNCTION("""COMPUTED_VALUE"""),230.0)</f>
        <v>230</v>
      </c>
      <c r="R195" s="3">
        <f>IFERROR(__xludf.DUMMYFUNCTION("""COMPUTED_VALUE"""),3409.0)</f>
        <v>3409</v>
      </c>
      <c r="S195" s="1">
        <f>IFERROR(__xludf.DUMMYFUNCTION("""COMPUTED_VALUE"""),4.0)</f>
        <v>4</v>
      </c>
    </row>
    <row r="196">
      <c r="A196" s="1">
        <f>IFERROR(__xludf.DUMMYFUNCTION("""COMPUTED_VALUE"""),187.0)</f>
        <v>187</v>
      </c>
      <c r="B196" s="1" t="str">
        <f>IFERROR(__xludf.DUMMYFUNCTION("""COMPUTED_VALUE"""),"Cambodia")</f>
        <v>Cambodia</v>
      </c>
      <c r="C196" s="1">
        <f>IFERROR(__xludf.DUMMYFUNCTION("""COMPUTED_VALUE"""),354.0)</f>
        <v>354</v>
      </c>
      <c r="D196" s="1" t="str">
        <f>IFERROR(__xludf.DUMMYFUNCTION("""COMPUTED_VALUE"""),"+4")</f>
        <v>+4</v>
      </c>
      <c r="E196" s="1"/>
      <c r="F196" s="1"/>
      <c r="G196" s="1">
        <f>IFERROR(__xludf.DUMMYFUNCTION("""COMPUTED_VALUE"""),307.0)</f>
        <v>307</v>
      </c>
      <c r="H196" s="1"/>
      <c r="I196" s="1">
        <f>IFERROR(__xludf.DUMMYFUNCTION("""COMPUTED_VALUE"""),47.0)</f>
        <v>47</v>
      </c>
      <c r="J196" s="1"/>
      <c r="K196" s="1">
        <f>IFERROR(__xludf.DUMMYFUNCTION("""COMPUTED_VALUE"""),21.0)</f>
        <v>21</v>
      </c>
      <c r="L196" s="1"/>
      <c r="M196" s="3">
        <f>IFERROR(__xludf.DUMMYFUNCTION("""COMPUTED_VALUE"""),242754.0)</f>
        <v>242754</v>
      </c>
      <c r="N196" s="3">
        <f>IFERROR(__xludf.DUMMYFUNCTION("""COMPUTED_VALUE"""),14433.0)</f>
        <v>14433</v>
      </c>
      <c r="O196" s="2">
        <f>IFERROR(__xludf.DUMMYFUNCTION("""COMPUTED_VALUE"""),1.6819786E7)</f>
        <v>16819786</v>
      </c>
      <c r="P196" s="1" t="str">
        <f>IFERROR(__xludf.DUMMYFUNCTION("""COMPUTED_VALUE"""),"Asia")</f>
        <v>Asia</v>
      </c>
      <c r="Q196" s="3">
        <f>IFERROR(__xludf.DUMMYFUNCTION("""COMPUTED_VALUE"""),47514.0)</f>
        <v>47514</v>
      </c>
      <c r="R196" s="1"/>
      <c r="S196" s="1">
        <f>IFERROR(__xludf.DUMMYFUNCTION("""COMPUTED_VALUE"""),69.0)</f>
        <v>69</v>
      </c>
    </row>
    <row r="197">
      <c r="A197" s="1">
        <f>IFERROR(__xludf.DUMMYFUNCTION("""COMPUTED_VALUE"""),188.0)</f>
        <v>188</v>
      </c>
      <c r="B197" s="1" t="str">
        <f>IFERROR(__xludf.DUMMYFUNCTION("""COMPUTED_VALUE"""),"Bermuda")</f>
        <v>Bermuda</v>
      </c>
      <c r="C197" s="1">
        <f>IFERROR(__xludf.DUMMYFUNCTION("""COMPUTED_VALUE"""),340.0)</f>
        <v>340</v>
      </c>
      <c r="D197" s="1" t="str">
        <f>IFERROR(__xludf.DUMMYFUNCTION("""COMPUTED_VALUE"""),"+10")</f>
        <v>+10</v>
      </c>
      <c r="E197" s="1">
        <f>IFERROR(__xludf.DUMMYFUNCTION("""COMPUTED_VALUE"""),9.0)</f>
        <v>9</v>
      </c>
      <c r="F197" s="1"/>
      <c r="G197" s="1">
        <f>IFERROR(__xludf.DUMMYFUNCTION("""COMPUTED_VALUE"""),228.0)</f>
        <v>228</v>
      </c>
      <c r="H197" s="1" t="str">
        <f>IFERROR(__xludf.DUMMYFUNCTION("""COMPUTED_VALUE"""),"+5")</f>
        <v>+5</v>
      </c>
      <c r="I197" s="1">
        <f>IFERROR(__xludf.DUMMYFUNCTION("""COMPUTED_VALUE"""),103.0)</f>
        <v>103</v>
      </c>
      <c r="J197" s="1">
        <f>IFERROR(__xludf.DUMMYFUNCTION("""COMPUTED_VALUE"""),1.0)</f>
        <v>1</v>
      </c>
      <c r="K197" s="3">
        <f>IFERROR(__xludf.DUMMYFUNCTION("""COMPUTED_VALUE"""),5468.0)</f>
        <v>5468</v>
      </c>
      <c r="L197" s="1">
        <f>IFERROR(__xludf.DUMMYFUNCTION("""COMPUTED_VALUE"""),145.0)</f>
        <v>145</v>
      </c>
      <c r="M197" s="3">
        <f>IFERROR(__xludf.DUMMYFUNCTION("""COMPUTED_VALUE"""),115019.0)</f>
        <v>115019</v>
      </c>
      <c r="N197" s="3">
        <f>IFERROR(__xludf.DUMMYFUNCTION("""COMPUTED_VALUE"""),1849894.0)</f>
        <v>1849894</v>
      </c>
      <c r="O197" s="2">
        <f>IFERROR(__xludf.DUMMYFUNCTION("""COMPUTED_VALUE"""),62176.0)</f>
        <v>62176</v>
      </c>
      <c r="P197" s="1" t="str">
        <f>IFERROR(__xludf.DUMMYFUNCTION("""COMPUTED_VALUE"""),"North America")</f>
        <v>North America</v>
      </c>
      <c r="Q197" s="1">
        <f>IFERROR(__xludf.DUMMYFUNCTION("""COMPUTED_VALUE"""),183.0)</f>
        <v>183</v>
      </c>
      <c r="R197" s="3">
        <f>IFERROR(__xludf.DUMMYFUNCTION("""COMPUTED_VALUE"""),6908.0)</f>
        <v>6908</v>
      </c>
      <c r="S197" s="1">
        <f>IFERROR(__xludf.DUMMYFUNCTION("""COMPUTED_VALUE"""),1.0)</f>
        <v>1</v>
      </c>
    </row>
    <row r="198">
      <c r="A198" s="1">
        <f>IFERROR(__xludf.DUMMYFUNCTION("""COMPUTED_VALUE"""),189.0)</f>
        <v>189</v>
      </c>
      <c r="B198" s="1" t="str">
        <f>IFERROR(__xludf.DUMMYFUNCTION("""COMPUTED_VALUE"""),"Cayman Islands")</f>
        <v>Cayman Islands</v>
      </c>
      <c r="C198" s="1">
        <f>IFERROR(__xludf.DUMMYFUNCTION("""COMPUTED_VALUE"""),291.0)</f>
        <v>291</v>
      </c>
      <c r="D198" s="1"/>
      <c r="E198" s="1">
        <f>IFERROR(__xludf.DUMMYFUNCTION("""COMPUTED_VALUE"""),2.0)</f>
        <v>2</v>
      </c>
      <c r="F198" s="1"/>
      <c r="G198" s="1">
        <f>IFERROR(__xludf.DUMMYFUNCTION("""COMPUTED_VALUE"""),265.0)</f>
        <v>265</v>
      </c>
      <c r="H198" s="1"/>
      <c r="I198" s="1">
        <f>IFERROR(__xludf.DUMMYFUNCTION("""COMPUTED_VALUE"""),24.0)</f>
        <v>24</v>
      </c>
      <c r="J198" s="1">
        <f>IFERROR(__xludf.DUMMYFUNCTION("""COMPUTED_VALUE"""),1.0)</f>
        <v>1</v>
      </c>
      <c r="K198" s="3">
        <f>IFERROR(__xludf.DUMMYFUNCTION("""COMPUTED_VALUE"""),4405.0)</f>
        <v>4405</v>
      </c>
      <c r="L198" s="1">
        <f>IFERROR(__xludf.DUMMYFUNCTION("""COMPUTED_VALUE"""),30.0)</f>
        <v>30</v>
      </c>
      <c r="M198" s="3">
        <f>IFERROR(__xludf.DUMMYFUNCTION("""COMPUTED_VALUE"""),54863.0)</f>
        <v>54863</v>
      </c>
      <c r="N198" s="3">
        <f>IFERROR(__xludf.DUMMYFUNCTION("""COMPUTED_VALUE"""),830515.0)</f>
        <v>830515</v>
      </c>
      <c r="O198" s="2">
        <f>IFERROR(__xludf.DUMMYFUNCTION("""COMPUTED_VALUE"""),66059.0)</f>
        <v>66059</v>
      </c>
      <c r="P198" s="1" t="str">
        <f>IFERROR(__xludf.DUMMYFUNCTION("""COMPUTED_VALUE"""),"North America")</f>
        <v>North America</v>
      </c>
      <c r="Q198" s="1">
        <f>IFERROR(__xludf.DUMMYFUNCTION("""COMPUTED_VALUE"""),227.0)</f>
        <v>227</v>
      </c>
      <c r="R198" s="3">
        <f>IFERROR(__xludf.DUMMYFUNCTION("""COMPUTED_VALUE"""),33030.0)</f>
        <v>33030</v>
      </c>
      <c r="S198" s="1">
        <f>IFERROR(__xludf.DUMMYFUNCTION("""COMPUTED_VALUE"""),1.0)</f>
        <v>1</v>
      </c>
    </row>
    <row r="199">
      <c r="A199" s="1">
        <f>IFERROR(__xludf.DUMMYFUNCTION("""COMPUTED_VALUE"""),190.0)</f>
        <v>190</v>
      </c>
      <c r="B199" s="1" t="str">
        <f>IFERROR(__xludf.DUMMYFUNCTION("""COMPUTED_VALUE"""),"Barbados")</f>
        <v>Barbados</v>
      </c>
      <c r="C199" s="1">
        <f>IFERROR(__xludf.DUMMYFUNCTION("""COMPUTED_VALUE"""),290.0)</f>
        <v>290</v>
      </c>
      <c r="D199" s="1" t="str">
        <f>IFERROR(__xludf.DUMMYFUNCTION("""COMPUTED_VALUE"""),"+1")</f>
        <v>+1</v>
      </c>
      <c r="E199" s="1">
        <f>IFERROR(__xludf.DUMMYFUNCTION("""COMPUTED_VALUE"""),7.0)</f>
        <v>7</v>
      </c>
      <c r="F199" s="1"/>
      <c r="G199" s="1">
        <f>IFERROR(__xludf.DUMMYFUNCTION("""COMPUTED_VALUE"""),264.0)</f>
        <v>264</v>
      </c>
      <c r="H199" s="1" t="str">
        <f>IFERROR(__xludf.DUMMYFUNCTION("""COMPUTED_VALUE"""),"+1")</f>
        <v>+1</v>
      </c>
      <c r="I199" s="1">
        <f>IFERROR(__xludf.DUMMYFUNCTION("""COMPUTED_VALUE"""),19.0)</f>
        <v>19</v>
      </c>
      <c r="J199" s="1">
        <f>IFERROR(__xludf.DUMMYFUNCTION("""COMPUTED_VALUE"""),1.0)</f>
        <v>1</v>
      </c>
      <c r="K199" s="3">
        <f>IFERROR(__xludf.DUMMYFUNCTION("""COMPUTED_VALUE"""),1009.0)</f>
        <v>1009</v>
      </c>
      <c r="L199" s="1">
        <f>IFERROR(__xludf.DUMMYFUNCTION("""COMPUTED_VALUE"""),24.0)</f>
        <v>24</v>
      </c>
      <c r="M199" s="3">
        <f>IFERROR(__xludf.DUMMYFUNCTION("""COMPUTED_VALUE"""),50986.0)</f>
        <v>50986</v>
      </c>
      <c r="N199" s="3">
        <f>IFERROR(__xludf.DUMMYFUNCTION("""COMPUTED_VALUE"""),177324.0)</f>
        <v>177324</v>
      </c>
      <c r="O199" s="2">
        <f>IFERROR(__xludf.DUMMYFUNCTION("""COMPUTED_VALUE"""),287530.0)</f>
        <v>287530</v>
      </c>
      <c r="P199" s="1" t="str">
        <f>IFERROR(__xludf.DUMMYFUNCTION("""COMPUTED_VALUE"""),"North America")</f>
        <v>North America</v>
      </c>
      <c r="Q199" s="1">
        <f>IFERROR(__xludf.DUMMYFUNCTION("""COMPUTED_VALUE"""),991.0)</f>
        <v>991</v>
      </c>
      <c r="R199" s="3">
        <f>IFERROR(__xludf.DUMMYFUNCTION("""COMPUTED_VALUE"""),41076.0)</f>
        <v>41076</v>
      </c>
      <c r="S199" s="1">
        <f>IFERROR(__xludf.DUMMYFUNCTION("""COMPUTED_VALUE"""),6.0)</f>
        <v>6</v>
      </c>
    </row>
    <row r="200">
      <c r="A200" s="1">
        <f>IFERROR(__xludf.DUMMYFUNCTION("""COMPUTED_VALUE"""),191.0)</f>
        <v>191</v>
      </c>
      <c r="B200" s="1" t="str">
        <f>IFERROR(__xludf.DUMMYFUNCTION("""COMPUTED_VALUE"""),"Saint Lucia")</f>
        <v>Saint Lucia</v>
      </c>
      <c r="C200" s="1">
        <f>IFERROR(__xludf.DUMMYFUNCTION("""COMPUTED_VALUE"""),270.0)</f>
        <v>270</v>
      </c>
      <c r="D200" s="1"/>
      <c r="E200" s="1">
        <f>IFERROR(__xludf.DUMMYFUNCTION("""COMPUTED_VALUE"""),2.0)</f>
        <v>2</v>
      </c>
      <c r="F200" s="1"/>
      <c r="G200" s="1">
        <f>IFERROR(__xludf.DUMMYFUNCTION("""COMPUTED_VALUE"""),169.0)</f>
        <v>169</v>
      </c>
      <c r="H200" s="1"/>
      <c r="I200" s="1">
        <f>IFERROR(__xludf.DUMMYFUNCTION("""COMPUTED_VALUE"""),99.0)</f>
        <v>99</v>
      </c>
      <c r="J200" s="1"/>
      <c r="K200" s="3">
        <f>IFERROR(__xludf.DUMMYFUNCTION("""COMPUTED_VALUE"""),1467.0)</f>
        <v>1467</v>
      </c>
      <c r="L200" s="1">
        <f>IFERROR(__xludf.DUMMYFUNCTION("""COMPUTED_VALUE"""),11.0)</f>
        <v>11</v>
      </c>
      <c r="M200" s="3">
        <f>IFERROR(__xludf.DUMMYFUNCTION("""COMPUTED_VALUE"""),16900.0)</f>
        <v>16900</v>
      </c>
      <c r="N200" s="3">
        <f>IFERROR(__xludf.DUMMYFUNCTION("""COMPUTED_VALUE"""),91850.0)</f>
        <v>91850</v>
      </c>
      <c r="O200" s="2">
        <f>IFERROR(__xludf.DUMMYFUNCTION("""COMPUTED_VALUE"""),183996.0)</f>
        <v>183996</v>
      </c>
      <c r="P200" s="1" t="str">
        <f>IFERROR(__xludf.DUMMYFUNCTION("""COMPUTED_VALUE"""),"North America")</f>
        <v>North America</v>
      </c>
      <c r="Q200" s="1">
        <f>IFERROR(__xludf.DUMMYFUNCTION("""COMPUTED_VALUE"""),681.0)</f>
        <v>681</v>
      </c>
      <c r="R200" s="3">
        <f>IFERROR(__xludf.DUMMYFUNCTION("""COMPUTED_VALUE"""),91998.0)</f>
        <v>91998</v>
      </c>
      <c r="S200" s="1">
        <f>IFERROR(__xludf.DUMMYFUNCTION("""COMPUTED_VALUE"""),11.0)</f>
        <v>11</v>
      </c>
    </row>
    <row r="201">
      <c r="A201" s="1">
        <f>IFERROR(__xludf.DUMMYFUNCTION("""COMPUTED_VALUE"""),192.0)</f>
        <v>192</v>
      </c>
      <c r="B201" s="1" t="str">
        <f>IFERROR(__xludf.DUMMYFUNCTION("""COMPUTED_VALUE"""),"Seychelles")</f>
        <v>Seychelles</v>
      </c>
      <c r="C201" s="1">
        <f>IFERROR(__xludf.DUMMYFUNCTION("""COMPUTED_VALUE"""),184.0)</f>
        <v>184</v>
      </c>
      <c r="D201" s="1"/>
      <c r="E201" s="1"/>
      <c r="F201" s="1"/>
      <c r="G201" s="1">
        <f>IFERROR(__xludf.DUMMYFUNCTION("""COMPUTED_VALUE"""),168.0)</f>
        <v>168</v>
      </c>
      <c r="H201" s="1"/>
      <c r="I201" s="1">
        <f>IFERROR(__xludf.DUMMYFUNCTION("""COMPUTED_VALUE"""),16.0)</f>
        <v>16</v>
      </c>
      <c r="J201" s="1"/>
      <c r="K201" s="3">
        <f>IFERROR(__xludf.DUMMYFUNCTION("""COMPUTED_VALUE"""),1866.0)</f>
        <v>1866</v>
      </c>
      <c r="L201" s="1"/>
      <c r="M201" s="3">
        <f>IFERROR(__xludf.DUMMYFUNCTION("""COMPUTED_VALUE"""),5200.0)</f>
        <v>5200</v>
      </c>
      <c r="N201" s="3">
        <f>IFERROR(__xludf.DUMMYFUNCTION("""COMPUTED_VALUE"""),52731.0)</f>
        <v>52731</v>
      </c>
      <c r="O201" s="2">
        <f>IFERROR(__xludf.DUMMYFUNCTION("""COMPUTED_VALUE"""),98614.0)</f>
        <v>98614</v>
      </c>
      <c r="P201" s="1" t="str">
        <f>IFERROR(__xludf.DUMMYFUNCTION("""COMPUTED_VALUE"""),"Africa")</f>
        <v>Africa</v>
      </c>
      <c r="Q201" s="1">
        <f>IFERROR(__xludf.DUMMYFUNCTION("""COMPUTED_VALUE"""),536.0)</f>
        <v>536</v>
      </c>
      <c r="R201" s="1"/>
      <c r="S201" s="1">
        <f>IFERROR(__xludf.DUMMYFUNCTION("""COMPUTED_VALUE"""),19.0)</f>
        <v>19</v>
      </c>
    </row>
    <row r="202">
      <c r="A202" s="1">
        <f>IFERROR(__xludf.DUMMYFUNCTION("""COMPUTED_VALUE"""),193.0)</f>
        <v>193</v>
      </c>
      <c r="B202" s="1" t="str">
        <f>IFERROR(__xludf.DUMMYFUNCTION("""COMPUTED_VALUE"""),"Caribbean Netherlands")</f>
        <v>Caribbean Netherlands</v>
      </c>
      <c r="C202" s="1">
        <f>IFERROR(__xludf.DUMMYFUNCTION("""COMPUTED_VALUE"""),172.0)</f>
        <v>172</v>
      </c>
      <c r="D202" s="1" t="str">
        <f>IFERROR(__xludf.DUMMYFUNCTION("""COMPUTED_VALUE"""),"+3")</f>
        <v>+3</v>
      </c>
      <c r="E202" s="1">
        <f>IFERROR(__xludf.DUMMYFUNCTION("""COMPUTED_VALUE"""),3.0)</f>
        <v>3</v>
      </c>
      <c r="F202" s="1"/>
      <c r="G202" s="1">
        <f>IFERROR(__xludf.DUMMYFUNCTION("""COMPUTED_VALUE"""),160.0)</f>
        <v>160</v>
      </c>
      <c r="H202" s="1" t="str">
        <f>IFERROR(__xludf.DUMMYFUNCTION("""COMPUTED_VALUE"""),"+1")</f>
        <v>+1</v>
      </c>
      <c r="I202" s="1">
        <f>IFERROR(__xludf.DUMMYFUNCTION("""COMPUTED_VALUE"""),9.0)</f>
        <v>9</v>
      </c>
      <c r="J202" s="1"/>
      <c r="K202" s="3">
        <f>IFERROR(__xludf.DUMMYFUNCTION("""COMPUTED_VALUE"""),6532.0)</f>
        <v>6532</v>
      </c>
      <c r="L202" s="1">
        <f>IFERROR(__xludf.DUMMYFUNCTION("""COMPUTED_VALUE"""),114.0)</f>
        <v>114</v>
      </c>
      <c r="M202" s="3">
        <f>IFERROR(__xludf.DUMMYFUNCTION("""COMPUTED_VALUE"""),3873.0)</f>
        <v>3873</v>
      </c>
      <c r="N202" s="3">
        <f>IFERROR(__xludf.DUMMYFUNCTION("""COMPUTED_VALUE"""),147095.0)</f>
        <v>147095</v>
      </c>
      <c r="O202" s="2">
        <f>IFERROR(__xludf.DUMMYFUNCTION("""COMPUTED_VALUE"""),26330.0)</f>
        <v>26330</v>
      </c>
      <c r="P202" s="1" t="str">
        <f>IFERROR(__xludf.DUMMYFUNCTION("""COMPUTED_VALUE"""),"North America")</f>
        <v>North America</v>
      </c>
      <c r="Q202" s="1">
        <f>IFERROR(__xludf.DUMMYFUNCTION("""COMPUTED_VALUE"""),153.0)</f>
        <v>153</v>
      </c>
      <c r="R202" s="3">
        <f>IFERROR(__xludf.DUMMYFUNCTION("""COMPUTED_VALUE"""),8777.0)</f>
        <v>8777</v>
      </c>
      <c r="S202" s="1">
        <f>IFERROR(__xludf.DUMMYFUNCTION("""COMPUTED_VALUE"""),7.0)</f>
        <v>7</v>
      </c>
    </row>
    <row r="203">
      <c r="A203" s="1">
        <f>IFERROR(__xludf.DUMMYFUNCTION("""COMPUTED_VALUE"""),194.0)</f>
        <v>194</v>
      </c>
      <c r="B203" s="1" t="str">
        <f>IFERROR(__xludf.DUMMYFUNCTION("""COMPUTED_VALUE"""),"St. Barth")</f>
        <v>St. Barth</v>
      </c>
      <c r="C203" s="1">
        <f>IFERROR(__xludf.DUMMYFUNCTION("""COMPUTED_VALUE"""),162.0)</f>
        <v>162</v>
      </c>
      <c r="D203" s="1"/>
      <c r="E203" s="1">
        <f>IFERROR(__xludf.DUMMYFUNCTION("""COMPUTED_VALUE"""),1.0)</f>
        <v>1</v>
      </c>
      <c r="F203" s="1"/>
      <c r="G203" s="1">
        <f>IFERROR(__xludf.DUMMYFUNCTION("""COMPUTED_VALUE"""),127.0)</f>
        <v>127</v>
      </c>
      <c r="H203" s="1"/>
      <c r="I203" s="1">
        <f>IFERROR(__xludf.DUMMYFUNCTION("""COMPUTED_VALUE"""),34.0)</f>
        <v>34</v>
      </c>
      <c r="J203" s="1"/>
      <c r="K203" s="3">
        <f>IFERROR(__xludf.DUMMYFUNCTION("""COMPUTED_VALUE"""),16380.0)</f>
        <v>16380</v>
      </c>
      <c r="L203" s="1">
        <f>IFERROR(__xludf.DUMMYFUNCTION("""COMPUTED_VALUE"""),101.0)</f>
        <v>101</v>
      </c>
      <c r="M203" s="3">
        <f>IFERROR(__xludf.DUMMYFUNCTION("""COMPUTED_VALUE"""),5315.0)</f>
        <v>5315</v>
      </c>
      <c r="N203" s="3">
        <f>IFERROR(__xludf.DUMMYFUNCTION("""COMPUTED_VALUE"""),537412.0)</f>
        <v>537412</v>
      </c>
      <c r="O203" s="2">
        <f>IFERROR(__xludf.DUMMYFUNCTION("""COMPUTED_VALUE"""),9890.0)</f>
        <v>9890</v>
      </c>
      <c r="P203" s="1" t="str">
        <f>IFERROR(__xludf.DUMMYFUNCTION("""COMPUTED_VALUE"""),"North America")</f>
        <v>North America</v>
      </c>
      <c r="Q203" s="1">
        <f>IFERROR(__xludf.DUMMYFUNCTION("""COMPUTED_VALUE"""),61.0)</f>
        <v>61</v>
      </c>
      <c r="R203" s="3">
        <f>IFERROR(__xludf.DUMMYFUNCTION("""COMPUTED_VALUE"""),9890.0)</f>
        <v>9890</v>
      </c>
      <c r="S203" s="1">
        <f>IFERROR(__xludf.DUMMYFUNCTION("""COMPUTED_VALUE"""),2.0)</f>
        <v>2</v>
      </c>
    </row>
    <row r="204">
      <c r="A204" s="1">
        <f>IFERROR(__xludf.DUMMYFUNCTION("""COMPUTED_VALUE"""),195.0)</f>
        <v>195</v>
      </c>
      <c r="B204" s="1" t="str">
        <f>IFERROR(__xludf.DUMMYFUNCTION("""COMPUTED_VALUE"""),"Brunei")</f>
        <v>Brunei</v>
      </c>
      <c r="C204" s="1">
        <f>IFERROR(__xludf.DUMMYFUNCTION("""COMPUTED_VALUE"""),152.0)</f>
        <v>152</v>
      </c>
      <c r="D204" s="1"/>
      <c r="E204" s="1">
        <f>IFERROR(__xludf.DUMMYFUNCTION("""COMPUTED_VALUE"""),3.0)</f>
        <v>3</v>
      </c>
      <c r="F204" s="1"/>
      <c r="G204" s="1">
        <f>IFERROR(__xludf.DUMMYFUNCTION("""COMPUTED_VALUE"""),147.0)</f>
        <v>147</v>
      </c>
      <c r="H204" s="1"/>
      <c r="I204" s="1">
        <f>IFERROR(__xludf.DUMMYFUNCTION("""COMPUTED_VALUE"""),2.0)</f>
        <v>2</v>
      </c>
      <c r="J204" s="1"/>
      <c r="K204" s="1">
        <f>IFERROR(__xludf.DUMMYFUNCTION("""COMPUTED_VALUE"""),346.0)</f>
        <v>346</v>
      </c>
      <c r="L204" s="1">
        <f>IFERROR(__xludf.DUMMYFUNCTION("""COMPUTED_VALUE"""),7.0)</f>
        <v>7</v>
      </c>
      <c r="M204" s="3">
        <f>IFERROR(__xludf.DUMMYFUNCTION("""COMPUTED_VALUE"""),77829.0)</f>
        <v>77829</v>
      </c>
      <c r="N204" s="3">
        <f>IFERROR(__xludf.DUMMYFUNCTION("""COMPUTED_VALUE"""),177162.0)</f>
        <v>177162</v>
      </c>
      <c r="O204" s="2">
        <f>IFERROR(__xludf.DUMMYFUNCTION("""COMPUTED_VALUE"""),439311.0)</f>
        <v>439311</v>
      </c>
      <c r="P204" s="1" t="str">
        <f>IFERROR(__xludf.DUMMYFUNCTION("""COMPUTED_VALUE"""),"Asia")</f>
        <v>Asia</v>
      </c>
      <c r="Q204" s="3">
        <f>IFERROR(__xludf.DUMMYFUNCTION("""COMPUTED_VALUE"""),2890.0)</f>
        <v>2890</v>
      </c>
      <c r="R204" s="3">
        <f>IFERROR(__xludf.DUMMYFUNCTION("""COMPUTED_VALUE"""),146437.0)</f>
        <v>146437</v>
      </c>
      <c r="S204" s="1">
        <f>IFERROR(__xludf.DUMMYFUNCTION("""COMPUTED_VALUE"""),6.0)</f>
        <v>6</v>
      </c>
    </row>
    <row r="205">
      <c r="A205" s="1">
        <f>IFERROR(__xludf.DUMMYFUNCTION("""COMPUTED_VALUE"""),196.0)</f>
        <v>196</v>
      </c>
      <c r="B205" s="1" t="str">
        <f>IFERROR(__xludf.DUMMYFUNCTION("""COMPUTED_VALUE"""),"Antigua and Barbuda")</f>
        <v>Antigua and Barbuda</v>
      </c>
      <c r="C205" s="1">
        <f>IFERROR(__xludf.DUMMYFUNCTION("""COMPUTED_VALUE"""),146.0)</f>
        <v>146</v>
      </c>
      <c r="D205" s="1"/>
      <c r="E205" s="1">
        <f>IFERROR(__xludf.DUMMYFUNCTION("""COMPUTED_VALUE"""),4.0)</f>
        <v>4</v>
      </c>
      <c r="F205" s="1"/>
      <c r="G205" s="1">
        <f>IFERROR(__xludf.DUMMYFUNCTION("""COMPUTED_VALUE"""),138.0)</f>
        <v>138</v>
      </c>
      <c r="H205" s="1" t="str">
        <f>IFERROR(__xludf.DUMMYFUNCTION("""COMPUTED_VALUE"""),"+4")</f>
        <v>+4</v>
      </c>
      <c r="I205" s="1">
        <f>IFERROR(__xludf.DUMMYFUNCTION("""COMPUTED_VALUE"""),4.0)</f>
        <v>4</v>
      </c>
      <c r="J205" s="1">
        <f>IFERROR(__xludf.DUMMYFUNCTION("""COMPUTED_VALUE"""),2.0)</f>
        <v>2</v>
      </c>
      <c r="K205" s="3">
        <f>IFERROR(__xludf.DUMMYFUNCTION("""COMPUTED_VALUE"""),1485.0)</f>
        <v>1485</v>
      </c>
      <c r="L205" s="1">
        <f>IFERROR(__xludf.DUMMYFUNCTION("""COMPUTED_VALUE"""),41.0)</f>
        <v>41</v>
      </c>
      <c r="M205" s="3">
        <f>IFERROR(__xludf.DUMMYFUNCTION("""COMPUTED_VALUE"""),5022.0)</f>
        <v>5022</v>
      </c>
      <c r="N205" s="3">
        <f>IFERROR(__xludf.DUMMYFUNCTION("""COMPUTED_VALUE"""),51097.0)</f>
        <v>51097</v>
      </c>
      <c r="O205" s="2">
        <f>IFERROR(__xludf.DUMMYFUNCTION("""COMPUTED_VALUE"""),98284.0)</f>
        <v>98284</v>
      </c>
      <c r="P205" s="1" t="str">
        <f>IFERROR(__xludf.DUMMYFUNCTION("""COMPUTED_VALUE"""),"North America")</f>
        <v>North America</v>
      </c>
      <c r="Q205" s="1">
        <f>IFERROR(__xludf.DUMMYFUNCTION("""COMPUTED_VALUE"""),673.0)</f>
        <v>673</v>
      </c>
      <c r="R205" s="3">
        <f>IFERROR(__xludf.DUMMYFUNCTION("""COMPUTED_VALUE"""),24571.0)</f>
        <v>24571</v>
      </c>
      <c r="S205" s="1">
        <f>IFERROR(__xludf.DUMMYFUNCTION("""COMPUTED_VALUE"""),20.0)</f>
        <v>20</v>
      </c>
    </row>
    <row r="206">
      <c r="A206" s="1">
        <f>IFERROR(__xludf.DUMMYFUNCTION("""COMPUTED_VALUE"""),197.0)</f>
        <v>197</v>
      </c>
      <c r="B206" s="1" t="str">
        <f>IFERROR(__xludf.DUMMYFUNCTION("""COMPUTED_VALUE"""),"St. Vincent Grenadines")</f>
        <v>St. Vincent Grenadines</v>
      </c>
      <c r="C206" s="1">
        <f>IFERROR(__xludf.DUMMYFUNCTION("""COMPUTED_VALUE"""),90.0)</f>
        <v>90</v>
      </c>
      <c r="D206" s="1" t="str">
        <f>IFERROR(__xludf.DUMMYFUNCTION("""COMPUTED_VALUE"""),"+3")</f>
        <v>+3</v>
      </c>
      <c r="E206" s="1"/>
      <c r="F206" s="1"/>
      <c r="G206" s="1">
        <f>IFERROR(__xludf.DUMMYFUNCTION("""COMPUTED_VALUE"""),80.0)</f>
        <v>80</v>
      </c>
      <c r="H206" s="1"/>
      <c r="I206" s="1">
        <f>IFERROR(__xludf.DUMMYFUNCTION("""COMPUTED_VALUE"""),10.0)</f>
        <v>10</v>
      </c>
      <c r="J206" s="1"/>
      <c r="K206" s="1">
        <f>IFERROR(__xludf.DUMMYFUNCTION("""COMPUTED_VALUE"""),810.0)</f>
        <v>810</v>
      </c>
      <c r="L206" s="1"/>
      <c r="M206" s="3">
        <f>IFERROR(__xludf.DUMMYFUNCTION("""COMPUTED_VALUE"""),11341.0)</f>
        <v>11341</v>
      </c>
      <c r="N206" s="3">
        <f>IFERROR(__xludf.DUMMYFUNCTION("""COMPUTED_VALUE"""),102084.0)</f>
        <v>102084</v>
      </c>
      <c r="O206" s="2">
        <f>IFERROR(__xludf.DUMMYFUNCTION("""COMPUTED_VALUE"""),111095.0)</f>
        <v>111095</v>
      </c>
      <c r="P206" s="1" t="str">
        <f>IFERROR(__xludf.DUMMYFUNCTION("""COMPUTED_VALUE"""),"North America")</f>
        <v>North America</v>
      </c>
      <c r="Q206" s="3">
        <f>IFERROR(__xludf.DUMMYFUNCTION("""COMPUTED_VALUE"""),1234.0)</f>
        <v>1234</v>
      </c>
      <c r="R206" s="1"/>
      <c r="S206" s="1">
        <f>IFERROR(__xludf.DUMMYFUNCTION("""COMPUTED_VALUE"""),10.0)</f>
        <v>10</v>
      </c>
    </row>
    <row r="207">
      <c r="A207" s="1">
        <f>IFERROR(__xludf.DUMMYFUNCTION("""COMPUTED_VALUE"""),198.0)</f>
        <v>198</v>
      </c>
      <c r="B207" s="1" t="str">
        <f>IFERROR(__xludf.DUMMYFUNCTION("""COMPUTED_VALUE"""),"Dominica")</f>
        <v>Dominica</v>
      </c>
      <c r="C207" s="1">
        <f>IFERROR(__xludf.DUMMYFUNCTION("""COMPUTED_VALUE"""),85.0)</f>
        <v>85</v>
      </c>
      <c r="D207" s="1"/>
      <c r="E207" s="1"/>
      <c r="F207" s="1"/>
      <c r="G207" s="1">
        <f>IFERROR(__xludf.DUMMYFUNCTION("""COMPUTED_VALUE"""),72.0)</f>
        <v>72</v>
      </c>
      <c r="H207" s="1"/>
      <c r="I207" s="1">
        <f>IFERROR(__xludf.DUMMYFUNCTION("""COMPUTED_VALUE"""),13.0)</f>
        <v>13</v>
      </c>
      <c r="J207" s="1"/>
      <c r="K207" s="3">
        <f>IFERROR(__xludf.DUMMYFUNCTION("""COMPUTED_VALUE"""),1179.0)</f>
        <v>1179</v>
      </c>
      <c r="L207" s="1"/>
      <c r="M207" s="3">
        <f>IFERROR(__xludf.DUMMYFUNCTION("""COMPUTED_VALUE"""),5655.0)</f>
        <v>5655</v>
      </c>
      <c r="N207" s="3">
        <f>IFERROR(__xludf.DUMMYFUNCTION("""COMPUTED_VALUE"""),78471.0)</f>
        <v>78471</v>
      </c>
      <c r="O207" s="2">
        <f>IFERROR(__xludf.DUMMYFUNCTION("""COMPUTED_VALUE"""),72065.0)</f>
        <v>72065</v>
      </c>
      <c r="P207" s="1" t="str">
        <f>IFERROR(__xludf.DUMMYFUNCTION("""COMPUTED_VALUE"""),"North America")</f>
        <v>North America</v>
      </c>
      <c r="Q207" s="1">
        <f>IFERROR(__xludf.DUMMYFUNCTION("""COMPUTED_VALUE"""),848.0)</f>
        <v>848</v>
      </c>
      <c r="R207" s="1"/>
      <c r="S207" s="1">
        <f>IFERROR(__xludf.DUMMYFUNCTION("""COMPUTED_VALUE"""),13.0)</f>
        <v>13</v>
      </c>
    </row>
    <row r="208">
      <c r="A208" s="1">
        <f>IFERROR(__xludf.DUMMYFUNCTION("""COMPUTED_VALUE"""),199.0)</f>
        <v>199</v>
      </c>
      <c r="B208" s="1" t="str">
        <f>IFERROR(__xludf.DUMMYFUNCTION("""COMPUTED_VALUE"""),"British Virgin Islands")</f>
        <v>British Virgin Islands</v>
      </c>
      <c r="C208" s="1">
        <f>IFERROR(__xludf.DUMMYFUNCTION("""COMPUTED_VALUE"""),72.0)</f>
        <v>72</v>
      </c>
      <c r="D208" s="1"/>
      <c r="E208" s="1">
        <f>IFERROR(__xludf.DUMMYFUNCTION("""COMPUTED_VALUE"""),1.0)</f>
        <v>1</v>
      </c>
      <c r="F208" s="1"/>
      <c r="G208" s="1">
        <f>IFERROR(__xludf.DUMMYFUNCTION("""COMPUTED_VALUE"""),71.0)</f>
        <v>71</v>
      </c>
      <c r="H208" s="1"/>
      <c r="I208" s="1">
        <f>IFERROR(__xludf.DUMMYFUNCTION("""COMPUTED_VALUE"""),0.0)</f>
        <v>0</v>
      </c>
      <c r="J208" s="1"/>
      <c r="K208" s="3">
        <f>IFERROR(__xludf.DUMMYFUNCTION("""COMPUTED_VALUE"""),2375.0)</f>
        <v>2375</v>
      </c>
      <c r="L208" s="1">
        <f>IFERROR(__xludf.DUMMYFUNCTION("""COMPUTED_VALUE"""),33.0)</f>
        <v>33</v>
      </c>
      <c r="M208" s="3">
        <f>IFERROR(__xludf.DUMMYFUNCTION("""COMPUTED_VALUE"""),6431.0)</f>
        <v>6431</v>
      </c>
      <c r="N208" s="3">
        <f>IFERROR(__xludf.DUMMYFUNCTION("""COMPUTED_VALUE"""),212111.0)</f>
        <v>212111</v>
      </c>
      <c r="O208" s="2">
        <f>IFERROR(__xludf.DUMMYFUNCTION("""COMPUTED_VALUE"""),30319.0)</f>
        <v>30319</v>
      </c>
      <c r="P208" s="1" t="str">
        <f>IFERROR(__xludf.DUMMYFUNCTION("""COMPUTED_VALUE"""),"North America")</f>
        <v>North America</v>
      </c>
      <c r="Q208" s="1">
        <f>IFERROR(__xludf.DUMMYFUNCTION("""COMPUTED_VALUE"""),421.0)</f>
        <v>421</v>
      </c>
      <c r="R208" s="3">
        <f>IFERROR(__xludf.DUMMYFUNCTION("""COMPUTED_VALUE"""),30319.0)</f>
        <v>30319</v>
      </c>
      <c r="S208" s="1">
        <f>IFERROR(__xludf.DUMMYFUNCTION("""COMPUTED_VALUE"""),5.0)</f>
        <v>5</v>
      </c>
    </row>
    <row r="209">
      <c r="A209" s="1">
        <f>IFERROR(__xludf.DUMMYFUNCTION("""COMPUTED_VALUE"""),200.0)</f>
        <v>200</v>
      </c>
      <c r="B209" s="1" t="str">
        <f>IFERROR(__xludf.DUMMYFUNCTION("""COMPUTED_VALUE"""),"Macao")</f>
        <v>Macao</v>
      </c>
      <c r="C209" s="1">
        <f>IFERROR(__xludf.DUMMYFUNCTION("""COMPUTED_VALUE"""),46.0)</f>
        <v>46</v>
      </c>
      <c r="D209" s="1"/>
      <c r="E209" s="1"/>
      <c r="F209" s="1"/>
      <c r="G209" s="1">
        <f>IFERROR(__xludf.DUMMYFUNCTION("""COMPUTED_VALUE"""),46.0)</f>
        <v>46</v>
      </c>
      <c r="H209" s="1"/>
      <c r="I209" s="1">
        <f>IFERROR(__xludf.DUMMYFUNCTION("""COMPUTED_VALUE"""),0.0)</f>
        <v>0</v>
      </c>
      <c r="J209" s="1"/>
      <c r="K209" s="1">
        <f>IFERROR(__xludf.DUMMYFUNCTION("""COMPUTED_VALUE"""),70.0)</f>
        <v>70</v>
      </c>
      <c r="L209" s="1"/>
      <c r="M209" s="3">
        <f>IFERROR(__xludf.DUMMYFUNCTION("""COMPUTED_VALUE"""),4238.0)</f>
        <v>4238</v>
      </c>
      <c r="N209" s="3">
        <f>IFERROR(__xludf.DUMMYFUNCTION("""COMPUTED_VALUE"""),6488.0)</f>
        <v>6488</v>
      </c>
      <c r="O209" s="2">
        <f>IFERROR(__xludf.DUMMYFUNCTION("""COMPUTED_VALUE"""),653193.0)</f>
        <v>653193</v>
      </c>
      <c r="P209" s="1" t="str">
        <f>IFERROR(__xludf.DUMMYFUNCTION("""COMPUTED_VALUE"""),"Asia")</f>
        <v>Asia</v>
      </c>
      <c r="Q209" s="3">
        <f>IFERROR(__xludf.DUMMYFUNCTION("""COMPUTED_VALUE"""),14200.0)</f>
        <v>14200</v>
      </c>
      <c r="R209" s="1"/>
      <c r="S209" s="1">
        <f>IFERROR(__xludf.DUMMYFUNCTION("""COMPUTED_VALUE"""),154.0)</f>
        <v>154</v>
      </c>
    </row>
    <row r="210">
      <c r="A210" s="1">
        <f>IFERROR(__xludf.DUMMYFUNCTION("""COMPUTED_VALUE"""),201.0)</f>
        <v>201</v>
      </c>
      <c r="B210" s="1" t="str">
        <f>IFERROR(__xludf.DUMMYFUNCTION("""COMPUTED_VALUE"""),"Fiji")</f>
        <v>Fiji</v>
      </c>
      <c r="C210" s="1">
        <f>IFERROR(__xludf.DUMMYFUNCTION("""COMPUTED_VALUE"""),44.0)</f>
        <v>44</v>
      </c>
      <c r="D210" s="1"/>
      <c r="E210" s="1">
        <f>IFERROR(__xludf.DUMMYFUNCTION("""COMPUTED_VALUE"""),2.0)</f>
        <v>2</v>
      </c>
      <c r="F210" s="1"/>
      <c r="G210" s="1">
        <f>IFERROR(__xludf.DUMMYFUNCTION("""COMPUTED_VALUE"""),35.0)</f>
        <v>35</v>
      </c>
      <c r="H210" s="1"/>
      <c r="I210" s="1">
        <f>IFERROR(__xludf.DUMMYFUNCTION("""COMPUTED_VALUE"""),7.0)</f>
        <v>7</v>
      </c>
      <c r="J210" s="1"/>
      <c r="K210" s="1">
        <f>IFERROR(__xludf.DUMMYFUNCTION("""COMPUTED_VALUE"""),49.0)</f>
        <v>49</v>
      </c>
      <c r="L210" s="1">
        <f>IFERROR(__xludf.DUMMYFUNCTION("""COMPUTED_VALUE"""),2.0)</f>
        <v>2</v>
      </c>
      <c r="M210" s="3">
        <f>IFERROR(__xludf.DUMMYFUNCTION("""COMPUTED_VALUE"""),17576.0)</f>
        <v>17576</v>
      </c>
      <c r="N210" s="3">
        <f>IFERROR(__xludf.DUMMYFUNCTION("""COMPUTED_VALUE"""),19544.0)</f>
        <v>19544</v>
      </c>
      <c r="O210" s="2">
        <f>IFERROR(__xludf.DUMMYFUNCTION("""COMPUTED_VALUE"""),899292.0)</f>
        <v>899292</v>
      </c>
      <c r="P210" s="1" t="str">
        <f>IFERROR(__xludf.DUMMYFUNCTION("""COMPUTED_VALUE"""),"Australia/Oceania")</f>
        <v>Australia/Oceania</v>
      </c>
      <c r="Q210" s="3">
        <f>IFERROR(__xludf.DUMMYFUNCTION("""COMPUTED_VALUE"""),20438.0)</f>
        <v>20438</v>
      </c>
      <c r="R210" s="3">
        <f>IFERROR(__xludf.DUMMYFUNCTION("""COMPUTED_VALUE"""),449646.0)</f>
        <v>449646</v>
      </c>
      <c r="S210" s="1">
        <f>IFERROR(__xludf.DUMMYFUNCTION("""COMPUTED_VALUE"""),51.0)</f>
        <v>51</v>
      </c>
    </row>
    <row r="211">
      <c r="A211" s="1">
        <f>IFERROR(__xludf.DUMMYFUNCTION("""COMPUTED_VALUE"""),202.0)</f>
        <v>202</v>
      </c>
      <c r="B211" s="1" t="str">
        <f>IFERROR(__xludf.DUMMYFUNCTION("""COMPUTED_VALUE"""),"Grenada")</f>
        <v>Grenada</v>
      </c>
      <c r="C211" s="1">
        <f>IFERROR(__xludf.DUMMYFUNCTION("""COMPUTED_VALUE"""),43.0)</f>
        <v>43</v>
      </c>
      <c r="D211" s="1"/>
      <c r="E211" s="1"/>
      <c r="F211" s="1"/>
      <c r="G211" s="1">
        <f>IFERROR(__xludf.DUMMYFUNCTION("""COMPUTED_VALUE"""),41.0)</f>
        <v>41</v>
      </c>
      <c r="H211" s="1"/>
      <c r="I211" s="1">
        <f>IFERROR(__xludf.DUMMYFUNCTION("""COMPUTED_VALUE"""),2.0)</f>
        <v>2</v>
      </c>
      <c r="J211" s="1"/>
      <c r="K211" s="1">
        <f>IFERROR(__xludf.DUMMYFUNCTION("""COMPUTED_VALUE"""),381.0)</f>
        <v>381</v>
      </c>
      <c r="L211" s="1"/>
      <c r="M211" s="3">
        <f>IFERROR(__xludf.DUMMYFUNCTION("""COMPUTED_VALUE"""),6252.0)</f>
        <v>6252</v>
      </c>
      <c r="N211" s="3">
        <f>IFERROR(__xludf.DUMMYFUNCTION("""COMPUTED_VALUE"""),55449.0)</f>
        <v>55449</v>
      </c>
      <c r="O211" s="2">
        <f>IFERROR(__xludf.DUMMYFUNCTION("""COMPUTED_VALUE"""),112752.0)</f>
        <v>112752</v>
      </c>
      <c r="P211" s="1" t="str">
        <f>IFERROR(__xludf.DUMMYFUNCTION("""COMPUTED_VALUE"""),"North America")</f>
        <v>North America</v>
      </c>
      <c r="Q211" s="3">
        <f>IFERROR(__xludf.DUMMYFUNCTION("""COMPUTED_VALUE"""),2622.0)</f>
        <v>2622</v>
      </c>
      <c r="R211" s="1"/>
      <c r="S211" s="1">
        <f>IFERROR(__xludf.DUMMYFUNCTION("""COMPUTED_VALUE"""),18.0)</f>
        <v>18</v>
      </c>
    </row>
    <row r="212">
      <c r="A212" s="1">
        <f>IFERROR(__xludf.DUMMYFUNCTION("""COMPUTED_VALUE"""),203.0)</f>
        <v>203</v>
      </c>
      <c r="B212" s="1" t="str">
        <f>IFERROR(__xludf.DUMMYFUNCTION("""COMPUTED_VALUE"""),"Laos")</f>
        <v>Laos</v>
      </c>
      <c r="C212" s="1">
        <f>IFERROR(__xludf.DUMMYFUNCTION("""COMPUTED_VALUE"""),41.0)</f>
        <v>41</v>
      </c>
      <c r="D212" s="1"/>
      <c r="E212" s="1"/>
      <c r="F212" s="1"/>
      <c r="G212" s="1">
        <f>IFERROR(__xludf.DUMMYFUNCTION("""COMPUTED_VALUE"""),28.0)</f>
        <v>28</v>
      </c>
      <c r="H212" s="1"/>
      <c r="I212" s="1">
        <f>IFERROR(__xludf.DUMMYFUNCTION("""COMPUTED_VALUE"""),13.0)</f>
        <v>13</v>
      </c>
      <c r="J212" s="1"/>
      <c r="K212" s="1">
        <f>IFERROR(__xludf.DUMMYFUNCTION("""COMPUTED_VALUE"""),6.0)</f>
        <v>6</v>
      </c>
      <c r="L212" s="1"/>
      <c r="M212" s="3">
        <f>IFERROR(__xludf.DUMMYFUNCTION("""COMPUTED_VALUE"""),83345.0)</f>
        <v>83345</v>
      </c>
      <c r="N212" s="3">
        <f>IFERROR(__xludf.DUMMYFUNCTION("""COMPUTED_VALUE"""),11384.0)</f>
        <v>11384</v>
      </c>
      <c r="O212" s="2">
        <f>IFERROR(__xludf.DUMMYFUNCTION("""COMPUTED_VALUE"""),7321534.0)</f>
        <v>7321534</v>
      </c>
      <c r="P212" s="1" t="str">
        <f>IFERROR(__xludf.DUMMYFUNCTION("""COMPUTED_VALUE"""),"Asia")</f>
        <v>Asia</v>
      </c>
      <c r="Q212" s="3">
        <f>IFERROR(__xludf.DUMMYFUNCTION("""COMPUTED_VALUE"""),178574.0)</f>
        <v>178574</v>
      </c>
      <c r="R212" s="1"/>
      <c r="S212" s="1">
        <f>IFERROR(__xludf.DUMMYFUNCTION("""COMPUTED_VALUE"""),88.0)</f>
        <v>88</v>
      </c>
    </row>
    <row r="213">
      <c r="A213" s="1">
        <f>IFERROR(__xludf.DUMMYFUNCTION("""COMPUTED_VALUE"""),204.0)</f>
        <v>204</v>
      </c>
      <c r="B213" s="1" t="str">
        <f>IFERROR(__xludf.DUMMYFUNCTION("""COMPUTED_VALUE"""),"New Caledonia")</f>
        <v>New Caledonia</v>
      </c>
      <c r="C213" s="1">
        <f>IFERROR(__xludf.DUMMYFUNCTION("""COMPUTED_VALUE"""),36.0)</f>
        <v>36</v>
      </c>
      <c r="D213" s="1"/>
      <c r="E213" s="1"/>
      <c r="F213" s="1"/>
      <c r="G213" s="1">
        <f>IFERROR(__xludf.DUMMYFUNCTION("""COMPUTED_VALUE"""),32.0)</f>
        <v>32</v>
      </c>
      <c r="H213" s="1"/>
      <c r="I213" s="1">
        <f>IFERROR(__xludf.DUMMYFUNCTION("""COMPUTED_VALUE"""),4.0)</f>
        <v>4</v>
      </c>
      <c r="J213" s="1"/>
      <c r="K213" s="1">
        <f>IFERROR(__xludf.DUMMYFUNCTION("""COMPUTED_VALUE"""),126.0)</f>
        <v>126</v>
      </c>
      <c r="L213" s="1"/>
      <c r="M213" s="3">
        <f>IFERROR(__xludf.DUMMYFUNCTION("""COMPUTED_VALUE"""),18012.0)</f>
        <v>18012</v>
      </c>
      <c r="N213" s="3">
        <f>IFERROR(__xludf.DUMMYFUNCTION("""COMPUTED_VALUE"""),62825.0)</f>
        <v>62825</v>
      </c>
      <c r="O213" s="2">
        <f>IFERROR(__xludf.DUMMYFUNCTION("""COMPUTED_VALUE"""),286699.0)</f>
        <v>286699</v>
      </c>
      <c r="P213" s="1" t="str">
        <f>IFERROR(__xludf.DUMMYFUNCTION("""COMPUTED_VALUE"""),"Australia/Oceania")</f>
        <v>Australia/Oceania</v>
      </c>
      <c r="Q213" s="3">
        <f>IFERROR(__xludf.DUMMYFUNCTION("""COMPUTED_VALUE"""),7964.0)</f>
        <v>7964</v>
      </c>
      <c r="R213" s="1"/>
      <c r="S213" s="1">
        <f>IFERROR(__xludf.DUMMYFUNCTION("""COMPUTED_VALUE"""),16.0)</f>
        <v>16</v>
      </c>
    </row>
    <row r="214">
      <c r="A214" s="1">
        <f>IFERROR(__xludf.DUMMYFUNCTION("""COMPUTED_VALUE"""),205.0)</f>
        <v>205</v>
      </c>
      <c r="B214" s="1" t="str">
        <f>IFERROR(__xludf.DUMMYFUNCTION("""COMPUTED_VALUE"""),"Timor-Leste")</f>
        <v>Timor-Leste</v>
      </c>
      <c r="C214" s="1">
        <f>IFERROR(__xludf.DUMMYFUNCTION("""COMPUTED_VALUE"""),31.0)</f>
        <v>31</v>
      </c>
      <c r="D214" s="1"/>
      <c r="E214" s="1"/>
      <c r="F214" s="1"/>
      <c r="G214" s="1">
        <f>IFERROR(__xludf.DUMMYFUNCTION("""COMPUTED_VALUE"""),30.0)</f>
        <v>30</v>
      </c>
      <c r="H214" s="1"/>
      <c r="I214" s="1">
        <f>IFERROR(__xludf.DUMMYFUNCTION("""COMPUTED_VALUE"""),1.0)</f>
        <v>1</v>
      </c>
      <c r="J214" s="1"/>
      <c r="K214" s="1">
        <f>IFERROR(__xludf.DUMMYFUNCTION("""COMPUTED_VALUE"""),23.0)</f>
        <v>23</v>
      </c>
      <c r="L214" s="1"/>
      <c r="M214" s="3">
        <f>IFERROR(__xludf.DUMMYFUNCTION("""COMPUTED_VALUE"""),14932.0)</f>
        <v>14932</v>
      </c>
      <c r="N214" s="3">
        <f>IFERROR(__xludf.DUMMYFUNCTION("""COMPUTED_VALUE"""),11233.0)</f>
        <v>11233</v>
      </c>
      <c r="O214" s="2">
        <f>IFERROR(__xludf.DUMMYFUNCTION("""COMPUTED_VALUE"""),1329333.0)</f>
        <v>1329333</v>
      </c>
      <c r="P214" s="1" t="str">
        <f>IFERROR(__xludf.DUMMYFUNCTION("""COMPUTED_VALUE"""),"Asia")</f>
        <v>Asia</v>
      </c>
      <c r="Q214" s="3">
        <f>IFERROR(__xludf.DUMMYFUNCTION("""COMPUTED_VALUE"""),42882.0)</f>
        <v>42882</v>
      </c>
      <c r="R214" s="1"/>
      <c r="S214" s="1">
        <f>IFERROR(__xludf.DUMMYFUNCTION("""COMPUTED_VALUE"""),89.0)</f>
        <v>89</v>
      </c>
    </row>
    <row r="215">
      <c r="A215" s="1">
        <f>IFERROR(__xludf.DUMMYFUNCTION("""COMPUTED_VALUE"""),206.0)</f>
        <v>206</v>
      </c>
      <c r="B215" s="1" t="str">
        <f>IFERROR(__xludf.DUMMYFUNCTION("""COMPUTED_VALUE"""),"Vatican City")</f>
        <v>Vatican City</v>
      </c>
      <c r="C215" s="1">
        <f>IFERROR(__xludf.DUMMYFUNCTION("""COMPUTED_VALUE"""),27.0)</f>
        <v>27</v>
      </c>
      <c r="D215" s="1"/>
      <c r="E215" s="1"/>
      <c r="F215" s="1"/>
      <c r="G215" s="1">
        <f>IFERROR(__xludf.DUMMYFUNCTION("""COMPUTED_VALUE"""),15.0)</f>
        <v>15</v>
      </c>
      <c r="H215" s="1"/>
      <c r="I215" s="1">
        <f>IFERROR(__xludf.DUMMYFUNCTION("""COMPUTED_VALUE"""),12.0)</f>
        <v>12</v>
      </c>
      <c r="J215" s="1"/>
      <c r="K215" s="3">
        <f>IFERROR(__xludf.DUMMYFUNCTION("""COMPUTED_VALUE"""),33666.0)</f>
        <v>33666</v>
      </c>
      <c r="L215" s="1"/>
      <c r="M215" s="1"/>
      <c r="N215" s="1"/>
      <c r="O215" s="2">
        <f>IFERROR(__xludf.DUMMYFUNCTION("""COMPUTED_VALUE"""),802.0)</f>
        <v>802</v>
      </c>
      <c r="P215" s="1" t="str">
        <f>IFERROR(__xludf.DUMMYFUNCTION("""COMPUTED_VALUE"""),"Europe")</f>
        <v>Europe</v>
      </c>
      <c r="Q215" s="1">
        <f>IFERROR(__xludf.DUMMYFUNCTION("""COMPUTED_VALUE"""),30.0)</f>
        <v>30</v>
      </c>
      <c r="R215" s="1"/>
      <c r="S215" s="1"/>
    </row>
    <row r="216">
      <c r="A216" s="1">
        <f>IFERROR(__xludf.DUMMYFUNCTION("""COMPUTED_VALUE"""),207.0)</f>
        <v>207</v>
      </c>
      <c r="B216" s="1" t="str">
        <f>IFERROR(__xludf.DUMMYFUNCTION("""COMPUTED_VALUE"""),"Saint Kitts and Nevis")</f>
        <v>Saint Kitts and Nevis</v>
      </c>
      <c r="C216" s="1">
        <f>IFERROR(__xludf.DUMMYFUNCTION("""COMPUTED_VALUE"""),25.0)</f>
        <v>25</v>
      </c>
      <c r="D216" s="1"/>
      <c r="E216" s="1"/>
      <c r="F216" s="1"/>
      <c r="G216" s="1">
        <f>IFERROR(__xludf.DUMMYFUNCTION("""COMPUTED_VALUE"""),21.0)</f>
        <v>21</v>
      </c>
      <c r="H216" s="1"/>
      <c r="I216" s="1">
        <f>IFERROR(__xludf.DUMMYFUNCTION("""COMPUTED_VALUE"""),4.0)</f>
        <v>4</v>
      </c>
      <c r="J216" s="1"/>
      <c r="K216" s="1">
        <f>IFERROR(__xludf.DUMMYFUNCTION("""COMPUTED_VALUE"""),468.0)</f>
        <v>468</v>
      </c>
      <c r="L216" s="1"/>
      <c r="M216" s="3">
        <f>IFERROR(__xludf.DUMMYFUNCTION("""COMPUTED_VALUE"""),4325.0)</f>
        <v>4325</v>
      </c>
      <c r="N216" s="3">
        <f>IFERROR(__xludf.DUMMYFUNCTION("""COMPUTED_VALUE"""),81047.0)</f>
        <v>81047</v>
      </c>
      <c r="O216" s="2">
        <f>IFERROR(__xludf.DUMMYFUNCTION("""COMPUTED_VALUE"""),53364.0)</f>
        <v>53364</v>
      </c>
      <c r="P216" s="1" t="str">
        <f>IFERROR(__xludf.DUMMYFUNCTION("""COMPUTED_VALUE"""),"North America")</f>
        <v>North America</v>
      </c>
      <c r="Q216" s="3">
        <f>IFERROR(__xludf.DUMMYFUNCTION("""COMPUTED_VALUE"""),2135.0)</f>
        <v>2135</v>
      </c>
      <c r="R216" s="1"/>
      <c r="S216" s="1">
        <f>IFERROR(__xludf.DUMMYFUNCTION("""COMPUTED_VALUE"""),12.0)</f>
        <v>12</v>
      </c>
    </row>
    <row r="217">
      <c r="A217" s="1">
        <f>IFERROR(__xludf.DUMMYFUNCTION("""COMPUTED_VALUE"""),208.0)</f>
        <v>208</v>
      </c>
      <c r="B217" s="1" t="str">
        <f>IFERROR(__xludf.DUMMYFUNCTION("""COMPUTED_VALUE"""),"Greenland")</f>
        <v>Greenland</v>
      </c>
      <c r="C217" s="1">
        <f>IFERROR(__xludf.DUMMYFUNCTION("""COMPUTED_VALUE"""),19.0)</f>
        <v>19</v>
      </c>
      <c r="D217" s="1"/>
      <c r="E217" s="1"/>
      <c r="F217" s="1"/>
      <c r="G217" s="1">
        <f>IFERROR(__xludf.DUMMYFUNCTION("""COMPUTED_VALUE"""),18.0)</f>
        <v>18</v>
      </c>
      <c r="H217" s="1"/>
      <c r="I217" s="1">
        <f>IFERROR(__xludf.DUMMYFUNCTION("""COMPUTED_VALUE"""),1.0)</f>
        <v>1</v>
      </c>
      <c r="J217" s="1"/>
      <c r="K217" s="1">
        <f>IFERROR(__xludf.DUMMYFUNCTION("""COMPUTED_VALUE"""),334.0)</f>
        <v>334</v>
      </c>
      <c r="L217" s="1"/>
      <c r="M217" s="3">
        <f>IFERROR(__xludf.DUMMYFUNCTION("""COMPUTED_VALUE"""),13742.0)</f>
        <v>13742</v>
      </c>
      <c r="N217" s="3">
        <f>IFERROR(__xludf.DUMMYFUNCTION("""COMPUTED_VALUE"""),241881.0)</f>
        <v>241881</v>
      </c>
      <c r="O217" s="2">
        <f>IFERROR(__xludf.DUMMYFUNCTION("""COMPUTED_VALUE"""),56813.0)</f>
        <v>56813</v>
      </c>
      <c r="P217" s="1" t="str">
        <f>IFERROR(__xludf.DUMMYFUNCTION("""COMPUTED_VALUE"""),"North America")</f>
        <v>North America</v>
      </c>
      <c r="Q217" s="3">
        <f>IFERROR(__xludf.DUMMYFUNCTION("""COMPUTED_VALUE"""),2990.0)</f>
        <v>2990</v>
      </c>
      <c r="R217" s="1"/>
      <c r="S217" s="1">
        <f>IFERROR(__xludf.DUMMYFUNCTION("""COMPUTED_VALUE"""),4.0)</f>
        <v>4</v>
      </c>
    </row>
    <row r="218">
      <c r="A218" s="1">
        <f>IFERROR(__xludf.DUMMYFUNCTION("""COMPUTED_VALUE"""),209.0)</f>
        <v>209</v>
      </c>
      <c r="B218" s="1" t="str">
        <f>IFERROR(__xludf.DUMMYFUNCTION("""COMPUTED_VALUE"""),"Falkland Islands")</f>
        <v>Falkland Islands</v>
      </c>
      <c r="C218" s="1">
        <f>IFERROR(__xludf.DUMMYFUNCTION("""COMPUTED_VALUE"""),17.0)</f>
        <v>17</v>
      </c>
      <c r="D218" s="1"/>
      <c r="E218" s="1"/>
      <c r="F218" s="1"/>
      <c r="G218" s="1">
        <f>IFERROR(__xludf.DUMMYFUNCTION("""COMPUTED_VALUE"""),15.0)</f>
        <v>15</v>
      </c>
      <c r="H218" s="1"/>
      <c r="I218" s="1">
        <f>IFERROR(__xludf.DUMMYFUNCTION("""COMPUTED_VALUE"""),2.0)</f>
        <v>2</v>
      </c>
      <c r="J218" s="1"/>
      <c r="K218" s="3">
        <f>IFERROR(__xludf.DUMMYFUNCTION("""COMPUTED_VALUE"""),4825.0)</f>
        <v>4825</v>
      </c>
      <c r="L218" s="1"/>
      <c r="M218" s="3">
        <f>IFERROR(__xludf.DUMMYFUNCTION("""COMPUTED_VALUE"""),4454.0)</f>
        <v>4454</v>
      </c>
      <c r="N218" s="3">
        <f>IFERROR(__xludf.DUMMYFUNCTION("""COMPUTED_VALUE"""),1264263.0)</f>
        <v>1264263</v>
      </c>
      <c r="O218" s="2">
        <f>IFERROR(__xludf.DUMMYFUNCTION("""COMPUTED_VALUE"""),3523.0)</f>
        <v>3523</v>
      </c>
      <c r="P218" s="1" t="str">
        <f>IFERROR(__xludf.DUMMYFUNCTION("""COMPUTED_VALUE"""),"South America")</f>
        <v>South America</v>
      </c>
      <c r="Q218" s="1">
        <f>IFERROR(__xludf.DUMMYFUNCTION("""COMPUTED_VALUE"""),207.0)</f>
        <v>207</v>
      </c>
      <c r="R218" s="1"/>
      <c r="S218" s="1">
        <f>IFERROR(__xludf.DUMMYFUNCTION("""COMPUTED_VALUE"""),1.0)</f>
        <v>1</v>
      </c>
    </row>
    <row r="219">
      <c r="A219" s="1">
        <f>IFERROR(__xludf.DUMMYFUNCTION("""COMPUTED_VALUE"""),210.0)</f>
        <v>210</v>
      </c>
      <c r="B219" s="1" t="str">
        <f>IFERROR(__xludf.DUMMYFUNCTION("""COMPUTED_VALUE"""),"Solomon Islands")</f>
        <v>Solomon Islands</v>
      </c>
      <c r="C219" s="1">
        <f>IFERROR(__xludf.DUMMYFUNCTION("""COMPUTED_VALUE"""),17.0)</f>
        <v>17</v>
      </c>
      <c r="D219" s="1"/>
      <c r="E219" s="1"/>
      <c r="F219" s="1"/>
      <c r="G219" s="1">
        <f>IFERROR(__xludf.DUMMYFUNCTION("""COMPUTED_VALUE"""),5.0)</f>
        <v>5</v>
      </c>
      <c r="H219" s="1"/>
      <c r="I219" s="1">
        <f>IFERROR(__xludf.DUMMYFUNCTION("""COMPUTED_VALUE"""),12.0)</f>
        <v>12</v>
      </c>
      <c r="J219" s="1"/>
      <c r="K219" s="1">
        <f>IFERROR(__xludf.DUMMYFUNCTION("""COMPUTED_VALUE"""),24.0)</f>
        <v>24</v>
      </c>
      <c r="L219" s="1"/>
      <c r="M219" s="3">
        <f>IFERROR(__xludf.DUMMYFUNCTION("""COMPUTED_VALUE"""),4500.0)</f>
        <v>4500</v>
      </c>
      <c r="N219" s="3">
        <f>IFERROR(__xludf.DUMMYFUNCTION("""COMPUTED_VALUE"""),6483.0)</f>
        <v>6483</v>
      </c>
      <c r="O219" s="2">
        <f>IFERROR(__xludf.DUMMYFUNCTION("""COMPUTED_VALUE"""),694149.0)</f>
        <v>694149</v>
      </c>
      <c r="P219" s="1" t="str">
        <f>IFERROR(__xludf.DUMMYFUNCTION("""COMPUTED_VALUE"""),"Australia/Oceania")</f>
        <v>Australia/Oceania</v>
      </c>
      <c r="Q219" s="3">
        <f>IFERROR(__xludf.DUMMYFUNCTION("""COMPUTED_VALUE"""),40832.0)</f>
        <v>40832</v>
      </c>
      <c r="R219" s="1"/>
      <c r="S219" s="1">
        <f>IFERROR(__xludf.DUMMYFUNCTION("""COMPUTED_VALUE"""),154.0)</f>
        <v>154</v>
      </c>
    </row>
    <row r="220">
      <c r="A220" s="1">
        <f>IFERROR(__xludf.DUMMYFUNCTION("""COMPUTED_VALUE"""),211.0)</f>
        <v>211</v>
      </c>
      <c r="B220" s="1" t="str">
        <f>IFERROR(__xludf.DUMMYFUNCTION("""COMPUTED_VALUE"""),"Saint Pierre Miquelon")</f>
        <v>Saint Pierre Miquelon</v>
      </c>
      <c r="C220" s="1">
        <f>IFERROR(__xludf.DUMMYFUNCTION("""COMPUTED_VALUE"""),16.0)</f>
        <v>16</v>
      </c>
      <c r="D220" s="1"/>
      <c r="E220" s="1"/>
      <c r="F220" s="1"/>
      <c r="G220" s="1">
        <f>IFERROR(__xludf.DUMMYFUNCTION("""COMPUTED_VALUE"""),14.0)</f>
        <v>14</v>
      </c>
      <c r="H220" s="1"/>
      <c r="I220" s="1">
        <f>IFERROR(__xludf.DUMMYFUNCTION("""COMPUTED_VALUE"""),2.0)</f>
        <v>2</v>
      </c>
      <c r="J220" s="1"/>
      <c r="K220" s="3">
        <f>IFERROR(__xludf.DUMMYFUNCTION("""COMPUTED_VALUE"""),2768.0)</f>
        <v>2768</v>
      </c>
      <c r="L220" s="1"/>
      <c r="M220" s="3">
        <f>IFERROR(__xludf.DUMMYFUNCTION("""COMPUTED_VALUE"""),2882.0)</f>
        <v>2882</v>
      </c>
      <c r="N220" s="3">
        <f>IFERROR(__xludf.DUMMYFUNCTION("""COMPUTED_VALUE"""),498530.0)</f>
        <v>498530</v>
      </c>
      <c r="O220" s="2">
        <f>IFERROR(__xludf.DUMMYFUNCTION("""COMPUTED_VALUE"""),5781.0)</f>
        <v>5781</v>
      </c>
      <c r="P220" s="1" t="str">
        <f>IFERROR(__xludf.DUMMYFUNCTION("""COMPUTED_VALUE"""),"North America")</f>
        <v>North America</v>
      </c>
      <c r="Q220" s="1">
        <f>IFERROR(__xludf.DUMMYFUNCTION("""COMPUTED_VALUE"""),361.0)</f>
        <v>361</v>
      </c>
      <c r="R220" s="1"/>
      <c r="S220" s="1">
        <f>IFERROR(__xludf.DUMMYFUNCTION("""COMPUTED_VALUE"""),2.0)</f>
        <v>2</v>
      </c>
    </row>
    <row r="221">
      <c r="A221" s="1">
        <f>IFERROR(__xludf.DUMMYFUNCTION("""COMPUTED_VALUE"""),212.0)</f>
        <v>212</v>
      </c>
      <c r="B221" s="1" t="str">
        <f>IFERROR(__xludf.DUMMYFUNCTION("""COMPUTED_VALUE"""),"Montserrat")</f>
        <v>Montserrat</v>
      </c>
      <c r="C221" s="1">
        <f>IFERROR(__xludf.DUMMYFUNCTION("""COMPUTED_VALUE"""),13.0)</f>
        <v>13</v>
      </c>
      <c r="D221" s="1"/>
      <c r="E221" s="1">
        <f>IFERROR(__xludf.DUMMYFUNCTION("""COMPUTED_VALUE"""),1.0)</f>
        <v>1</v>
      </c>
      <c r="F221" s="1"/>
      <c r="G221" s="1">
        <f>IFERROR(__xludf.DUMMYFUNCTION("""COMPUTED_VALUE"""),12.0)</f>
        <v>12</v>
      </c>
      <c r="H221" s="1"/>
      <c r="I221" s="1">
        <f>IFERROR(__xludf.DUMMYFUNCTION("""COMPUTED_VALUE"""),0.0)</f>
        <v>0</v>
      </c>
      <c r="J221" s="1"/>
      <c r="K221" s="3">
        <f>IFERROR(__xludf.DUMMYFUNCTION("""COMPUTED_VALUE"""),2604.0)</f>
        <v>2604</v>
      </c>
      <c r="L221" s="1">
        <f>IFERROR(__xludf.DUMMYFUNCTION("""COMPUTED_VALUE"""),200.0)</f>
        <v>200</v>
      </c>
      <c r="M221" s="1">
        <f>IFERROR(__xludf.DUMMYFUNCTION("""COMPUTED_VALUE"""),626.0)</f>
        <v>626</v>
      </c>
      <c r="N221" s="3">
        <f>IFERROR(__xludf.DUMMYFUNCTION("""COMPUTED_VALUE"""),125376.0)</f>
        <v>125376</v>
      </c>
      <c r="O221" s="2">
        <f>IFERROR(__xludf.DUMMYFUNCTION("""COMPUTED_VALUE"""),4993.0)</f>
        <v>4993</v>
      </c>
      <c r="P221" s="1" t="str">
        <f>IFERROR(__xludf.DUMMYFUNCTION("""COMPUTED_VALUE"""),"North America")</f>
        <v>North America</v>
      </c>
      <c r="Q221" s="1">
        <f>IFERROR(__xludf.DUMMYFUNCTION("""COMPUTED_VALUE"""),384.0)</f>
        <v>384</v>
      </c>
      <c r="R221" s="3">
        <f>IFERROR(__xludf.DUMMYFUNCTION("""COMPUTED_VALUE"""),4993.0)</f>
        <v>4993</v>
      </c>
      <c r="S221" s="1">
        <f>IFERROR(__xludf.DUMMYFUNCTION("""COMPUTED_VALUE"""),8.0)</f>
        <v>8</v>
      </c>
    </row>
    <row r="222">
      <c r="A222" s="1">
        <f>IFERROR(__xludf.DUMMYFUNCTION("""COMPUTED_VALUE"""),213.0)</f>
        <v>213</v>
      </c>
      <c r="B222" s="1" t="str">
        <f>IFERROR(__xludf.DUMMYFUNCTION("""COMPUTED_VALUE"""),"Western Sahara")</f>
        <v>Western Sahara</v>
      </c>
      <c r="C222" s="1">
        <f>IFERROR(__xludf.DUMMYFUNCTION("""COMPUTED_VALUE"""),10.0)</f>
        <v>10</v>
      </c>
      <c r="D222" s="1"/>
      <c r="E222" s="1">
        <f>IFERROR(__xludf.DUMMYFUNCTION("""COMPUTED_VALUE"""),1.0)</f>
        <v>1</v>
      </c>
      <c r="F222" s="1"/>
      <c r="G222" s="1">
        <f>IFERROR(__xludf.DUMMYFUNCTION("""COMPUTED_VALUE"""),8.0)</f>
        <v>8</v>
      </c>
      <c r="H222" s="1"/>
      <c r="I222" s="1">
        <f>IFERROR(__xludf.DUMMYFUNCTION("""COMPUTED_VALUE"""),1.0)</f>
        <v>1</v>
      </c>
      <c r="J222" s="1"/>
      <c r="K222" s="1">
        <f>IFERROR(__xludf.DUMMYFUNCTION("""COMPUTED_VALUE"""),17.0)</f>
        <v>17</v>
      </c>
      <c r="L222" s="1">
        <f>IFERROR(__xludf.DUMMYFUNCTION("""COMPUTED_VALUE"""),2.0)</f>
        <v>2</v>
      </c>
      <c r="M222" s="1"/>
      <c r="N222" s="1"/>
      <c r="O222" s="2">
        <f>IFERROR(__xludf.DUMMYFUNCTION("""COMPUTED_VALUE"""),603673.0)</f>
        <v>603673</v>
      </c>
      <c r="P222" s="1" t="str">
        <f>IFERROR(__xludf.DUMMYFUNCTION("""COMPUTED_VALUE"""),"Africa")</f>
        <v>Africa</v>
      </c>
      <c r="Q222" s="3">
        <f>IFERROR(__xludf.DUMMYFUNCTION("""COMPUTED_VALUE"""),60367.0)</f>
        <v>60367</v>
      </c>
      <c r="R222" s="3">
        <f>IFERROR(__xludf.DUMMYFUNCTION("""COMPUTED_VALUE"""),603673.0)</f>
        <v>603673</v>
      </c>
      <c r="S222" s="1"/>
    </row>
    <row r="223">
      <c r="A223" s="1">
        <f>IFERROR(__xludf.DUMMYFUNCTION("""COMPUTED_VALUE"""),214.0)</f>
        <v>214</v>
      </c>
      <c r="B223" s="1" t="str">
        <f>IFERROR(__xludf.DUMMYFUNCTION("""COMPUTED_VALUE"""),"Anguilla")</f>
        <v>Anguilla</v>
      </c>
      <c r="C223" s="1">
        <f>IFERROR(__xludf.DUMMYFUNCTION("""COMPUTED_VALUE"""),10.0)</f>
        <v>10</v>
      </c>
      <c r="D223" s="1"/>
      <c r="E223" s="1"/>
      <c r="F223" s="1"/>
      <c r="G223" s="1">
        <f>IFERROR(__xludf.DUMMYFUNCTION("""COMPUTED_VALUE"""),3.0)</f>
        <v>3</v>
      </c>
      <c r="H223" s="1"/>
      <c r="I223" s="1">
        <f>IFERROR(__xludf.DUMMYFUNCTION("""COMPUTED_VALUE"""),7.0)</f>
        <v>7</v>
      </c>
      <c r="J223" s="1"/>
      <c r="K223" s="1">
        <f>IFERROR(__xludf.DUMMYFUNCTION("""COMPUTED_VALUE"""),664.0)</f>
        <v>664</v>
      </c>
      <c r="L223" s="1"/>
      <c r="M223" s="3">
        <f>IFERROR(__xludf.DUMMYFUNCTION("""COMPUTED_VALUE"""),2651.0)</f>
        <v>2651</v>
      </c>
      <c r="N223" s="3">
        <f>IFERROR(__xludf.DUMMYFUNCTION("""COMPUTED_VALUE"""),176006.0)</f>
        <v>176006</v>
      </c>
      <c r="O223" s="2">
        <f>IFERROR(__xludf.DUMMYFUNCTION("""COMPUTED_VALUE"""),15062.0)</f>
        <v>15062</v>
      </c>
      <c r="P223" s="1" t="str">
        <f>IFERROR(__xludf.DUMMYFUNCTION("""COMPUTED_VALUE"""),"North America")</f>
        <v>North America</v>
      </c>
      <c r="Q223" s="3">
        <f>IFERROR(__xludf.DUMMYFUNCTION("""COMPUTED_VALUE"""),1506.0)</f>
        <v>1506</v>
      </c>
      <c r="R223" s="1"/>
      <c r="S223" s="1">
        <f>IFERROR(__xludf.DUMMYFUNCTION("""COMPUTED_VALUE"""),6.0)</f>
        <v>6</v>
      </c>
    </row>
    <row r="224">
      <c r="A224" s="1">
        <f>IFERROR(__xludf.DUMMYFUNCTION("""COMPUTED_VALUE"""),215.0)</f>
        <v>215</v>
      </c>
      <c r="B224" s="1" t="str">
        <f>IFERROR(__xludf.DUMMYFUNCTION("""COMPUTED_VALUE"""),"MS Zaandam")</f>
        <v>MS Zaandam</v>
      </c>
      <c r="C224" s="1">
        <f>IFERROR(__xludf.DUMMYFUNCTION("""COMPUTED_VALUE"""),9.0)</f>
        <v>9</v>
      </c>
      <c r="D224" s="1"/>
      <c r="E224" s="1">
        <f>IFERROR(__xludf.DUMMYFUNCTION("""COMPUTED_VALUE"""),2.0)</f>
        <v>2</v>
      </c>
      <c r="F224" s="1"/>
      <c r="G224" s="1">
        <f>IFERROR(__xludf.DUMMYFUNCTION("""COMPUTED_VALUE"""),7.0)</f>
        <v>7</v>
      </c>
      <c r="H224" s="1"/>
      <c r="I224" s="1">
        <f>IFERROR(__xludf.DUMMYFUNCTION("""COMPUTED_VALUE"""),0.0)</f>
        <v>0</v>
      </c>
      <c r="J224" s="1"/>
      <c r="K224" s="1"/>
      <c r="L224" s="1"/>
      <c r="M224" s="1"/>
      <c r="N224" s="1"/>
      <c r="O224" s="2"/>
      <c r="P224" s="1"/>
      <c r="Q224" s="1"/>
      <c r="R224" s="1"/>
      <c r="S224" s="1"/>
    </row>
    <row r="225">
      <c r="A225" s="1">
        <f>IFERROR(__xludf.DUMMYFUNCTION("""COMPUTED_VALUE"""),216.0)</f>
        <v>216</v>
      </c>
      <c r="B225" s="1" t="str">
        <f>IFERROR(__xludf.DUMMYFUNCTION("""COMPUTED_VALUE"""),"Marshall Islands")</f>
        <v>Marshall Islands</v>
      </c>
      <c r="C225" s="1">
        <f>IFERROR(__xludf.DUMMYFUNCTION("""COMPUTED_VALUE"""),4.0)</f>
        <v>4</v>
      </c>
      <c r="D225" s="1"/>
      <c r="E225" s="1"/>
      <c r="F225" s="1"/>
      <c r="G225" s="1">
        <f>IFERROR(__xludf.DUMMYFUNCTION("""COMPUTED_VALUE"""),4.0)</f>
        <v>4</v>
      </c>
      <c r="H225" s="1"/>
      <c r="I225" s="1">
        <f>IFERROR(__xludf.DUMMYFUNCTION("""COMPUTED_VALUE"""),0.0)</f>
        <v>0</v>
      </c>
      <c r="J225" s="1"/>
      <c r="K225" s="1">
        <f>IFERROR(__xludf.DUMMYFUNCTION("""COMPUTED_VALUE"""),67.0)</f>
        <v>67</v>
      </c>
      <c r="L225" s="1"/>
      <c r="M225" s="1"/>
      <c r="N225" s="1"/>
      <c r="O225" s="2">
        <f>IFERROR(__xludf.DUMMYFUNCTION("""COMPUTED_VALUE"""),59365.0)</f>
        <v>59365</v>
      </c>
      <c r="P225" s="1" t="str">
        <f>IFERROR(__xludf.DUMMYFUNCTION("""COMPUTED_VALUE"""),"Australia/Oceania")</f>
        <v>Australia/Oceania</v>
      </c>
      <c r="Q225" s="3">
        <f>IFERROR(__xludf.DUMMYFUNCTION("""COMPUTED_VALUE"""),14841.0)</f>
        <v>14841</v>
      </c>
      <c r="R225" s="1"/>
      <c r="S225" s="1"/>
    </row>
    <row r="226">
      <c r="A226" s="1">
        <f>IFERROR(__xludf.DUMMYFUNCTION("""COMPUTED_VALUE"""),217.0)</f>
        <v>217</v>
      </c>
      <c r="B226" s="1" t="str">
        <f>IFERROR(__xludf.DUMMYFUNCTION("""COMPUTED_VALUE"""),"Wallis and Futuna")</f>
        <v>Wallis and Futuna</v>
      </c>
      <c r="C226" s="1">
        <f>IFERROR(__xludf.DUMMYFUNCTION("""COMPUTED_VALUE"""),3.0)</f>
        <v>3</v>
      </c>
      <c r="D226" s="1"/>
      <c r="E226" s="1"/>
      <c r="F226" s="1"/>
      <c r="G226" s="1">
        <f>IFERROR(__xludf.DUMMYFUNCTION("""COMPUTED_VALUE"""),1.0)</f>
        <v>1</v>
      </c>
      <c r="H226" s="1"/>
      <c r="I226" s="1">
        <f>IFERROR(__xludf.DUMMYFUNCTION("""COMPUTED_VALUE"""),2.0)</f>
        <v>2</v>
      </c>
      <c r="J226" s="1"/>
      <c r="K226" s="1">
        <f>IFERROR(__xludf.DUMMYFUNCTION("""COMPUTED_VALUE"""),269.0)</f>
        <v>269</v>
      </c>
      <c r="L226" s="1"/>
      <c r="M226" s="3">
        <f>IFERROR(__xludf.DUMMYFUNCTION("""COMPUTED_VALUE"""),1149.0)</f>
        <v>1149</v>
      </c>
      <c r="N226" s="3">
        <f>IFERROR(__xludf.DUMMYFUNCTION("""COMPUTED_VALUE"""),103040.0)</f>
        <v>103040</v>
      </c>
      <c r="O226" s="2">
        <f>IFERROR(__xludf.DUMMYFUNCTION("""COMPUTED_VALUE"""),11151.0)</f>
        <v>11151</v>
      </c>
      <c r="P226" s="1" t="str">
        <f>IFERROR(__xludf.DUMMYFUNCTION("""COMPUTED_VALUE"""),"Australia/Oceania")</f>
        <v>Australia/Oceania</v>
      </c>
      <c r="Q226" s="3">
        <f>IFERROR(__xludf.DUMMYFUNCTION("""COMPUTED_VALUE"""),3717.0)</f>
        <v>3717</v>
      </c>
      <c r="R226" s="1"/>
      <c r="S226" s="1">
        <f>IFERROR(__xludf.DUMMYFUNCTION("""COMPUTED_VALUE"""),10.0)</f>
        <v>10</v>
      </c>
    </row>
    <row r="227">
      <c r="A227" s="1">
        <f>IFERROR(__xludf.DUMMYFUNCTION("""COMPUTED_VALUE"""),218.0)</f>
        <v>218</v>
      </c>
      <c r="B227" s="1" t="str">
        <f>IFERROR(__xludf.DUMMYFUNCTION("""COMPUTED_VALUE"""),"Samoa")</f>
        <v>Samoa</v>
      </c>
      <c r="C227" s="1">
        <f>IFERROR(__xludf.DUMMYFUNCTION("""COMPUTED_VALUE"""),2.0)</f>
        <v>2</v>
      </c>
      <c r="D227" s="1"/>
      <c r="E227" s="1"/>
      <c r="F227" s="1"/>
      <c r="G227" s="1">
        <f>IFERROR(__xludf.DUMMYFUNCTION("""COMPUTED_VALUE"""),2.0)</f>
        <v>2</v>
      </c>
      <c r="H227" s="1"/>
      <c r="I227" s="1">
        <f>IFERROR(__xludf.DUMMYFUNCTION("""COMPUTED_VALUE"""),0.0)</f>
        <v>0</v>
      </c>
      <c r="J227" s="1"/>
      <c r="K227" s="1">
        <f>IFERROR(__xludf.DUMMYFUNCTION("""COMPUTED_VALUE"""),10.0)</f>
        <v>10</v>
      </c>
      <c r="L227" s="1"/>
      <c r="M227" s="1"/>
      <c r="N227" s="1"/>
      <c r="O227" s="2">
        <f>IFERROR(__xludf.DUMMYFUNCTION("""COMPUTED_VALUE"""),198992.0)</f>
        <v>198992</v>
      </c>
      <c r="P227" s="1" t="str">
        <f>IFERROR(__xludf.DUMMYFUNCTION("""COMPUTED_VALUE"""),"Australia/Oceania")</f>
        <v>Australia/Oceania</v>
      </c>
      <c r="Q227" s="3">
        <f>IFERROR(__xludf.DUMMYFUNCTION("""COMPUTED_VALUE"""),99496.0)</f>
        <v>99496</v>
      </c>
      <c r="R227" s="1"/>
      <c r="S227" s="1"/>
    </row>
    <row r="228">
      <c r="A228" s="1">
        <f>IFERROR(__xludf.DUMMYFUNCTION("""COMPUTED_VALUE"""),219.0)</f>
        <v>219</v>
      </c>
      <c r="B228" s="1" t="str">
        <f>IFERROR(__xludf.DUMMYFUNCTION("""COMPUTED_VALUE"""),"Vanuatu")</f>
        <v>Vanuatu</v>
      </c>
      <c r="C228" s="1">
        <f>IFERROR(__xludf.DUMMYFUNCTION("""COMPUTED_VALUE"""),1.0)</f>
        <v>1</v>
      </c>
      <c r="D228" s="1"/>
      <c r="E228" s="1"/>
      <c r="F228" s="1"/>
      <c r="G228" s="1">
        <f>IFERROR(__xludf.DUMMYFUNCTION("""COMPUTED_VALUE"""),1.0)</f>
        <v>1</v>
      </c>
      <c r="H228" s="1"/>
      <c r="I228" s="1">
        <f>IFERROR(__xludf.DUMMYFUNCTION("""COMPUTED_VALUE"""),0.0)</f>
        <v>0</v>
      </c>
      <c r="J228" s="1"/>
      <c r="K228" s="1">
        <f>IFERROR(__xludf.DUMMYFUNCTION("""COMPUTED_VALUE"""),3.0)</f>
        <v>3</v>
      </c>
      <c r="L228" s="1"/>
      <c r="M228" s="1"/>
      <c r="N228" s="1"/>
      <c r="O228" s="2">
        <f>IFERROR(__xludf.DUMMYFUNCTION("""COMPUTED_VALUE"""),310244.0)</f>
        <v>310244</v>
      </c>
      <c r="P228" s="1" t="str">
        <f>IFERROR(__xludf.DUMMYFUNCTION("""COMPUTED_VALUE"""),"Australia/Oceania")</f>
        <v>Australia/Oceania</v>
      </c>
      <c r="Q228" s="3">
        <f>IFERROR(__xludf.DUMMYFUNCTION("""COMPUTED_VALUE"""),310244.0)</f>
        <v>310244</v>
      </c>
      <c r="R228" s="1"/>
      <c r="S228" s="1"/>
    </row>
    <row r="229">
      <c r="A229" s="1">
        <f>IFERROR(__xludf.DUMMYFUNCTION("""COMPUTED_VALUE"""),220.0)</f>
        <v>220</v>
      </c>
      <c r="B229" s="1" t="str">
        <f>IFERROR(__xludf.DUMMYFUNCTION("""COMPUTED_VALUE"""),"China")</f>
        <v>China</v>
      </c>
      <c r="C229" s="3">
        <f>IFERROR(__xludf.DUMMYFUNCTION("""COMPUTED_VALUE"""),86661.0)</f>
        <v>86661</v>
      </c>
      <c r="D229" s="1" t="str">
        <f>IFERROR(__xludf.DUMMYFUNCTION("""COMPUTED_VALUE"""),"+15")</f>
        <v>+15</v>
      </c>
      <c r="E229" s="3">
        <f>IFERROR(__xludf.DUMMYFUNCTION("""COMPUTED_VALUE"""),4634.0)</f>
        <v>4634</v>
      </c>
      <c r="F229" s="1"/>
      <c r="G229" s="3">
        <f>IFERROR(__xludf.DUMMYFUNCTION("""COMPUTED_VALUE"""),81743.0)</f>
        <v>81743</v>
      </c>
      <c r="H229" s="1" t="str">
        <f>IFERROR(__xludf.DUMMYFUNCTION("""COMPUTED_VALUE"""),"+11")</f>
        <v>+11</v>
      </c>
      <c r="I229" s="1">
        <f>IFERROR(__xludf.DUMMYFUNCTION("""COMPUTED_VALUE"""),284.0)</f>
        <v>284</v>
      </c>
      <c r="J229" s="1">
        <f>IFERROR(__xludf.DUMMYFUNCTION("""COMPUTED_VALUE"""),5.0)</f>
        <v>5</v>
      </c>
      <c r="K229" s="1">
        <f>IFERROR(__xludf.DUMMYFUNCTION("""COMPUTED_VALUE"""),60.0)</f>
        <v>60</v>
      </c>
      <c r="L229" s="1">
        <f>IFERROR(__xludf.DUMMYFUNCTION("""COMPUTED_VALUE"""),3.0)</f>
        <v>3</v>
      </c>
      <c r="M229" s="3">
        <f>IFERROR(__xludf.DUMMYFUNCTION("""COMPUTED_VALUE"""),1.6E8)</f>
        <v>160000000</v>
      </c>
      <c r="N229" s="3">
        <f>IFERROR(__xludf.DUMMYFUNCTION("""COMPUTED_VALUE"""),111163.0)</f>
        <v>111163</v>
      </c>
      <c r="O229" s="2">
        <f>IFERROR(__xludf.DUMMYFUNCTION("""COMPUTED_VALUE"""),1.439323776E9)</f>
        <v>1439323776</v>
      </c>
      <c r="P229" s="1" t="str">
        <f>IFERROR(__xludf.DUMMYFUNCTION("""COMPUTED_VALUE"""),"Asia")</f>
        <v>Asia</v>
      </c>
      <c r="Q229" s="3">
        <f>IFERROR(__xludf.DUMMYFUNCTION("""COMPUTED_VALUE"""),16609.0)</f>
        <v>16609</v>
      </c>
      <c r="R229" s="3">
        <f>IFERROR(__xludf.DUMMYFUNCTION("""COMPUTED_VALUE"""),310601.0)</f>
        <v>310601</v>
      </c>
      <c r="S229" s="1">
        <f>IFERROR(__xludf.DUMMYFUNCTION("""COMPUTED_VALUE"""),9.0)</f>
        <v>9</v>
      </c>
    </row>
    <row r="230">
      <c r="A230" s="1"/>
      <c r="B230" s="1" t="str">
        <f>IFERROR(__xludf.DUMMYFUNCTION("""COMPUTED_VALUE"""),"*Total:*")</f>
        <v>*Total:*</v>
      </c>
      <c r="C230" s="3">
        <f>IFERROR(__xludf.DUMMYFUNCTION("""COMPUTED_VALUE"""),1.8252727E7)</f>
        <v>18252727</v>
      </c>
      <c r="D230" s="1" t="str">
        <f>IFERROR(__xludf.DUMMYFUNCTION("""COMPUTED_VALUE"""),"+206,266")</f>
        <v>+206,266</v>
      </c>
      <c r="E230" s="3">
        <f>IFERROR(__xludf.DUMMYFUNCTION("""COMPUTED_VALUE"""),437143.0)</f>
        <v>437143</v>
      </c>
      <c r="F230" s="1" t="str">
        <f>IFERROR(__xludf.DUMMYFUNCTION("""COMPUTED_VALUE"""),"+3,362")</f>
        <v>+3,362</v>
      </c>
      <c r="G230" s="3">
        <f>IFERROR(__xludf.DUMMYFUNCTION("""COMPUTED_VALUE"""),1.1059948E7)</f>
        <v>11059948</v>
      </c>
      <c r="H230" s="1" t="str">
        <f>IFERROR(__xludf.DUMMYFUNCTION("""COMPUTED_VALUE"""),"+116,194")</f>
        <v>+116,194</v>
      </c>
      <c r="I230" s="3">
        <f>IFERROR(__xludf.DUMMYFUNCTION("""COMPUTED_VALUE"""),6755636.0)</f>
        <v>6755636</v>
      </c>
      <c r="J230" s="3">
        <f>IFERROR(__xludf.DUMMYFUNCTION("""COMPUTED_VALUE"""),31716.0)</f>
        <v>31716</v>
      </c>
      <c r="K230" s="1"/>
      <c r="L230" s="1"/>
      <c r="M230" s="1"/>
      <c r="N230" s="1"/>
      <c r="O230" s="2"/>
      <c r="P230" s="1" t="str">
        <f>IFERROR(__xludf.DUMMYFUNCTION("""COMPUTED_VALUE"""),"North America")</f>
        <v>North America</v>
      </c>
      <c r="Q230" s="1"/>
      <c r="R230" s="1"/>
      <c r="S230" s="1"/>
    </row>
    <row r="231">
      <c r="A231" s="1"/>
      <c r="B231" s="1" t="str">
        <f>IFERROR(__xludf.DUMMYFUNCTION("""COMPUTED_VALUE"""),"*Total:*")</f>
        <v>*Total:*</v>
      </c>
      <c r="C231" s="3">
        <f>IFERROR(__xludf.DUMMYFUNCTION("""COMPUTED_VALUE"""),1.7844025E7)</f>
        <v>17844025</v>
      </c>
      <c r="D231" s="1" t="str">
        <f>IFERROR(__xludf.DUMMYFUNCTION("""COMPUTED_VALUE"""),"+111,818")</f>
        <v>+111,818</v>
      </c>
      <c r="E231" s="3">
        <f>IFERROR(__xludf.DUMMYFUNCTION("""COMPUTED_VALUE"""),306221.0)</f>
        <v>306221</v>
      </c>
      <c r="F231" s="1" t="str">
        <f>IFERROR(__xludf.DUMMYFUNCTION("""COMPUTED_VALUE"""),"+1,466")</f>
        <v>+1,466</v>
      </c>
      <c r="G231" s="3">
        <f>IFERROR(__xludf.DUMMYFUNCTION("""COMPUTED_VALUE"""),1.5747571E7)</f>
        <v>15747571</v>
      </c>
      <c r="H231" s="1" t="str">
        <f>IFERROR(__xludf.DUMMYFUNCTION("""COMPUTED_VALUE"""),"+86,468")</f>
        <v>+86,468</v>
      </c>
      <c r="I231" s="3">
        <f>IFERROR(__xludf.DUMMYFUNCTION("""COMPUTED_VALUE"""),1790233.0)</f>
        <v>1790233</v>
      </c>
      <c r="J231" s="3">
        <f>IFERROR(__xludf.DUMMYFUNCTION("""COMPUTED_VALUE"""),28162.0)</f>
        <v>28162</v>
      </c>
      <c r="K231" s="1"/>
      <c r="L231" s="1"/>
      <c r="M231" s="1"/>
      <c r="N231" s="1"/>
      <c r="O231" s="2"/>
      <c r="P231" s="1" t="str">
        <f>IFERROR(__xludf.DUMMYFUNCTION("""COMPUTED_VALUE"""),"Asia")</f>
        <v>Asia</v>
      </c>
      <c r="Q231" s="1"/>
      <c r="R231" s="1"/>
      <c r="S231" s="1"/>
    </row>
    <row r="232">
      <c r="A232" s="1"/>
      <c r="B232" s="1" t="str">
        <f>IFERROR(__xludf.DUMMYFUNCTION("""COMPUTED_VALUE"""),"*Total:*")</f>
        <v>*Total:*</v>
      </c>
      <c r="C232" s="3">
        <f>IFERROR(__xludf.DUMMYFUNCTION("""COMPUTED_VALUE"""),1.170817E7)</f>
        <v>11708170</v>
      </c>
      <c r="D232" s="1" t="str">
        <f>IFERROR(__xludf.DUMMYFUNCTION("""COMPUTED_VALUE"""),"+67,995")</f>
        <v>+67,995</v>
      </c>
      <c r="E232" s="3">
        <f>IFERROR(__xludf.DUMMYFUNCTION("""COMPUTED_VALUE"""),335729.0)</f>
        <v>335729</v>
      </c>
      <c r="F232" s="1" t="str">
        <f>IFERROR(__xludf.DUMMYFUNCTION("""COMPUTED_VALUE"""),"+1,263")</f>
        <v>+1,263</v>
      </c>
      <c r="G232" s="3">
        <f>IFERROR(__xludf.DUMMYFUNCTION("""COMPUTED_VALUE"""),1.0440935E7)</f>
        <v>10440935</v>
      </c>
      <c r="H232" s="1" t="str">
        <f>IFERROR(__xludf.DUMMYFUNCTION("""COMPUTED_VALUE"""),"+65,073")</f>
        <v>+65,073</v>
      </c>
      <c r="I232" s="3">
        <f>IFERROR(__xludf.DUMMYFUNCTION("""COMPUTED_VALUE"""),931506.0)</f>
        <v>931506</v>
      </c>
      <c r="J232" s="3">
        <f>IFERROR(__xludf.DUMMYFUNCTION("""COMPUTED_VALUE"""),16779.0)</f>
        <v>16779</v>
      </c>
      <c r="K232" s="1"/>
      <c r="L232" s="1"/>
      <c r="M232" s="1"/>
      <c r="N232" s="1"/>
      <c r="O232" s="2"/>
      <c r="P232" s="1" t="str">
        <f>IFERROR(__xludf.DUMMYFUNCTION("""COMPUTED_VALUE"""),"South America")</f>
        <v>South America</v>
      </c>
      <c r="Q232" s="1"/>
      <c r="R232" s="1"/>
      <c r="S232" s="1"/>
    </row>
    <row r="233">
      <c r="A233" s="1"/>
      <c r="B233" s="1" t="str">
        <f>IFERROR(__xludf.DUMMYFUNCTION("""COMPUTED_VALUE"""),"*Total:*")</f>
        <v>*Total:*</v>
      </c>
      <c r="C233" s="3">
        <f>IFERROR(__xludf.DUMMYFUNCTION("""COMPUTED_VALUE"""),1.8991391E7)</f>
        <v>18991391</v>
      </c>
      <c r="D233" s="1" t="str">
        <f>IFERROR(__xludf.DUMMYFUNCTION("""COMPUTED_VALUE"""),"+188,036")</f>
        <v>+188,036</v>
      </c>
      <c r="E233" s="3">
        <f>IFERROR(__xludf.DUMMYFUNCTION("""COMPUTED_VALUE"""),438621.0)</f>
        <v>438621</v>
      </c>
      <c r="F233" s="1" t="str">
        <f>IFERROR(__xludf.DUMMYFUNCTION("""COMPUTED_VALUE"""),"+4,748")</f>
        <v>+4,748</v>
      </c>
      <c r="G233" s="3">
        <f>IFERROR(__xludf.DUMMYFUNCTION("""COMPUTED_VALUE"""),8668722.0)</f>
        <v>8668722</v>
      </c>
      <c r="H233" s="1" t="str">
        <f>IFERROR(__xludf.DUMMYFUNCTION("""COMPUTED_VALUE"""),"+174,160")</f>
        <v>+174,160</v>
      </c>
      <c r="I233" s="3">
        <f>IFERROR(__xludf.DUMMYFUNCTION("""COMPUTED_VALUE"""),9884048.0)</f>
        <v>9884048</v>
      </c>
      <c r="J233" s="3">
        <f>IFERROR(__xludf.DUMMYFUNCTION("""COMPUTED_VALUE"""),26961.0)</f>
        <v>26961</v>
      </c>
      <c r="K233" s="1"/>
      <c r="L233" s="1"/>
      <c r="M233" s="1"/>
      <c r="N233" s="1"/>
      <c r="O233" s="2"/>
      <c r="P233" s="1" t="str">
        <f>IFERROR(__xludf.DUMMYFUNCTION("""COMPUTED_VALUE"""),"Europe")</f>
        <v>Europe</v>
      </c>
      <c r="Q233" s="1"/>
      <c r="R233" s="1"/>
      <c r="S233" s="1"/>
    </row>
    <row r="234">
      <c r="A234" s="1"/>
      <c r="B234" s="1" t="str">
        <f>IFERROR(__xludf.DUMMYFUNCTION("""COMPUTED_VALUE"""),"*Total:*")</f>
        <v>*Total:*</v>
      </c>
      <c r="C234" s="3">
        <f>IFERROR(__xludf.DUMMYFUNCTION("""COMPUTED_VALUE"""),2319131.0)</f>
        <v>2319131</v>
      </c>
      <c r="D234" s="1" t="str">
        <f>IFERROR(__xludf.DUMMYFUNCTION("""COMPUTED_VALUE"""),"+18,887")</f>
        <v>+18,887</v>
      </c>
      <c r="E234" s="3">
        <f>IFERROR(__xludf.DUMMYFUNCTION("""COMPUTED_VALUE"""),54950.0)</f>
        <v>54950</v>
      </c>
      <c r="F234" s="1" t="str">
        <f>IFERROR(__xludf.DUMMYFUNCTION("""COMPUTED_VALUE"""),"+339")</f>
        <v>+339</v>
      </c>
      <c r="G234" s="3">
        <f>IFERROR(__xludf.DUMMYFUNCTION("""COMPUTED_VALUE"""),1977038.0)</f>
        <v>1977038</v>
      </c>
      <c r="H234" s="1" t="str">
        <f>IFERROR(__xludf.DUMMYFUNCTION("""COMPUTED_VALUE"""),"+11,616")</f>
        <v>+11,616</v>
      </c>
      <c r="I234" s="3">
        <f>IFERROR(__xludf.DUMMYFUNCTION("""COMPUTED_VALUE"""),287143.0)</f>
        <v>287143</v>
      </c>
      <c r="J234" s="3">
        <f>IFERROR(__xludf.DUMMYFUNCTION("""COMPUTED_VALUE"""),2535.0)</f>
        <v>2535</v>
      </c>
      <c r="K234" s="1"/>
      <c r="L234" s="1"/>
      <c r="M234" s="1"/>
      <c r="N234" s="1"/>
      <c r="O234" s="2"/>
      <c r="P234" s="1" t="str">
        <f>IFERROR(__xludf.DUMMYFUNCTION("""COMPUTED_VALUE"""),"Africa")</f>
        <v>Africa</v>
      </c>
      <c r="Q234" s="1"/>
      <c r="R234" s="1"/>
      <c r="S234" s="1"/>
    </row>
    <row r="235">
      <c r="A235" s="1"/>
      <c r="B235" s="1" t="str">
        <f>IFERROR(__xludf.DUMMYFUNCTION("""COMPUTED_VALUE"""),"*Total:*")</f>
        <v>*Total:*</v>
      </c>
      <c r="C235" s="3">
        <f>IFERROR(__xludf.DUMMYFUNCTION("""COMPUTED_VALUE"""),46204.0)</f>
        <v>46204</v>
      </c>
      <c r="D235" s="1" t="str">
        <f>IFERROR(__xludf.DUMMYFUNCTION("""COMPUTED_VALUE"""),"+9")</f>
        <v>+9</v>
      </c>
      <c r="E235" s="3">
        <f>IFERROR(__xludf.DUMMYFUNCTION("""COMPUTED_VALUE"""),1028.0)</f>
        <v>1028</v>
      </c>
      <c r="F235" s="1"/>
      <c r="G235" s="3">
        <f>IFERROR(__xludf.DUMMYFUNCTION("""COMPUTED_VALUE"""),33188.0)</f>
        <v>33188</v>
      </c>
      <c r="H235" s="1"/>
      <c r="I235" s="3">
        <f>IFERROR(__xludf.DUMMYFUNCTION("""COMPUTED_VALUE"""),11988.0)</f>
        <v>11988</v>
      </c>
      <c r="J235" s="1">
        <f>IFERROR(__xludf.DUMMYFUNCTION("""COMPUTED_VALUE"""),25.0)</f>
        <v>25</v>
      </c>
      <c r="K235" s="1"/>
      <c r="L235" s="1"/>
      <c r="M235" s="1"/>
      <c r="N235" s="1"/>
      <c r="O235" s="2"/>
      <c r="P235" s="1" t="str">
        <f>IFERROR(__xludf.DUMMYFUNCTION("""COMPUTED_VALUE"""),"Australia/Oceania")</f>
        <v>Australia/Oceania</v>
      </c>
      <c r="Q235" s="1"/>
      <c r="R235" s="1"/>
      <c r="S235" s="1"/>
    </row>
    <row r="236">
      <c r="A236" s="1"/>
      <c r="B236" s="1" t="str">
        <f>IFERROR(__xludf.DUMMYFUNCTION("""COMPUTED_VALUE"""),"*Total:*")</f>
        <v>*Total:*</v>
      </c>
      <c r="C236" s="1">
        <f>IFERROR(__xludf.DUMMYFUNCTION("""COMPUTED_VALUE"""),721.0)</f>
        <v>721</v>
      </c>
      <c r="D236" s="1"/>
      <c r="E236" s="1">
        <f>IFERROR(__xludf.DUMMYFUNCTION("""COMPUTED_VALUE"""),15.0)</f>
        <v>15</v>
      </c>
      <c r="F236" s="1"/>
      <c r="G236" s="1">
        <f>IFERROR(__xludf.DUMMYFUNCTION("""COMPUTED_VALUE"""),706.0)</f>
        <v>706</v>
      </c>
      <c r="H236" s="1"/>
      <c r="I236" s="1">
        <f>IFERROR(__xludf.DUMMYFUNCTION("""COMPUTED_VALUE"""),0.0)</f>
        <v>0</v>
      </c>
      <c r="J236" s="1">
        <f>IFERROR(__xludf.DUMMYFUNCTION("""COMPUTED_VALUE"""),0.0)</f>
        <v>0</v>
      </c>
      <c r="K236" s="1"/>
      <c r="L236" s="1"/>
      <c r="M236" s="1"/>
      <c r="N236" s="1"/>
      <c r="O236" s="2"/>
      <c r="P236" s="1"/>
      <c r="Q236" s="1"/>
      <c r="R236" s="1"/>
      <c r="S236" s="1"/>
    </row>
    <row r="237">
      <c r="A237" s="1"/>
      <c r="B237" s="1" t="str">
        <f>IFERROR(__xludf.DUMMYFUNCTION("""COMPUTED_VALUE"""),"*Total:*")</f>
        <v>*Total:*</v>
      </c>
      <c r="C237" s="3">
        <f>IFERROR(__xludf.DUMMYFUNCTION("""COMPUTED_VALUE"""),6.9162369E7)</f>
        <v>69162369</v>
      </c>
      <c r="D237" s="1" t="str">
        <f>IFERROR(__xludf.DUMMYFUNCTION("""COMPUTED_VALUE"""),"+593,011")</f>
        <v>+593,011</v>
      </c>
      <c r="E237" s="3">
        <f>IFERROR(__xludf.DUMMYFUNCTION("""COMPUTED_VALUE"""),1573707.0)</f>
        <v>1573707</v>
      </c>
      <c r="F237" s="1" t="str">
        <f>IFERROR(__xludf.DUMMYFUNCTION("""COMPUTED_VALUE"""),"+11,178")</f>
        <v>+11,178</v>
      </c>
      <c r="G237" s="3">
        <f>IFERROR(__xludf.DUMMYFUNCTION("""COMPUTED_VALUE"""),4.7928108E7)</f>
        <v>47928108</v>
      </c>
      <c r="H237" s="1" t="str">
        <f>IFERROR(__xludf.DUMMYFUNCTION("""COMPUTED_VALUE"""),"+453,524")</f>
        <v>+453,524</v>
      </c>
      <c r="I237" s="3">
        <f>IFERROR(__xludf.DUMMYFUNCTION("""COMPUTED_VALUE"""),1.9660554E7)</f>
        <v>19660554</v>
      </c>
      <c r="J237" s="3">
        <f>IFERROR(__xludf.DUMMYFUNCTION("""COMPUTED_VALUE"""),106178.0)</f>
        <v>106178</v>
      </c>
      <c r="K237" s="2">
        <f>IFERROR(__xludf.DUMMYFUNCTION("""COMPUTED_VALUE"""),8872.9)</f>
        <v>8872.9</v>
      </c>
      <c r="L237" s="1">
        <f>IFERROR(__xludf.DUMMYFUNCTION("""COMPUTED_VALUE"""),201.9)</f>
        <v>201.9</v>
      </c>
      <c r="M237" s="1"/>
      <c r="N237" s="1"/>
      <c r="O237" s="2"/>
      <c r="P237" s="1" t="str">
        <f>IFERROR(__xludf.DUMMYFUNCTION("""COMPUTED_VALUE"""),"All")</f>
        <v>All</v>
      </c>
      <c r="Q237" s="1"/>
      <c r="R237" s="1"/>
      <c r="S237" s="1"/>
    </row>
    <row r="238">
      <c r="O238" s="2"/>
    </row>
    <row r="239">
      <c r="O239" s="2"/>
    </row>
    <row r="240">
      <c r="O240" s="2"/>
    </row>
    <row r="241">
      <c r="O241" s="2"/>
    </row>
    <row r="242">
      <c r="O242" s="2"/>
    </row>
    <row r="243">
      <c r="O243" s="2"/>
    </row>
    <row r="244">
      <c r="O244" s="2"/>
    </row>
    <row r="245">
      <c r="O245" s="2"/>
    </row>
    <row r="246">
      <c r="O246" s="2"/>
    </row>
    <row r="247">
      <c r="O247" s="2"/>
    </row>
    <row r="248">
      <c r="O248" s="2"/>
    </row>
    <row r="249">
      <c r="O249" s="2"/>
    </row>
    <row r="250">
      <c r="O250" s="2"/>
    </row>
    <row r="251">
      <c r="O251" s="2"/>
    </row>
    <row r="252">
      <c r="O252" s="2"/>
    </row>
    <row r="253">
      <c r="O253" s="2"/>
    </row>
    <row r="254">
      <c r="O254" s="2"/>
    </row>
    <row r="255">
      <c r="O255" s="2"/>
    </row>
    <row r="256">
      <c r="O256" s="2"/>
    </row>
    <row r="257">
      <c r="O257" s="2"/>
    </row>
    <row r="258">
      <c r="O258" s="2"/>
    </row>
    <row r="259">
      <c r="O259" s="2"/>
    </row>
    <row r="260">
      <c r="O260" s="2"/>
    </row>
    <row r="261">
      <c r="O261" s="2"/>
    </row>
    <row r="262">
      <c r="O262" s="2"/>
    </row>
    <row r="263">
      <c r="O263" s="2"/>
    </row>
    <row r="264">
      <c r="O264" s="2"/>
    </row>
    <row r="265">
      <c r="O265" s="2"/>
    </row>
    <row r="266">
      <c r="O266" s="2"/>
    </row>
    <row r="267">
      <c r="O267" s="2"/>
    </row>
    <row r="268">
      <c r="O268" s="2"/>
    </row>
    <row r="269">
      <c r="O269" s="2"/>
    </row>
    <row r="270">
      <c r="O270" s="2"/>
    </row>
    <row r="271">
      <c r="O271" s="2"/>
    </row>
    <row r="272">
      <c r="O272" s="2"/>
    </row>
    <row r="273">
      <c r="O273" s="2"/>
    </row>
    <row r="274">
      <c r="O274" s="2"/>
    </row>
    <row r="275">
      <c r="O275" s="2"/>
    </row>
    <row r="276">
      <c r="O276" s="2"/>
    </row>
    <row r="277">
      <c r="O277" s="2"/>
    </row>
    <row r="278">
      <c r="O278" s="2"/>
    </row>
    <row r="279">
      <c r="O279" s="2"/>
    </row>
    <row r="280">
      <c r="O280" s="2"/>
    </row>
    <row r="281">
      <c r="O281" s="2"/>
    </row>
    <row r="282">
      <c r="O282" s="2"/>
    </row>
    <row r="283">
      <c r="O283" s="2"/>
    </row>
    <row r="284">
      <c r="O284" s="2"/>
    </row>
    <row r="285">
      <c r="O285" s="2"/>
    </row>
    <row r="286">
      <c r="O286" s="2"/>
    </row>
    <row r="287">
      <c r="O287" s="2"/>
    </row>
    <row r="288">
      <c r="O288" s="2"/>
    </row>
    <row r="289">
      <c r="O289" s="2"/>
    </row>
    <row r="290">
      <c r="O290" s="2"/>
    </row>
    <row r="291">
      <c r="O291" s="2"/>
    </row>
    <row r="292">
      <c r="O292" s="2"/>
    </row>
    <row r="293">
      <c r="O293" s="2"/>
    </row>
    <row r="294">
      <c r="O294" s="2"/>
    </row>
    <row r="295">
      <c r="O295" s="2"/>
    </row>
    <row r="296">
      <c r="O296" s="2"/>
    </row>
    <row r="297">
      <c r="O297" s="2"/>
    </row>
    <row r="298">
      <c r="O298" s="2"/>
    </row>
    <row r="299">
      <c r="O299" s="2"/>
    </row>
    <row r="300">
      <c r="O300" s="2"/>
    </row>
    <row r="301">
      <c r="O301" s="2"/>
    </row>
    <row r="302">
      <c r="O302" s="2"/>
    </row>
    <row r="303">
      <c r="O303" s="2"/>
    </row>
    <row r="304">
      <c r="O304" s="2"/>
    </row>
    <row r="305">
      <c r="O305" s="2"/>
    </row>
    <row r="306">
      <c r="O306" s="2"/>
    </row>
    <row r="307">
      <c r="O307" s="2"/>
    </row>
    <row r="308">
      <c r="O308" s="2"/>
    </row>
    <row r="309">
      <c r="O309" s="2"/>
    </row>
    <row r="310">
      <c r="O310" s="2"/>
    </row>
    <row r="311">
      <c r="O311" s="2"/>
    </row>
    <row r="312">
      <c r="O312" s="2"/>
    </row>
    <row r="313">
      <c r="O313" s="2"/>
    </row>
    <row r="314">
      <c r="O314" s="2"/>
    </row>
    <row r="315">
      <c r="O315" s="2"/>
    </row>
    <row r="316">
      <c r="O316" s="2"/>
    </row>
    <row r="317">
      <c r="O317" s="2"/>
    </row>
    <row r="318">
      <c r="O318" s="2"/>
    </row>
    <row r="319">
      <c r="O319" s="2"/>
    </row>
    <row r="320">
      <c r="O320" s="2"/>
    </row>
    <row r="321">
      <c r="O321" s="2"/>
    </row>
    <row r="322">
      <c r="O322" s="2"/>
    </row>
    <row r="323">
      <c r="O323" s="2"/>
    </row>
    <row r="324">
      <c r="O324" s="2"/>
    </row>
    <row r="325">
      <c r="O325" s="2"/>
    </row>
    <row r="326">
      <c r="O326" s="2"/>
    </row>
    <row r="327">
      <c r="O327" s="2"/>
    </row>
    <row r="328">
      <c r="O328" s="2"/>
    </row>
    <row r="329">
      <c r="O329" s="2"/>
    </row>
    <row r="330">
      <c r="O330" s="2"/>
    </row>
    <row r="331">
      <c r="O331" s="2"/>
    </row>
    <row r="332">
      <c r="O332" s="2"/>
    </row>
    <row r="333">
      <c r="O333" s="2"/>
    </row>
    <row r="334">
      <c r="O334" s="2"/>
    </row>
    <row r="335">
      <c r="O335" s="2"/>
    </row>
    <row r="336">
      <c r="O336" s="2"/>
    </row>
    <row r="337">
      <c r="O337" s="2"/>
    </row>
    <row r="338">
      <c r="O338" s="2"/>
    </row>
    <row r="339">
      <c r="O339" s="2"/>
    </row>
    <row r="340">
      <c r="O340" s="2"/>
    </row>
    <row r="341">
      <c r="O341" s="2"/>
    </row>
    <row r="342">
      <c r="O342" s="2"/>
    </row>
    <row r="343">
      <c r="O343" s="2"/>
    </row>
    <row r="344">
      <c r="O344" s="2"/>
    </row>
    <row r="345">
      <c r="O345" s="2"/>
    </row>
    <row r="346">
      <c r="O346" s="2"/>
    </row>
    <row r="347">
      <c r="O347" s="2"/>
    </row>
    <row r="348">
      <c r="O348" s="2"/>
    </row>
    <row r="349">
      <c r="O349" s="2"/>
    </row>
    <row r="350">
      <c r="O350" s="2"/>
    </row>
    <row r="351">
      <c r="O351" s="2"/>
    </row>
    <row r="352">
      <c r="O352" s="2"/>
    </row>
    <row r="353">
      <c r="O353" s="2"/>
    </row>
    <row r="354">
      <c r="O354" s="2"/>
    </row>
    <row r="355">
      <c r="O355" s="2"/>
    </row>
    <row r="356">
      <c r="O356" s="2"/>
    </row>
    <row r="357">
      <c r="O357" s="2"/>
    </row>
    <row r="358">
      <c r="O358" s="2"/>
    </row>
    <row r="359">
      <c r="O359" s="2"/>
    </row>
    <row r="360">
      <c r="O360" s="2"/>
    </row>
    <row r="361">
      <c r="O361" s="2"/>
    </row>
    <row r="362">
      <c r="O362" s="2"/>
    </row>
    <row r="363">
      <c r="O363" s="2"/>
    </row>
    <row r="364">
      <c r="O364" s="2"/>
    </row>
    <row r="365">
      <c r="O365" s="2"/>
    </row>
    <row r="366">
      <c r="O366" s="2"/>
    </row>
    <row r="367">
      <c r="O367" s="2"/>
    </row>
    <row r="368">
      <c r="O368" s="2"/>
    </row>
    <row r="369">
      <c r="O369" s="2"/>
    </row>
    <row r="370">
      <c r="O370" s="2"/>
    </row>
    <row r="371">
      <c r="O371" s="2"/>
    </row>
    <row r="372">
      <c r="O372" s="2"/>
    </row>
    <row r="373">
      <c r="O373" s="2"/>
    </row>
    <row r="374">
      <c r="O374" s="2"/>
    </row>
    <row r="375">
      <c r="O375" s="2"/>
    </row>
    <row r="376">
      <c r="O376" s="2"/>
    </row>
    <row r="377">
      <c r="O377" s="2"/>
    </row>
    <row r="378">
      <c r="O378" s="2"/>
    </row>
    <row r="379">
      <c r="O379" s="2"/>
    </row>
    <row r="380">
      <c r="O380" s="2"/>
    </row>
    <row r="381">
      <c r="O381" s="2"/>
    </row>
    <row r="382">
      <c r="O382" s="2"/>
    </row>
    <row r="383">
      <c r="O383" s="2"/>
    </row>
    <row r="384">
      <c r="O384" s="2"/>
    </row>
    <row r="385">
      <c r="O385" s="2"/>
    </row>
    <row r="386">
      <c r="O386" s="2"/>
    </row>
    <row r="387">
      <c r="O387" s="2"/>
    </row>
    <row r="388">
      <c r="O388" s="2"/>
    </row>
    <row r="389">
      <c r="O389" s="2"/>
    </row>
    <row r="390">
      <c r="O390" s="2"/>
    </row>
    <row r="391">
      <c r="O391" s="2"/>
    </row>
    <row r="392">
      <c r="O392" s="2"/>
    </row>
    <row r="393">
      <c r="O393" s="2"/>
    </row>
    <row r="394">
      <c r="O394" s="2"/>
    </row>
    <row r="395">
      <c r="O395" s="2"/>
    </row>
    <row r="396">
      <c r="O396" s="2"/>
    </row>
    <row r="397">
      <c r="O397" s="2"/>
    </row>
    <row r="398">
      <c r="O398" s="2"/>
    </row>
    <row r="399">
      <c r="O399" s="2"/>
    </row>
    <row r="400">
      <c r="O400" s="2"/>
    </row>
    <row r="401">
      <c r="O401" s="2"/>
    </row>
    <row r="402">
      <c r="O402" s="2"/>
    </row>
    <row r="403">
      <c r="O403" s="2"/>
    </row>
    <row r="404">
      <c r="O404" s="2"/>
    </row>
    <row r="405">
      <c r="O405" s="2"/>
    </row>
    <row r="406">
      <c r="O406" s="2"/>
    </row>
    <row r="407">
      <c r="O407" s="2"/>
    </row>
    <row r="408">
      <c r="O408" s="2"/>
    </row>
    <row r="409">
      <c r="O409" s="2"/>
    </row>
    <row r="410">
      <c r="O410" s="2"/>
    </row>
    <row r="411">
      <c r="O411" s="2"/>
    </row>
    <row r="412">
      <c r="O412" s="2"/>
    </row>
    <row r="413">
      <c r="O413" s="2"/>
    </row>
    <row r="414">
      <c r="O414" s="2"/>
    </row>
    <row r="415">
      <c r="O415" s="2"/>
    </row>
    <row r="416">
      <c r="O416" s="2"/>
    </row>
    <row r="417">
      <c r="O417" s="2"/>
    </row>
    <row r="418">
      <c r="O418" s="2"/>
    </row>
    <row r="419">
      <c r="O419" s="2"/>
    </row>
    <row r="420">
      <c r="O420" s="2"/>
    </row>
    <row r="421">
      <c r="O421" s="2"/>
    </row>
    <row r="422">
      <c r="O422" s="2"/>
    </row>
    <row r="423">
      <c r="O423" s="2"/>
    </row>
    <row r="424">
      <c r="O424" s="2"/>
    </row>
    <row r="425">
      <c r="O425" s="2"/>
    </row>
    <row r="426">
      <c r="O426" s="2"/>
    </row>
    <row r="427">
      <c r="O427" s="2"/>
    </row>
    <row r="428">
      <c r="O428" s="2"/>
    </row>
    <row r="429">
      <c r="O429" s="2"/>
    </row>
    <row r="430">
      <c r="O430" s="2"/>
    </row>
    <row r="431">
      <c r="O431" s="2"/>
    </row>
    <row r="432">
      <c r="O432" s="2"/>
    </row>
    <row r="433">
      <c r="O433" s="2"/>
    </row>
    <row r="434">
      <c r="O434" s="2"/>
    </row>
    <row r="435">
      <c r="O435" s="2"/>
    </row>
    <row r="436">
      <c r="O436" s="2"/>
    </row>
    <row r="437">
      <c r="O437" s="2"/>
    </row>
    <row r="438">
      <c r="O438" s="2"/>
    </row>
    <row r="439">
      <c r="O439" s="2"/>
    </row>
    <row r="440">
      <c r="O440" s="2"/>
    </row>
    <row r="441">
      <c r="O441" s="2"/>
    </row>
    <row r="442">
      <c r="O442" s="2"/>
    </row>
    <row r="443">
      <c r="O443" s="2"/>
    </row>
    <row r="444">
      <c r="O444" s="2"/>
    </row>
    <row r="445">
      <c r="O445" s="2"/>
    </row>
    <row r="446">
      <c r="O446" s="2"/>
    </row>
    <row r="447">
      <c r="O447" s="2"/>
    </row>
    <row r="448">
      <c r="O448" s="2"/>
    </row>
    <row r="449">
      <c r="O449" s="2"/>
    </row>
    <row r="450">
      <c r="O450" s="2"/>
    </row>
    <row r="451">
      <c r="O451" s="2"/>
    </row>
    <row r="452">
      <c r="O452" s="2"/>
    </row>
    <row r="453">
      <c r="O453" s="2"/>
    </row>
    <row r="454">
      <c r="O454" s="2"/>
    </row>
    <row r="455">
      <c r="O455" s="2"/>
    </row>
    <row r="456">
      <c r="O456" s="2"/>
    </row>
    <row r="457">
      <c r="O457" s="2"/>
    </row>
    <row r="458">
      <c r="O458" s="2"/>
    </row>
    <row r="459">
      <c r="O459" s="2"/>
    </row>
    <row r="460">
      <c r="O460" s="2"/>
    </row>
    <row r="461">
      <c r="O461" s="2"/>
    </row>
    <row r="462">
      <c r="O462" s="2"/>
    </row>
    <row r="463">
      <c r="O463" s="2"/>
    </row>
    <row r="464">
      <c r="O464" s="2"/>
    </row>
    <row r="465">
      <c r="O465" s="2"/>
    </row>
    <row r="466">
      <c r="O466" s="2"/>
    </row>
    <row r="467">
      <c r="O467" s="2"/>
    </row>
    <row r="468">
      <c r="O468" s="2"/>
    </row>
    <row r="469">
      <c r="O469" s="2"/>
    </row>
    <row r="470">
      <c r="O470" s="2"/>
    </row>
    <row r="471">
      <c r="O471" s="2"/>
    </row>
    <row r="472">
      <c r="O472" s="2"/>
    </row>
    <row r="473">
      <c r="O473" s="2"/>
    </row>
    <row r="474">
      <c r="O474" s="2"/>
    </row>
    <row r="475">
      <c r="O475" s="2"/>
    </row>
    <row r="476">
      <c r="O476" s="2"/>
    </row>
    <row r="477">
      <c r="O477" s="2"/>
    </row>
    <row r="478">
      <c r="O478" s="2"/>
    </row>
    <row r="479">
      <c r="O479" s="2"/>
    </row>
    <row r="480">
      <c r="O480" s="2"/>
    </row>
    <row r="481">
      <c r="O481" s="2"/>
    </row>
    <row r="482">
      <c r="O482" s="2"/>
    </row>
    <row r="483">
      <c r="O483" s="2"/>
    </row>
    <row r="484">
      <c r="O484" s="2"/>
    </row>
    <row r="485">
      <c r="O485" s="2"/>
    </row>
    <row r="486">
      <c r="O486" s="2"/>
    </row>
    <row r="487">
      <c r="O487" s="2"/>
    </row>
    <row r="488">
      <c r="O488" s="2"/>
    </row>
    <row r="489">
      <c r="O489" s="2"/>
    </row>
    <row r="490">
      <c r="O490" s="2"/>
    </row>
    <row r="491">
      <c r="O491" s="2"/>
    </row>
    <row r="492">
      <c r="O492" s="2"/>
    </row>
    <row r="493">
      <c r="O493" s="2"/>
    </row>
    <row r="494">
      <c r="O494" s="2"/>
    </row>
    <row r="495">
      <c r="O495" s="2"/>
    </row>
    <row r="496">
      <c r="O496" s="2"/>
    </row>
    <row r="497">
      <c r="O497" s="2"/>
    </row>
    <row r="498">
      <c r="O498" s="2"/>
    </row>
    <row r="499">
      <c r="O499" s="2"/>
    </row>
    <row r="500">
      <c r="O500" s="2"/>
    </row>
    <row r="501">
      <c r="O501" s="2"/>
    </row>
    <row r="502">
      <c r="O502" s="2"/>
    </row>
    <row r="503">
      <c r="O503" s="2"/>
    </row>
    <row r="504">
      <c r="O504" s="2"/>
    </row>
    <row r="505">
      <c r="O505" s="2"/>
    </row>
    <row r="506">
      <c r="O506" s="2"/>
    </row>
    <row r="507">
      <c r="O507" s="2"/>
    </row>
    <row r="508">
      <c r="O508" s="2"/>
    </row>
    <row r="509">
      <c r="O509" s="2"/>
    </row>
    <row r="510">
      <c r="O510" s="2"/>
    </row>
    <row r="511">
      <c r="O511" s="2"/>
    </row>
    <row r="512">
      <c r="O512" s="2"/>
    </row>
    <row r="513">
      <c r="O513" s="2"/>
    </row>
    <row r="514">
      <c r="O514" s="2"/>
    </row>
    <row r="515">
      <c r="O515" s="2"/>
    </row>
    <row r="516">
      <c r="O516" s="2"/>
    </row>
    <row r="517">
      <c r="O517" s="2"/>
    </row>
    <row r="518">
      <c r="O518" s="2"/>
    </row>
    <row r="519">
      <c r="O519" s="2"/>
    </row>
    <row r="520">
      <c r="O520" s="2"/>
    </row>
    <row r="521">
      <c r="O521" s="2"/>
    </row>
    <row r="522">
      <c r="O522" s="2"/>
    </row>
    <row r="523">
      <c r="O523" s="2"/>
    </row>
    <row r="524">
      <c r="O524" s="2"/>
    </row>
    <row r="525">
      <c r="O525" s="2"/>
    </row>
    <row r="526">
      <c r="O526" s="2"/>
    </row>
    <row r="527">
      <c r="O527" s="2"/>
    </row>
    <row r="528">
      <c r="O528" s="2"/>
    </row>
    <row r="529">
      <c r="O529" s="2"/>
    </row>
    <row r="530">
      <c r="O530" s="2"/>
    </row>
    <row r="531">
      <c r="O531" s="2"/>
    </row>
    <row r="532">
      <c r="O532" s="2"/>
    </row>
    <row r="533">
      <c r="O533" s="2"/>
    </row>
    <row r="534">
      <c r="O534" s="2"/>
    </row>
    <row r="535">
      <c r="O535" s="2"/>
    </row>
    <row r="536">
      <c r="O536" s="2"/>
    </row>
    <row r="537">
      <c r="O537" s="2"/>
    </row>
    <row r="538">
      <c r="O538" s="2"/>
    </row>
    <row r="539">
      <c r="O539" s="2"/>
    </row>
    <row r="540">
      <c r="O540" s="2"/>
    </row>
    <row r="541">
      <c r="O541" s="2"/>
    </row>
    <row r="542">
      <c r="O542" s="2"/>
    </row>
    <row r="543">
      <c r="O543" s="2"/>
    </row>
    <row r="544">
      <c r="O544" s="2"/>
    </row>
    <row r="545">
      <c r="O545" s="2"/>
    </row>
    <row r="546">
      <c r="O546" s="2"/>
    </row>
    <row r="547">
      <c r="O547" s="2"/>
    </row>
    <row r="548">
      <c r="O548" s="2"/>
    </row>
    <row r="549">
      <c r="O549" s="2"/>
    </row>
    <row r="550">
      <c r="O550" s="2"/>
    </row>
    <row r="551">
      <c r="O551" s="2"/>
    </row>
    <row r="552">
      <c r="O552" s="2"/>
    </row>
    <row r="553">
      <c r="O553" s="2"/>
    </row>
    <row r="554">
      <c r="O554" s="2"/>
    </row>
    <row r="555">
      <c r="O555" s="2"/>
    </row>
    <row r="556">
      <c r="O556" s="2"/>
    </row>
    <row r="557">
      <c r="O557" s="2"/>
    </row>
    <row r="558">
      <c r="O558" s="2"/>
    </row>
    <row r="559">
      <c r="O559" s="2"/>
    </row>
    <row r="560">
      <c r="O560" s="2"/>
    </row>
    <row r="561">
      <c r="O561" s="2"/>
    </row>
    <row r="562">
      <c r="O562" s="2"/>
    </row>
    <row r="563">
      <c r="O563" s="2"/>
    </row>
    <row r="564">
      <c r="O564" s="2"/>
    </row>
    <row r="565">
      <c r="O565" s="2"/>
    </row>
    <row r="566">
      <c r="O566" s="2"/>
    </row>
    <row r="567">
      <c r="O567" s="2"/>
    </row>
    <row r="568">
      <c r="O568" s="2"/>
    </row>
    <row r="569">
      <c r="O569" s="2"/>
    </row>
    <row r="570">
      <c r="O570" s="2"/>
    </row>
    <row r="571">
      <c r="O571" s="2"/>
    </row>
    <row r="572">
      <c r="O572" s="2"/>
    </row>
    <row r="573">
      <c r="O573" s="2"/>
    </row>
    <row r="574">
      <c r="O574" s="2"/>
    </row>
    <row r="575">
      <c r="O575" s="2"/>
    </row>
    <row r="576">
      <c r="O576" s="2"/>
    </row>
    <row r="577">
      <c r="O577" s="2"/>
    </row>
    <row r="578">
      <c r="O578" s="2"/>
    </row>
    <row r="579">
      <c r="O579" s="2"/>
    </row>
    <row r="580">
      <c r="O580" s="2"/>
    </row>
    <row r="581">
      <c r="O581" s="2"/>
    </row>
    <row r="582">
      <c r="O582" s="2"/>
    </row>
    <row r="583">
      <c r="O583" s="2"/>
    </row>
    <row r="584">
      <c r="O584" s="2"/>
    </row>
    <row r="585">
      <c r="O585" s="2"/>
    </row>
    <row r="586">
      <c r="O586" s="2"/>
    </row>
    <row r="587">
      <c r="O587" s="2"/>
    </row>
    <row r="588">
      <c r="O588" s="2"/>
    </row>
    <row r="589">
      <c r="O589" s="2"/>
    </row>
    <row r="590">
      <c r="O590" s="2"/>
    </row>
    <row r="591">
      <c r="O591" s="2"/>
    </row>
    <row r="592">
      <c r="O592" s="2"/>
    </row>
    <row r="593">
      <c r="O593" s="2"/>
    </row>
    <row r="594">
      <c r="O594" s="2"/>
    </row>
    <row r="595">
      <c r="O595" s="2"/>
    </row>
    <row r="596">
      <c r="O596" s="2"/>
    </row>
    <row r="597">
      <c r="O597" s="2"/>
    </row>
    <row r="598">
      <c r="O598" s="2"/>
    </row>
    <row r="599">
      <c r="O599" s="2"/>
    </row>
    <row r="600">
      <c r="O600" s="2"/>
    </row>
    <row r="601">
      <c r="O601" s="2"/>
    </row>
    <row r="602">
      <c r="O602" s="2"/>
    </row>
    <row r="603">
      <c r="O603" s="2"/>
    </row>
    <row r="604">
      <c r="O604" s="2"/>
    </row>
    <row r="605">
      <c r="O605" s="2"/>
    </row>
    <row r="606">
      <c r="O606" s="2"/>
    </row>
    <row r="607">
      <c r="O607" s="2"/>
    </row>
    <row r="608">
      <c r="O608" s="2"/>
    </row>
    <row r="609">
      <c r="O609" s="2"/>
    </row>
    <row r="610">
      <c r="O610" s="2"/>
    </row>
    <row r="611">
      <c r="O611" s="2"/>
    </row>
    <row r="612">
      <c r="O612" s="2"/>
    </row>
    <row r="613">
      <c r="O613" s="2"/>
    </row>
    <row r="614">
      <c r="O614" s="2"/>
    </row>
    <row r="615">
      <c r="O615" s="2"/>
    </row>
    <row r="616">
      <c r="O616" s="2"/>
    </row>
    <row r="617">
      <c r="O617" s="2"/>
    </row>
    <row r="618">
      <c r="O618" s="2"/>
    </row>
    <row r="619">
      <c r="O619" s="2"/>
    </row>
    <row r="620">
      <c r="O620" s="2"/>
    </row>
    <row r="621">
      <c r="O621" s="2"/>
    </row>
    <row r="622">
      <c r="O622" s="2"/>
    </row>
    <row r="623">
      <c r="O623" s="2"/>
    </row>
    <row r="624">
      <c r="O624" s="2"/>
    </row>
    <row r="625">
      <c r="O625" s="2"/>
    </row>
    <row r="626">
      <c r="O626" s="2"/>
    </row>
    <row r="627">
      <c r="O627" s="2"/>
    </row>
    <row r="628">
      <c r="O628" s="2"/>
    </row>
    <row r="629">
      <c r="O629" s="2"/>
    </row>
    <row r="630">
      <c r="O630" s="2"/>
    </row>
    <row r="631">
      <c r="O631" s="2"/>
    </row>
    <row r="632">
      <c r="O632" s="2"/>
    </row>
    <row r="633">
      <c r="O633" s="2"/>
    </row>
    <row r="634">
      <c r="O634" s="2"/>
    </row>
    <row r="635">
      <c r="O635" s="2"/>
    </row>
    <row r="636">
      <c r="O636" s="2"/>
    </row>
    <row r="637">
      <c r="O637" s="2"/>
    </row>
    <row r="638">
      <c r="O638" s="2"/>
    </row>
    <row r="639">
      <c r="O639" s="2"/>
    </row>
    <row r="640">
      <c r="O640" s="2"/>
    </row>
    <row r="641">
      <c r="O641" s="2"/>
    </row>
    <row r="642">
      <c r="O642" s="2"/>
    </row>
    <row r="643">
      <c r="O643" s="2"/>
    </row>
    <row r="644">
      <c r="O644" s="2"/>
    </row>
    <row r="645">
      <c r="O645" s="2"/>
    </row>
    <row r="646">
      <c r="O646" s="2"/>
    </row>
    <row r="647">
      <c r="O647" s="2"/>
    </row>
    <row r="648">
      <c r="O648" s="2"/>
    </row>
    <row r="649">
      <c r="O649" s="2"/>
    </row>
    <row r="650">
      <c r="O650" s="2"/>
    </row>
    <row r="651">
      <c r="O651" s="2"/>
    </row>
    <row r="652">
      <c r="O652" s="2"/>
    </row>
    <row r="653">
      <c r="O653" s="2"/>
    </row>
    <row r="654">
      <c r="O654" s="2"/>
    </row>
    <row r="655">
      <c r="O655" s="2"/>
    </row>
    <row r="656">
      <c r="O656" s="2"/>
    </row>
    <row r="657">
      <c r="O657" s="2"/>
    </row>
    <row r="658">
      <c r="O658" s="2"/>
    </row>
    <row r="659">
      <c r="O659" s="2"/>
    </row>
    <row r="660">
      <c r="O660" s="2"/>
    </row>
    <row r="661">
      <c r="O661" s="2"/>
    </row>
    <row r="662">
      <c r="O662" s="2"/>
    </row>
    <row r="663">
      <c r="O663" s="2"/>
    </row>
    <row r="664">
      <c r="O664" s="2"/>
    </row>
    <row r="665">
      <c r="O665" s="2"/>
    </row>
    <row r="666">
      <c r="O666" s="2"/>
    </row>
    <row r="667">
      <c r="O667" s="2"/>
    </row>
    <row r="668">
      <c r="O668" s="2"/>
    </row>
    <row r="669">
      <c r="O669" s="2"/>
    </row>
    <row r="670">
      <c r="O670" s="2"/>
    </row>
    <row r="671">
      <c r="O671" s="2"/>
    </row>
    <row r="672">
      <c r="O672" s="2"/>
    </row>
    <row r="673">
      <c r="O673" s="2"/>
    </row>
    <row r="674">
      <c r="O674" s="2"/>
    </row>
    <row r="675">
      <c r="O675" s="2"/>
    </row>
    <row r="676">
      <c r="O676" s="2"/>
    </row>
    <row r="677">
      <c r="O677" s="2"/>
    </row>
    <row r="678">
      <c r="O678" s="2"/>
    </row>
    <row r="679">
      <c r="O679" s="2"/>
    </row>
    <row r="680">
      <c r="O680" s="2"/>
    </row>
    <row r="681">
      <c r="O681" s="2"/>
    </row>
    <row r="682">
      <c r="O682" s="2"/>
    </row>
    <row r="683">
      <c r="O683" s="2"/>
    </row>
    <row r="684">
      <c r="O684" s="2"/>
    </row>
    <row r="685">
      <c r="O685" s="2"/>
    </row>
    <row r="686">
      <c r="O686" s="2"/>
    </row>
    <row r="687">
      <c r="O687" s="2"/>
    </row>
    <row r="688">
      <c r="O688" s="2"/>
    </row>
    <row r="689">
      <c r="O689" s="2"/>
    </row>
    <row r="690">
      <c r="O690" s="2"/>
    </row>
    <row r="691">
      <c r="O691" s="2"/>
    </row>
    <row r="692">
      <c r="O692" s="2"/>
    </row>
    <row r="693">
      <c r="O693" s="2"/>
    </row>
    <row r="694">
      <c r="O694" s="2"/>
    </row>
    <row r="695">
      <c r="O695" s="2"/>
    </row>
    <row r="696">
      <c r="O696" s="2"/>
    </row>
    <row r="697">
      <c r="O697" s="2"/>
    </row>
    <row r="698">
      <c r="O698" s="2"/>
    </row>
    <row r="699">
      <c r="O699" s="2"/>
    </row>
    <row r="700">
      <c r="O700" s="2"/>
    </row>
    <row r="701">
      <c r="O701" s="2"/>
    </row>
    <row r="702">
      <c r="O702" s="2"/>
    </row>
    <row r="703">
      <c r="O703" s="2"/>
    </row>
    <row r="704">
      <c r="O704" s="2"/>
    </row>
    <row r="705">
      <c r="O705" s="2"/>
    </row>
    <row r="706">
      <c r="O706" s="2"/>
    </row>
    <row r="707">
      <c r="O707" s="2"/>
    </row>
    <row r="708">
      <c r="O708" s="2"/>
    </row>
    <row r="709">
      <c r="O709" s="2"/>
    </row>
    <row r="710">
      <c r="O710" s="2"/>
    </row>
    <row r="711">
      <c r="O711" s="2"/>
    </row>
    <row r="712">
      <c r="O712" s="2"/>
    </row>
    <row r="713">
      <c r="O713" s="2"/>
    </row>
    <row r="714">
      <c r="O714" s="2"/>
    </row>
    <row r="715">
      <c r="O715" s="2"/>
    </row>
    <row r="716">
      <c r="O716" s="2"/>
    </row>
    <row r="717">
      <c r="O717" s="2"/>
    </row>
    <row r="718">
      <c r="O718" s="2"/>
    </row>
    <row r="719">
      <c r="O719" s="2"/>
    </row>
    <row r="720">
      <c r="O720" s="2"/>
    </row>
    <row r="721">
      <c r="O721" s="2"/>
    </row>
    <row r="722">
      <c r="O722" s="2"/>
    </row>
    <row r="723">
      <c r="O723" s="2"/>
    </row>
    <row r="724">
      <c r="O724" s="2"/>
    </row>
    <row r="725">
      <c r="O725" s="2"/>
    </row>
    <row r="726">
      <c r="O726" s="2"/>
    </row>
    <row r="727">
      <c r="O727" s="2"/>
    </row>
    <row r="728">
      <c r="O728" s="2"/>
    </row>
    <row r="729">
      <c r="O729" s="2"/>
    </row>
    <row r="730">
      <c r="O730" s="2"/>
    </row>
    <row r="731">
      <c r="O731" s="2"/>
    </row>
    <row r="732">
      <c r="O732" s="2"/>
    </row>
    <row r="733">
      <c r="O733" s="2"/>
    </row>
    <row r="734">
      <c r="O734" s="2"/>
    </row>
    <row r="735">
      <c r="O735" s="2"/>
    </row>
    <row r="736">
      <c r="O736" s="2"/>
    </row>
    <row r="737">
      <c r="O737" s="2"/>
    </row>
    <row r="738">
      <c r="O738" s="2"/>
    </row>
    <row r="739">
      <c r="O739" s="2"/>
    </row>
    <row r="740">
      <c r="O740" s="2"/>
    </row>
    <row r="741">
      <c r="O741" s="2"/>
    </row>
    <row r="742">
      <c r="O742" s="2"/>
    </row>
    <row r="743">
      <c r="O743" s="2"/>
    </row>
    <row r="744">
      <c r="O744" s="2"/>
    </row>
    <row r="745">
      <c r="O745" s="2"/>
    </row>
    <row r="746">
      <c r="O746" s="2"/>
    </row>
    <row r="747">
      <c r="O747" s="2"/>
    </row>
    <row r="748">
      <c r="O748" s="2"/>
    </row>
    <row r="749">
      <c r="O749" s="2"/>
    </row>
    <row r="750">
      <c r="O750" s="2"/>
    </row>
    <row r="751">
      <c r="O751" s="2"/>
    </row>
    <row r="752">
      <c r="O752" s="2"/>
    </row>
    <row r="753">
      <c r="O753" s="2"/>
    </row>
    <row r="754">
      <c r="O754" s="2"/>
    </row>
    <row r="755">
      <c r="O755" s="2"/>
    </row>
    <row r="756">
      <c r="O756" s="2"/>
    </row>
    <row r="757">
      <c r="O757" s="2"/>
    </row>
    <row r="758">
      <c r="O758" s="2"/>
    </row>
    <row r="759">
      <c r="O759" s="2"/>
    </row>
    <row r="760">
      <c r="O760" s="2"/>
    </row>
    <row r="761">
      <c r="O761" s="2"/>
    </row>
    <row r="762">
      <c r="O762" s="2"/>
    </row>
    <row r="763">
      <c r="O763" s="2"/>
    </row>
    <row r="764">
      <c r="O764" s="2"/>
    </row>
    <row r="765">
      <c r="O765" s="2"/>
    </row>
    <row r="766">
      <c r="O766" s="2"/>
    </row>
    <row r="767">
      <c r="O767" s="2"/>
    </row>
    <row r="768">
      <c r="O768" s="2"/>
    </row>
    <row r="769">
      <c r="O769" s="2"/>
    </row>
    <row r="770">
      <c r="O770" s="2"/>
    </row>
    <row r="771">
      <c r="O771" s="2"/>
    </row>
    <row r="772">
      <c r="O772" s="2"/>
    </row>
    <row r="773">
      <c r="O773" s="2"/>
    </row>
    <row r="774">
      <c r="O774" s="2"/>
    </row>
    <row r="775">
      <c r="O775" s="2"/>
    </row>
    <row r="776">
      <c r="O776" s="2"/>
    </row>
    <row r="777">
      <c r="O777" s="2"/>
    </row>
    <row r="778">
      <c r="O778" s="2"/>
    </row>
    <row r="779">
      <c r="O779" s="2"/>
    </row>
    <row r="780">
      <c r="O780" s="2"/>
    </row>
    <row r="781">
      <c r="O781" s="2"/>
    </row>
    <row r="782">
      <c r="O782" s="2"/>
    </row>
    <row r="783">
      <c r="O783" s="2"/>
    </row>
    <row r="784">
      <c r="O784" s="2"/>
    </row>
    <row r="785">
      <c r="O785" s="2"/>
    </row>
    <row r="786">
      <c r="O786" s="2"/>
    </row>
    <row r="787">
      <c r="O787" s="2"/>
    </row>
    <row r="788">
      <c r="O788" s="2"/>
    </row>
    <row r="789">
      <c r="O789" s="2"/>
    </row>
    <row r="790">
      <c r="O790" s="2"/>
    </row>
    <row r="791">
      <c r="O791" s="2"/>
    </row>
    <row r="792">
      <c r="O792" s="2"/>
    </row>
    <row r="793">
      <c r="O793" s="2"/>
    </row>
    <row r="794">
      <c r="O794" s="2"/>
    </row>
    <row r="795">
      <c r="O795" s="2"/>
    </row>
    <row r="796">
      <c r="O796" s="2"/>
    </row>
    <row r="797">
      <c r="O797" s="2"/>
    </row>
    <row r="798">
      <c r="O798" s="2"/>
    </row>
    <row r="799">
      <c r="O799" s="2"/>
    </row>
    <row r="800">
      <c r="O800" s="2"/>
    </row>
    <row r="801">
      <c r="O801" s="2"/>
    </row>
    <row r="802">
      <c r="O802" s="2"/>
    </row>
    <row r="803">
      <c r="O803" s="2"/>
    </row>
    <row r="804">
      <c r="O804" s="2"/>
    </row>
    <row r="805">
      <c r="O805" s="2"/>
    </row>
    <row r="806">
      <c r="O806" s="2"/>
    </row>
    <row r="807">
      <c r="O807" s="2"/>
    </row>
    <row r="808">
      <c r="O808" s="2"/>
    </row>
    <row r="809">
      <c r="O809" s="2"/>
    </row>
    <row r="810">
      <c r="O810" s="2"/>
    </row>
    <row r="811">
      <c r="O811" s="2"/>
    </row>
    <row r="812">
      <c r="O812" s="2"/>
    </row>
    <row r="813">
      <c r="O813" s="2"/>
    </row>
    <row r="814">
      <c r="O814" s="2"/>
    </row>
    <row r="815">
      <c r="O815" s="2"/>
    </row>
    <row r="816">
      <c r="O816" s="2"/>
    </row>
    <row r="817">
      <c r="O817" s="2"/>
    </row>
    <row r="818">
      <c r="O818" s="2"/>
    </row>
    <row r="819">
      <c r="O819" s="2"/>
    </row>
    <row r="820">
      <c r="O820" s="2"/>
    </row>
    <row r="821">
      <c r="O821" s="2"/>
    </row>
    <row r="822">
      <c r="O822" s="2"/>
    </row>
    <row r="823">
      <c r="O823" s="2"/>
    </row>
    <row r="824">
      <c r="O824" s="2"/>
    </row>
    <row r="825">
      <c r="O825" s="2"/>
    </row>
    <row r="826">
      <c r="O826" s="2"/>
    </row>
    <row r="827">
      <c r="O827" s="2"/>
    </row>
    <row r="828">
      <c r="O828" s="2"/>
    </row>
    <row r="829">
      <c r="O829" s="2"/>
    </row>
    <row r="830">
      <c r="O830" s="2"/>
    </row>
    <row r="831">
      <c r="O831" s="2"/>
    </row>
    <row r="832">
      <c r="O832" s="2"/>
    </row>
    <row r="833">
      <c r="O833" s="2"/>
    </row>
    <row r="834">
      <c r="O834" s="2"/>
    </row>
    <row r="835">
      <c r="O835" s="2"/>
    </row>
    <row r="836">
      <c r="O836" s="2"/>
    </row>
    <row r="837">
      <c r="O837" s="2"/>
    </row>
    <row r="838">
      <c r="O838" s="2"/>
    </row>
    <row r="839">
      <c r="O839" s="2"/>
    </row>
    <row r="840">
      <c r="O840" s="2"/>
    </row>
    <row r="841">
      <c r="O841" s="2"/>
    </row>
    <row r="842">
      <c r="O842" s="2"/>
    </row>
    <row r="843">
      <c r="O843" s="2"/>
    </row>
    <row r="844">
      <c r="O844" s="2"/>
    </row>
    <row r="845">
      <c r="O845" s="2"/>
    </row>
    <row r="846">
      <c r="O846" s="2"/>
    </row>
    <row r="847">
      <c r="O847" s="2"/>
    </row>
    <row r="848">
      <c r="O848" s="2"/>
    </row>
    <row r="849">
      <c r="O849" s="2"/>
    </row>
    <row r="850">
      <c r="O850" s="2"/>
    </row>
    <row r="851">
      <c r="O851" s="2"/>
    </row>
    <row r="852">
      <c r="O852" s="2"/>
    </row>
    <row r="853">
      <c r="O853" s="2"/>
    </row>
    <row r="854">
      <c r="O854" s="2"/>
    </row>
    <row r="855">
      <c r="O855" s="2"/>
    </row>
    <row r="856">
      <c r="O856" s="2"/>
    </row>
    <row r="857">
      <c r="O857" s="2"/>
    </row>
    <row r="858">
      <c r="O858" s="2"/>
    </row>
    <row r="859">
      <c r="O859" s="2"/>
    </row>
    <row r="860">
      <c r="O860" s="2"/>
    </row>
    <row r="861">
      <c r="O861" s="2"/>
    </row>
    <row r="862">
      <c r="O862" s="2"/>
    </row>
    <row r="863">
      <c r="O863" s="2"/>
    </row>
    <row r="864">
      <c r="O864" s="2"/>
    </row>
    <row r="865">
      <c r="O865" s="2"/>
    </row>
    <row r="866">
      <c r="O866" s="2"/>
    </row>
    <row r="867">
      <c r="O867" s="2"/>
    </row>
    <row r="868">
      <c r="O868" s="2"/>
    </row>
    <row r="869">
      <c r="O869" s="2"/>
    </row>
    <row r="870">
      <c r="O870" s="2"/>
    </row>
    <row r="871">
      <c r="O871" s="2"/>
    </row>
    <row r="872">
      <c r="O872" s="2"/>
    </row>
    <row r="873">
      <c r="O873" s="2"/>
    </row>
    <row r="874">
      <c r="O874" s="2"/>
    </row>
    <row r="875">
      <c r="O875" s="2"/>
    </row>
    <row r="876">
      <c r="O876" s="2"/>
    </row>
    <row r="877">
      <c r="O877" s="2"/>
    </row>
    <row r="878">
      <c r="O878" s="2"/>
    </row>
    <row r="879">
      <c r="O879" s="2"/>
    </row>
    <row r="880">
      <c r="O880" s="2"/>
    </row>
    <row r="881">
      <c r="O881" s="2"/>
    </row>
    <row r="882">
      <c r="O882" s="2"/>
    </row>
    <row r="883">
      <c r="O883" s="2"/>
    </row>
    <row r="884">
      <c r="O884" s="2"/>
    </row>
    <row r="885">
      <c r="O885" s="2"/>
    </row>
    <row r="886">
      <c r="O886" s="2"/>
    </row>
    <row r="887">
      <c r="O887" s="2"/>
    </row>
    <row r="888">
      <c r="O888" s="2"/>
    </row>
    <row r="889">
      <c r="O889" s="2"/>
    </row>
    <row r="890">
      <c r="O890" s="2"/>
    </row>
    <row r="891">
      <c r="O891" s="2"/>
    </row>
    <row r="892">
      <c r="O892" s="2"/>
    </row>
    <row r="893">
      <c r="O893" s="2"/>
    </row>
    <row r="894">
      <c r="O894" s="2"/>
    </row>
    <row r="895">
      <c r="O895" s="2"/>
    </row>
    <row r="896">
      <c r="O896" s="2"/>
    </row>
    <row r="897">
      <c r="O897" s="2"/>
    </row>
    <row r="898">
      <c r="O898" s="2"/>
    </row>
    <row r="899">
      <c r="O899" s="2"/>
    </row>
    <row r="900">
      <c r="O900" s="2"/>
    </row>
    <row r="901">
      <c r="O901" s="2"/>
    </row>
    <row r="902">
      <c r="O902" s="2"/>
    </row>
    <row r="903">
      <c r="O903" s="2"/>
    </row>
    <row r="904">
      <c r="O904" s="2"/>
    </row>
    <row r="905">
      <c r="O905" s="2"/>
    </row>
    <row r="906">
      <c r="O906" s="2"/>
    </row>
    <row r="907">
      <c r="O907" s="2"/>
    </row>
    <row r="908">
      <c r="O908" s="2"/>
    </row>
    <row r="909">
      <c r="O909" s="2"/>
    </row>
    <row r="910">
      <c r="O910" s="2"/>
    </row>
    <row r="911">
      <c r="O911" s="2"/>
    </row>
    <row r="912">
      <c r="O912" s="2"/>
    </row>
    <row r="913">
      <c r="O913" s="2"/>
    </row>
    <row r="914">
      <c r="O914" s="2"/>
    </row>
    <row r="915">
      <c r="O915" s="2"/>
    </row>
    <row r="916">
      <c r="O916" s="2"/>
    </row>
    <row r="917">
      <c r="O917" s="2"/>
    </row>
    <row r="918">
      <c r="O918" s="2"/>
    </row>
    <row r="919">
      <c r="O919" s="2"/>
    </row>
    <row r="920">
      <c r="O920" s="2"/>
    </row>
    <row r="921">
      <c r="O921" s="2"/>
    </row>
    <row r="922">
      <c r="O922" s="2"/>
    </row>
    <row r="923">
      <c r="O923" s="2"/>
    </row>
    <row r="924">
      <c r="O924" s="2"/>
    </row>
    <row r="925">
      <c r="O925" s="2"/>
    </row>
    <row r="926">
      <c r="O926" s="2"/>
    </row>
    <row r="927">
      <c r="O927" s="2"/>
    </row>
    <row r="928">
      <c r="O928" s="2"/>
    </row>
    <row r="929">
      <c r="O929" s="2"/>
    </row>
    <row r="930">
      <c r="O930" s="2"/>
    </row>
    <row r="931">
      <c r="O931" s="2"/>
    </row>
    <row r="932">
      <c r="O932" s="2"/>
    </row>
    <row r="933">
      <c r="O933" s="2"/>
    </row>
    <row r="934">
      <c r="O934" s="2"/>
    </row>
    <row r="935">
      <c r="O935" s="2"/>
    </row>
    <row r="936">
      <c r="O936" s="2"/>
    </row>
    <row r="937">
      <c r="O937" s="2"/>
    </row>
    <row r="938">
      <c r="O938" s="2"/>
    </row>
    <row r="939">
      <c r="O939" s="2"/>
    </row>
    <row r="940">
      <c r="O940" s="2"/>
    </row>
    <row r="941">
      <c r="O941" s="2"/>
    </row>
    <row r="942">
      <c r="O942" s="2"/>
    </row>
    <row r="943">
      <c r="O943" s="2"/>
    </row>
    <row r="944">
      <c r="O944" s="2"/>
    </row>
    <row r="945">
      <c r="O945" s="2"/>
    </row>
    <row r="946">
      <c r="O946" s="2"/>
    </row>
    <row r="947">
      <c r="O947" s="2"/>
    </row>
    <row r="948">
      <c r="O948" s="2"/>
    </row>
    <row r="949">
      <c r="O949" s="2"/>
    </row>
    <row r="950">
      <c r="O950" s="2"/>
    </row>
    <row r="951">
      <c r="O951" s="2"/>
    </row>
    <row r="952">
      <c r="O952" s="2"/>
    </row>
    <row r="953">
      <c r="O953" s="2"/>
    </row>
    <row r="954">
      <c r="O954" s="2"/>
    </row>
    <row r="955">
      <c r="O955" s="2"/>
    </row>
    <row r="956">
      <c r="O956" s="2"/>
    </row>
    <row r="957">
      <c r="O957" s="2"/>
    </row>
    <row r="958">
      <c r="O958" s="2"/>
    </row>
    <row r="959">
      <c r="O959" s="2"/>
    </row>
    <row r="960">
      <c r="O960" s="2"/>
    </row>
    <row r="961">
      <c r="O961" s="2"/>
    </row>
    <row r="962">
      <c r="O962" s="2"/>
    </row>
    <row r="963">
      <c r="O963" s="2"/>
    </row>
    <row r="964">
      <c r="O964" s="2"/>
    </row>
    <row r="965">
      <c r="O965" s="2"/>
    </row>
    <row r="966">
      <c r="O966" s="2"/>
    </row>
    <row r="967">
      <c r="O967" s="2"/>
    </row>
    <row r="968">
      <c r="O968" s="2"/>
    </row>
    <row r="969">
      <c r="O969" s="2"/>
    </row>
    <row r="970">
      <c r="O970" s="2"/>
    </row>
    <row r="971">
      <c r="O971" s="2"/>
    </row>
    <row r="972">
      <c r="O972" s="2"/>
    </row>
    <row r="973">
      <c r="O973" s="2"/>
    </row>
    <row r="974">
      <c r="O974" s="2"/>
    </row>
    <row r="975">
      <c r="O975" s="2"/>
    </row>
    <row r="976">
      <c r="O976" s="2"/>
    </row>
    <row r="977">
      <c r="O977" s="2"/>
    </row>
    <row r="978">
      <c r="O978" s="2"/>
    </row>
    <row r="979">
      <c r="O979" s="2"/>
    </row>
    <row r="980">
      <c r="O980" s="2"/>
    </row>
    <row r="981">
      <c r="O981" s="2"/>
    </row>
    <row r="982">
      <c r="O982" s="2"/>
    </row>
    <row r="983">
      <c r="O983" s="2"/>
    </row>
  </sheetData>
  <drawing r:id="rId1"/>
</worksheet>
</file>