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0b5d7d187b3f1c/Documentos/Curso Data Analysis/Excel/"/>
    </mc:Choice>
  </mc:AlternateContent>
  <xr:revisionPtr revIDLastSave="2" documentId="8_{85A2AF34-738A-47C0-87E7-4FC1B543ADE1}" xr6:coauthVersionLast="45" xr6:coauthVersionMax="45" xr10:uidLastSave="{AB5D3489-592C-4756-9916-A1A634EBA6E3}"/>
  <bookViews>
    <workbookView xWindow="-120" yWindow="-120" windowWidth="20730" windowHeight="11160" activeTab="1" xr2:uid="{00000000-000D-0000-FFFF-FFFF00000000}"/>
  </bookViews>
  <sheets>
    <sheet name="Theater Outcomes by Launch Date" sheetId="12" r:id="rId1"/>
    <sheet name="Outcomes based on Goals" sheetId="13" r:id="rId2"/>
    <sheet name="Kickstarter Data" sheetId="1" r:id="rId3"/>
    <sheet name="Edinburgh Research" sheetId="4" r:id="rId4"/>
    <sheet name="Descriptive Statistics" sheetId="7" r:id="rId5"/>
    <sheet name="Category Statistics" sheetId="2" r:id="rId6"/>
    <sheet name="Outcomes Based on Launch Date" sheetId="3" r:id="rId7"/>
  </sheets>
  <definedNames>
    <definedName name="_xlnm._FilterDatabase" localSheetId="2" hidden="1">'Kickstarter Data'!$A$1:$U$4115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13" l="1"/>
  <c r="B13" i="13"/>
  <c r="C13" i="13"/>
  <c r="D13" i="13"/>
  <c r="D12" i="13"/>
  <c r="C12" i="13"/>
  <c r="B12" i="13"/>
  <c r="D11" i="13"/>
  <c r="C11" i="13"/>
  <c r="B11" i="13"/>
  <c r="B10" i="13"/>
  <c r="C10" i="13"/>
  <c r="D10" i="13"/>
  <c r="D9" i="13"/>
  <c r="C9" i="13"/>
  <c r="B9" i="13"/>
  <c r="D8" i="13"/>
  <c r="C8" i="13"/>
  <c r="B8" i="13"/>
  <c r="D7" i="13"/>
  <c r="C7" i="13"/>
  <c r="B7" i="13"/>
  <c r="D6" i="13"/>
  <c r="C5" i="13"/>
  <c r="B5" i="13"/>
  <c r="D4" i="13"/>
  <c r="C4" i="13"/>
  <c r="B4" i="13"/>
  <c r="D3" i="13"/>
  <c r="C3" i="13"/>
  <c r="B3" i="13"/>
  <c r="D2" i="13"/>
  <c r="C2" i="13"/>
  <c r="B2" i="13"/>
  <c r="E3" i="13" l="1"/>
  <c r="H3" i="13" s="1"/>
  <c r="E4" i="13"/>
  <c r="G4" i="13" s="1"/>
  <c r="E5" i="13"/>
  <c r="H5" i="13" s="1"/>
  <c r="E6" i="13"/>
  <c r="H6" i="13" s="1"/>
  <c r="E7" i="13"/>
  <c r="H7" i="13" s="1"/>
  <c r="E8" i="13"/>
  <c r="H8" i="13" s="1"/>
  <c r="E9" i="13"/>
  <c r="H9" i="13" s="1"/>
  <c r="E10" i="13"/>
  <c r="H10" i="13" s="1"/>
  <c r="E11" i="13"/>
  <c r="H11" i="13" s="1"/>
  <c r="E12" i="13"/>
  <c r="H12" i="13" s="1"/>
  <c r="C6" i="13"/>
  <c r="B6" i="13"/>
  <c r="F12" i="13" l="1"/>
  <c r="G12" i="13"/>
  <c r="G11" i="13"/>
  <c r="F11" i="13"/>
  <c r="G10" i="13"/>
  <c r="F10" i="13"/>
  <c r="G9" i="13"/>
  <c r="F9" i="13"/>
  <c r="G8" i="13"/>
  <c r="F8" i="13"/>
  <c r="G7" i="13"/>
  <c r="F7" i="13"/>
  <c r="F6" i="13"/>
  <c r="G6" i="13"/>
  <c r="G5" i="13"/>
  <c r="F5" i="13"/>
  <c r="F4" i="13"/>
  <c r="H4" i="13"/>
  <c r="F3" i="13"/>
  <c r="G3" i="13"/>
  <c r="E13" i="13"/>
  <c r="E2" i="13"/>
  <c r="F13" i="13" l="1"/>
  <c r="G13" i="13"/>
  <c r="H13" i="13"/>
  <c r="G2" i="13"/>
  <c r="H2" i="13"/>
  <c r="F2" i="13"/>
  <c r="C11" i="7"/>
  <c r="C12" i="7"/>
  <c r="C14" i="7" s="1"/>
  <c r="C13" i="7"/>
  <c r="C6" i="7"/>
  <c r="C5" i="7"/>
  <c r="C4" i="7"/>
  <c r="B13" i="7"/>
  <c r="B12" i="7"/>
  <c r="B11" i="7"/>
  <c r="B6" i="7"/>
  <c r="B5" i="7"/>
  <c r="B4" i="7"/>
  <c r="C2" i="7"/>
  <c r="C10" i="7"/>
  <c r="B10" i="7"/>
  <c r="C9" i="7"/>
  <c r="B9" i="7"/>
  <c r="C3" i="7"/>
  <c r="B3" i="7"/>
  <c r="B2" i="7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B7" i="7" l="1"/>
  <c r="B14" i="7"/>
  <c r="C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<sst xmlns="http://schemas.openxmlformats.org/spreadsheetml/2006/main" count="33035" uniqueCount="8418">
  <si>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</si>
  <si>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</si>
  <si>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</si>
  <si>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</si>
  <si>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</si>
  <si>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</si>
  <si>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</si>
  <si>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</si>
  <si>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</si>
  <si>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</si>
  <si>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</si>
  <si>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</si>
  <si>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</si>
  <si>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</si>
  <si>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</si>
  <si>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</si>
  <si>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</si>
  <si>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</si>
  <si>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</si>
  <si>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</si>
  <si>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</si>
  <si>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</si>
  <si>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</si>
  <si>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</si>
  <si>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</si>
  <si>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</si>
  <si>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</si>
  <si>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</si>
  <si>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</si>
  <si>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</si>
  <si>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</si>
  <si>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</si>
  <si>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</si>
  <si>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</si>
  <si>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</si>
  <si>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</si>
  <si>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</si>
  <si>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</si>
  <si>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</si>
  <si>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</si>
  <si>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</si>
  <si>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</si>
  <si>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</si>
  <si>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</si>
  <si>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</si>
  <si>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</si>
  <si>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</si>
  <si>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</si>
  <si>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</si>
  <si>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</si>
  <si>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</si>
  <si>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</si>
  <si>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</si>
  <si>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</si>
  <si>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</si>
  <si>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</si>
  <si>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</si>
  <si>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</si>
  <si>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</si>
  <si>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</si>
  <si>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</si>
  <si>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</si>
  <si>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</si>
  <si>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</si>
  <si>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</si>
  <si>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</si>
  <si>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</si>
  <si>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</si>
  <si>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</si>
  <si>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</si>
  <si>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</si>
  <si>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</si>
  <si>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</si>
  <si>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</si>
  <si>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</si>
  <si>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</si>
  <si>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</si>
  <si>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</si>
  <si>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</si>
  <si>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</si>
  <si>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</si>
  <si>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</si>
  <si>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</si>
  <si>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</si>
  <si>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</si>
  <si>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</si>
  <si>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</si>
  <si>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</si>
  <si>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</si>
  <si>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</si>
  <si>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</si>
  <si>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</si>
  <si>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</si>
  <si>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</si>
  <si>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</si>
  <si>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</si>
  <si>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</si>
  <si>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</si>
  <si>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</si>
  <si>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</si>
  <si>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</si>
  <si>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</si>
  <si>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</si>
  <si>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</si>
  <si>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</si>
  <si>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</si>
  <si>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</si>
  <si>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</si>
  <si>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</si>
  <si>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</si>
  <si>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</si>
  <si>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</si>
  <si>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</si>
  <si>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</si>
  <si>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</si>
  <si>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</si>
  <si>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</si>
  <si>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</si>
  <si>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</si>
  <si>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</si>
  <si>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</si>
  <si>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</si>
  <si>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</si>
  <si>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</si>
  <si>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</si>
  <si>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</si>
  <si>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</si>
  <si>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</si>
  <si>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</si>
  <si>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</si>
  <si>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</si>
  <si>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</si>
  <si>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</si>
  <si>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</si>
  <si>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</si>
  <si>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</si>
  <si>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</si>
  <si>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</si>
  <si>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</si>
  <si>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</si>
  <si>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</si>
  <si>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</si>
  <si>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</si>
  <si>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</si>
  <si>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</si>
  <si>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</si>
  <si>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</si>
  <si>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</si>
  <si>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</si>
  <si>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</si>
  <si>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</si>
  <si>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</si>
  <si>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</si>
  <si>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</si>
  <si>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</si>
  <si>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</si>
  <si>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</si>
  <si>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</si>
  <si>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</si>
  <si>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</si>
  <si>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</si>
  <si>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</si>
  <si>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</si>
  <si>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</si>
  <si>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</si>
  <si>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</si>
  <si>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</si>
  <si>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</si>
  <si>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</si>
  <si>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</si>
  <si>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</si>
  <si>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</si>
  <si>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</si>
  <si>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</si>
  <si>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</si>
  <si>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</si>
  <si>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</si>
  <si>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</si>
  <si>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</si>
  <si>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</si>
  <si>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</si>
  <si>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</si>
  <si>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</si>
  <si>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</si>
  <si>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</si>
  <si>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</si>
  <si>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</si>
  <si>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</si>
  <si>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</si>
  <si>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</si>
  <si>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</si>
  <si>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</si>
  <si>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</si>
  <si>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</si>
  <si>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</si>
  <si>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</si>
  <si>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</si>
  <si>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</si>
  <si>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</si>
  <si>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</si>
  <si>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</si>
  <si>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</si>
  <si>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</si>
  <si>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</si>
  <si>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</si>
  <si>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</si>
  <si>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</si>
  <si>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</si>
  <si>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</si>
  <si>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</si>
  <si>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</si>
  <si>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</si>
  <si>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</si>
  <si>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</si>
  <si>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</si>
  <si>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</si>
  <si>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</si>
  <si>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</si>
  <si>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</si>
  <si>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</si>
  <si>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</si>
  <si>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</si>
  <si>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</si>
  <si>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</si>
  <si>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</si>
  <si>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</si>
  <si>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</si>
  <si>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</si>
  <si>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</si>
  <si>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</si>
  <si>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</si>
  <si>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</si>
  <si>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</si>
  <si>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</si>
  <si>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</si>
  <si>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</si>
  <si>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</si>
  <si>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</si>
  <si>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</si>
  <si>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</si>
  <si>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</si>
  <si>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</si>
  <si>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</si>
  <si>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</si>
  <si>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</si>
  <si>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</si>
  <si>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</si>
  <si>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</si>
  <si>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</si>
  <si>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</si>
  <si>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</si>
  <si>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</si>
  <si>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</si>
  <si>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</si>
  <si>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</si>
  <si>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</si>
  <si>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</si>
  <si>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</si>
  <si>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</si>
  <si>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</si>
  <si>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</si>
  <si>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</si>
  <si>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</si>
  <si>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</si>
  <si>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</si>
  <si>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</si>
  <si>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</si>
  <si>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</si>
  <si>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</si>
  <si>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</si>
  <si>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</si>
  <si>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</si>
  <si>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</si>
  <si>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</si>
  <si>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</si>
  <si>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</si>
  <si>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</si>
  <si>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</si>
  <si>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</si>
  <si>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</si>
  <si>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</si>
  <si>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</si>
  <si>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</si>
  <si>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</si>
  <si>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</si>
  <si>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</si>
  <si>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</si>
  <si>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</si>
  <si>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</si>
  <si>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</si>
  <si>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</si>
  <si>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</si>
  <si>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</si>
  <si>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</si>
  <si>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</si>
  <si>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</si>
  <si>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</si>
  <si>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</si>
  <si>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</si>
  <si>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</si>
  <si>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</si>
  <si>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</si>
  <si>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</si>
  <si>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</si>
  <si>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</si>
  <si>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</si>
  <si>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</si>
  <si>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</si>
  <si>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</si>
  <si>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</si>
  <si>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</si>
  <si>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</si>
  <si>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</si>
  <si>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</si>
  <si>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</si>
  <si>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</si>
  <si>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</si>
  <si>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</si>
  <si>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</si>
  <si>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</si>
  <si>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</si>
  <si>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</si>
  <si>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</si>
  <si>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</si>
  <si>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</si>
  <si>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</si>
  <si>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</si>
  <si>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</si>
  <si>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</si>
  <si>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</si>
  <si>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</si>
  <si>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</si>
  <si>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</si>
  <si>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</si>
  <si>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</si>
  <si>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</si>
  <si>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</si>
  <si>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</si>
  <si>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</si>
  <si>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</si>
  <si>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</si>
  <si>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</si>
  <si>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</si>
  <si>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</si>
  <si>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</si>
  <si>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</si>
  <si>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</si>
  <si>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</si>
  <si>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</si>
  <si>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</si>
  <si>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</si>
  <si>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</si>
  <si>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</si>
  <si>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</si>
  <si>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</si>
  <si>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</si>
  <si>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</si>
  <si>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</si>
  <si>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</si>
  <si>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</si>
  <si>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</si>
  <si>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</si>
  <si>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</si>
  <si>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</si>
  <si>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</si>
  <si>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</si>
  <si>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</si>
  <si>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</si>
  <si>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</si>
  <si>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</si>
  <si>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</si>
  <si>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</si>
  <si>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</si>
  <si>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</si>
  <si>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</si>
  <si>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</si>
  <si>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</si>
  <si>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</si>
  <si>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</si>
  <si>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</si>
  <si>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</si>
  <si>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</si>
  <si>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</si>
  <si>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</si>
  <si>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</si>
  <si>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</si>
  <si>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</si>
  <si>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</si>
  <si>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</si>
  <si>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</si>
  <si>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</si>
  <si>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</si>
  <si>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</si>
  <si>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</si>
  <si>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</si>
  <si>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</si>
  <si>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</si>
  <si>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</si>
  <si>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</si>
  <si>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</si>
  <si>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</si>
  <si>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</si>
  <si>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</si>
  <si>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</si>
  <si>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</si>
  <si>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</si>
  <si>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</si>
  <si>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</si>
  <si>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</si>
  <si>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</si>
  <si>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</si>
  <si>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</si>
  <si>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</si>
  <si>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</si>
  <si>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</si>
  <si>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</si>
  <si>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</si>
  <si>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</si>
  <si>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</si>
  <si>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</si>
  <si>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</si>
  <si>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</si>
  <si>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</si>
  <si>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</si>
  <si>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</si>
  <si>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</si>
  <si>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</si>
  <si>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</si>
  <si>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</si>
  <si>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</si>
  <si>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</si>
  <si>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</si>
  <si>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</si>
  <si>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</si>
  <si>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</si>
  <si>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</si>
  <si>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</si>
  <si>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</si>
  <si>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</si>
  <si>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</si>
  <si>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</si>
  <si>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</si>
  <si>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</si>
  <si>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</si>
  <si>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</si>
  <si>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</si>
  <si>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</si>
  <si>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</si>
  <si>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</si>
  <si>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</si>
  <si>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</si>
  <si>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</si>
  <si>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</si>
  <si>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</si>
  <si>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</si>
  <si>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</si>
  <si>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</si>
  <si>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</si>
  <si>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</si>
  <si>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</si>
  <si>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</si>
  <si>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</si>
  <si>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</si>
  <si>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</si>
  <si>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</si>
  <si>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</si>
  <si>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</si>
  <si>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</si>
  <si>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</si>
  <si>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</si>
  <si>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</si>
  <si>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</si>
  <si>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</si>
  <si>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</si>
  <si>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</si>
  <si>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</si>
  <si>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</si>
  <si>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</si>
  <si>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</si>
  <si>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</si>
  <si>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</si>
  <si>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</si>
  <si>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</si>
  <si>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</si>
  <si>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</si>
  <si>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</si>
  <si>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</si>
  <si>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</si>
  <si>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</si>
  <si>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</si>
  <si>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</si>
  <si>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</si>
  <si>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</si>
  <si>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</si>
  <si>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</si>
  <si>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</si>
  <si>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</si>
  <si>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</si>
  <si>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</si>
  <si>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</si>
  <si>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</si>
  <si>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</si>
  <si>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</si>
  <si>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</si>
  <si>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</si>
  <si>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</si>
  <si>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</si>
  <si>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</si>
  <si>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</si>
  <si>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</si>
  <si>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</si>
  <si>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</si>
  <si>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</si>
  <si>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</si>
  <si>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</si>
  <si>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</si>
  <si>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</si>
  <si>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</si>
  <si>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</si>
  <si>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</si>
  <si>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</si>
  <si>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</si>
  <si>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</si>
  <si>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</si>
  <si>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</si>
  <si>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</si>
  <si>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</si>
  <si>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</si>
  <si>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</si>
  <si>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</si>
  <si>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</si>
  <si>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</si>
  <si>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</si>
  <si>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</si>
  <si>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</si>
  <si>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</si>
  <si>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</si>
  <si>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</si>
  <si>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</si>
  <si>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</si>
  <si>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</si>
  <si>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</si>
  <si>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</si>
  <si>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</si>
  <si>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</si>
  <si>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</si>
  <si>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</si>
  <si>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</si>
  <si>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</si>
  <si>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</si>
  <si>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</si>
  <si>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</si>
  <si>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</si>
  <si>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</si>
  <si>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</si>
  <si>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</si>
  <si>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</si>
  <si>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</si>
  <si>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</si>
  <si>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</si>
  <si>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</si>
  <si>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</si>
  <si>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</si>
  <si>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</si>
  <si>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</si>
  <si>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</si>
  <si>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</si>
  <si>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</si>
  <si>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</si>
  <si>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</si>
  <si>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</si>
  <si>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</si>
  <si>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</si>
  <si>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</si>
  <si>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</si>
  <si>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</si>
  <si>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</si>
  <si>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</si>
  <si>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</si>
  <si>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</si>
  <si>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</si>
  <si>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</si>
  <si>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</si>
  <si>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</si>
  <si>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</si>
  <si>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</si>
  <si>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</si>
  <si>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</si>
  <si>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</si>
  <si>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</si>
  <si>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</si>
  <si>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</si>
  <si>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</si>
  <si>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</si>
  <si>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</si>
  <si>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</si>
  <si>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</si>
  <si>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</si>
  <si>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</si>
  <si>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</si>
  <si>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</si>
  <si>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</si>
  <si>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</si>
  <si>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</si>
  <si>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</si>
  <si>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</si>
  <si>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</si>
  <si>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</si>
  <si>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</si>
  <si>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</si>
  <si>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</si>
  <si>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</si>
  <si>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</si>
  <si>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</si>
  <si>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</si>
  <si>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</si>
  <si>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</si>
  <si>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</si>
  <si>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</si>
  <si>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</si>
  <si>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</si>
  <si>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</si>
  <si>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</si>
  <si>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</si>
  <si>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</si>
  <si>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</si>
  <si>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</si>
  <si>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</si>
  <si>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</si>
  <si>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</si>
  <si>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</si>
  <si>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</si>
  <si>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</si>
  <si>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</si>
  <si>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</si>
  <si>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</si>
  <si>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</si>
  <si>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</si>
  <si>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</si>
  <si>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</si>
  <si>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</si>
  <si>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</si>
  <si>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</si>
  <si>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</si>
  <si>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</si>
  <si>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</si>
  <si>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</si>
  <si>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</si>
  <si>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</si>
  <si>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</si>
  <si>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</si>
  <si>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</si>
  <si>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</si>
  <si>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</si>
  <si>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</si>
  <si>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</si>
  <si>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</si>
  <si>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</si>
  <si>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</si>
  <si>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</si>
  <si>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</si>
  <si>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</si>
  <si>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</si>
  <si>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</si>
  <si>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</si>
  <si>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</si>
  <si>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</si>
  <si>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</si>
  <si>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</si>
  <si>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</si>
  <si>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</si>
  <si>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</si>
  <si>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</si>
  <si>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</si>
  <si>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</si>
  <si>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</si>
  <si>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</si>
  <si>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</si>
  <si>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</si>
  <si>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</si>
  <si>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</si>
  <si>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</si>
  <si>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</si>
  <si>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</si>
  <si>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</si>
  <si>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</si>
  <si>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</si>
  <si>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</si>
  <si>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</si>
  <si>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</si>
  <si>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</si>
  <si>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</si>
  <si>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</si>
  <si>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</si>
  <si>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</si>
  <si>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</si>
  <si>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</si>
  <si>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</si>
  <si>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</si>
  <si>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</si>
  <si>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</si>
  <si>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</si>
  <si>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</si>
  <si>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</si>
  <si>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</si>
  <si>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</si>
  <si>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</si>
  <si>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</si>
  <si>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</si>
  <si>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</si>
  <si>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</si>
  <si>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</si>
  <si>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</si>
  <si>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</si>
  <si>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</si>
  <si>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</si>
  <si>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</si>
  <si>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</si>
  <si>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</si>
  <si>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</si>
  <si>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</si>
  <si>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</si>
  <si>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</si>
  <si>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</si>
  <si>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</si>
  <si>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</si>
  <si>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</si>
  <si>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</si>
  <si>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</si>
  <si>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</si>
  <si>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</si>
  <si>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</si>
  <si>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</si>
  <si>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</si>
  <si>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</si>
  <si>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</si>
  <si>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</si>
  <si>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</si>
  <si>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</si>
  <si>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</si>
  <si>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</si>
  <si>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</si>
  <si>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</si>
  <si>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</si>
  <si>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</si>
  <si>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</si>
  <si>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</si>
  <si>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</si>
  <si>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</si>
  <si>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</si>
  <si>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</si>
  <si>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</si>
  <si>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</si>
  <si>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</si>
  <si>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</si>
  <si>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</si>
  <si>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</si>
  <si>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</si>
  <si>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</si>
  <si>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</si>
  <si>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</si>
  <si>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</si>
  <si>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</si>
  <si>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</si>
  <si>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</si>
  <si>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</si>
  <si>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</si>
  <si>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</si>
  <si>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</si>
  <si>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</si>
  <si>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</si>
  <si>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</si>
  <si>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</si>
  <si>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</si>
  <si>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</si>
  <si>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</si>
  <si>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</si>
  <si>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</si>
  <si>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</si>
  <si>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</si>
  <si>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</si>
  <si>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</si>
  <si>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</si>
  <si>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</si>
  <si>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</si>
  <si>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</si>
  <si>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</si>
  <si>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</si>
  <si>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</si>
  <si>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</si>
  <si>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</si>
  <si>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</si>
  <si>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</si>
  <si>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</si>
  <si>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</si>
  <si>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</si>
  <si>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</si>
  <si>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</si>
  <si>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</si>
  <si>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</si>
  <si>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</si>
  <si>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</si>
  <si>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</si>
  <si>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</si>
  <si>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</si>
  <si>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</si>
  <si>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</si>
  <si>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</si>
  <si>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</si>
  <si>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</si>
  <si>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</si>
  <si>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</si>
  <si>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</si>
  <si>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</si>
  <si>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</si>
  <si>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</si>
  <si>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</si>
  <si>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</si>
  <si>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</si>
  <si>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</si>
  <si>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</si>
  <si>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</si>
  <si>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</si>
  <si>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</si>
  <si>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</si>
  <si>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</si>
  <si>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</si>
  <si>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</si>
  <si>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</si>
  <si>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</si>
  <si>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</si>
  <si>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</si>
  <si>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</si>
  <si>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</si>
  <si>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</si>
  <si>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</si>
  <si>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</si>
  <si>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</si>
  <si>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</si>
  <si>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</si>
  <si>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</si>
  <si>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</si>
  <si>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</si>
  <si>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</si>
  <si>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</si>
  <si>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</si>
  <si>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</si>
  <si>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</si>
  <si>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</si>
  <si>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</si>
  <si>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</si>
  <si>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</si>
  <si>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</si>
  <si>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</si>
  <si>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</si>
  <si>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</si>
  <si>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</si>
  <si>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</si>
  <si>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</si>
  <si>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</si>
  <si>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</si>
  <si>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</si>
  <si>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</si>
  <si>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</si>
  <si>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</si>
  <si>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</si>
  <si>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</si>
  <si>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</si>
  <si>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</si>
  <si>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</si>
  <si>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</si>
  <si>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</si>
  <si>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</si>
  <si>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</si>
  <si>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</si>
  <si>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</si>
  <si>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</si>
  <si>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</si>
  <si>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</si>
  <si>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</si>
  <si>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</si>
  <si>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</si>
  <si>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</si>
  <si>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</si>
  <si>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</si>
  <si>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</si>
  <si>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</si>
  <si>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</si>
  <si>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</si>
  <si>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</si>
  <si>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</si>
  <si>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</si>
  <si>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</si>
  <si>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</si>
  <si>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</si>
  <si>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</si>
  <si>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</si>
  <si>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</si>
  <si>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</si>
  <si>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</si>
  <si>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</si>
  <si>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</si>
  <si>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</si>
  <si>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</si>
  <si>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</si>
  <si>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</si>
  <si>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</si>
  <si>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</si>
  <si>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</si>
  <si>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</si>
  <si>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</si>
  <si>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</si>
  <si>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</si>
  <si>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</si>
  <si>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</si>
  <si>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</si>
  <si>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</si>
  <si>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</si>
  <si>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</si>
  <si>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</si>
  <si>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</si>
  <si>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</si>
  <si>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</si>
  <si>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</si>
  <si>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</si>
  <si>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</si>
  <si>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</si>
  <si>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</si>
  <si>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</si>
  <si>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</si>
  <si>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</si>
  <si>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</si>
  <si>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</si>
  <si>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</si>
  <si>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</si>
  <si>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</si>
  <si>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</si>
  <si>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</si>
  <si>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</si>
  <si>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</si>
  <si>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</si>
  <si>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</si>
  <si>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</si>
  <si>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</si>
  <si>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</si>
  <si>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</si>
  <si>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</si>
  <si>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</si>
  <si>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</si>
  <si>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</si>
  <si>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</si>
  <si>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</si>
  <si>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</si>
  <si>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</si>
  <si>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</si>
  <si>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</si>
  <si>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</si>
  <si>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</si>
  <si>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</si>
  <si>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</si>
  <si>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</si>
  <si>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</si>
  <si>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</si>
  <si>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</si>
  <si>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</si>
  <si>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</si>
  <si>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</si>
  <si>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</si>
  <si>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</si>
  <si>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</si>
  <si>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</si>
  <si>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</si>
  <si>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</si>
  <si>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</si>
  <si>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</si>
  <si>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</si>
  <si>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</si>
  <si>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</si>
  <si>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</si>
  <si>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</si>
  <si>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</si>
  <si>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</si>
  <si>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</si>
  <si>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</si>
  <si>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</si>
  <si>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</si>
  <si>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</si>
  <si>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</si>
  <si>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</si>
  <si>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</si>
  <si>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</si>
  <si>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</si>
  <si>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</si>
  <si>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</si>
  <si>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</si>
  <si>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</si>
  <si>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</si>
  <si>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</si>
  <si>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</si>
  <si>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</si>
  <si>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</si>
  <si>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</si>
  <si>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</si>
  <si>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</si>
  <si>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</si>
  <si>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</si>
  <si>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</si>
  <si>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</si>
  <si>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</si>
  <si>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</si>
  <si>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</si>
  <si>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</si>
  <si>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</si>
  <si>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</si>
  <si>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</si>
  <si>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</si>
  <si>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</si>
  <si>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</si>
  <si>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</si>
  <si>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</si>
  <si>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</si>
  <si>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</si>
  <si>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</si>
  <si>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</si>
  <si>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</si>
  <si>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</si>
  <si>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</si>
  <si>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</si>
  <si>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</si>
  <si>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</si>
  <si>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</si>
  <si>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</si>
  <si>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</si>
  <si>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</si>
  <si>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</si>
  <si>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</si>
  <si>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</si>
  <si>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</si>
  <si>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</si>
  <si>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</si>
  <si>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</si>
  <si>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</si>
  <si>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</si>
  <si>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</si>
  <si>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</si>
  <si>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</si>
  <si>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</si>
  <si>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</si>
  <si>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</si>
  <si>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</si>
  <si>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</si>
  <si>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</si>
  <si>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</si>
  <si>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</si>
  <si>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</si>
  <si>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</si>
  <si>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</si>
  <si>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</si>
  <si>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</si>
  <si>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</si>
  <si>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</si>
  <si>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</si>
  <si>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</si>
  <si>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</si>
  <si>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</si>
  <si>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</si>
  <si>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</si>
  <si>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</si>
  <si>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</si>
  <si>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</si>
  <si>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</si>
  <si>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</si>
  <si>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</si>
  <si>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</si>
  <si>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</si>
  <si>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</si>
  <si>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</si>
  <si>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</si>
  <si>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</si>
  <si>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</si>
  <si>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</si>
  <si>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</si>
  <si>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</si>
  <si>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</si>
  <si>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</si>
  <si>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</si>
  <si>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</si>
  <si>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</si>
  <si>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</si>
  <si>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</si>
  <si>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</si>
  <si>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</si>
  <si>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</si>
  <si>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</si>
  <si>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</si>
  <si>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</si>
  <si>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</si>
  <si>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</si>
  <si>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</si>
  <si>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</si>
  <si>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</si>
  <si>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</si>
  <si>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</si>
  <si>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</si>
  <si>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</si>
  <si>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</si>
  <si>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</si>
  <si>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</si>
  <si>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</si>
  <si>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</si>
  <si>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</si>
  <si>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</si>
  <si>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</si>
  <si>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</si>
  <si>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</si>
  <si>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</si>
  <si>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</si>
  <si>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</si>
  <si>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</si>
  <si>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</si>
  <si>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</si>
  <si>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</si>
  <si>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</si>
  <si>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</si>
  <si>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</si>
  <si>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</si>
  <si>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</si>
  <si>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</si>
  <si>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</si>
  <si>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</si>
  <si>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</si>
  <si>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</si>
  <si>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</si>
  <si>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</si>
  <si>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</si>
  <si>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</si>
  <si>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</si>
  <si>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</si>
  <si>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</si>
  <si>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</si>
  <si>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</si>
  <si>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</si>
  <si>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</si>
  <si>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</si>
  <si>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</si>
  <si>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</si>
  <si>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</si>
  <si>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</si>
  <si>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</si>
  <si>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</si>
  <si>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</si>
  <si>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</si>
  <si>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</si>
  <si>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</si>
  <si>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</si>
  <si>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</si>
  <si>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</si>
  <si>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</si>
  <si>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</si>
  <si>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</si>
  <si>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</si>
  <si>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</si>
  <si>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</si>
  <si>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</si>
  <si>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</si>
  <si>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</si>
  <si>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</si>
  <si>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</si>
  <si>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</si>
  <si>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</si>
  <si>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</si>
  <si>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</si>
  <si>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</si>
  <si>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</si>
  <si>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</si>
  <si>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</si>
  <si>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</si>
  <si>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</si>
  <si>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</si>
  <si>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</si>
  <si>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</si>
  <si>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</si>
  <si>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</si>
  <si>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</si>
  <si>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</si>
  <si>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</si>
  <si>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</si>
  <si>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</si>
  <si>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</si>
  <si>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</si>
  <si>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</si>
  <si>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</si>
  <si>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</si>
  <si>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</si>
  <si>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</si>
  <si>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</si>
  <si>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</si>
  <si>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</si>
  <si>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</si>
  <si>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</si>
  <si>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</si>
  <si>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</si>
  <si>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</si>
  <si>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</si>
  <si>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</si>
  <si>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</si>
  <si>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</si>
  <si>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</si>
  <si>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</si>
  <si>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</si>
  <si>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</si>
  <si>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</si>
  <si>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</si>
  <si>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</si>
  <si>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</si>
  <si>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</si>
  <si>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</si>
  <si>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</si>
  <si>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</si>
  <si>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</si>
  <si>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</si>
  <si>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</si>
  <si>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</si>
  <si>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</si>
  <si>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</si>
  <si>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</si>
  <si>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</si>
  <si>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</si>
  <si>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</si>
  <si>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</si>
  <si>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</si>
  <si>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</si>
  <si>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</si>
  <si>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</si>
  <si>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</si>
  <si>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</si>
  <si>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</si>
  <si>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</si>
  <si>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</si>
  <si>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</si>
  <si>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</si>
  <si>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</si>
  <si>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</si>
  <si>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</si>
  <si>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</si>
  <si>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</si>
  <si>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</si>
  <si>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</si>
  <si>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</si>
  <si>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</si>
  <si>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</si>
  <si>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</si>
  <si>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</si>
  <si>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</si>
  <si>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</si>
  <si>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</si>
  <si>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</si>
  <si>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</si>
  <si>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</si>
  <si>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</si>
  <si>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</si>
  <si>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</si>
  <si>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</si>
  <si>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</si>
  <si>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</si>
  <si>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</si>
  <si>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</si>
  <si>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</si>
  <si>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</si>
  <si>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</si>
  <si>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</si>
  <si>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</si>
  <si>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</si>
  <si>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</si>
  <si>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</si>
  <si>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</si>
  <si>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</si>
  <si>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</si>
  <si>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</si>
  <si>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</si>
  <si>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</si>
  <si>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</si>
  <si>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</si>
  <si>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</si>
  <si>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</si>
  <si>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</si>
  <si>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</si>
  <si>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</si>
  <si>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</si>
  <si>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</si>
  <si>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</si>
  <si>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</si>
  <si>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</si>
  <si>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</si>
  <si>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</si>
  <si>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</si>
  <si>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</si>
  <si>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</si>
  <si>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</si>
  <si>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</si>
  <si>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</si>
  <si>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</si>
  <si>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</si>
  <si>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</si>
  <si>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</si>
  <si>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</si>
  <si>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</si>
  <si>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</si>
  <si>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</si>
  <si>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</si>
  <si>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</si>
  <si>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</si>
  <si>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</si>
  <si>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</si>
  <si>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</si>
  <si>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</si>
  <si>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</si>
  <si>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</si>
  <si>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</si>
  <si>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</si>
  <si>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</si>
  <si>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</si>
  <si>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</si>
  <si>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</si>
  <si>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</si>
  <si>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</si>
  <si>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</si>
  <si>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</si>
  <si>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</si>
  <si>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</si>
  <si>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</si>
  <si>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</si>
  <si>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</si>
  <si>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</si>
  <si>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</si>
  <si>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</si>
  <si>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</si>
  <si>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</si>
  <si>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</si>
  <si>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</si>
  <si>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</si>
  <si>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</si>
  <si>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</si>
  <si>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</si>
  <si>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</si>
  <si>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</si>
  <si>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</si>
  <si>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</si>
  <si>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</si>
  <si>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</si>
  <si>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</si>
  <si>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</si>
  <si>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</si>
  <si>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</si>
  <si>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</si>
  <si>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</si>
  <si>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</si>
  <si>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</si>
  <si>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</si>
  <si>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</si>
  <si>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</si>
  <si>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</si>
  <si>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</si>
  <si>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</si>
  <si>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</si>
  <si>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</si>
  <si>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</si>
  <si>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</si>
  <si>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</si>
  <si>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</si>
  <si>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</si>
  <si>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</si>
  <si>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</si>
  <si>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</si>
  <si>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</si>
  <si>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</si>
  <si>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</si>
  <si>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</si>
  <si>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</si>
  <si>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</si>
  <si>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</si>
  <si>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</si>
  <si>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</si>
  <si>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</si>
  <si>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</si>
  <si>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</si>
  <si>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</si>
  <si>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</si>
  <si>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</si>
  <si>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</si>
  <si>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</si>
  <si>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</si>
  <si>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</si>
  <si>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</si>
  <si>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</si>
  <si>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</si>
  <si>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</si>
  <si>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</si>
  <si>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</si>
  <si>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</si>
  <si>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</si>
  <si>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</si>
  <si>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</si>
  <si>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</si>
  <si>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</si>
  <si>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</si>
  <si>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</si>
  <si>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</si>
  <si>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</si>
  <si>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</si>
  <si>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</si>
  <si>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</si>
  <si>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</si>
  <si>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</si>
  <si>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</si>
  <si>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</si>
  <si>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</si>
  <si>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</si>
  <si>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</si>
  <si>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</si>
  <si>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</si>
  <si>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</si>
  <si>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</si>
  <si>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</si>
  <si>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</si>
  <si>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</si>
  <si>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</si>
  <si>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</si>
  <si>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</si>
  <si>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</si>
  <si>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</si>
  <si>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</si>
  <si>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</si>
  <si>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</si>
  <si>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</si>
  <si>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</si>
  <si>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</si>
  <si>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</si>
  <si>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</si>
  <si>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</si>
  <si>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</si>
  <si>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</si>
  <si>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</si>
  <si>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</si>
  <si>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</si>
  <si>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</si>
  <si>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</si>
  <si>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</si>
  <si>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</si>
  <si>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</si>
  <si>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</si>
  <si>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</si>
  <si>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</si>
  <si>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</si>
  <si>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</si>
  <si>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</si>
  <si>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</si>
  <si>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</si>
  <si>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</si>
  <si>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</si>
  <si>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</si>
  <si>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</si>
  <si>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</si>
  <si>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</si>
  <si>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</si>
  <si>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</si>
  <si>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</si>
  <si>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</si>
  <si>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</si>
  <si>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</si>
  <si>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</si>
  <si>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</si>
  <si>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</si>
  <si>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</si>
  <si>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</si>
  <si>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</si>
  <si>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</si>
  <si>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</si>
  <si>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</si>
  <si>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</si>
  <si>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</si>
  <si>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</si>
  <si>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</si>
  <si>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</si>
  <si>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</si>
  <si>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</si>
  <si>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</si>
  <si>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</si>
  <si>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</si>
  <si>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</si>
  <si>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</si>
  <si>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</si>
  <si>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</si>
  <si>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</si>
  <si>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</si>
  <si>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</si>
  <si>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</si>
  <si>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</si>
  <si>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</si>
  <si>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</si>
  <si>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</si>
  <si>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</si>
  <si>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</si>
  <si>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</si>
  <si>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</si>
  <si>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</si>
  <si>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</si>
  <si>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</si>
  <si>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</si>
  <si>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</si>
  <si>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</si>
  <si>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</si>
  <si>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</si>
  <si>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</si>
  <si>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</si>
  <si>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</si>
  <si>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</si>
  <si>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</si>
  <si>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</si>
  <si>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</si>
  <si>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</si>
  <si>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</si>
  <si>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</si>
  <si>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</si>
  <si>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</si>
  <si>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</si>
  <si>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</si>
  <si>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</si>
  <si>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</si>
  <si>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</si>
  <si>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</si>
  <si>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</si>
  <si>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</si>
  <si>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</si>
  <si>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</si>
  <si>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</si>
  <si>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</si>
  <si>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</si>
  <si>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</si>
  <si>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</si>
  <si>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</si>
  <si>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</si>
  <si>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</si>
  <si>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</si>
  <si>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</si>
  <si>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</si>
  <si>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</si>
  <si>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</si>
  <si>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</si>
  <si>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</si>
  <si>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</si>
  <si>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</si>
  <si>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</si>
  <si>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</si>
  <si>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</si>
  <si>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</si>
  <si>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</si>
  <si>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</si>
  <si>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</si>
  <si>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</si>
  <si>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</si>
  <si>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</si>
  <si>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</si>
  <si>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</si>
  <si>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</si>
  <si>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</si>
  <si>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</si>
  <si>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</si>
  <si>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</si>
  <si>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</si>
  <si>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</si>
  <si>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</si>
  <si>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</si>
  <si>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</si>
  <si>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</si>
  <si>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</si>
  <si>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</si>
  <si>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</si>
  <si>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</si>
  <si>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</si>
  <si>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</si>
  <si>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</si>
  <si>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</si>
  <si>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</si>
  <si>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</si>
  <si>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</si>
  <si>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</si>
  <si>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</si>
  <si>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</si>
  <si>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</si>
  <si>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</si>
  <si>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</si>
  <si>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</si>
  <si>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</si>
  <si>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</si>
  <si>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</si>
  <si>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</si>
  <si>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</si>
  <si>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</si>
  <si>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</si>
  <si>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</si>
  <si>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</si>
  <si>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</si>
  <si>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</si>
  <si>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</si>
  <si>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</si>
  <si>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</si>
  <si>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</si>
  <si>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</si>
  <si>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</si>
  <si>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</si>
  <si>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</si>
  <si>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</si>
  <si>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</si>
  <si>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</si>
  <si>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</si>
  <si>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</si>
  <si>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</si>
  <si>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</si>
  <si>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</si>
  <si>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</si>
  <si>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</si>
  <si>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</si>
  <si>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</si>
  <si>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</si>
  <si>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</si>
  <si>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</si>
  <si>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</si>
  <si>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</si>
  <si>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</si>
  <si>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</si>
  <si>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</si>
  <si>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</si>
  <si>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</si>
  <si>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</si>
  <si>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</si>
  <si>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</si>
  <si>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</si>
  <si>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</si>
  <si>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</si>
  <si>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</si>
  <si>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</si>
  <si>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</si>
  <si>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</si>
  <si>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</si>
  <si>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</si>
  <si>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</si>
  <si>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</si>
  <si>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</si>
  <si>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</si>
  <si>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</si>
  <si>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</si>
  <si>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</si>
  <si>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</si>
  <si>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</si>
  <si>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</si>
  <si>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</si>
  <si>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</si>
  <si>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</si>
  <si>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</si>
  <si>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</si>
  <si>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</si>
  <si>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</si>
  <si>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</si>
  <si>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</si>
  <si>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</si>
  <si>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</si>
  <si>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</si>
  <si>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</si>
  <si>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</si>
  <si>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</si>
  <si>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</si>
  <si>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</si>
  <si>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</si>
  <si>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</si>
  <si>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</si>
  <si>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</si>
  <si>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</si>
  <si>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</si>
  <si>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</si>
  <si>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</si>
  <si>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</si>
  <si>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</si>
  <si>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</si>
  <si>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</si>
  <si>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</si>
  <si>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</si>
  <si>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</si>
  <si>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</si>
  <si>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</si>
  <si>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</si>
  <si>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</si>
  <si>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</si>
  <si>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</si>
  <si>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</si>
  <si>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</si>
  <si>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</si>
  <si>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</si>
  <si>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</si>
  <si>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</si>
  <si>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</si>
  <si>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</si>
  <si>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</si>
  <si>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</si>
  <si>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</si>
  <si>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</si>
  <si>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</si>
  <si>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</si>
  <si>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</si>
  <si>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</si>
  <si>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</si>
  <si>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</si>
  <si>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</si>
  <si>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</si>
  <si>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</si>
  <si>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</si>
  <si>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</si>
  <si>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</si>
  <si>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</si>
  <si>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</si>
  <si>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</si>
  <si>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</si>
  <si>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</si>
  <si>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</si>
  <si>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</si>
  <si>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</si>
  <si>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</si>
  <si>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</si>
  <si>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</si>
  <si>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</si>
  <si>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</si>
  <si>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</si>
  <si>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</si>
  <si>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</si>
  <si>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</si>
  <si>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</si>
  <si>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</si>
  <si>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</si>
  <si>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</si>
  <si>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</si>
  <si>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</si>
  <si>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</si>
  <si>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</si>
  <si>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</si>
  <si>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</si>
  <si>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</si>
  <si>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</si>
  <si>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</si>
  <si>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</si>
  <si>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</si>
  <si>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</si>
  <si>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</si>
  <si>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</si>
  <si>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</si>
  <si>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</si>
  <si>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</si>
  <si>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</si>
  <si>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</si>
  <si>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</si>
  <si>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</si>
  <si>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</si>
  <si>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</si>
  <si>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</si>
  <si>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</si>
  <si>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</si>
  <si>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</si>
  <si>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</si>
  <si>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</si>
  <si>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</si>
  <si>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</si>
  <si>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</si>
  <si>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</si>
  <si>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</si>
  <si>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</si>
  <si>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</si>
  <si>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</si>
  <si>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</si>
  <si>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</si>
  <si>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</si>
  <si>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</si>
  <si>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</si>
  <si>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</si>
  <si>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</si>
  <si>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</si>
  <si>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</si>
  <si>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</si>
  <si>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</si>
  <si>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</si>
  <si>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</si>
  <si>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</si>
  <si>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</si>
  <si>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</si>
  <si>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</si>
  <si>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</si>
  <si>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</si>
  <si>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</si>
  <si>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</si>
  <si>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</si>
  <si>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</si>
  <si>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</si>
  <si>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</si>
  <si>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</si>
  <si>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</si>
  <si>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</si>
  <si>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</si>
  <si>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</si>
  <si>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</si>
  <si>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</si>
  <si>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</si>
  <si>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</si>
  <si>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</si>
  <si>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</si>
  <si>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</si>
  <si>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</si>
  <si>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</si>
  <si>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</si>
  <si>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</si>
  <si>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</si>
  <si>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</si>
  <si>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</si>
  <si>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</si>
  <si>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</si>
  <si>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</si>
  <si>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</si>
  <si>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</si>
  <si>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</si>
  <si>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</si>
  <si>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</si>
  <si>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</si>
  <si>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</si>
  <si>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</si>
  <si>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</si>
  <si>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</si>
  <si>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</si>
  <si>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</si>
  <si>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</si>
  <si>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</si>
  <si>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</si>
  <si>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</si>
  <si>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</si>
  <si>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</si>
  <si>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</si>
  <si>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</si>
  <si>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</si>
  <si>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</si>
  <si>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</si>
  <si>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</si>
  <si>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</si>
  <si>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</si>
  <si>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</si>
  <si>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</si>
  <si>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</si>
  <si>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</si>
  <si>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</si>
  <si>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</si>
  <si>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</si>
  <si>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</si>
  <si>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</si>
  <si>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</si>
  <si>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</si>
  <si>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</si>
  <si>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</si>
  <si>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</si>
  <si>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</si>
  <si>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</si>
  <si>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</si>
  <si>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</si>
  <si>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</si>
  <si>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</si>
  <si>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</si>
  <si>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</si>
  <si>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</si>
  <si>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</si>
  <si>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</si>
  <si>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</si>
  <si>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</si>
  <si>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</si>
  <si>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</si>
  <si>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</si>
  <si>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</si>
  <si>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</si>
  <si>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</si>
  <si>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</si>
  <si>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</si>
  <si>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</si>
  <si>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</si>
  <si>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</si>
  <si>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</si>
  <si>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</si>
  <si>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</si>
  <si>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</si>
  <si>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</si>
  <si>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</si>
  <si>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</si>
  <si>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</si>
  <si>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</si>
  <si>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</si>
  <si>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</si>
  <si>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</si>
  <si>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</si>
  <si>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</si>
  <si>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</si>
  <si>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</si>
  <si>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</si>
  <si>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</si>
  <si>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</si>
  <si>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</si>
  <si>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</si>
  <si>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</si>
  <si>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</si>
  <si>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</si>
  <si>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</si>
  <si>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</si>
  <si>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</si>
  <si>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</si>
  <si>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</si>
  <si>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</si>
  <si>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</si>
  <si>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</si>
  <si>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</si>
  <si>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</si>
  <si>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</si>
  <si>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</si>
  <si>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</si>
  <si>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</si>
  <si>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</si>
  <si>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</si>
  <si>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</si>
  <si>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</si>
  <si>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</si>
  <si>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</si>
  <si>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</si>
  <si>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</si>
  <si>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</si>
  <si>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</si>
  <si>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</si>
  <si>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</si>
  <si>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</si>
  <si>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</si>
  <si>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</si>
  <si>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</si>
  <si>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</si>
  <si>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</si>
  <si>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</si>
  <si>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</si>
  <si>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</si>
  <si>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</si>
  <si>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</si>
  <si>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</si>
  <si>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</si>
  <si>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</si>
  <si>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</si>
  <si>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</si>
  <si>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</si>
  <si>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</si>
  <si>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</si>
  <si>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</si>
  <si>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</si>
  <si>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</si>
  <si>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</si>
  <si>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</si>
  <si>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</si>
  <si>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</si>
  <si>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</si>
  <si>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</si>
  <si>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</si>
  <si>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</si>
  <si>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</si>
  <si>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</si>
  <si>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</si>
  <si>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</si>
  <si>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</si>
  <si>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</si>
  <si>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</si>
  <si>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</si>
  <si>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</si>
  <si>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</si>
  <si>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</si>
  <si>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</si>
  <si>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</si>
  <si>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</si>
  <si>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</si>
  <si>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</si>
  <si>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</si>
  <si>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</si>
  <si>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</si>
  <si>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</si>
  <si>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</si>
  <si>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</si>
  <si>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</si>
  <si>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</si>
  <si>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</si>
  <si>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</si>
  <si>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</si>
  <si>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</si>
  <si>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</si>
  <si>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</si>
  <si>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</si>
  <si>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</si>
  <si>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</si>
  <si>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</si>
  <si>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</si>
  <si>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</si>
  <si>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</si>
  <si>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</si>
  <si>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</si>
  <si>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</si>
  <si>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</si>
  <si>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</si>
  <si>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</si>
  <si>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</si>
  <si>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</si>
  <si>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</si>
  <si>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</si>
  <si>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</si>
  <si>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</si>
  <si>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</si>
  <si>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</si>
  <si>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</si>
  <si>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</si>
  <si>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</si>
  <si>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</si>
  <si>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</si>
  <si>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</si>
  <si>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</si>
  <si>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</si>
  <si>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</si>
  <si>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</si>
  <si>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</si>
  <si>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</si>
  <si>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</si>
  <si>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</si>
  <si>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</si>
  <si>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</si>
  <si>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</si>
  <si>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</si>
  <si>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</si>
  <si>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</si>
  <si>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</si>
  <si>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</si>
  <si>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</si>
  <si>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</si>
  <si>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</si>
  <si>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</si>
  <si>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</si>
  <si>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</si>
  <si>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</si>
  <si>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</si>
  <si>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</si>
  <si>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</si>
  <si>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</si>
  <si>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</si>
  <si>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</si>
  <si>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</si>
  <si>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</si>
  <si>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</si>
  <si>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</si>
  <si>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</si>
  <si>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</si>
  <si>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</si>
  <si>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</si>
  <si>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</si>
  <si>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</si>
  <si>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</si>
  <si>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</si>
  <si>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</si>
  <si>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</si>
  <si>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</si>
  <si>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</si>
  <si>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</si>
  <si>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</si>
  <si>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</si>
  <si>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</si>
  <si>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</si>
  <si>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</si>
  <si>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</si>
  <si>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</si>
  <si>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</si>
  <si>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</si>
  <si>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</si>
  <si>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</si>
  <si>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</si>
  <si>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</si>
  <si>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</si>
  <si>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</si>
  <si>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</si>
  <si>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</si>
  <si>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</si>
  <si>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</si>
  <si>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</si>
  <si>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</si>
  <si>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</si>
  <si>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</si>
  <si>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</si>
  <si>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</si>
  <si>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</si>
  <si>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</si>
  <si>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</si>
  <si>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</si>
  <si>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</si>
  <si>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</si>
  <si>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</si>
  <si>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</si>
  <si>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</si>
  <si>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</si>
  <si>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</si>
  <si>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</si>
  <si>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</si>
  <si>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</si>
  <si>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</si>
  <si>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</si>
  <si>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</si>
  <si>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</si>
  <si>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</si>
  <si>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</si>
  <si>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</si>
  <si>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</si>
  <si>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</si>
  <si>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</si>
  <si>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</si>
  <si>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</si>
  <si>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</si>
  <si>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</si>
  <si>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</si>
  <si>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</si>
  <si>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</si>
  <si>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</si>
  <si>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</si>
  <si>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</si>
  <si>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</si>
  <si>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</si>
  <si>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</si>
  <si>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</si>
  <si>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</si>
  <si>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</si>
  <si>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</si>
  <si>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</si>
  <si>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</si>
  <si>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</si>
  <si>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</si>
  <si>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</si>
  <si>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</si>
  <si>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</si>
  <si>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</si>
  <si>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</si>
  <si>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</si>
  <si>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</si>
  <si>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</si>
  <si>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</si>
  <si>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</si>
  <si>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</si>
  <si>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</si>
  <si>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</si>
  <si>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</si>
  <si>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</si>
  <si>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</si>
  <si>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</si>
  <si>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</si>
  <si>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</si>
  <si>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</si>
  <si>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</si>
  <si>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</si>
  <si>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</si>
  <si>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</si>
  <si>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</si>
  <si>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</si>
  <si>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</si>
  <si>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</si>
  <si>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</si>
  <si>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</si>
  <si>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</si>
  <si>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</si>
  <si>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</si>
  <si>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</si>
  <si>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</si>
  <si>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</si>
  <si>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</si>
  <si>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</si>
  <si>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</si>
  <si>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</si>
  <si>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</si>
  <si>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</si>
  <si>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</si>
  <si>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</si>
  <si>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</si>
  <si>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</si>
  <si>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</si>
  <si>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</si>
  <si>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</si>
  <si>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</si>
  <si>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</si>
  <si>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</si>
  <si>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</si>
  <si>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</si>
  <si>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</si>
  <si>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</si>
  <si>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</si>
  <si>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</si>
  <si>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</si>
  <si>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</si>
  <si>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</si>
  <si>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</si>
  <si>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</si>
  <si>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</si>
  <si>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</si>
  <si>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</si>
  <si>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</si>
  <si>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</si>
  <si>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</si>
  <si>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</si>
  <si>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</si>
  <si>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</si>
  <si>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</si>
  <si>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</si>
  <si>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</si>
  <si>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</si>
  <si>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</si>
  <si>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</si>
  <si>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</si>
  <si>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</si>
  <si>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</si>
  <si>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</si>
  <si>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</si>
  <si>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</si>
  <si>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</si>
  <si>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</si>
  <si>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</si>
  <si>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</si>
  <si>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</si>
  <si>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</si>
  <si>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</si>
  <si>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</si>
  <si>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</si>
  <si>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</si>
  <si>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</si>
  <si>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</si>
  <si>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</si>
  <si>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</si>
  <si>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</si>
  <si>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</si>
  <si>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</si>
  <si>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</si>
  <si>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</si>
  <si>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</si>
  <si>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</si>
  <si>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</si>
  <si>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</si>
  <si>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</si>
  <si>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</si>
  <si>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</si>
  <si>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</si>
  <si>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</si>
  <si>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</si>
  <si>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</si>
  <si>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</si>
  <si>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</si>
  <si>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</si>
  <si>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</si>
  <si>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</si>
  <si>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</si>
  <si>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</si>
  <si>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</si>
  <si>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</si>
  <si>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</si>
  <si>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</si>
  <si>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</si>
  <si>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</si>
  <si>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</si>
  <si>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</si>
  <si>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</si>
  <si>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</si>
  <si>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</si>
  <si>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</si>
  <si>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</si>
  <si>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</si>
  <si>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</si>
  <si>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</si>
  <si>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</si>
  <si>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</si>
  <si>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</si>
  <si>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</si>
  <si>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</si>
  <si>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</si>
  <si>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</si>
  <si>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</si>
  <si>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</si>
  <si>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</si>
  <si>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</si>
  <si>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</si>
  <si>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</si>
  <si>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</si>
  <si>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</si>
  <si>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</si>
  <si>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</si>
  <si>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</si>
  <si>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</si>
  <si>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</si>
  <si>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</si>
  <si>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</si>
  <si>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</si>
  <si>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</si>
  <si>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</si>
  <si>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</si>
  <si>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</si>
  <si>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</si>
  <si>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</si>
  <si>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</si>
  <si>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</si>
  <si>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</si>
  <si>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</si>
  <si>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</si>
  <si>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</si>
  <si>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</si>
  <si>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</si>
  <si>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</si>
  <si>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</si>
  <si>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</si>
  <si>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</si>
  <si>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</si>
  <si>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</si>
  <si>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</si>
  <si>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</si>
  <si>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</si>
  <si>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</si>
  <si>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</si>
  <si>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</si>
  <si>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</si>
  <si>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</si>
  <si>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</si>
  <si>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</si>
  <si>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</si>
  <si>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</si>
  <si>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</si>
  <si>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</si>
  <si>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</si>
  <si>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</si>
  <si>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</si>
  <si>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</si>
  <si>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</si>
  <si>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</si>
  <si>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</si>
  <si>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</si>
  <si>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</si>
  <si>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</si>
  <si>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</si>
  <si>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</si>
  <si>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</si>
  <si>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</si>
  <si>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</si>
  <si>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</si>
  <si>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</si>
  <si>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</si>
  <si>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</si>
  <si>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</si>
  <si>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</si>
  <si>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</si>
  <si>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</si>
  <si>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</si>
  <si>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</si>
  <si>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</si>
  <si>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</si>
  <si>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</si>
  <si>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</si>
  <si>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</si>
  <si>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</si>
  <si>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</si>
  <si>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</si>
  <si>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</si>
  <si>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</si>
  <si>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</si>
  <si>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</si>
  <si>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</si>
  <si>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</si>
  <si>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</si>
  <si>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</si>
  <si>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</si>
  <si>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</si>
  <si>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</si>
  <si>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</si>
  <si>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</si>
  <si>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</si>
  <si>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</si>
  <si>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</si>
  <si>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</si>
  <si>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</si>
  <si>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</si>
  <si>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</si>
  <si>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</si>
  <si>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</si>
  <si>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</si>
  <si>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</si>
  <si>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</si>
  <si>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</si>
  <si>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</si>
  <si>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</si>
  <si>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</si>
  <si>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</si>
  <si>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</si>
  <si>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</si>
  <si>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</si>
  <si>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</si>
  <si>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</si>
  <si>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</si>
  <si>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</si>
  <si>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</si>
  <si>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</si>
  <si>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</si>
  <si>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</si>
  <si>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</si>
  <si>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</si>
  <si>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</si>
  <si>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</si>
  <si>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</si>
  <si>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</si>
  <si>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</si>
  <si>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</si>
  <si>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</si>
  <si>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</si>
  <si>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</si>
  <si>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</si>
  <si>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</si>
  <si>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</si>
  <si>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</si>
  <si>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</si>
  <si>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</si>
  <si>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</si>
  <si>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</si>
  <si>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</si>
  <si>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</si>
  <si>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</si>
  <si>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</si>
  <si>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</si>
  <si>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</si>
  <si>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</si>
  <si>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</si>
  <si>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</si>
  <si>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</si>
  <si>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</si>
  <si>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</si>
  <si>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</si>
  <si>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</si>
  <si>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</si>
  <si>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</si>
  <si>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</si>
  <si>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</si>
  <si>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</si>
  <si>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</si>
  <si>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</si>
  <si>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</si>
  <si>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</si>
  <si>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</si>
  <si>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</si>
  <si>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</si>
  <si>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</si>
  <si>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</si>
  <si>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</si>
  <si>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</si>
  <si>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</si>
  <si>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</si>
  <si>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</si>
  <si>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</si>
  <si>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</si>
  <si>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</si>
  <si>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</si>
  <si>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</si>
  <si>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</si>
  <si>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</si>
  <si>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</si>
  <si>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</si>
  <si>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</si>
  <si>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</si>
  <si>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</si>
  <si>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</si>
  <si>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</si>
  <si>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</si>
  <si>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</si>
  <si>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</si>
  <si>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</si>
  <si>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</si>
  <si>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</si>
  <si>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</si>
  <si>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</si>
  <si>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</si>
  <si>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</si>
  <si>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</si>
  <si>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</si>
  <si>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</si>
  <si>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</si>
  <si>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</si>
  <si>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</si>
  <si>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</si>
  <si>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</si>
  <si>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</si>
  <si>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</si>
  <si>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</si>
  <si>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</si>
  <si>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</si>
  <si>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</si>
  <si>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</si>
  <si>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</si>
  <si>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</si>
  <si>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</si>
  <si>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</si>
  <si>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</si>
  <si>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</si>
  <si>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</si>
  <si>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</si>
  <si>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</si>
  <si>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</si>
  <si>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</si>
  <si>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</si>
  <si>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</si>
  <si>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</si>
  <si>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</si>
  <si>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</si>
  <si>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</si>
  <si>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</si>
  <si>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</si>
  <si>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</si>
  <si>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</si>
  <si>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</si>
  <si>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</si>
  <si>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</si>
  <si>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</si>
  <si>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</si>
  <si>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</si>
  <si>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</si>
  <si>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</si>
  <si>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</si>
  <si>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</si>
  <si>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</si>
  <si>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</si>
  <si>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</si>
  <si>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</si>
  <si>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</si>
  <si>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</si>
  <si>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</si>
  <si>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</si>
  <si>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</si>
  <si>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</si>
  <si>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</si>
  <si>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</si>
  <si>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</si>
  <si>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</si>
  <si>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</si>
  <si>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</si>
  <si>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</si>
  <si>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</si>
  <si>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</si>
  <si>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</si>
  <si>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</si>
  <si>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</si>
  <si>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</si>
  <si>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</si>
  <si>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</si>
  <si>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</si>
  <si>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</si>
  <si>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</si>
  <si>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</si>
  <si>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</si>
  <si>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</si>
  <si>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</si>
  <si>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</si>
  <si>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</si>
  <si>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</si>
  <si>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</si>
  <si>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</si>
  <si>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</si>
  <si>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</si>
  <si>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</si>
  <si>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</si>
  <si>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</si>
  <si>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</si>
  <si>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</si>
  <si>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</si>
  <si>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</si>
  <si>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</si>
  <si>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</si>
  <si>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</si>
  <si>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</si>
  <si>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</si>
  <si>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</si>
  <si>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</si>
  <si>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</si>
  <si>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</si>
  <si>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</si>
  <si>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</si>
  <si>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</si>
  <si>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</si>
  <si>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</si>
  <si>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</si>
  <si>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</si>
  <si>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</si>
  <si>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</si>
  <si>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</si>
  <si>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</si>
  <si>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</si>
  <si>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</si>
  <si>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</si>
  <si>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</si>
  <si>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</si>
  <si>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</si>
  <si>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</si>
  <si>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</si>
  <si>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</si>
  <si>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</si>
  <si>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</si>
  <si>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</si>
  <si>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</si>
  <si>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</si>
  <si>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</si>
  <si>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</si>
  <si>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</si>
  <si>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</si>
  <si>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</si>
  <si>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</si>
  <si>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</si>
  <si>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</si>
  <si>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</si>
  <si>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</si>
  <si>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</si>
  <si>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</si>
  <si>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</si>
  <si>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</si>
  <si>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</si>
  <si>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</si>
  <si>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</si>
  <si>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</si>
  <si>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</si>
  <si>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</si>
  <si>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</si>
  <si>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</si>
  <si>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</si>
  <si>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</si>
  <si>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</si>
  <si>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</si>
  <si>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</si>
  <si>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</si>
  <si>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</si>
  <si>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</si>
  <si>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</si>
  <si>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</si>
  <si>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</si>
  <si>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</si>
  <si>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</si>
  <si>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</si>
  <si>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</si>
  <si>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</si>
  <si>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</si>
  <si>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</si>
  <si>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</si>
  <si>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</si>
  <si>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</si>
  <si>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</si>
  <si>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</si>
  <si>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</si>
  <si>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</si>
  <si>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</si>
  <si>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</si>
  <si>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</si>
  <si>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</si>
  <si>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</si>
  <si>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</si>
  <si>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</si>
  <si>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</si>
  <si>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</si>
  <si>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</si>
  <si>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</si>
  <si>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</si>
  <si>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</si>
  <si>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</si>
  <si>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</si>
  <si>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</si>
  <si>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</si>
  <si>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</si>
  <si>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</si>
  <si>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</si>
  <si>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</si>
  <si>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</si>
  <si>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</si>
  <si>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</si>
  <si>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</si>
  <si>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</si>
  <si>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</si>
  <si>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</si>
  <si>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</si>
  <si>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</si>
  <si>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</si>
  <si>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</si>
  <si>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</si>
  <si>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</si>
  <si>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</si>
  <si>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</si>
  <si>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</si>
  <si>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</si>
  <si>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</si>
  <si>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</si>
  <si>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</si>
  <si>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</si>
  <si>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</si>
  <si>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</si>
  <si>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</si>
  <si>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</si>
  <si>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</si>
  <si>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</si>
  <si>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</si>
  <si>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</si>
  <si>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</si>
  <si>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</si>
  <si>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</si>
  <si>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</si>
  <si>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</si>
  <si>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</si>
  <si>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</si>
  <si>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</si>
  <si>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</si>
  <si>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</si>
  <si>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</si>
  <si>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</si>
  <si>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</si>
  <si>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</si>
  <si>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</si>
  <si>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</si>
  <si>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</si>
  <si>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</si>
  <si>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</si>
  <si>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</si>
  <si>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</si>
  <si>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</si>
  <si>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</si>
  <si>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</si>
  <si>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</si>
  <si>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</si>
  <si>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</si>
  <si>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</si>
  <si>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</si>
  <si>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</si>
  <si>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</si>
  <si>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</si>
  <si>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</si>
  <si>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</si>
  <si>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</si>
  <si>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</si>
  <si>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</si>
  <si>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</si>
  <si>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</si>
  <si>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</si>
  <si>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</si>
  <si>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</si>
  <si>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</si>
  <si>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</si>
  <si>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</si>
  <si>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</si>
  <si>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</si>
  <si>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</si>
  <si>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</si>
  <si>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</si>
  <si>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</si>
  <si>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</si>
  <si>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</si>
  <si>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</si>
  <si>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</si>
  <si>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</si>
  <si>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</si>
  <si>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</si>
  <si>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</si>
  <si>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</si>
  <si>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</si>
  <si>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</si>
  <si>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</si>
  <si>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</si>
  <si>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</si>
  <si>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</si>
  <si>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</si>
  <si>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</si>
  <si>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</si>
  <si>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</si>
  <si>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</si>
  <si>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</si>
  <si>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</si>
  <si>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</si>
  <si>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</si>
  <si>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</si>
  <si>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</si>
  <si>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</si>
  <si>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</si>
  <si>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</si>
  <si>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</si>
  <si>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</si>
  <si>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</si>
  <si>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</si>
  <si>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</si>
  <si>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</si>
  <si>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</si>
  <si>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</si>
  <si>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</si>
  <si>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</si>
  <si>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</si>
  <si>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</si>
  <si>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</si>
  <si>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</si>
  <si>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</si>
  <si>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</si>
  <si>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</si>
  <si>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</si>
  <si>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</si>
  <si>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</si>
  <si>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</si>
  <si>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</si>
  <si>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</si>
  <si>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</si>
  <si>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</si>
  <si>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</si>
  <si>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</si>
  <si>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</si>
  <si>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</si>
  <si>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</si>
  <si>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</si>
  <si>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</si>
  <si>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</si>
  <si>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</si>
  <si>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</si>
  <si>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</si>
  <si>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</si>
  <si>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</si>
  <si>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</si>
  <si>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</si>
  <si>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</si>
  <si>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</si>
  <si>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</si>
  <si>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</si>
  <si>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</si>
  <si>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</si>
  <si>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</si>
  <si>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</si>
  <si>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</si>
  <si>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</si>
  <si>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</si>
  <si>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</si>
  <si>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</si>
  <si>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</si>
  <si>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</si>
  <si>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</si>
  <si>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</si>
  <si>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</si>
  <si>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</si>
  <si>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</si>
  <si>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</si>
  <si>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</si>
  <si>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</si>
  <si>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</si>
  <si>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</si>
  <si>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</si>
  <si>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</si>
  <si>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</si>
  <si>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</si>
  <si>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</si>
  <si>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</si>
  <si>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</si>
  <si>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</si>
  <si>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</si>
  <si>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</si>
  <si>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</si>
  <si>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</si>
  <si>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</si>
  <si>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</si>
  <si>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</si>
  <si>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</si>
  <si>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</si>
  <si>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</si>
  <si>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</si>
  <si>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</si>
  <si>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</si>
  <si>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</si>
  <si>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</si>
  <si>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</si>
  <si>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</si>
  <si>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</si>
  <si>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</si>
  <si>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</si>
  <si>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</si>
  <si>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</si>
  <si>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</si>
  <si>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</si>
  <si>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</si>
  <si>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</si>
  <si>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</si>
  <si>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</si>
  <si>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</si>
  <si>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</si>
  <si>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</si>
  <si>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</si>
  <si>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</si>
  <si>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</si>
  <si>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</si>
  <si>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</si>
  <si>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</si>
  <si>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</si>
  <si>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</si>
  <si>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</si>
  <si>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</si>
  <si>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</si>
  <si>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</si>
  <si>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</si>
  <si>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</si>
  <si>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</si>
  <si>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</si>
  <si>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</si>
  <si>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</si>
  <si>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</si>
  <si>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</si>
  <si>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</si>
  <si>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</si>
  <si>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</si>
  <si>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</si>
  <si>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</si>
  <si>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</si>
  <si>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</si>
  <si>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</si>
  <si>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</si>
  <si>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</si>
  <si>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</si>
  <si>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</si>
  <si>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</si>
  <si>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</si>
  <si>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</si>
  <si>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</si>
  <si>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</si>
  <si>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</si>
  <si>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</si>
  <si>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</si>
  <si>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</si>
  <si>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</si>
  <si>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</si>
  <si>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</si>
  <si>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</si>
  <si>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</si>
  <si>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</si>
  <si>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</si>
  <si>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</si>
  <si>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</si>
  <si>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</si>
  <si>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</si>
  <si>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</si>
  <si>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</si>
  <si>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</si>
  <si>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</si>
  <si>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</si>
  <si>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</si>
  <si>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</si>
  <si>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</si>
  <si>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</si>
  <si>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</si>
  <si>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</si>
  <si>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</si>
  <si>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</si>
  <si>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</si>
  <si>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</si>
  <si>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</si>
  <si>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</si>
  <si>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</si>
  <si>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</si>
  <si>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</si>
  <si>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</si>
  <si>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</si>
  <si>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</si>
  <si>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</si>
  <si>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</si>
  <si>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</si>
  <si>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</si>
  <si>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</si>
  <si>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</si>
  <si>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</si>
  <si>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</si>
  <si>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</si>
  <si>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</si>
  <si>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</si>
  <si>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</si>
  <si>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</si>
  <si>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</si>
  <si>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</si>
  <si>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</si>
  <si>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</si>
  <si>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</si>
  <si>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</si>
  <si>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</si>
  <si>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</si>
  <si>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</si>
  <si>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</si>
  <si>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</si>
  <si>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</si>
  <si>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</si>
  <si>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</si>
  <si>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</si>
  <si>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</si>
  <si>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</si>
  <si>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</si>
  <si>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</si>
  <si>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</si>
  <si>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</si>
  <si>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</si>
  <si>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</si>
  <si>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</si>
  <si>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</si>
  <si>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</si>
  <si>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</si>
  <si>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</si>
  <si>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</si>
  <si>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</si>
  <si>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</si>
  <si>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</si>
  <si>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</si>
  <si>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</si>
  <si>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</si>
  <si>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</si>
  <si>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</si>
  <si>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</si>
  <si>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</si>
  <si>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</si>
  <si>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</si>
  <si>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</si>
  <si>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</si>
  <si>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</si>
  <si>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</si>
  <si>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</si>
  <si>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</si>
  <si>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</si>
  <si>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</si>
  <si>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</si>
  <si>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</si>
  <si>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</si>
  <si>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</si>
  <si>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</si>
  <si>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</si>
  <si>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</si>
  <si>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</si>
  <si>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</si>
  <si>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</si>
  <si>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</si>
  <si>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</si>
  <si>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</si>
  <si>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</si>
  <si>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</si>
  <si>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</si>
  <si>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</si>
  <si>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</si>
  <si>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</si>
  <si>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</si>
  <si>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</si>
  <si>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</si>
  <si>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</si>
  <si>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</si>
  <si>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</si>
  <si>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</si>
  <si>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</si>
  <si>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</si>
  <si>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</si>
  <si>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</si>
  <si>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</si>
  <si>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</si>
  <si>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</si>
  <si>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</si>
  <si>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</si>
  <si>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</si>
  <si>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</si>
  <si>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</si>
  <si>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</si>
  <si>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</si>
  <si>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</si>
  <si>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</si>
  <si>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</si>
  <si>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</si>
  <si>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</si>
  <si>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</si>
  <si>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</si>
  <si>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</si>
  <si>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</si>
  <si>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</si>
  <si>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</si>
  <si>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</si>
  <si>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</si>
  <si>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</si>
  <si>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</si>
  <si>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</si>
  <si>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</si>
  <si>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</si>
  <si>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</si>
  <si>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</si>
  <si>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</si>
  <si>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</si>
  <si>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</si>
  <si>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</si>
  <si>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</si>
  <si>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</si>
  <si>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</si>
  <si>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</si>
  <si>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</si>
  <si>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</si>
  <si>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</si>
  <si>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</si>
  <si>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</si>
  <si>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</si>
  <si>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</si>
  <si>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</si>
  <si>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</si>
  <si>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</si>
  <si>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</si>
  <si>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</si>
  <si>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</si>
  <si>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</si>
  <si>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</si>
  <si>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</si>
  <si>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</si>
  <si>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</si>
  <si>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</si>
  <si>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</si>
  <si>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</si>
  <si>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</si>
  <si>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</si>
  <si>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</si>
  <si>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</si>
  <si>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</si>
  <si>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</si>
  <si>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</si>
  <si>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</si>
  <si>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</si>
  <si>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</si>
  <si>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</si>
  <si>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</si>
  <si>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</si>
  <si>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</si>
  <si>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</si>
  <si>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</si>
  <si>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</si>
  <si>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</si>
  <si>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</si>
  <si>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</si>
  <si>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</si>
  <si>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</si>
  <si>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</si>
  <si>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</si>
  <si>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</si>
  <si>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</si>
  <si>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</si>
  <si>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</si>
  <si>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</si>
  <si>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</si>
  <si>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</si>
  <si>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</si>
  <si>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</si>
  <si>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</si>
  <si>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</si>
  <si>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</si>
  <si>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</si>
  <si>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</si>
  <si>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</si>
  <si>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</si>
  <si>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</si>
  <si>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</si>
  <si>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</si>
  <si>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</si>
  <si>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</si>
  <si>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</si>
  <si>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</si>
  <si>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</si>
  <si>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</si>
  <si>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</si>
  <si>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</si>
  <si>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</si>
  <si>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</si>
  <si>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</si>
  <si>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</si>
  <si>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</si>
  <si>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</si>
  <si>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</si>
  <si>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</si>
  <si>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</si>
  <si>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</si>
  <si>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</si>
  <si>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</si>
  <si>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</si>
  <si>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</si>
  <si>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</si>
  <si>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</si>
  <si>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</si>
  <si>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</si>
  <si>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</si>
  <si>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</si>
  <si>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</si>
  <si>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</si>
  <si>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</si>
  <si>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</si>
  <si>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</si>
  <si>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</si>
  <si>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</si>
  <si>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</si>
  <si>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</si>
  <si>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</si>
  <si>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</si>
  <si>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</si>
  <si>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</si>
  <si>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</si>
  <si>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</si>
  <si>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</si>
  <si>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</si>
  <si>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</si>
  <si>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</si>
  <si>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</si>
  <si>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</si>
  <si>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</si>
  <si>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</si>
  <si>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</si>
  <si>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</si>
  <si>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</si>
  <si>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</si>
  <si>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</si>
  <si>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</si>
  <si>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</si>
  <si>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</si>
  <si>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</si>
  <si>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</si>
  <si>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</si>
  <si>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</si>
  <si>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</si>
  <si>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</si>
  <si>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</si>
  <si>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</si>
  <si>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</si>
  <si>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</si>
  <si>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</si>
  <si>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</si>
  <si>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</si>
  <si>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</si>
  <si>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</si>
  <si>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</si>
  <si>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</si>
  <si>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</si>
  <si>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</si>
  <si>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</si>
  <si>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</si>
  <si>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</si>
  <si>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</si>
  <si>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</si>
  <si>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</si>
  <si>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</si>
  <si>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</si>
  <si>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</si>
  <si>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</si>
  <si>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</si>
  <si>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</si>
  <si>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</si>
  <si>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</si>
  <si>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</si>
  <si>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</si>
  <si>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</si>
  <si>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</si>
  <si>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</si>
  <si>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</si>
  <si>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</si>
  <si>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</si>
  <si>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</si>
  <si>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</si>
  <si>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</si>
  <si>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</si>
  <si>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</si>
  <si>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</si>
  <si>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</si>
  <si>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</si>
  <si>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</si>
  <si>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</si>
  <si>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</si>
  <si>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</si>
  <si>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</si>
  <si>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</si>
  <si>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</si>
  <si>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</si>
  <si>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</si>
  <si>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</si>
  <si>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</si>
  <si>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</si>
  <si>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</si>
  <si>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</si>
  <si>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</si>
  <si>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</si>
  <si>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</si>
  <si>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</si>
  <si>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</si>
  <si>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</si>
  <si>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</si>
  <si>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</si>
  <si>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</si>
  <si>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</si>
  <si>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</si>
  <si>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</si>
  <si>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</si>
  <si>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</si>
  <si>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</si>
  <si>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</si>
  <si>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</si>
  <si>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</si>
  <si>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</si>
  <si>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</si>
  <si>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</si>
  <si>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</si>
  <si>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</si>
  <si>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</si>
  <si>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</si>
  <si>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</si>
  <si>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</si>
  <si>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</si>
  <si>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</si>
  <si>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</si>
  <si>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</si>
  <si>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</si>
  <si>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</si>
  <si>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</si>
  <si>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</si>
  <si>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</si>
  <si>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</si>
  <si>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</si>
  <si>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</si>
  <si>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</si>
  <si>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</si>
  <si>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</si>
  <si>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</si>
  <si>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</si>
  <si>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</si>
  <si>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</si>
  <si>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</si>
  <si>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</si>
  <si>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</si>
  <si>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</si>
  <si>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</si>
  <si>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</si>
  <si>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</si>
  <si>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</si>
  <si>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</si>
  <si>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</si>
  <si>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</si>
  <si>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</si>
  <si>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</si>
  <si>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</si>
  <si>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</si>
  <si>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</si>
  <si>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</si>
  <si>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</si>
  <si>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</si>
  <si>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</si>
  <si>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</si>
  <si>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</si>
  <si>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</si>
  <si>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</si>
  <si>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</si>
  <si>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</si>
  <si>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</si>
  <si>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</si>
  <si>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</si>
  <si>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</si>
  <si>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</si>
  <si>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</si>
  <si>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</si>
  <si>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</si>
  <si>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</si>
  <si>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</si>
  <si>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</si>
  <si>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</si>
  <si>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</si>
  <si>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</si>
  <si>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</si>
  <si>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</si>
  <si>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</si>
  <si>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</si>
  <si>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</si>
  <si>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</si>
  <si>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</si>
  <si>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</si>
  <si>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</si>
  <si>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</si>
  <si>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</si>
  <si>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</si>
  <si>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</si>
  <si>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</si>
  <si>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</si>
  <si>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</si>
  <si>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</si>
  <si>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</si>
  <si>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</si>
  <si>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</si>
  <si>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</si>
  <si>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</si>
  <si>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</si>
  <si>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</si>
  <si>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</si>
  <si>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</si>
  <si>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</si>
  <si>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</si>
  <si>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</si>
  <si>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</si>
  <si>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</si>
  <si>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</si>
  <si>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</si>
  <si>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</si>
  <si>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</si>
  <si>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</si>
  <si>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</si>
  <si>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</si>
  <si>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</si>
  <si>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</si>
  <si>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</si>
  <si>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</si>
  <si>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</si>
  <si>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</si>
  <si>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</si>
  <si>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</si>
  <si>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</si>
  <si>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</si>
  <si>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</si>
  <si>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</si>
  <si>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</si>
  <si>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</si>
  <si>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</si>
  <si>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</si>
  <si>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</si>
  <si>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</si>
  <si>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</si>
  <si>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</si>
  <si>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</si>
  <si>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</si>
  <si>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</si>
  <si>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</si>
  <si>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</si>
  <si>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</si>
  <si>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</si>
  <si>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</si>
  <si>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</si>
  <si>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</si>
  <si>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</si>
  <si>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</si>
  <si>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</si>
  <si>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</si>
  <si>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</si>
  <si>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</si>
  <si>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</si>
  <si>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</si>
  <si>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</si>
  <si>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</si>
  <si>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</si>
  <si>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</si>
  <si>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</si>
  <si>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</si>
  <si>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</si>
  <si>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</si>
  <si>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</si>
  <si>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</si>
  <si>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</si>
  <si>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</si>
  <si>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</si>
  <si>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</si>
  <si>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</si>
  <si>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</si>
  <si>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</si>
  <si>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</si>
  <si>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</si>
  <si>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</si>
  <si>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</si>
  <si>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</si>
  <si>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</si>
  <si>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</si>
  <si>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</si>
  <si>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</si>
  <si>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</si>
  <si>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</si>
  <si>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</si>
  <si>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</si>
  <si>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</si>
  <si>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</si>
  <si>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</si>
  <si>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</si>
  <si>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</si>
  <si>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</si>
  <si>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</si>
  <si>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</si>
  <si>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</si>
  <si>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</si>
  <si>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</si>
  <si>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</si>
  <si>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</si>
  <si>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</si>
  <si>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</si>
  <si>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</si>
  <si>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</si>
  <si>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</si>
  <si>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</si>
  <si>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</si>
  <si>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</si>
  <si>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</si>
  <si>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</si>
  <si>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</si>
  <si>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</si>
  <si>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</si>
  <si>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</si>
  <si>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</si>
  <si>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</si>
  <si>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</si>
  <si>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</si>
  <si>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</si>
  <si>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</si>
  <si>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</si>
  <si>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</si>
  <si>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</si>
  <si>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</si>
  <si>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</si>
  <si>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</si>
  <si>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</si>
  <si>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</si>
  <si>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</si>
  <si>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</si>
  <si>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</si>
  <si>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</si>
  <si>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</si>
  <si>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</si>
  <si>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</si>
  <si>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</si>
  <si>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</si>
  <si>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</si>
  <si>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</si>
  <si>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</si>
  <si>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</si>
  <si>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</si>
  <si>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</si>
  <si>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</si>
  <si>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</si>
  <si>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</si>
  <si>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</si>
  <si>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</si>
  <si>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</si>
  <si>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</si>
  <si>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</si>
  <si>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</si>
  <si>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</si>
  <si>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</si>
  <si>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</si>
  <si>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</si>
  <si>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</si>
  <si>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</si>
  <si>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</si>
  <si>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</si>
  <si>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</si>
  <si>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</si>
  <si>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</si>
  <si>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</si>
  <si>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</si>
  <si>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</si>
  <si>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</si>
  <si>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</si>
  <si>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</si>
  <si>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</si>
  <si>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</si>
  <si>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</si>
  <si>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</si>
  <si>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</si>
  <si>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</si>
  <si>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</si>
  <si>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</si>
  <si>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</si>
  <si>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</si>
  <si>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</si>
  <si>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</si>
  <si>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</si>
  <si>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</si>
  <si>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</si>
  <si>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</si>
  <si>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</si>
  <si>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</si>
  <si>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</si>
  <si>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</si>
  <si>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</si>
  <si>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</si>
  <si>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</si>
  <si>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</si>
  <si>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</si>
  <si>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</si>
  <si>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</si>
  <si>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</si>
  <si>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</si>
  <si>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</si>
  <si>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</si>
  <si>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</si>
  <si>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</si>
  <si>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</si>
  <si>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</si>
  <si>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</si>
  <si>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</si>
  <si>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</si>
  <si>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</si>
  <si>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</si>
  <si>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</si>
  <si>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</si>
  <si>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</si>
  <si>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</si>
  <si>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</si>
  <si>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</si>
  <si>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</si>
  <si>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</si>
  <si>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</si>
  <si>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</si>
  <si>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</si>
  <si>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</si>
  <si>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</si>
  <si>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</si>
  <si>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</si>
  <si>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</si>
  <si>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</si>
  <si>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</si>
  <si>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</si>
  <si>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</si>
  <si>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</si>
  <si>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</si>
  <si>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</si>
  <si>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</si>
  <si>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</si>
  <si>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</si>
  <si>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</si>
  <si>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</si>
  <si>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</si>
  <si>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</si>
  <si>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</si>
  <si>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</si>
  <si>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</si>
  <si>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</si>
  <si>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</si>
  <si>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</si>
  <si>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</si>
  <si>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</si>
  <si>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</si>
  <si>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</si>
  <si>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</si>
  <si>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</si>
  <si>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</si>
  <si>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</si>
  <si>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</si>
  <si>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</si>
  <si>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</si>
  <si>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</si>
  <si>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</si>
  <si>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</si>
  <si>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</si>
  <si>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</si>
  <si>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</si>
  <si>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</si>
  <si>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</si>
  <si>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</si>
  <si>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</si>
  <si>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</si>
  <si>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</si>
  <si>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</si>
  <si>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</si>
  <si>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</si>
  <si>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</si>
  <si>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</si>
  <si>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</si>
  <si>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</si>
  <si>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</si>
  <si>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</si>
  <si>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</si>
  <si>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</si>
  <si>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</si>
  <si>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</si>
  <si>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</si>
  <si>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</si>
  <si>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</si>
  <si>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</si>
  <si>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</si>
  <si>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</si>
  <si>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</si>
  <si>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</si>
  <si>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</si>
  <si>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</si>
  <si>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</si>
  <si>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</si>
  <si>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</si>
  <si>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</si>
  <si>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</si>
  <si>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</si>
  <si>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</si>
  <si>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</si>
  <si>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</si>
  <si>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</si>
  <si>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</si>
  <si>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</si>
  <si>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</si>
  <si>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</si>
  <si>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</si>
  <si>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</si>
  <si>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</si>
  <si>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</si>
  <si>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</si>
  <si>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</si>
  <si>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</si>
  <si>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</si>
  <si>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</si>
  <si>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</si>
  <si>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</si>
  <si>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</si>
  <si>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</si>
  <si>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</si>
  <si>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</si>
  <si>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</si>
  <si>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</si>
  <si>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</si>
  <si>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</si>
  <si>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</si>
  <si>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</si>
  <si>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</si>
  <si>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</si>
  <si>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</si>
  <si>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</si>
  <si>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</si>
  <si>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</si>
  <si>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</si>
  <si>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</si>
  <si>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</si>
  <si>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</si>
  <si>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</si>
  <si>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</si>
  <si>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</si>
  <si>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</si>
  <si>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</si>
  <si>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</si>
  <si>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</si>
  <si>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</si>
  <si>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</si>
  <si>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</si>
  <si>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</si>
  <si>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</si>
  <si>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</si>
  <si>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</si>
  <si>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</si>
  <si>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</si>
  <si>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</si>
  <si>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</si>
  <si>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</si>
  <si>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</si>
  <si>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</si>
  <si>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</si>
  <si>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</si>
  <si>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</si>
  <si>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</si>
  <si>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</si>
  <si>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</si>
  <si>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</si>
  <si>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</si>
  <si>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</si>
  <si>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</si>
  <si>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</si>
  <si>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</si>
  <si>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</si>
  <si>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</si>
  <si>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</si>
  <si>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</si>
  <si>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</si>
  <si>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</si>
  <si>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</si>
  <si>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</si>
  <si>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</si>
  <si>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</si>
  <si>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</si>
  <si>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</si>
  <si>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</si>
  <si>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</si>
  <si>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</si>
  <si>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</si>
  <si>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</si>
  <si>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</si>
  <si>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</si>
  <si>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</si>
  <si>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</si>
  <si>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</si>
  <si>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</si>
  <si>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</si>
  <si>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</si>
  <si>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</si>
  <si>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</si>
  <si>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</si>
  <si>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</si>
  <si>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</si>
  <si>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</si>
  <si>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</si>
  <si>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</si>
  <si>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</si>
  <si>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</si>
  <si>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</si>
  <si>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</si>
  <si>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</si>
  <si>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</si>
  <si>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</si>
  <si>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</si>
  <si>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</si>
  <si>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</si>
  <si>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</si>
  <si>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</si>
  <si>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</si>
  <si>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</si>
  <si>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</si>
  <si>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</si>
  <si>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</si>
  <si>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</si>
  <si>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</si>
  <si>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</si>
  <si>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</si>
  <si>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</si>
  <si>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</si>
  <si>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</si>
  <si>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</si>
  <si>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</si>
  <si>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</si>
  <si>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</si>
  <si>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</si>
  <si>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</si>
  <si>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</si>
  <si>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</si>
  <si>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</si>
  <si>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</si>
  <si>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</si>
  <si>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</si>
  <si>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</si>
  <si>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</si>
  <si>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</si>
  <si>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</si>
  <si>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</si>
  <si>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</si>
  <si>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</si>
  <si>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</si>
  <si>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</si>
  <si>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</si>
  <si>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</si>
  <si>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</si>
  <si>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</si>
  <si>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</si>
  <si>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</si>
  <si>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</si>
  <si>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</si>
  <si>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</si>
  <si>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</si>
  <si>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</si>
  <si>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</si>
  <si>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</si>
  <si>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</si>
  <si>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</si>
  <si>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</si>
  <si>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</si>
  <si>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</si>
  <si>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</si>
  <si>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</si>
  <si>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</si>
  <si>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</si>
  <si>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</si>
  <si>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</si>
  <si>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</si>
  <si>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</si>
  <si>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</si>
  <si>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</si>
  <si>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</si>
  <si>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</si>
  <si>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</si>
  <si>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</si>
  <si>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</si>
  <si>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</si>
  <si>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</si>
  <si>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</si>
  <si>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</si>
  <si>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</si>
  <si>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</si>
  <si>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</si>
  <si>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</si>
  <si>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</si>
  <si>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</si>
  <si>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</si>
  <si>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</si>
  <si>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</si>
  <si>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</si>
  <si>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</si>
  <si>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</si>
  <si>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</si>
  <si>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</si>
  <si>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</si>
  <si>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</si>
  <si>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</si>
  <si>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</si>
  <si>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</si>
  <si>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</si>
  <si>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</si>
  <si>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</si>
  <si>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</si>
  <si>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</si>
  <si>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</si>
  <si>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</si>
  <si>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</si>
  <si>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</si>
  <si>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</si>
  <si>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</si>
  <si>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</si>
  <si>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</si>
  <si>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</si>
  <si>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</si>
  <si>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</si>
  <si>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</si>
  <si>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</si>
  <si>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</si>
  <si>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</si>
  <si>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</si>
  <si>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</si>
  <si>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</si>
  <si>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</si>
  <si>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</si>
  <si>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</si>
  <si>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</si>
  <si>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</si>
  <si>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</si>
  <si>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</si>
  <si>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</si>
  <si>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</si>
  <si>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</si>
  <si>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</si>
  <si>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</si>
  <si>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</si>
  <si>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</si>
  <si>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</si>
  <si>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</si>
  <si>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</si>
  <si>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</si>
  <si>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</si>
  <si>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</si>
  <si>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</si>
  <si>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</si>
  <si>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</si>
  <si>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</si>
  <si>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</si>
  <si>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</si>
  <si>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</si>
  <si>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</si>
  <si>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</si>
  <si>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</si>
  <si>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</si>
  <si>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</si>
  <si>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</si>
  <si>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</si>
  <si>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</si>
  <si>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</si>
  <si>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</si>
  <si>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</si>
  <si>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</si>
  <si>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</si>
  <si>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</si>
  <si>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</si>
  <si>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</si>
  <si>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</si>
  <si>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</si>
  <si>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</si>
  <si>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</si>
  <si>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</si>
  <si>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</si>
  <si>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</si>
  <si>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</si>
  <si>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</si>
  <si>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</si>
  <si>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</si>
  <si>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</si>
  <si>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</si>
  <si>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</si>
  <si>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</si>
  <si>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</si>
  <si>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</si>
  <si>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</si>
  <si>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</si>
  <si>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</si>
  <si>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</si>
  <si>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</si>
  <si>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</si>
  <si>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</si>
  <si>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</si>
  <si>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</si>
  <si>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</si>
  <si>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</si>
  <si>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</si>
  <si>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</si>
  <si>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</si>
  <si>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</si>
  <si>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</si>
  <si>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</si>
  <si>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</si>
  <si>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</si>
  <si>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</si>
  <si>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</si>
  <si>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</si>
  <si>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</si>
  <si>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</si>
  <si>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</si>
  <si>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</si>
  <si>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</si>
  <si>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</si>
  <si>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</si>
  <si>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</si>
  <si>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</si>
  <si>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</si>
  <si>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</si>
  <si>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</si>
  <si>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</si>
  <si>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</si>
  <si>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</si>
  <si>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</si>
  <si>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</si>
  <si>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</si>
  <si>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</si>
  <si>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</si>
  <si>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</si>
  <si>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</si>
  <si>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</si>
  <si>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</si>
  <si>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</si>
  <si>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</si>
  <si>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</si>
  <si>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</si>
  <si>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</si>
  <si>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</si>
  <si>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</si>
  <si>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</si>
  <si>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</si>
  <si>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</si>
  <si>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</si>
  <si>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</si>
  <si>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</si>
  <si>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</si>
  <si>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</si>
  <si>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</si>
  <si>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</si>
  <si>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</si>
  <si>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</si>
  <si>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</si>
  <si>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</si>
  <si>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</si>
  <si>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</si>
  <si>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</si>
  <si>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</si>
  <si>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</si>
  <si>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</si>
  <si>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</si>
  <si>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</si>
  <si>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</si>
  <si>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</si>
  <si>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</si>
  <si>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</si>
  <si>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</si>
  <si>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</si>
  <si>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</si>
  <si>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</si>
  <si>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</si>
  <si>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</si>
  <si>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</si>
  <si>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</si>
  <si>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</si>
  <si>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</si>
  <si>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</si>
  <si>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</si>
  <si>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</si>
  <si>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</si>
  <si>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</si>
  <si>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</si>
  <si>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</si>
  <si>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</si>
  <si>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</si>
  <si>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</si>
  <si>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</si>
  <si>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</si>
  <si>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</si>
  <si>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</si>
  <si>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</si>
  <si>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</si>
  <si>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</si>
  <si>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</si>
  <si>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</si>
  <si>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</si>
  <si>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</si>
  <si>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</si>
  <si>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</si>
  <si>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</si>
  <si>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</si>
  <si>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</si>
  <si>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</si>
  <si>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</si>
  <si>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</si>
  <si>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</si>
  <si>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</si>
  <si>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</si>
  <si>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</si>
  <si>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</si>
  <si>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</si>
  <si>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</si>
  <si>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</si>
  <si>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</si>
  <si>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</si>
  <si>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</si>
  <si>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</si>
  <si>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</si>
  <si>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</si>
  <si>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</si>
  <si>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</si>
  <si>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</si>
  <si>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</si>
  <si>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</si>
  <si>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</si>
  <si>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</si>
  <si>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</si>
  <si>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</si>
  <si>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</si>
  <si>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</si>
  <si>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</si>
  <si>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</si>
  <si>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</si>
  <si>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</si>
  <si>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</si>
  <si>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</si>
  <si>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</si>
  <si>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</si>
  <si>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</si>
  <si>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</si>
  <si>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</si>
  <si>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</si>
  <si>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</si>
  <si>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</si>
  <si>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</si>
  <si>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</si>
  <si>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</si>
  <si>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</si>
  <si>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</si>
  <si>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</si>
  <si>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</si>
  <si>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</si>
  <si>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</si>
  <si>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</si>
  <si>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</si>
  <si>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</si>
  <si>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</si>
  <si>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</si>
  <si>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</si>
  <si>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</si>
  <si>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</si>
  <si>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</si>
  <si>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</si>
  <si>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</si>
  <si>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</si>
  <si>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</si>
  <si>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</si>
  <si>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</si>
  <si>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</si>
  <si>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</si>
  <si>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</si>
  <si>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</si>
  <si>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</si>
  <si>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</si>
  <si>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</si>
  <si>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</si>
  <si>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</si>
  <si>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</si>
  <si>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</si>
  <si>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</si>
  <si>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</si>
  <si>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</si>
  <si>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</si>
  <si>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</si>
  <si>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</si>
  <si>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</si>
  <si>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</si>
  <si>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</si>
  <si>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</si>
  <si>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</si>
  <si>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</si>
  <si>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</si>
  <si>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</si>
  <si>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</si>
  <si>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</si>
  <si>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</si>
  <si>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</si>
  <si>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</si>
  <si>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</si>
  <si>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</si>
  <si>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</si>
  <si>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</si>
  <si>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</si>
  <si>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</si>
  <si>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</si>
  <si>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</si>
  <si>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</si>
  <si>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</si>
  <si>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</si>
  <si>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</si>
  <si>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</si>
  <si>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</si>
  <si>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</si>
  <si>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</si>
  <si>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</si>
  <si>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</si>
  <si>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</si>
  <si>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</si>
  <si>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</si>
  <si>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</si>
  <si>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</si>
  <si>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</si>
  <si>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</si>
  <si>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</si>
  <si>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</si>
  <si>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</si>
  <si>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</si>
  <si>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</si>
  <si>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</si>
  <si>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</si>
  <si>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</si>
  <si>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</si>
  <si>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</si>
  <si>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</si>
  <si>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</si>
  <si>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</si>
  <si>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</si>
  <si>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</si>
  <si>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</si>
  <si>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</si>
  <si>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</si>
  <si>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</si>
  <si>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</si>
  <si>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</si>
  <si>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</si>
  <si>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</si>
  <si>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</si>
  <si>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</si>
  <si>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</si>
  <si>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</si>
  <si>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</si>
  <si>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</si>
  <si>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</si>
  <si>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</si>
  <si>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</si>
  <si>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</si>
  <si>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</si>
  <si>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</si>
  <si>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</si>
  <si>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</si>
  <si>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</si>
  <si>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</si>
  <si>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</si>
  <si>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</si>
  <si>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</si>
  <si>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</si>
  <si>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</si>
  <si>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</si>
  <si>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</si>
  <si>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</si>
  <si>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</si>
  <si>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</si>
  <si>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</si>
  <si>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</si>
  <si>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</si>
  <si>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</si>
  <si>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</si>
  <si>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</si>
  <si>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</si>
  <si>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</si>
  <si>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</si>
  <si>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</si>
  <si>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</si>
  <si>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</si>
  <si>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</si>
  <si>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</si>
  <si>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</si>
  <si>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</si>
  <si>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</si>
  <si>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</si>
  <si>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</si>
  <si>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</si>
  <si>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</si>
  <si>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</si>
  <si>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</si>
  <si>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</si>
  <si>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</si>
  <si>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</si>
  <si>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</si>
  <si>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</si>
  <si>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</si>
  <si>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</si>
  <si>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</si>
  <si>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</si>
  <si>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</si>
  <si>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</si>
  <si>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</si>
  <si>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</si>
  <si>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</si>
  <si>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</si>
  <si>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</si>
  <si>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</si>
  <si>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</si>
  <si>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</si>
  <si>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</si>
  <si>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</si>
  <si>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</si>
  <si>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</si>
  <si>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</si>
  <si>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</si>
  <si>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</si>
  <si>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</si>
  <si>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</si>
  <si>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</si>
  <si>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</si>
  <si>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</si>
  <si>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</si>
  <si>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</si>
  <si>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</si>
  <si>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</si>
  <si>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</si>
  <si>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</si>
  <si>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</si>
  <si>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</si>
  <si>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</si>
  <si>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</si>
  <si>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</si>
  <si>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</si>
  <si>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</si>
  <si>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</si>
  <si>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</si>
  <si>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</si>
  <si>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</si>
  <si>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</si>
  <si>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</si>
  <si>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</si>
  <si>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</si>
  <si>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</si>
  <si>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</si>
  <si>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</si>
  <si>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</si>
  <si>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</si>
  <si>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</si>
  <si>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</si>
  <si>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</si>
  <si>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</si>
  <si>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</si>
  <si>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</si>
  <si>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</si>
  <si>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</si>
  <si>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</si>
  <si>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</si>
  <si>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</si>
  <si>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</si>
  <si>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</si>
  <si>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</si>
  <si>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</si>
  <si>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</si>
  <si>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</si>
  <si>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</si>
  <si>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</si>
  <si>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</si>
  <si>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</si>
  <si>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</si>
  <si>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</si>
  <si>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</si>
  <si>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</si>
  <si>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</si>
  <si>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</si>
  <si>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</si>
  <si>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</si>
  <si>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</si>
  <si>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</si>
  <si>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</si>
  <si>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</si>
  <si>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</si>
  <si>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</si>
  <si>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</si>
  <si>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</si>
  <si>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</si>
  <si>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</si>
  <si>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</si>
  <si>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</si>
  <si>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</si>
  <si>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</si>
  <si>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</si>
  <si>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</si>
  <si>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</si>
  <si>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</si>
  <si>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</si>
  <si>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</si>
  <si>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</si>
  <si>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</si>
  <si>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</si>
  <si>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</si>
  <si>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</si>
  <si>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</si>
  <si>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</si>
  <si>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</si>
  <si>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</si>
  <si>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</si>
  <si>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</si>
  <si>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</si>
  <si>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</si>
  <si>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</si>
  <si>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</si>
  <si>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</si>
  <si>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</si>
  <si>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</si>
  <si>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</si>
  <si>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</si>
  <si>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</si>
  <si>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</si>
  <si>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</si>
  <si>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</si>
  <si>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</si>
  <si>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</si>
  <si>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</si>
  <si>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</si>
  <si>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</si>
  <si>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</si>
  <si>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</si>
  <si>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</si>
  <si>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</si>
  <si>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</si>
  <si>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</si>
  <si>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</si>
  <si>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</si>
  <si>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</si>
  <si>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</si>
  <si>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</si>
  <si>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</si>
  <si>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</si>
  <si>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</si>
  <si>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</si>
  <si>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</si>
  <si>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</si>
  <si>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</si>
  <si>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</si>
  <si>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</si>
  <si>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</si>
  <si>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</si>
  <si>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</si>
  <si>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</si>
  <si>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</si>
  <si>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</si>
  <si>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</si>
  <si>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</si>
  <si>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</si>
  <si>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</si>
  <si>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</si>
  <si>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</si>
  <si>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</si>
  <si>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</si>
  <si>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</si>
  <si>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</si>
  <si>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</si>
  <si>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</si>
  <si>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</si>
  <si>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</si>
  <si>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</si>
  <si>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</si>
  <si>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</si>
  <si>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</si>
  <si>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</si>
  <si>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</si>
  <si>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</si>
  <si>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</si>
  <si>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</si>
  <si>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</si>
  <si>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</si>
  <si>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</si>
  <si>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</si>
  <si>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</si>
  <si>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</si>
  <si>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</si>
  <si>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</si>
  <si>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</si>
  <si>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</si>
  <si>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</si>
  <si>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</si>
  <si>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</si>
  <si>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</si>
  <si>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</si>
  <si>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</si>
  <si>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</si>
  <si>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</si>
  <si>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</si>
  <si>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</si>
  <si>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</si>
  <si>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</si>
  <si>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</si>
  <si>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</si>
  <si>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</si>
  <si>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</si>
  <si>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</si>
  <si>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</si>
  <si>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</si>
  <si>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</si>
  <si>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</si>
  <si>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</si>
  <si>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</si>
  <si>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</si>
  <si>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</si>
  <si>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</si>
  <si>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</si>
  <si>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</si>
  <si>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</si>
  <si>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</si>
  <si>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</si>
  <si>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</si>
  <si>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</si>
  <si>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</si>
  <si>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</si>
  <si>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</si>
  <si>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</si>
  <si>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</si>
  <si>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</si>
  <si>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</si>
  <si>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</si>
  <si>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</si>
  <si>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</si>
  <si>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</si>
  <si>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</si>
  <si>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</si>
  <si>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</si>
  <si>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</si>
  <si>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</si>
  <si>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</si>
  <si>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</si>
  <si>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</si>
  <si>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</si>
  <si>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</si>
  <si>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</si>
  <si>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</si>
  <si>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</si>
  <si>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</si>
  <si>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</si>
  <si>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</si>
  <si>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</si>
  <si>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</si>
  <si>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</si>
  <si>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</si>
  <si>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</si>
  <si>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</si>
  <si>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</si>
  <si>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</si>
  <si>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</si>
  <si>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</si>
  <si>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</si>
  <si>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</si>
  <si>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</si>
  <si>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</si>
  <si>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</si>
  <si>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</si>
  <si>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</si>
  <si>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</si>
  <si>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</si>
  <si>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</si>
  <si>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</si>
  <si>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</si>
  <si>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</si>
  <si>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</si>
  <si>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</si>
  <si>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</si>
  <si>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</si>
  <si>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</si>
  <si>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</si>
  <si>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</si>
  <si>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</si>
  <si>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</si>
  <si>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</si>
  <si>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</si>
  <si>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</si>
  <si>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</si>
  <si>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</si>
  <si>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</si>
  <si>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</si>
  <si>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</si>
  <si>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</si>
  <si>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</si>
  <si>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</si>
  <si>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</si>
  <si>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</si>
  <si>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</si>
  <si>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</si>
  <si>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</si>
  <si>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</si>
  <si>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</si>
  <si>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</si>
  <si>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</si>
  <si>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</si>
  <si>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</si>
  <si>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</si>
  <si>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</si>
  <si>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</si>
  <si>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</si>
  <si>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</si>
  <si>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</si>
  <si>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</si>
  <si>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</si>
  <si>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</si>
  <si>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</si>
  <si>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</si>
  <si>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</si>
  <si>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</si>
  <si>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</si>
  <si>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</si>
  <si>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</si>
  <si>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</si>
  <si>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</si>
  <si>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</si>
  <si>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</si>
  <si>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</si>
  <si>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</si>
  <si>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</si>
  <si>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</si>
  <si>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</si>
  <si>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</si>
  <si>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</si>
  <si>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</si>
  <si>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</si>
  <si>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</si>
  <si>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</si>
  <si>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</si>
  <si>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</si>
  <si>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</si>
  <si>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</si>
  <si>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</si>
  <si>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</si>
  <si>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</si>
  <si>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</si>
  <si>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</si>
  <si>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</si>
  <si>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</si>
  <si>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</si>
  <si>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</si>
  <si>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</si>
  <si>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</si>
  <si>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</si>
  <si>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</si>
  <si>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</si>
  <si>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</si>
  <si>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</si>
  <si>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</si>
  <si>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</si>
  <si>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</si>
  <si>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</si>
  <si>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</si>
  <si>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</si>
  <si>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</si>
  <si>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</si>
  <si>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</si>
  <si>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</si>
  <si>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</si>
  <si>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</si>
  <si>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</si>
  <si>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</si>
  <si>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</si>
  <si>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</si>
  <si>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</si>
  <si>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</si>
  <si>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</si>
  <si>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</si>
  <si>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</si>
  <si>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</si>
  <si>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</si>
  <si>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</si>
  <si>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</si>
  <si>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</si>
  <si>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</si>
  <si>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</si>
  <si>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</si>
  <si>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</si>
  <si>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</si>
  <si>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</si>
  <si>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</si>
  <si>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</si>
  <si>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</si>
  <si>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</si>
  <si>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</si>
  <si>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</si>
  <si>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</si>
  <si>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</si>
  <si>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</si>
  <si>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</si>
  <si>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</si>
  <si>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</si>
  <si>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</si>
  <si>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</si>
  <si>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</si>
  <si>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</si>
  <si>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</si>
  <si>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</si>
  <si>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</si>
  <si>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</si>
  <si>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</si>
  <si>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</si>
  <si>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</si>
  <si>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</si>
  <si>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</si>
  <si>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</si>
  <si>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</si>
  <si>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</si>
  <si>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</si>
  <si>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</si>
  <si>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</si>
  <si>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</si>
  <si>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</si>
  <si>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</si>
  <si>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</si>
  <si>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</si>
  <si>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</si>
  <si>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</si>
  <si>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</si>
  <si>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</si>
  <si>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</si>
  <si>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</si>
  <si>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</si>
  <si>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</si>
  <si>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</si>
  <si>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</si>
  <si>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</si>
  <si>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</si>
  <si>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</si>
  <si>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</si>
  <si>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</si>
  <si>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</si>
  <si>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</si>
  <si>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</si>
  <si>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</si>
  <si>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</si>
  <si>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</si>
  <si>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</si>
  <si>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</si>
  <si>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</si>
  <si>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</si>
  <si>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</si>
  <si>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</si>
  <si>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</si>
  <si>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</si>
  <si>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</si>
  <si>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</si>
  <si>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</si>
  <si>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</si>
  <si>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</si>
  <si>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</si>
  <si>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</si>
  <si>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</si>
  <si>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</si>
  <si>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</si>
  <si>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</si>
  <si>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</si>
  <si>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</si>
  <si>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</si>
  <si>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</si>
  <si>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</si>
  <si>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</si>
  <si>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</si>
  <si>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</si>
  <si>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</si>
  <si>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</si>
  <si>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</si>
  <si>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</si>
  <si>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</si>
  <si>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</si>
  <si>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</si>
  <si>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</si>
  <si>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</si>
  <si>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</si>
  <si>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</si>
  <si>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</si>
  <si>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</si>
  <si>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</si>
  <si>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</si>
  <si>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</si>
  <si>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</si>
  <si>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</si>
  <si>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</si>
  <si>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</si>
  <si>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</si>
  <si>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</si>
  <si>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</si>
  <si>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</si>
  <si>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</si>
  <si>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</si>
  <si>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</si>
  <si>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</si>
  <si>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</si>
  <si>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</si>
  <si>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</si>
  <si>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</si>
  <si>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</si>
  <si>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</si>
  <si>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</si>
  <si>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</si>
  <si>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</si>
  <si>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</si>
  <si>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</si>
  <si>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</si>
  <si>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</si>
  <si>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</si>
  <si>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</si>
  <si>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</si>
  <si>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</si>
  <si>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</si>
  <si>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</si>
  <si>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</si>
  <si>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</si>
  <si>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</si>
  <si>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</si>
  <si>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</si>
  <si>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</si>
  <si>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</si>
  <si>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</si>
  <si>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</si>
  <si>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</si>
  <si>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</si>
  <si>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</si>
  <si>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</si>
  <si>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</si>
  <si>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</si>
  <si>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</si>
  <si>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</si>
  <si>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</si>
  <si>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</si>
  <si>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</si>
  <si>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</si>
  <si>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</si>
  <si>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</si>
  <si>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</si>
  <si>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</si>
  <si>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</si>
  <si>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</si>
  <si>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</si>
  <si>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</si>
  <si>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</si>
  <si>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</si>
  <si>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</si>
  <si>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</si>
  <si>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</si>
  <si>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</si>
  <si>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</si>
  <si>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</si>
  <si>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</si>
  <si>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</si>
  <si>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</si>
  <si>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</si>
  <si>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</si>
  <si>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</si>
  <si>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</si>
  <si>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</si>
  <si>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</si>
  <si>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</si>
  <si>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</si>
  <si>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</si>
  <si>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</si>
  <si>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</si>
  <si>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</si>
  <si>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</si>
  <si>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</si>
  <si>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</si>
  <si>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</si>
  <si>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</si>
  <si>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</si>
  <si>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</si>
  <si>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</si>
  <si>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</si>
  <si>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</si>
  <si>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</si>
  <si>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</si>
  <si>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</si>
  <si>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</si>
  <si>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</si>
  <si>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</si>
  <si>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</si>
  <si>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</si>
  <si>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</si>
  <si>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</si>
  <si>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</si>
  <si>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</si>
  <si>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</si>
  <si>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</si>
  <si>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</si>
  <si>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</si>
  <si>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</si>
  <si>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</si>
  <si>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</si>
  <si>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</si>
  <si>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</si>
  <si>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</si>
  <si>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</si>
  <si>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</si>
  <si>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</si>
  <si>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</si>
  <si>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</si>
  <si>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</si>
  <si>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</si>
  <si>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</si>
  <si>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</si>
  <si>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</si>
  <si>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</si>
  <si>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</si>
  <si>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</si>
  <si>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</si>
  <si>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</si>
  <si>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</si>
  <si>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</si>
  <si>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</si>
  <si>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</si>
  <si>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</si>
  <si>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</si>
  <si>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</si>
  <si>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</si>
  <si>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</si>
  <si>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</si>
  <si>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</si>
  <si>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</si>
  <si>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</si>
  <si>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</si>
  <si>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</si>
  <si>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</si>
  <si>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</si>
  <si>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</si>
  <si>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</si>
  <si>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</si>
  <si>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</si>
  <si>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</si>
  <si>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</si>
  <si>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</si>
  <si>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</si>
  <si>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</si>
  <si>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</si>
  <si>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</si>
  <si>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</si>
  <si>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</si>
  <si>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</si>
  <si>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</si>
  <si>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</si>
  <si>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</si>
  <si>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</si>
  <si>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</si>
  <si>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</si>
  <si>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</si>
  <si>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</si>
  <si>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</si>
  <si>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</si>
  <si>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</si>
  <si>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</si>
  <si>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</si>
  <si>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</si>
  <si>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</si>
  <si>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</si>
  <si>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</si>
  <si>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</si>
  <si>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</si>
  <si>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</si>
  <si>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</si>
  <si>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</si>
  <si>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</si>
  <si>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</si>
  <si>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</si>
  <si>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</si>
  <si>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</si>
  <si>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</si>
  <si>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</si>
  <si>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</si>
  <si>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</si>
  <si>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</si>
  <si>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</si>
  <si>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</si>
  <si>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</si>
  <si>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</si>
  <si>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</si>
  <si>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</si>
  <si>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</si>
  <si>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</si>
  <si>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</si>
  <si>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</si>
  <si>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</si>
  <si>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</si>
  <si>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</si>
  <si>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</si>
  <si>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</si>
  <si>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</si>
  <si>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</si>
  <si>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</si>
  <si>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</si>
  <si>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</si>
  <si>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</si>
  <si>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</si>
  <si>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</si>
  <si>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</si>
  <si>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</si>
  <si>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</si>
  <si>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</si>
  <si>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</si>
  <si>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</si>
  <si>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</si>
  <si>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</si>
  <si>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</si>
  <si>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</si>
  <si>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</si>
  <si>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</si>
  <si>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</si>
  <si>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</si>
  <si>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</si>
  <si>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</si>
  <si>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</si>
  <si>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</si>
  <si>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</si>
  <si>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</si>
  <si>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</si>
  <si>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</si>
  <si>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</si>
  <si>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</si>
  <si>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</si>
  <si>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</si>
  <si>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</si>
  <si>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</si>
  <si>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</si>
  <si>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</si>
  <si>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</si>
  <si>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</si>
  <si>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</si>
  <si>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</si>
  <si>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</si>
  <si>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</si>
  <si>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</si>
  <si>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</si>
  <si>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</si>
  <si>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</si>
  <si>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</si>
  <si>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</si>
  <si>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</si>
  <si>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</si>
  <si>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</si>
  <si>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</si>
  <si>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</si>
  <si>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</si>
  <si>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</si>
  <si>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</si>
  <si>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</si>
  <si>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</si>
  <si>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</si>
  <si>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</si>
  <si>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</si>
  <si>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</si>
  <si>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</si>
  <si>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</si>
  <si>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</si>
  <si>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</si>
  <si>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</si>
  <si>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</si>
  <si>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</si>
  <si>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</si>
  <si>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</si>
  <si>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</si>
  <si>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</si>
  <si>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</si>
  <si>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</si>
  <si>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</si>
  <si>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</si>
  <si>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</si>
  <si>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</si>
  <si>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</si>
  <si>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</si>
  <si>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</si>
  <si>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</si>
  <si>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</si>
  <si>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</si>
  <si>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</si>
  <si>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</si>
  <si>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</si>
  <si>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</si>
  <si>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</si>
  <si>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</si>
  <si>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</si>
  <si>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</si>
  <si>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</si>
  <si>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</si>
  <si>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</si>
  <si>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</si>
  <si>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</si>
  <si>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</si>
  <si>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</si>
  <si>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</si>
  <si>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</si>
  <si>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</si>
  <si>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</si>
  <si>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</si>
  <si>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</si>
  <si>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</si>
  <si>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</si>
  <si>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</si>
  <si>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</si>
  <si>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</si>
  <si>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</si>
  <si>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</si>
  <si>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</si>
  <si>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</si>
  <si>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</si>
  <si>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</si>
  <si>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</si>
  <si>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</si>
  <si>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</si>
  <si>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</si>
  <si>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</si>
  <si>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</si>
  <si>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</si>
  <si>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</si>
  <si>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</si>
  <si>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</si>
  <si>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</si>
  <si>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</si>
  <si>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</si>
  <si>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</si>
  <si>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</si>
  <si>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</si>
  <si>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</si>
  <si>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</si>
  <si>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</si>
  <si>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</si>
  <si>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</si>
  <si>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</si>
  <si>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</si>
  <si>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</si>
  <si>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</si>
  <si>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</si>
  <si>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</si>
  <si>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</si>
  <si>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</si>
  <si>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</si>
  <si>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</si>
  <si>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</si>
  <si>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</si>
  <si>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</si>
  <si>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</si>
  <si>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</si>
  <si>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</si>
  <si>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</si>
  <si>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</si>
  <si>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</si>
  <si>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</si>
  <si>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</si>
  <si>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</si>
  <si>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</si>
  <si>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</si>
  <si>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</si>
  <si>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</si>
  <si>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</si>
  <si>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</si>
  <si>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</si>
  <si>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</si>
  <si>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</si>
  <si>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</si>
  <si>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</si>
  <si>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</si>
  <si>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</si>
  <si>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</si>
  <si>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</si>
  <si>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</si>
  <si>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</si>
  <si>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</si>
  <si>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</si>
  <si>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</si>
  <si>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</si>
  <si>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</si>
  <si>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</si>
  <si>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</si>
  <si>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</si>
  <si>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</si>
  <si>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</si>
  <si>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</si>
  <si>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</si>
  <si>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</si>
  <si>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</si>
  <si>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</si>
  <si>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</si>
  <si>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</si>
  <si>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</si>
  <si>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</si>
  <si>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</si>
  <si>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</si>
  <si>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</si>
  <si>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</si>
  <si>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</si>
  <si>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</si>
  <si>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</si>
  <si>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</si>
  <si>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</si>
  <si>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</si>
  <si>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</si>
  <si>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</si>
  <si>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</si>
  <si>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</si>
  <si>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</si>
  <si>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</si>
  <si>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</si>
  <si>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</si>
  <si>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</si>
  <si>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</si>
  <si>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</si>
  <si>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</si>
  <si>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</si>
  <si>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</si>
  <si>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</si>
  <si>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</si>
  <si>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</si>
  <si>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</si>
  <si>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</si>
  <si>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</si>
  <si>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</si>
  <si>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</si>
  <si>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</si>
  <si>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</si>
  <si>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</si>
  <si>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</si>
  <si>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</si>
  <si>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</si>
  <si>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</si>
  <si>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</si>
  <si>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</si>
  <si>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</si>
  <si>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</si>
  <si>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</si>
  <si>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</si>
  <si>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</si>
  <si>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</si>
  <si>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</si>
  <si>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</si>
  <si>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</si>
  <si>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</si>
  <si>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</si>
  <si>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</si>
  <si>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</si>
  <si>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</si>
  <si>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</si>
  <si>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</si>
  <si>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</si>
  <si>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</si>
  <si>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</si>
  <si>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</si>
  <si>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</si>
  <si>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</si>
  <si>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</si>
  <si>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</si>
  <si>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</si>
  <si>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</si>
  <si>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</si>
  <si>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</si>
  <si>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</si>
  <si>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</si>
  <si>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</si>
  <si>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</si>
  <si>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</si>
  <si>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</si>
  <si>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</si>
  <si>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</si>
  <si>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</si>
  <si>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</si>
  <si>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</si>
  <si>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</si>
  <si>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</si>
  <si>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</si>
  <si>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</si>
  <si>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</si>
  <si>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</si>
  <si>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</si>
  <si>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</si>
  <si>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</si>
  <si>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</si>
  <si>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</si>
  <si>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</si>
  <si>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</si>
  <si>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</si>
  <si>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</si>
  <si>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</si>
  <si>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</si>
  <si>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</si>
  <si>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</si>
  <si>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</si>
  <si>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</si>
  <si>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</si>
  <si>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</si>
  <si>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</si>
  <si>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</si>
  <si>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</si>
  <si>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</si>
  <si>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</si>
  <si>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</si>
  <si>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</si>
  <si>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</si>
  <si>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</si>
  <si>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</si>
  <si>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</si>
  <si>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</si>
  <si>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</si>
  <si>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</si>
  <si>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</si>
  <si>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</si>
  <si>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</si>
  <si>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</si>
  <si>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</si>
  <si>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</si>
  <si>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</si>
  <si>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</si>
  <si>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</si>
  <si>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</si>
  <si>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</si>
  <si>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</si>
  <si>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</si>
  <si>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</si>
  <si>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</si>
  <si>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</si>
  <si>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</si>
  <si>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</si>
  <si>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</si>
  <si>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</si>
  <si>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</si>
  <si>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</si>
  <si>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</si>
  <si>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</si>
  <si>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</si>
  <si>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</si>
  <si>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</si>
  <si>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</si>
  <si>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</si>
  <si>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</si>
  <si>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</si>
  <si>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</si>
  <si>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</si>
  <si>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</si>
  <si>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</si>
  <si>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</si>
  <si>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</si>
  <si>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</si>
  <si>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</si>
  <si>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</si>
  <si>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</si>
  <si>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</si>
  <si>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</si>
  <si>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</si>
  <si>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</si>
  <si>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</si>
  <si>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</si>
  <si>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</si>
  <si>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</si>
  <si>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</si>
  <si>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</si>
  <si>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</si>
  <si>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</si>
  <si>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</si>
  <si>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</si>
  <si>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</si>
  <si>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</si>
  <si>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</si>
  <si>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</si>
  <si>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</si>
  <si>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</si>
  <si>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</si>
  <si>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</si>
  <si>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</si>
  <si>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</si>
  <si>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</si>
  <si>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</si>
  <si>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</si>
  <si>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</si>
  <si>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</si>
  <si>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</si>
  <si>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</si>
  <si>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</si>
  <si>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</si>
  <si>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</si>
  <si>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</si>
  <si>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</si>
  <si>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</si>
  <si>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</si>
  <si>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</si>
  <si>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</si>
  <si>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</si>
  <si>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</si>
  <si>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</si>
  <si>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</si>
  <si>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</si>
  <si>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</si>
  <si>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</si>
  <si>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</si>
  <si>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</si>
  <si>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</si>
  <si>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</si>
  <si>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</si>
  <si>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</si>
  <si>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</si>
  <si>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</si>
  <si>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</si>
  <si>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</si>
  <si>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</si>
  <si>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</si>
  <si>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</si>
  <si>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</si>
  <si>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</si>
  <si>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</si>
  <si>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</si>
  <si>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</si>
  <si>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</si>
  <si>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</si>
  <si>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</si>
  <si>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</si>
  <si>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</si>
  <si>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</si>
  <si>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</si>
  <si>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</si>
  <si>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</si>
  <si>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</si>
  <si>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</si>
  <si>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</si>
  <si>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</si>
  <si>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</si>
  <si>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</si>
  <si>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</si>
  <si>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</si>
  <si>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</si>
  <si>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</si>
  <si>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</si>
  <si>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</si>
  <si>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</si>
  <si>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</si>
  <si>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</si>
  <si>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</si>
  <si>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</si>
  <si>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</si>
  <si>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</si>
  <si>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</si>
  <si>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</si>
  <si>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</si>
  <si>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</si>
  <si>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</si>
  <si>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</si>
  <si>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</si>
  <si>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</si>
  <si>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</si>
  <si>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</si>
  <si>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</si>
  <si>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</si>
  <si>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</si>
  <si>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</si>
  <si>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</si>
  <si>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</si>
  <si>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</si>
  <si>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</si>
  <si>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</si>
  <si>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</si>
  <si>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</si>
  <si>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</si>
  <si>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</si>
  <si>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</si>
  <si>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</si>
  <si>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</si>
  <si>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</si>
  <si>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</si>
  <si>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</si>
  <si>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</si>
  <si>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</si>
  <si>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</si>
  <si>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</si>
  <si>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</si>
  <si>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</si>
  <si>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</si>
  <si>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</si>
  <si>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</si>
  <si>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</si>
  <si>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</si>
  <si>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</si>
  <si>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</si>
  <si>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</si>
  <si>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</si>
  <si>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</si>
  <si>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</si>
  <si>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</si>
  <si>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</si>
  <si>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</si>
  <si>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</si>
  <si>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</si>
  <si>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</si>
  <si>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</si>
  <si>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</si>
  <si>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</si>
  <si>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</si>
  <si>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</si>
  <si>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</si>
  <si>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</si>
  <si>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</si>
  <si>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</si>
  <si>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</si>
  <si>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</si>
  <si>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</si>
  <si>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</si>
  <si>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</si>
  <si>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</si>
  <si>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</si>
  <si>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</si>
  <si>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</si>
  <si>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</si>
  <si>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</si>
  <si>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</si>
  <si>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</si>
  <si>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</si>
  <si>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</si>
  <si>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</si>
  <si>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</si>
  <si>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</si>
  <si>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</si>
  <si>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</si>
  <si>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</si>
  <si>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</si>
  <si>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</si>
  <si>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</si>
  <si>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</si>
  <si>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</si>
  <si>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</si>
  <si>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</si>
  <si>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</si>
  <si>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</si>
  <si>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</si>
  <si>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</si>
  <si>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</si>
  <si>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</si>
  <si>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</si>
  <si>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</si>
  <si>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</si>
  <si>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</si>
  <si>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</si>
  <si>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</si>
  <si>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</si>
  <si>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</si>
  <si>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</si>
  <si>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</si>
  <si>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</si>
  <si>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</si>
  <si>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</si>
  <si>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</si>
  <si>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</si>
  <si>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</si>
  <si>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</si>
  <si>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</si>
  <si>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</si>
  <si>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</si>
  <si>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</si>
  <si>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</si>
  <si>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</si>
  <si>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</si>
  <si>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</si>
  <si>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</si>
  <si>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</si>
  <si>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</si>
  <si>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</si>
  <si>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</si>
  <si>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</si>
  <si>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</si>
  <si>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</si>
  <si>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</si>
  <si>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</si>
  <si>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</si>
  <si>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</si>
  <si>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</si>
  <si>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</si>
  <si>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</si>
  <si>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</si>
  <si>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</si>
  <si>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</si>
  <si>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</si>
  <si>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</si>
  <si>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</si>
  <si>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</si>
  <si>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</si>
  <si>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</si>
  <si>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</si>
  <si>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</si>
  <si>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</si>
  <si>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</si>
  <si>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</si>
  <si>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</si>
  <si>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</si>
  <si>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</si>
  <si>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</si>
  <si>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</si>
  <si>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</si>
  <si>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</si>
  <si>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</si>
  <si>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</si>
  <si>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</si>
  <si>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</si>
  <si>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</si>
  <si>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</si>
  <si>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</si>
  <si>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</si>
  <si>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</si>
  <si>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</si>
  <si>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</si>
  <si>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</si>
  <si>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</si>
  <si>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</si>
  <si>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</si>
  <si>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</si>
  <si>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</si>
  <si>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</si>
  <si>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</si>
  <si>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</si>
  <si>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</si>
  <si>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</si>
  <si>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</si>
  <si>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</si>
  <si>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</si>
  <si>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</si>
  <si>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</si>
  <si>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</si>
  <si>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</si>
  <si>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</si>
  <si>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</si>
  <si>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</si>
  <si>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</si>
  <si>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</si>
  <si>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</si>
  <si>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</si>
  <si>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</si>
  <si>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</si>
  <si>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</si>
  <si>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</si>
  <si>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</si>
  <si>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</si>
  <si>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</si>
  <si>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</si>
  <si>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</si>
  <si>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</si>
  <si>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</si>
  <si>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</si>
  <si>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</si>
  <si>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</si>
  <si>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</si>
  <si>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</si>
  <si>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</si>
  <si>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</si>
  <si>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</si>
  <si>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</si>
  <si>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</si>
  <si>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</si>
  <si>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</si>
  <si>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</si>
  <si>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</si>
  <si>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</si>
  <si>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</si>
  <si>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</si>
  <si>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</si>
  <si>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</si>
  <si>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</si>
  <si>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</si>
  <si>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</si>
  <si>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</si>
  <si>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</si>
  <si>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</si>
  <si>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</si>
  <si>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</si>
  <si>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</si>
  <si>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</si>
  <si>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</si>
  <si>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</si>
  <si>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</si>
  <si>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</si>
  <si>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</si>
  <si>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</si>
  <si>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</si>
  <si>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</si>
  <si>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</si>
  <si>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</si>
  <si>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</si>
  <si>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</si>
  <si>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</si>
  <si>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</si>
  <si>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</si>
  <si>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</si>
  <si>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</si>
  <si>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</si>
  <si>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</si>
  <si>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</si>
  <si>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</si>
  <si>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</si>
  <si>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</si>
  <si>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</si>
  <si>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</si>
  <si>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</si>
  <si>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</si>
  <si>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</si>
  <si>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</si>
  <si>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</si>
  <si>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</si>
  <si>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</si>
  <si>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</si>
  <si>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</si>
  <si>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</si>
  <si>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</si>
  <si>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</si>
  <si>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</si>
  <si>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</si>
  <si>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</si>
  <si>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</si>
  <si>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</si>
  <si>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</si>
  <si>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</si>
  <si>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</si>
  <si>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</si>
  <si>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</si>
  <si>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</si>
  <si>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</si>
  <si>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</si>
  <si>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</si>
  <si>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</si>
  <si>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</si>
  <si>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</si>
  <si>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</si>
  <si>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</si>
  <si>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</si>
  <si>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</si>
  <si>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</si>
  <si>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</si>
  <si>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</si>
  <si>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</si>
  <si>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</si>
  <si>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</si>
  <si>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</si>
  <si>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</si>
  <si>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</si>
  <si>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</si>
  <si>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</si>
  <si>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</si>
  <si>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</si>
  <si>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</si>
  <si>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</si>
  <si>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</si>
  <si>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</si>
  <si>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</si>
  <si>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</si>
  <si>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</si>
  <si>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</si>
  <si>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</si>
  <si>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</si>
  <si>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</si>
  <si>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</si>
  <si>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</si>
  <si>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</si>
  <si>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</si>
  <si>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</si>
  <si>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</si>
  <si>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</si>
  <si>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</si>
  <si>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</si>
  <si>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</si>
  <si>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</si>
  <si>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</si>
  <si>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</si>
  <si>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</si>
  <si>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</si>
  <si>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</si>
  <si>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</si>
  <si>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</si>
  <si>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</si>
  <si>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</si>
  <si>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</si>
  <si>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</si>
  <si>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</si>
  <si>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</si>
  <si>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</si>
  <si>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</si>
  <si>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</si>
  <si>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</si>
  <si>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</si>
  <si>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</si>
  <si>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</si>
  <si>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</si>
  <si>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</si>
  <si>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</si>
  <si>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</si>
  <si>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</si>
  <si>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</si>
  <si>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</si>
  <si>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</si>
  <si>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</si>
  <si>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</si>
  <si>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</si>
  <si>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</si>
  <si>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</si>
  <si>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</si>
  <si>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</si>
  <si>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</si>
  <si>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</si>
  <si>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</si>
  <si>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</si>
  <si>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</si>
  <si>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</si>
  <si>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</si>
  <si>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</si>
  <si>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</si>
  <si>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</si>
  <si>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</si>
  <si>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</si>
  <si>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</si>
  <si>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</si>
  <si>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</si>
  <si>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</si>
  <si>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</si>
  <si>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</si>
  <si>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</si>
  <si>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</si>
  <si>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</si>
  <si>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</si>
  <si>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</si>
  <si>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</si>
  <si>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</si>
  <si>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</si>
  <si>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</si>
  <si>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</si>
  <si>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</si>
  <si>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</si>
  <si>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</si>
  <si>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</si>
  <si>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</si>
  <si>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</si>
  <si>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</si>
  <si>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</si>
  <si>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</si>
  <si>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</si>
  <si>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</si>
  <si>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</si>
  <si>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</si>
  <si>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</si>
  <si>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</si>
  <si>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</si>
  <si>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</si>
  <si>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</si>
  <si>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</si>
  <si>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</si>
  <si>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</si>
  <si>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</si>
  <si>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</si>
  <si>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</si>
  <si>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</si>
  <si>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</si>
  <si>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</si>
  <si>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</si>
  <si>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</si>
  <si>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</si>
  <si>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</si>
  <si>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</si>
  <si>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</si>
  <si>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</si>
  <si>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</si>
  <si>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</si>
  <si>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</si>
  <si>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</si>
  <si>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</si>
  <si>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</si>
  <si>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</si>
  <si>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</si>
  <si>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</si>
  <si>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</si>
  <si>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</si>
  <si>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</si>
  <si>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</si>
  <si>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</si>
  <si>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</si>
  <si>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</si>
  <si>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</si>
  <si>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</si>
  <si>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</si>
  <si>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</si>
  <si>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</si>
  <si>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</si>
  <si>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</si>
  <si>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</si>
  <si>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</si>
  <si>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</si>
  <si>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</si>
  <si>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</si>
  <si>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</si>
  <si>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</si>
  <si>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</si>
  <si>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</si>
  <si>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</si>
  <si>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</si>
  <si>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</si>
  <si>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</si>
  <si>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</si>
  <si>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</si>
  <si>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</si>
  <si>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</si>
  <si>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</si>
  <si>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</si>
  <si>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</si>
  <si>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</si>
  <si>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</si>
  <si>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</si>
  <si>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</si>
  <si>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</si>
  <si>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</si>
  <si>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</si>
  <si>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</si>
  <si>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</si>
  <si>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</si>
  <si>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</si>
  <si>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</si>
  <si>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</si>
  <si>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</si>
  <si>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</si>
  <si>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</si>
  <si>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</si>
  <si>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</si>
  <si>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</si>
  <si>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</si>
  <si>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</si>
  <si>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</si>
  <si>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</si>
  <si>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</si>
  <si>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</si>
  <si>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</si>
  <si>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</si>
  <si>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</si>
  <si>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</si>
  <si>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</si>
  <si>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</si>
  <si>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</si>
  <si>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</si>
  <si>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</si>
  <si>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</si>
  <si>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</si>
  <si>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</si>
  <si>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</si>
  <si>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</si>
  <si>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</si>
  <si>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</si>
  <si>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</si>
  <si>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</si>
  <si>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</si>
  <si>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</si>
  <si>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</si>
  <si>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</si>
  <si>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</si>
  <si>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</si>
  <si>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</si>
  <si>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</si>
  <si>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</si>
  <si>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</si>
  <si>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</si>
  <si>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</si>
  <si>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</si>
  <si>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</si>
  <si>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</si>
  <si>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</si>
  <si>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</si>
  <si>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</si>
  <si>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</si>
  <si>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</si>
  <si>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</si>
  <si>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</si>
  <si>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</si>
  <si>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</si>
  <si>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</si>
  <si>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</si>
  <si>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</si>
  <si>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</si>
  <si>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</si>
  <si>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</si>
  <si>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</si>
  <si>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</si>
  <si>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</si>
  <si>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</si>
  <si>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</si>
  <si>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</si>
  <si>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</si>
  <si>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</si>
  <si>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</si>
  <si>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</si>
  <si>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</si>
  <si>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</si>
  <si>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</si>
  <si>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</si>
  <si>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</si>
  <si>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</si>
  <si>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</si>
  <si>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</si>
  <si>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</si>
  <si>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</si>
  <si>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</si>
  <si>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</si>
  <si>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</si>
  <si>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</si>
  <si>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</si>
  <si>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</si>
  <si>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</si>
  <si>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</si>
  <si>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</si>
  <si>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</si>
  <si>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</si>
  <si>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</si>
  <si>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</si>
  <si>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</si>
  <si>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</si>
  <si>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</si>
  <si>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</si>
  <si>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</si>
  <si>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</si>
  <si>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</si>
  <si>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</si>
  <si>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</si>
  <si>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</si>
  <si>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</si>
  <si>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</si>
  <si>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</si>
  <si>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</si>
  <si>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</si>
  <si>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</si>
  <si>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</si>
  <si>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</si>
  <si>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</si>
  <si>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</si>
  <si>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</si>
  <si>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</si>
  <si>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</si>
  <si>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</si>
  <si>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</si>
  <si>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</si>
  <si>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</si>
  <si>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</si>
  <si>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</si>
  <si>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</si>
  <si>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</si>
  <si>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</si>
  <si>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</si>
  <si>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</si>
  <si>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</si>
  <si>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</si>
  <si>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</si>
  <si>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</si>
  <si>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</si>
  <si>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</si>
  <si>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</si>
  <si>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</si>
  <si>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</si>
  <si>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</si>
  <si>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</si>
  <si>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</si>
  <si>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</si>
  <si>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</si>
  <si>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</si>
  <si>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</si>
  <si>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</si>
  <si>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</si>
  <si>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</si>
  <si>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</si>
  <si>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</si>
  <si>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</si>
  <si>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</si>
  <si>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</si>
  <si>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</si>
  <si>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</si>
  <si>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</si>
  <si>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</si>
  <si>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</si>
  <si>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</si>
  <si>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</si>
  <si>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</si>
  <si>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</si>
  <si>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</si>
  <si>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</si>
  <si>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</si>
  <si>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</si>
  <si>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</si>
  <si>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</si>
  <si>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</si>
  <si>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</si>
  <si>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</si>
  <si>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</si>
  <si>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</si>
  <si>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</si>
  <si>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</si>
  <si>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</si>
  <si>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</si>
  <si>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</si>
  <si>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</si>
  <si>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</si>
  <si>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</si>
  <si>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</si>
  <si>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</si>
  <si>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</si>
  <si>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</si>
  <si>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</si>
  <si>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</si>
  <si>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</si>
  <si>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</si>
  <si>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</si>
  <si>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</si>
  <si>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</si>
  <si>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</si>
  <si>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</si>
  <si>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</si>
  <si>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</si>
  <si>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</si>
  <si>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</si>
  <si>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</si>
  <si>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</si>
  <si>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</si>
  <si>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</si>
  <si>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</si>
  <si>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</si>
  <si>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</si>
  <si>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</si>
  <si>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</si>
  <si>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</si>
  <si>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</si>
  <si>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</si>
  <si>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</si>
  <si>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</si>
  <si>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</si>
  <si>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</si>
  <si>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</si>
  <si>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</si>
  <si>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</si>
  <si>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</si>
  <si>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</si>
  <si>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</si>
  <si>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</si>
  <si>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</si>
  <si>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</si>
  <si>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</si>
  <si>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</si>
  <si>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</si>
  <si>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</si>
  <si>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</si>
  <si>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</si>
  <si>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</si>
  <si>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</si>
  <si>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</si>
  <si>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</si>
  <si>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</si>
  <si>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</si>
  <si>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</si>
  <si>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</si>
  <si>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</si>
  <si>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</si>
  <si>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</si>
  <si>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</si>
  <si>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</si>
  <si>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</si>
  <si>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</si>
  <si>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</si>
  <si>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</si>
  <si>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</si>
  <si>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</si>
  <si>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</si>
  <si>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</si>
  <si>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</si>
  <si>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</si>
  <si>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</si>
  <si>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</si>
  <si>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</si>
  <si>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</si>
  <si>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</si>
  <si>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</si>
  <si>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</si>
  <si>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</si>
  <si>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</si>
  <si>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</si>
  <si>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</si>
  <si>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</si>
  <si>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</si>
  <si>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</si>
  <si>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</si>
  <si>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</si>
  <si>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</si>
  <si>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</si>
  <si>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</si>
  <si>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</si>
  <si>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</si>
  <si>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</si>
  <si>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</si>
  <si>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</si>
  <si>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</si>
  <si>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</si>
  <si>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</si>
  <si>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</si>
  <si>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</si>
  <si>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</si>
  <si>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</si>
  <si>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</si>
  <si>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</si>
  <si>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</si>
  <si>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</si>
  <si>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</si>
  <si>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</si>
  <si>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</si>
  <si>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</si>
  <si>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</si>
  <si>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</si>
  <si>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</si>
  <si>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</si>
  <si>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</si>
  <si>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</si>
  <si>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</si>
  <si>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</si>
  <si>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</si>
  <si>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</si>
  <si>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</si>
  <si>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</si>
  <si>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</si>
  <si>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</si>
  <si>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</si>
  <si>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</si>
  <si>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</si>
  <si>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</si>
  <si>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</si>
  <si>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</si>
  <si>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</si>
  <si>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</si>
  <si>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</si>
  <si>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</si>
  <si>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</si>
  <si>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</si>
  <si>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</si>
  <si>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</si>
  <si>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</si>
  <si>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</si>
  <si>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</si>
  <si>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</si>
  <si>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</si>
  <si>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</si>
  <si>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</si>
  <si>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</si>
  <si>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</si>
  <si>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</si>
  <si>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</si>
  <si>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</si>
  <si>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</si>
  <si>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</si>
  <si>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</si>
  <si>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</si>
  <si>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</si>
  <si>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</si>
  <si>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</si>
  <si>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</si>
  <si>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</si>
  <si>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</si>
  <si>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</si>
  <si>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</si>
  <si>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</si>
  <si>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</si>
  <si>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</si>
  <si>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</si>
  <si>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</si>
  <si>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</si>
  <si>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</si>
  <si>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</si>
  <si>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</si>
  <si>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</si>
  <si>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</si>
  <si>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</si>
  <si>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</si>
  <si>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</si>
  <si>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</si>
  <si>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</si>
  <si>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</si>
  <si>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</si>
  <si>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</si>
  <si>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</si>
  <si>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</si>
  <si>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</si>
  <si>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</si>
  <si>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</si>
  <si>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</si>
  <si>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</si>
  <si>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</si>
  <si>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</si>
  <si>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</si>
  <si>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</si>
  <si>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</si>
  <si>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</si>
  <si>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</si>
  <si>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</si>
  <si>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</si>
  <si>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</si>
  <si>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</si>
  <si>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</si>
  <si>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</si>
  <si>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</si>
  <si>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</si>
  <si>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</si>
  <si>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</si>
  <si>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</si>
  <si>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</si>
  <si>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</si>
  <si>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</si>
  <si>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</si>
  <si>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</si>
  <si>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</si>
  <si>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</si>
  <si>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</si>
  <si>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</si>
  <si>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</si>
  <si>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</si>
  <si>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</si>
  <si>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</si>
  <si>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</si>
  <si>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</si>
  <si>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</si>
  <si>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</si>
  <si>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</si>
  <si>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</si>
  <si>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</si>
  <si>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</si>
  <si>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</si>
  <si>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</si>
  <si>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</si>
  <si>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</si>
  <si>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</si>
  <si>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</si>
  <si>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</si>
  <si>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</si>
  <si>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</si>
  <si>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</si>
  <si>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</si>
  <si>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</si>
  <si>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</si>
  <si>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</si>
  <si>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</si>
  <si>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</si>
  <si>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</si>
  <si>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</si>
  <si>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</si>
  <si>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</si>
  <si>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</si>
  <si>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</si>
  <si>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</si>
  <si>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</si>
  <si>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</si>
  <si>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</si>
  <si>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</si>
  <si>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</si>
  <si>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</si>
  <si>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</si>
  <si>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</si>
  <si>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</si>
  <si>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</si>
  <si>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</si>
  <si>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</si>
  <si>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</si>
  <si>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</si>
  <si>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</si>
  <si>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</si>
  <si>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</si>
  <si>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</si>
  <si>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</si>
  <si>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</si>
  <si>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</si>
  <si>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</si>
  <si>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</si>
  <si>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</si>
  <si>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</si>
  <si>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</si>
  <si>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</si>
  <si>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</si>
  <si>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</si>
  <si>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</si>
  <si>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</si>
  <si>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</si>
  <si>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</si>
  <si>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</si>
  <si>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</si>
  <si>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</si>
  <si>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</si>
  <si>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</si>
  <si>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</si>
  <si>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</si>
  <si>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</si>
  <si>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</si>
  <si>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</si>
  <si>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</si>
  <si>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</si>
  <si>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</si>
  <si>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</si>
  <si>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</si>
  <si>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</si>
  <si>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</si>
  <si>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</si>
  <si>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</si>
  <si>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</si>
  <si>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</si>
  <si>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</si>
  <si>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</si>
  <si>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</si>
  <si>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</si>
  <si>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</si>
  <si>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</si>
  <si>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</si>
  <si>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</si>
  <si>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</si>
  <si>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</si>
  <si>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</si>
  <si>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</si>
  <si>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</si>
  <si>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</si>
  <si>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</si>
  <si>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</si>
  <si>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</si>
  <si>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</si>
  <si>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</si>
  <si>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</si>
  <si>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</si>
  <si>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</si>
  <si>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</si>
  <si>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</si>
  <si>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</si>
  <si>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</si>
  <si>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</si>
  <si>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</si>
  <si>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</si>
  <si>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</si>
  <si>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</si>
  <si>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</si>
  <si>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</si>
  <si>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</si>
  <si>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</si>
  <si>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</si>
  <si>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</si>
  <si>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</si>
  <si>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</si>
  <si>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</si>
  <si>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</si>
  <si>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</si>
  <si>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</si>
  <si>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</si>
  <si>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</si>
  <si>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</si>
  <si>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</si>
  <si>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</si>
  <si>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</si>
  <si>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</si>
  <si>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</si>
  <si>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</si>
  <si>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</si>
  <si>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</si>
  <si>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</si>
  <si>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</si>
  <si>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</si>
  <si>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</si>
  <si>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</si>
  <si>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</si>
  <si>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</si>
  <si>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</si>
  <si>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</si>
  <si>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</si>
  <si>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</si>
  <si>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</si>
  <si>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</si>
  <si>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</si>
  <si>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</si>
  <si>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</si>
  <si>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</si>
  <si>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</si>
  <si>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</si>
  <si>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</si>
  <si>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</si>
  <si>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</si>
  <si>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</si>
  <si>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</si>
  <si>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</si>
  <si>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</si>
  <si>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</si>
  <si>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</si>
  <si>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</si>
  <si>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</si>
  <si>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</si>
  <si>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</si>
  <si>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</si>
  <si>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</si>
  <si>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</si>
  <si>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</si>
  <si>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</si>
  <si>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</si>
  <si>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</si>
  <si>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</si>
  <si>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</si>
  <si>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</si>
  <si>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</si>
  <si>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</si>
  <si>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</si>
  <si>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</si>
  <si>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</si>
  <si>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</si>
  <si>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</si>
  <si>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</si>
  <si>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</si>
  <si>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</si>
  <si>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</si>
  <si>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</si>
  <si>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</si>
  <si>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</si>
  <si>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</si>
  <si>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</si>
  <si>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</si>
  <si>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</si>
  <si>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</si>
  <si>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</si>
  <si>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</si>
  <si>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</si>
  <si>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</si>
  <si>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</si>
  <si>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</si>
  <si>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</si>
  <si>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</si>
  <si>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</si>
  <si>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</si>
  <si>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</si>
  <si>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</si>
  <si>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</si>
  <si>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</si>
  <si>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</si>
  <si>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</si>
  <si>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</si>
  <si>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</si>
  <si>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</si>
  <si>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</si>
  <si>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</si>
  <si>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</si>
  <si>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</si>
  <si>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</si>
  <si>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</si>
  <si>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</si>
  <si>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</si>
  <si>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</si>
  <si>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</si>
  <si>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</si>
  <si>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</si>
  <si>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</si>
  <si>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</si>
  <si>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</si>
  <si>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</si>
  <si>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</si>
  <si>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</si>
  <si>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</si>
  <si>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</si>
  <si>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</si>
  <si>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</si>
  <si>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</si>
  <si>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</si>
  <si>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</si>
  <si>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</si>
  <si>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</si>
  <si>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</si>
  <si>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</si>
  <si>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</si>
  <si>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</si>
  <si>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</si>
  <si>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</si>
  <si>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</si>
  <si>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</si>
  <si>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</si>
  <si>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</si>
  <si>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</si>
  <si>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</si>
  <si>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</si>
  <si>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</si>
  <si>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</si>
  <si>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</si>
  <si>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</si>
  <si>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</si>
  <si>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</si>
  <si>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</si>
  <si>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</si>
  <si>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</si>
  <si>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</si>
  <si>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</si>
  <si>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</si>
  <si>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</si>
  <si>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</si>
  <si>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</si>
  <si>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</si>
  <si>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</si>
  <si>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</si>
  <si>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</si>
  <si>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</si>
  <si>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</si>
  <si>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</si>
  <si>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</si>
  <si>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</si>
  <si>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</si>
  <si>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</si>
  <si>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</si>
  <si>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</si>
  <si>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</si>
  <si>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</si>
  <si>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</si>
  <si>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</si>
  <si>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</si>
  <si>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</si>
  <si>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</si>
  <si>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</si>
  <si>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</si>
  <si>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</si>
  <si>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</si>
  <si>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</si>
  <si>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</si>
  <si>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</si>
  <si>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</si>
  <si>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</si>
  <si>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</si>
  <si>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</si>
  <si>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</si>
  <si>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</si>
  <si>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</si>
  <si>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</si>
  <si>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</si>
  <si>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</si>
  <si>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</si>
  <si>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</si>
  <si>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</si>
  <si>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</si>
  <si>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</si>
  <si>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</si>
  <si>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</si>
  <si>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</si>
  <si>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</si>
  <si>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</si>
  <si>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</si>
  <si>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</si>
  <si>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</si>
  <si>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</si>
  <si>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</si>
  <si>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</si>
  <si>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</si>
  <si>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</si>
  <si>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</si>
  <si>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</si>
  <si>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</si>
  <si>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</si>
  <si>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</si>
  <si>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</si>
  <si>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</si>
  <si>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</si>
  <si>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</si>
  <si>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</si>
  <si>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</si>
  <si>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</si>
  <si>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</si>
  <si>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</si>
  <si>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</si>
  <si>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</si>
  <si>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</si>
  <si>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</si>
  <si>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</si>
  <si>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</si>
  <si>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</si>
  <si>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</si>
  <si>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</si>
  <si>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</si>
  <si>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</si>
  <si>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</si>
  <si>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</si>
  <si>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</si>
  <si>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</si>
  <si>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</si>
  <si>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</si>
  <si>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</si>
  <si>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</si>
  <si>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</si>
  <si>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</si>
  <si>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</si>
  <si>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</si>
  <si>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</si>
  <si>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</si>
  <si>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</si>
  <si>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</si>
  <si>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</si>
  <si>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</si>
  <si>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</si>
  <si>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</si>
  <si>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</si>
  <si>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</si>
  <si>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</si>
  <si>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</si>
  <si>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</si>
  <si>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</si>
  <si>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</si>
  <si>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</si>
  <si>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</si>
  <si>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</si>
  <si>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</si>
  <si>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</si>
  <si>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</si>
  <si>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</si>
  <si>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</si>
  <si>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</si>
  <si>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</si>
  <si>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</si>
  <si>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</si>
  <si>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</si>
  <si>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</si>
  <si>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</si>
  <si>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</si>
  <si>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</si>
  <si>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</si>
  <si>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</si>
  <si>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</si>
  <si>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</si>
  <si>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</si>
  <si>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</si>
  <si>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</si>
  <si>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</si>
  <si>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</si>
  <si>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</si>
  <si>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</si>
  <si>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</si>
  <si>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</si>
  <si>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</si>
  <si>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</si>
  <si>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</si>
  <si>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</si>
  <si>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</si>
  <si>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</si>
  <si>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</si>
  <si>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</si>
  <si>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</si>
  <si>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</si>
  <si>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</si>
  <si>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</si>
  <si>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</si>
  <si>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</si>
  <si>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</si>
  <si>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</si>
  <si>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</si>
  <si>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</si>
  <si>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</si>
  <si>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</si>
  <si>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</si>
  <si>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</si>
  <si>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</si>
  <si>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</si>
  <si>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</si>
  <si>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</si>
  <si>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</si>
  <si>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</si>
  <si>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</si>
  <si>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</si>
  <si>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</si>
  <si>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</si>
  <si>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</si>
  <si>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</si>
  <si>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</si>
  <si>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</si>
  <si>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</si>
  <si>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</si>
  <si>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</si>
  <si>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</si>
  <si>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</si>
  <si>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</si>
  <si>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</si>
  <si>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</si>
  <si>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</si>
  <si>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</si>
  <si>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</si>
  <si>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</si>
  <si>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</si>
  <si>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</si>
  <si>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</si>
  <si>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</si>
  <si>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</si>
  <si>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</si>
  <si>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</si>
  <si>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</si>
  <si>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</si>
  <si>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</si>
  <si>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</si>
  <si>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</si>
  <si>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</si>
  <si>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</si>
  <si>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</si>
  <si>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</si>
  <si>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</si>
  <si>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</si>
  <si>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</si>
  <si>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</si>
  <si>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</si>
  <si>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</si>
  <si>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</si>
  <si>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</si>
  <si>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</si>
  <si>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</si>
  <si>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</si>
  <si>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</si>
  <si>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</si>
  <si>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</si>
  <si>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</si>
  <si>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</si>
  <si>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</si>
  <si>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</si>
  <si>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</si>
  <si>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</si>
  <si>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</si>
  <si>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</si>
  <si>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</si>
  <si>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</si>
  <si>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</si>
  <si>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</si>
  <si>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</si>
  <si>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</si>
  <si>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</si>
  <si>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</si>
  <si>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</si>
  <si>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</si>
  <si>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</si>
  <si>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</si>
  <si>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</si>
  <si>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</si>
  <si>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</si>
  <si>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</si>
  <si>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</si>
  <si>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</si>
  <si>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</si>
  <si>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</si>
  <si>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</si>
  <si>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</si>
  <si>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</si>
  <si>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</si>
  <si>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</si>
  <si>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</si>
  <si>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</si>
  <si>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</si>
  <si>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</si>
  <si>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</si>
  <si>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</si>
  <si>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</si>
  <si>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</si>
  <si>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</si>
  <si>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</si>
  <si>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</si>
  <si>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</si>
  <si>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</si>
  <si>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</si>
  <si>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</si>
  <si>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</si>
  <si>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</si>
  <si>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</si>
  <si>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</si>
  <si>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</si>
  <si>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</si>
  <si>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</si>
  <si>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</si>
  <si>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</si>
  <si>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</si>
  <si>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</si>
  <si>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</si>
  <si>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</si>
  <si>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</si>
  <si>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</si>
  <si>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</si>
  <si>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</si>
  <si>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</si>
  <si>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</si>
  <si>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</si>
  <si>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</si>
  <si>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</si>
  <si>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</si>
  <si>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</si>
  <si>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</si>
  <si>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</si>
  <si>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</si>
  <si>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</si>
  <si>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</si>
  <si>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</si>
  <si>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</si>
  <si>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</si>
  <si>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</si>
  <si>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</si>
  <si>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</si>
  <si>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</si>
  <si>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</si>
  <si>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</si>
  <si>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</si>
  <si>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</si>
  <si>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</si>
  <si>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</si>
  <si>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</si>
  <si>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</si>
  <si>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</si>
  <si>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</si>
  <si>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</si>
  <si>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</si>
  <si>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</si>
  <si>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</si>
  <si>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</si>
  <si>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</si>
  <si>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</si>
  <si>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</si>
  <si>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</si>
  <si>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</si>
  <si>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</si>
  <si>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</si>
  <si>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</si>
  <si>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</si>
  <si>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</si>
  <si>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</si>
  <si>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</si>
  <si>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</si>
  <si>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</si>
  <si>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</si>
  <si>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</si>
  <si>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</si>
  <si>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</si>
  <si>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</si>
  <si>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</si>
  <si>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</si>
  <si>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</si>
  <si>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</si>
  <si>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</si>
  <si>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</si>
  <si>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</si>
  <si>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</si>
  <si>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</si>
  <si>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</si>
  <si>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</si>
  <si>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</si>
  <si>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</si>
  <si>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</si>
  <si>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</si>
  <si>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</si>
  <si>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</si>
  <si>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</si>
  <si>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</si>
  <si>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</si>
  <si>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</si>
  <si>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</si>
  <si>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</si>
  <si>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</si>
  <si>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</si>
  <si>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</si>
  <si>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</si>
  <si>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</si>
  <si>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</si>
  <si>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</si>
  <si>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</si>
  <si>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</si>
  <si>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</si>
  <si>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</si>
  <si>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</si>
  <si>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</si>
  <si>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</si>
  <si>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</si>
  <si>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</si>
  <si>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</si>
  <si>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</si>
  <si>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</si>
  <si>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</si>
  <si>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</si>
  <si>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</si>
  <si>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</si>
  <si>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</si>
  <si>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</si>
  <si>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</si>
  <si>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</si>
  <si>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</si>
  <si>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</si>
  <si>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</si>
  <si>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</si>
  <si>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</si>
  <si>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</si>
  <si>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</si>
  <si>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</si>
  <si>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</si>
  <si>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</si>
  <si>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</si>
  <si>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</si>
  <si>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</si>
  <si>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</si>
  <si>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</si>
  <si>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</si>
  <si>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</si>
  <si>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</si>
  <si>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</si>
  <si>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</si>
  <si>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</si>
  <si>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</si>
  <si>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</si>
  <si>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</si>
  <si>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</si>
  <si>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</si>
  <si>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</si>
  <si>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</si>
  <si>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</si>
  <si>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</si>
  <si>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</si>
  <si>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</si>
  <si>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</si>
  <si>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</si>
  <si>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</si>
  <si>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</si>
  <si>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</si>
  <si>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</si>
  <si>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</si>
  <si>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</si>
  <si>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</si>
  <si>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</si>
  <si>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</si>
  <si>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</si>
  <si>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</si>
  <si>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</si>
  <si>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</si>
  <si>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</si>
  <si>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</si>
  <si>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</si>
  <si>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</si>
  <si>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</si>
  <si>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</si>
  <si>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</si>
  <si>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</si>
  <si>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</si>
  <si>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</si>
  <si>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</si>
  <si>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</si>
  <si>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</si>
  <si>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</si>
  <si>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</si>
  <si>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</si>
  <si>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</si>
  <si>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</si>
  <si>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</si>
  <si>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</si>
  <si>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</si>
  <si>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</si>
  <si>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</si>
  <si>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</si>
  <si>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</si>
  <si>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</si>
  <si>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</si>
  <si>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</si>
  <si>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</si>
  <si>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</si>
  <si>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</si>
  <si>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</si>
  <si>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</si>
  <si>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</si>
  <si>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</si>
  <si>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</si>
  <si>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</si>
  <si>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</si>
  <si>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</si>
  <si>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</si>
  <si>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</si>
  <si>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</si>
  <si>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</si>
  <si>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</si>
  <si>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</si>
  <si>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</si>
  <si>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</si>
  <si>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</si>
  <si>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</si>
  <si>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</si>
  <si>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</si>
  <si>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</si>
  <si>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</si>
  <si>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</si>
  <si>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</si>
  <si>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</si>
  <si>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</si>
  <si>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</si>
  <si>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</si>
  <si>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</si>
  <si>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</si>
  <si>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</si>
  <si>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</si>
  <si>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</si>
  <si>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</si>
  <si>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</si>
  <si>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</si>
  <si>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</si>
  <si>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</si>
  <si>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</si>
  <si>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</si>
  <si>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</si>
  <si>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</si>
  <si>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</si>
  <si>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</si>
  <si>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</si>
  <si>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</si>
  <si>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</si>
  <si>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</si>
  <si>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</si>
  <si>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</si>
  <si>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</si>
  <si>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</si>
  <si>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</si>
  <si>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</si>
  <si>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</si>
  <si>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</si>
  <si>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</si>
  <si>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</si>
  <si>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</si>
  <si>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</si>
  <si>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</si>
  <si>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</si>
  <si>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</si>
  <si>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</si>
  <si>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</si>
  <si>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</si>
  <si>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</si>
  <si>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</si>
  <si>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</si>
  <si>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</si>
  <si>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</si>
  <si>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</si>
  <si>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</si>
  <si>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</si>
  <si>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</si>
  <si>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</si>
  <si>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</si>
  <si>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</si>
  <si>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</si>
  <si>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</si>
  <si>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</si>
  <si>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</si>
  <si>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</si>
  <si>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</si>
  <si>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</si>
  <si>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</si>
  <si>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</si>
  <si>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</si>
  <si>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</si>
  <si>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</si>
  <si>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</si>
  <si>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</si>
  <si>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</si>
  <si>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</si>
  <si>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</si>
  <si>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</si>
  <si>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</si>
  <si>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</si>
  <si>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</si>
  <si>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</si>
  <si>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</si>
  <si>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</si>
  <si>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</si>
  <si>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</si>
  <si>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</si>
  <si>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</si>
  <si>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</si>
  <si>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</si>
  <si>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</si>
  <si>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</si>
  <si>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</si>
  <si>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</si>
  <si>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</si>
  <si>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</si>
  <si>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</si>
  <si>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</si>
  <si>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</si>
  <si>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</si>
  <si>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</si>
  <si>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</si>
  <si>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</si>
  <si>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</si>
  <si>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</si>
  <si>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</si>
  <si>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</si>
  <si>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</si>
  <si>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</si>
  <si>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</si>
  <si>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</si>
  <si>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</si>
  <si>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</si>
  <si>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</si>
  <si>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</si>
  <si>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</si>
  <si>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</si>
  <si>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</si>
  <si>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</si>
  <si>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</si>
  <si>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</si>
  <si>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</si>
  <si>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</si>
  <si>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</si>
  <si>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</si>
  <si>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</si>
  <si>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</si>
  <si>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</si>
  <si>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</si>
  <si>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</si>
  <si>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</si>
  <si>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</si>
  <si>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</si>
  <si>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</si>
  <si>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</si>
  <si>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</si>
  <si>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</si>
  <si>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</si>
  <si>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</si>
  <si>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</si>
  <si>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</si>
  <si>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</si>
  <si>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</si>
  <si>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</si>
  <si>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</si>
  <si>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</si>
  <si>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</si>
  <si>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</si>
  <si>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</si>
  <si>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</si>
  <si>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</si>
  <si>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</si>
  <si>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</si>
  <si>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</si>
  <si>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</si>
  <si>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</si>
  <si>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</si>
  <si>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</si>
  <si>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</si>
  <si>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</si>
  <si>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</si>
  <si>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</si>
  <si>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</si>
  <si>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</si>
  <si>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</si>
  <si>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</si>
  <si>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</si>
  <si>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</si>
  <si>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</si>
  <si>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</si>
  <si>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</si>
  <si>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</si>
  <si>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</si>
  <si>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</si>
  <si>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</si>
  <si>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</si>
  <si>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</si>
  <si>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</si>
  <si>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</si>
  <si>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</si>
  <si>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</si>
  <si>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</si>
  <si>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</si>
  <si>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</si>
  <si>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</si>
  <si>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</si>
  <si>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</si>
  <si>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</si>
  <si>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</si>
  <si>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</si>
  <si>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</si>
  <si>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</si>
  <si>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</si>
  <si>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</si>
  <si>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</si>
  <si>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</si>
  <si>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</si>
  <si>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</si>
  <si>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</si>
  <si>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</si>
  <si>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</si>
  <si>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</si>
  <si>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</si>
  <si>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</si>
  <si>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</si>
  <si>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</si>
  <si>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</si>
  <si>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</si>
  <si>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</si>
  <si>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</si>
  <si>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</si>
  <si>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</si>
  <si>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</si>
  <si>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</si>
  <si>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</si>
  <si>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</si>
  <si>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</si>
  <si>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</si>
  <si>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</si>
  <si>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</si>
  <si>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</si>
  <si>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</si>
  <si>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</si>
  <si>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</si>
  <si>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</si>
  <si>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</si>
  <si>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</si>
  <si>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</si>
  <si>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</si>
  <si>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</si>
  <si>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</si>
  <si>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</si>
  <si>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</si>
  <si>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</si>
  <si>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</si>
  <si>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</si>
  <si>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</si>
  <si>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</si>
  <si>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</si>
  <si>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</si>
  <si>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</si>
  <si>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</si>
  <si>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</si>
  <si>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</si>
  <si>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</si>
  <si>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</si>
  <si>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</si>
  <si>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</si>
  <si>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</si>
  <si>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</si>
  <si>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</si>
  <si>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</si>
  <si>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</si>
  <si>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</si>
  <si>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</si>
  <si>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</si>
  <si>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</si>
  <si>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</si>
  <si>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</si>
  <si>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</si>
  <si>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</si>
  <si>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</si>
  <si>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</si>
  <si>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</si>
  <si>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</si>
  <si>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</si>
  <si>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</si>
  <si>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</si>
  <si>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</si>
  <si>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</si>
  <si>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</si>
  <si>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</si>
  <si>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</si>
  <si>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</si>
  <si>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</si>
  <si>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</si>
  <si>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</si>
  <si>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</si>
  <si>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</si>
  <si>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</si>
  <si>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</si>
  <si>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</si>
  <si>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</si>
  <si>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</si>
  <si>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</si>
  <si>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</si>
  <si>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</si>
  <si>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</si>
  <si>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</si>
  <si>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</si>
  <si>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</si>
  <si>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</si>
  <si>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</si>
  <si>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</si>
  <si>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</si>
  <si>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</si>
  <si>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</si>
  <si>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</si>
  <si>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</si>
  <si>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</si>
  <si>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</si>
  <si>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</si>
  <si>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</si>
  <si>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</si>
  <si>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</si>
  <si>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</si>
  <si>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</si>
  <si>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</si>
  <si>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</si>
  <si>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</si>
  <si>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</si>
  <si>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</si>
  <si>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</si>
  <si>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</si>
  <si>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</si>
  <si>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</si>
  <si>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</si>
  <si>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</si>
  <si>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</si>
  <si>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</si>
  <si>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</si>
  <si>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</si>
  <si>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</si>
  <si>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</si>
  <si>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</si>
  <si>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</si>
  <si>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</si>
  <si>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</si>
  <si>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</si>
  <si>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</si>
  <si>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</si>
  <si>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</si>
  <si>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</si>
  <si>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</si>
  <si>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</si>
  <si>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</si>
  <si>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</si>
  <si>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</si>
  <si>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</si>
  <si>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</si>
  <si>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</si>
  <si>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</si>
  <si>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</si>
  <si>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</si>
  <si>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</si>
  <si>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</si>
  <si>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</si>
  <si>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</si>
  <si>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</si>
  <si>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</si>
  <si>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</si>
  <si>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</si>
  <si>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</si>
  <si>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</si>
  <si>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</si>
  <si>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</si>
  <si>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</si>
  <si>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</si>
  <si>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</si>
  <si>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</si>
  <si>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</si>
  <si>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</si>
  <si>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</si>
  <si>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</si>
  <si>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</si>
  <si>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</si>
  <si>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</si>
  <si>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</si>
  <si>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</si>
  <si>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</si>
  <si>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</si>
  <si>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</si>
  <si>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</si>
  <si>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</si>
  <si>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</si>
  <si>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</si>
  <si>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</si>
  <si>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</si>
  <si>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</si>
  <si>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</si>
  <si>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</si>
  <si>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</si>
  <si>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</si>
  <si>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</si>
  <si>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</si>
  <si>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</si>
  <si>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</si>
  <si>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</si>
  <si>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</si>
  <si>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</si>
  <si>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</si>
  <si>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</si>
  <si>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</si>
  <si>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</si>
  <si>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</si>
  <si>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</si>
  <si>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</si>
  <si>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</si>
  <si>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</si>
  <si>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</si>
  <si>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</si>
  <si>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</si>
  <si>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</si>
  <si>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</si>
  <si>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</si>
  <si>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</si>
  <si>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</si>
  <si>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</si>
  <si>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</si>
  <si>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</si>
  <si>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</si>
  <si>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</si>
  <si>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</si>
  <si>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</si>
  <si>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</si>
  <si>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</si>
  <si>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</si>
  <si>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</si>
  <si>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</si>
  <si>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</si>
  <si>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</si>
  <si>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</si>
  <si>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</si>
  <si>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</si>
  <si>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</si>
  <si>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</si>
  <si>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</si>
  <si>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</si>
  <si>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</si>
  <si>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</si>
  <si>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</si>
  <si>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</si>
  <si>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</si>
  <si>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</si>
  <si>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</si>
  <si>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</si>
  <si>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</si>
  <si>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</si>
  <si>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</si>
  <si>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</si>
  <si>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</si>
  <si>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</si>
  <si>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</si>
  <si>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</si>
  <si>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</si>
  <si>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</si>
  <si>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</si>
  <si>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</si>
  <si>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</si>
  <si>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</si>
  <si>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</si>
  <si>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</si>
  <si>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</si>
  <si>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</si>
  <si>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</si>
  <si>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</si>
  <si>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</si>
  <si>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</si>
  <si>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</si>
  <si>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</si>
  <si>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</si>
  <si>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</si>
  <si>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</si>
  <si>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</si>
  <si>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</si>
  <si>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</si>
  <si>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</si>
  <si>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</si>
  <si>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</si>
  <si>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</si>
  <si>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</si>
  <si>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</si>
  <si>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</si>
  <si>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</si>
  <si>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</si>
  <si>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</si>
  <si>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</si>
  <si>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</si>
  <si>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</si>
  <si>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</si>
  <si>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</si>
  <si>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</si>
  <si>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</si>
  <si>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</si>
  <si>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</si>
  <si>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</si>
  <si>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</si>
  <si>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</si>
  <si>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</si>
  <si>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</si>
  <si>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</si>
  <si>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</si>
  <si>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</si>
  <si>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</si>
  <si>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</si>
  <si>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</si>
  <si>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</si>
  <si>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</si>
  <si>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</si>
  <si>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</si>
  <si>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</si>
  <si>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</si>
  <si>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</si>
  <si>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</si>
  <si>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</si>
  <si>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</si>
  <si>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</si>
  <si>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</si>
  <si>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</si>
  <si>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</si>
  <si>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</si>
  <si>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</si>
  <si>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</si>
  <si>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</si>
  <si>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</si>
  <si>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</si>
  <si>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</si>
  <si>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</si>
  <si>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</si>
  <si>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</si>
  <si>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</si>
  <si>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</si>
  <si>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</si>
  <si>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</si>
  <si>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</si>
  <si>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</si>
  <si>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</si>
  <si>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</si>
  <si>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</si>
  <si>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</si>
  <si>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</si>
  <si>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</si>
  <si>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</si>
  <si>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</si>
  <si>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</si>
  <si>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</si>
  <si>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</si>
  <si>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</si>
  <si>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</si>
  <si>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</si>
  <si>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</si>
  <si>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</si>
  <si>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</si>
  <si>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</si>
  <si>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</si>
  <si>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</si>
  <si>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</si>
  <si>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</si>
  <si>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</si>
  <si>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</si>
  <si>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</si>
  <si>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</si>
  <si>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</si>
  <si>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</si>
  <si>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</si>
  <si>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</si>
  <si>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</si>
  <si>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</si>
  <si>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</si>
  <si>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</si>
  <si>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</si>
  <si>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</si>
  <si>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</si>
  <si>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</si>
  <si>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</si>
  <si>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</si>
  <si>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</si>
  <si>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</si>
  <si>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</si>
  <si>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</si>
  <si>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</si>
  <si>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</si>
  <si>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</si>
  <si>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</si>
  <si>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</si>
  <si>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</si>
  <si>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</si>
  <si>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</si>
  <si>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</si>
  <si>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</si>
  <si>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</si>
  <si>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</si>
  <si>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</si>
  <si>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</si>
  <si>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</si>
  <si>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</si>
  <si>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</si>
  <si>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</si>
  <si>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</si>
  <si>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</si>
  <si>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</si>
  <si>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</si>
  <si>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</si>
  <si>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</si>
  <si>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</si>
  <si>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</si>
  <si>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</si>
  <si>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</si>
  <si>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</si>
  <si>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</si>
  <si>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</si>
  <si>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</si>
  <si>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</si>
  <si>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</si>
  <si>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</si>
  <si>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</si>
  <si>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</si>
  <si>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</si>
  <si>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</si>
  <si>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</si>
  <si>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</si>
  <si>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</si>
  <si>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</si>
  <si>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</si>
  <si>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</si>
  <si>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</si>
  <si>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</si>
  <si>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</si>
  <si>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</si>
  <si>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</si>
  <si>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</si>
  <si>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</si>
  <si>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</si>
  <si>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</si>
  <si>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</si>
  <si>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</si>
  <si>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</si>
  <si>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</si>
  <si>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</si>
  <si>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</si>
  <si>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</si>
  <si>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</si>
  <si>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</si>
  <si>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</si>
  <si>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</si>
  <si>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</si>
  <si>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</si>
  <si>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</si>
  <si>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</si>
  <si>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</si>
  <si>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</si>
  <si>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</si>
  <si>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</si>
  <si>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</si>
  <si>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</si>
  <si>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</si>
  <si>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</si>
  <si>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</si>
  <si>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</si>
  <si>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</si>
  <si>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</si>
  <si>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</si>
  <si>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</si>
  <si>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</si>
  <si>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</si>
  <si>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</si>
  <si>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</si>
  <si>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</si>
  <si>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</si>
  <si>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</si>
  <si>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</si>
  <si>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</si>
  <si>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</si>
  <si>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</si>
  <si>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</si>
  <si>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</si>
  <si>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</si>
  <si>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</si>
  <si>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</si>
  <si>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</si>
  <si>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</si>
  <si>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</si>
  <si>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</si>
  <si>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</si>
  <si>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</si>
  <si>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</si>
  <si>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</si>
  <si>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</si>
  <si>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</si>
  <si>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</si>
  <si>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</si>
  <si>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</si>
  <si>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</si>
  <si>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</si>
  <si>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</si>
  <si>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</si>
  <si>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</si>
  <si>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</si>
  <si>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</si>
  <si>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</si>
  <si>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</si>
  <si>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</si>
  <si>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</si>
  <si>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</si>
  <si>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</si>
  <si>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</si>
  <si>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</si>
  <si>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</si>
  <si>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</si>
  <si>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</si>
  <si>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</si>
  <si>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</si>
  <si>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</si>
  <si>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</si>
  <si>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</si>
  <si>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</si>
  <si>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</si>
  <si>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</si>
  <si>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</si>
  <si>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</si>
  <si>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</si>
  <si>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</si>
  <si>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</si>
  <si>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</si>
  <si>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</si>
  <si>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</si>
  <si>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</si>
  <si>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</si>
  <si>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</si>
  <si>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</si>
  <si>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</si>
  <si>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</si>
  <si>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</si>
  <si>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</si>
  <si>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</si>
  <si>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</si>
  <si>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</si>
  <si>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</si>
  <si>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</si>
  <si>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</si>
  <si>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</si>
  <si>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</si>
  <si>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</si>
  <si>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</si>
  <si>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</si>
  <si>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</si>
  <si>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</si>
  <si>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</si>
  <si>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</si>
  <si>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</si>
  <si>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</si>
  <si>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</si>
  <si>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</si>
  <si>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</si>
  <si>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</si>
  <si>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</si>
  <si>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</si>
  <si>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</si>
  <si>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</si>
  <si>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</si>
  <si>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</si>
  <si>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</si>
  <si>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</si>
  <si>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</si>
  <si>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</si>
  <si>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</si>
  <si>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</si>
  <si>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</si>
  <si>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</si>
  <si>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</si>
  <si>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</si>
  <si>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</si>
  <si>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</si>
  <si>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</si>
  <si>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</si>
  <si>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</si>
  <si>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</si>
  <si>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</si>
  <si>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</si>
  <si>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</si>
  <si>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</si>
  <si>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</si>
  <si>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</si>
  <si>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</si>
  <si>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</si>
  <si>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</si>
  <si>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</si>
  <si>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</si>
  <si>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</si>
  <si>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</si>
  <si>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</si>
  <si>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</si>
  <si>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</si>
  <si>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</si>
  <si>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</si>
  <si>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</si>
  <si>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</si>
  <si>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</si>
  <si>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</si>
  <si>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</si>
  <si>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</si>
  <si>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</si>
  <si>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</si>
  <si>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</si>
  <si>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</si>
  <si>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</si>
  <si>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</si>
  <si>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</si>
  <si>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</si>
  <si>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</si>
  <si>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</si>
  <si>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</si>
  <si>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</si>
  <si>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</si>
  <si>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</si>
  <si>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</si>
  <si>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</si>
  <si>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</si>
  <si>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</si>
  <si>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</si>
  <si>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</si>
  <si>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</si>
  <si>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</si>
  <si>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</si>
  <si>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</si>
  <si>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</si>
  <si>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</si>
  <si>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</si>
  <si>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</si>
  <si>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</si>
  <si>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</si>
  <si>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</si>
  <si>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</si>
  <si>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</si>
  <si>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</si>
  <si>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</si>
  <si>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</si>
  <si>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</si>
  <si>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</si>
  <si>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</si>
  <si>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</si>
  <si>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</si>
  <si>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</si>
  <si>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</si>
  <si>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</si>
  <si>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</si>
  <si>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</si>
  <si>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</si>
  <si>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</si>
  <si>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</si>
  <si>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</si>
  <si>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</si>
  <si>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</si>
  <si>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</si>
  <si>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</si>
  <si>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</si>
  <si>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</si>
  <si>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</si>
  <si>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</si>
  <si>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</si>
  <si>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</si>
  <si>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</si>
  <si>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</si>
  <si>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</si>
  <si>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</si>
  <si>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</si>
  <si>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</si>
  <si>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</si>
  <si>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</si>
  <si>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</si>
  <si>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</si>
  <si>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</si>
  <si>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</si>
  <si>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</si>
  <si>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</si>
  <si>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</si>
  <si>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</si>
  <si>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</si>
  <si>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</si>
  <si>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</si>
  <si>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</si>
  <si>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</si>
  <si>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</si>
  <si>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</si>
  <si>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</si>
  <si>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</si>
  <si>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</si>
  <si>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</si>
  <si>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</si>
  <si>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</si>
  <si>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</si>
  <si>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</si>
  <si>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</si>
  <si>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</si>
  <si>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</si>
  <si>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</si>
  <si>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</si>
  <si>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</si>
  <si>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</si>
  <si>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</si>
  <si>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</si>
  <si>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</si>
  <si>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</si>
  <si>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</si>
  <si>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</si>
  <si>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</si>
  <si>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</si>
  <si>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</si>
  <si>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</si>
  <si>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</si>
  <si>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</si>
  <si>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</si>
  <si>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</si>
  <si>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</si>
  <si>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</si>
  <si>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</si>
  <si>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</si>
  <si>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</si>
  <si>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</si>
  <si>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</si>
  <si>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</si>
  <si>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</si>
  <si>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</si>
  <si>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</si>
  <si>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</si>
  <si>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</si>
  <si>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</si>
  <si>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</si>
  <si>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</si>
  <si>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</si>
  <si>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</si>
  <si>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</si>
  <si>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</si>
  <si>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</si>
  <si>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</si>
  <si>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</si>
  <si>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</si>
  <si>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</si>
  <si>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</si>
  <si>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</si>
  <si>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</si>
  <si>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</si>
  <si>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</si>
  <si>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</si>
  <si>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</si>
  <si>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</si>
  <si>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</si>
  <si>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</si>
  <si>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</si>
  <si>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</si>
  <si>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</si>
  <si>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</si>
  <si>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</si>
  <si>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</si>
  <si>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</si>
  <si>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</si>
  <si>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</si>
  <si>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</si>
  <si>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</si>
  <si>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</si>
  <si>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</si>
  <si>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</si>
  <si>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</si>
  <si>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</si>
  <si>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</si>
  <si>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</si>
  <si>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</si>
  <si>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</si>
  <si>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</si>
  <si>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</si>
  <si>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</si>
  <si>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</si>
  <si>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</si>
  <si>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</si>
  <si>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</si>
  <si>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</si>
  <si>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</si>
  <si>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</si>
  <si>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</si>
  <si>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</si>
  <si>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</si>
  <si>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</si>
  <si>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</si>
  <si>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</si>
  <si>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</si>
  <si>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</si>
  <si>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</si>
  <si>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</si>
  <si>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</si>
  <si>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</si>
  <si>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</si>
  <si>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</si>
  <si>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</si>
  <si>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</si>
  <si>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</si>
  <si>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</si>
  <si>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</si>
  <si>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</si>
  <si>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</si>
  <si>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</si>
  <si>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</si>
  <si>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</si>
  <si>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</si>
  <si>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</si>
  <si>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</si>
  <si>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</si>
  <si>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</si>
  <si>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</si>
  <si>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</si>
  <si>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</si>
  <si>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</si>
  <si>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</si>
  <si>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</si>
  <si>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</si>
  <si>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</si>
  <si>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</si>
  <si>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</si>
  <si>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</si>
  <si>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</si>
  <si>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</si>
  <si>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</si>
  <si>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</si>
  <si>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</si>
  <si>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</si>
  <si>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</si>
  <si>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</si>
  <si>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</si>
  <si>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</si>
  <si>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</si>
  <si>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</si>
  <si>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</si>
  <si>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</si>
  <si>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</si>
  <si>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</si>
  <si>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</si>
  <si>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</si>
  <si>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</si>
  <si>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</si>
  <si>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</si>
  <si>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</si>
  <si>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</si>
  <si>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</si>
  <si>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</si>
  <si>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</si>
  <si>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</si>
  <si>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</si>
  <si>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</si>
  <si>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</si>
  <si>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</si>
  <si>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</si>
  <si>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</si>
  <si>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</si>
  <si>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</si>
  <si>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</si>
  <si>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</si>
  <si>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</si>
  <si>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</si>
  <si>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</si>
  <si>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</si>
  <si>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</si>
  <si>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</si>
  <si>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</si>
  <si>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</si>
  <si>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</si>
  <si>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</si>
  <si>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</si>
  <si>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</si>
  <si>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</si>
  <si>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</si>
  <si>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</si>
  <si>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</si>
  <si>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</si>
  <si>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</si>
  <si>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</si>
  <si>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</si>
  <si>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</si>
  <si>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</si>
  <si>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</si>
  <si>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</si>
  <si>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</si>
  <si>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</si>
  <si>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</si>
  <si>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</si>
  <si>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</si>
  <si>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</si>
  <si>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</si>
  <si>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</si>
  <si>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</si>
  <si>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</si>
  <si>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</si>
  <si>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</si>
  <si>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</si>
  <si>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</si>
  <si>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</si>
  <si>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</si>
  <si>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</si>
  <si>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</si>
  <si>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</si>
  <si>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</si>
  <si>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</si>
  <si>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</si>
  <si>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</si>
  <si>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</si>
  <si>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</si>
  <si>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</si>
  <si>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</si>
  <si>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</si>
  <si>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</si>
  <si>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</si>
  <si>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</si>
  <si>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</si>
  <si>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</si>
  <si>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</si>
  <si>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</si>
  <si>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</si>
  <si>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</si>
  <si>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</si>
  <si>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</si>
  <si>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</si>
  <si>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</si>
  <si>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</si>
  <si>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</si>
  <si>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</si>
  <si>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</si>
  <si>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</si>
  <si>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</si>
  <si>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</si>
  <si>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</si>
  <si>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</si>
  <si>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</si>
  <si>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</si>
  <si>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</si>
  <si>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</si>
  <si>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</si>
  <si>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</si>
  <si>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</si>
  <si>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</si>
  <si>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</si>
  <si>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</si>
  <si>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</si>
  <si>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</si>
  <si>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</si>
  <si>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</si>
  <si>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</si>
  <si>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</si>
  <si>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</si>
  <si>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</si>
  <si>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</si>
  <si>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</si>
  <si>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</si>
  <si>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</si>
  <si>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</si>
  <si>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</si>
  <si>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</si>
  <si>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</si>
  <si>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</si>
  <si>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</si>
  <si>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</si>
  <si>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</si>
  <si>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</si>
  <si>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</si>
  <si>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</si>
  <si>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</si>
  <si>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</si>
  <si>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</si>
  <si>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</si>
  <si>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</si>
  <si>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</si>
  <si>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</si>
  <si>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</si>
  <si>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</si>
  <si>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</si>
  <si>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</si>
  <si>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</si>
  <si>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</si>
  <si>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</si>
  <si>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</si>
  <si>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</si>
  <si>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</si>
  <si>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</si>
  <si>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</si>
  <si>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</si>
  <si>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</si>
  <si>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</si>
  <si>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</si>
  <si>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</si>
  <si>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</si>
  <si>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</si>
  <si>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</si>
  <si>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</si>
  <si>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</si>
  <si>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</si>
  <si>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</si>
  <si>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</si>
  <si>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</si>
  <si>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</si>
  <si>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</si>
  <si>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</si>
  <si>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</si>
  <si>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</si>
  <si>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</si>
  <si>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</si>
  <si>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</si>
  <si>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</si>
  <si>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</si>
  <si>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</si>
  <si>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</si>
  <si>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</si>
  <si>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</si>
  <si>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</si>
  <si>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</si>
  <si>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</si>
  <si>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</si>
  <si>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</si>
  <si>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</si>
  <si>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</si>
  <si>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</si>
  <si>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</si>
  <si>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</si>
  <si>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</si>
  <si>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</si>
  <si>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</si>
  <si>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</si>
  <si>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</si>
  <si>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</si>
  <si>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</si>
  <si>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</si>
  <si>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</si>
  <si>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</si>
  <si>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</si>
  <si>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</si>
  <si>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</si>
  <si>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</si>
  <si>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</si>
  <si>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</si>
  <si>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</si>
  <si>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</si>
  <si>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</si>
  <si>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</si>
  <si>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</si>
  <si>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</si>
  <si>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</si>
  <si>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</si>
  <si>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</si>
  <si>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</si>
  <si>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</si>
  <si>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</si>
  <si>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</si>
  <si>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</si>
  <si>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</si>
  <si>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</si>
  <si>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</si>
  <si>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</si>
  <si>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</si>
  <si>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</si>
  <si>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</si>
  <si>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</si>
  <si>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</si>
  <si>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</si>
  <si>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</si>
  <si>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</si>
  <si>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</si>
  <si>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</si>
  <si>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</si>
  <si>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</si>
  <si>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</si>
  <si>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</si>
  <si>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</si>
  <si>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</si>
  <si>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</si>
  <si>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</si>
  <si>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</si>
  <si>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</si>
  <si>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</si>
  <si>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</si>
  <si>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</si>
  <si>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</si>
  <si>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</si>
  <si>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</si>
  <si>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</si>
  <si>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</si>
  <si>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</si>
  <si>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</si>
  <si>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</si>
  <si>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</si>
  <si>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</si>
  <si>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</si>
  <si>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</si>
  <si>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</si>
  <si>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</si>
  <si>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</si>
  <si>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</si>
  <si>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</si>
  <si>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</si>
  <si>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</si>
  <si>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</si>
  <si>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</si>
  <si>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</si>
  <si>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</si>
  <si>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</si>
  <si>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</si>
  <si>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</si>
  <si>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</si>
  <si>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</si>
  <si>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</si>
  <si>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</si>
  <si>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</si>
  <si>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</si>
  <si>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</si>
  <si>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</si>
  <si>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</si>
  <si>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</si>
  <si>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</si>
  <si>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</si>
  <si>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</si>
  <si>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</si>
  <si>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Date Created Conversion</t>
  </si>
  <si>
    <t>Date Ended Conversion</t>
  </si>
  <si>
    <t>(Todas)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</si>
  <si>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</si>
  <si>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</si>
  <si>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</si>
  <si>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</si>
  <si>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</si>
  <si>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</si>
  <si>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</si>
  <si>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</si>
  <si>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</si>
  <si>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</si>
  <si>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</si>
  <si>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</si>
  <si>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</si>
  <si>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</si>
  <si>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Blurb</t>
  </si>
  <si>
    <t>Name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</si>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</sst>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4" fontId="2" fillId="0" borderId="0" xfId="0" applyNumberFormat="1" applyFont="1" applyAlignment="1">
      <alignment vertical="center" wrapText="1"/>
    </xf>
    <xf numFmtId="0" fontId="1" fillId="0" borderId="0" xfId="0" applyFont="1" applyAlignment="1">
      <alignment wrapText="1"/>
    </xf>
    <xf numFmtId="0" fontId="0" fillId="2" borderId="0" xfId="0" applyFill="1"/>
    <xf numFmtId="14" fontId="0" fillId="2" borderId="0" xfId="0" applyNumberFormat="1" applyFill="1" applyAlignment="1">
      <alignment horizontal="left"/>
    </xf>
    <xf numFmtId="0" fontId="0" fillId="2" borderId="0" xfId="0" applyNumberFormat="1" applyFill="1"/>
    <xf numFmtId="0" fontId="0" fillId="2" borderId="0" xfId="0" applyFill="1" applyAlignment="1">
      <alignment horizontal="left"/>
    </xf>
    <xf numFmtId="0" fontId="3" fillId="0" borderId="0" xfId="0" applyFont="1" applyAlignment="1">
      <alignment wrapText="1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/>
    <xf numFmtId="165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wrapText="1"/>
    </xf>
    <xf numFmtId="0" fontId="1" fillId="4" borderId="0" xfId="0" applyFont="1" applyFill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3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Theater</a:t>
            </a:r>
            <a:r>
              <a:rPr lang="en-US" sz="1050" baseline="0"/>
              <a:t> Outcomes based on launch date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B-41A2-812C-A393740AA1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B-41A2-812C-A393740AA1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B-41A2-812C-A393740AA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355487"/>
        <c:axId val="1939760175"/>
      </c:lineChart>
      <c:catAx>
        <c:axId val="193335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60175"/>
        <c:crosses val="autoZero"/>
        <c:auto val="1"/>
        <c:lblAlgn val="ctr"/>
        <c:lblOffset val="100"/>
        <c:noMultiLvlLbl val="0"/>
      </c:catAx>
      <c:valAx>
        <c:axId val="193976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35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0.51086956521739135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4-4B53-B3AA-C63B4999DE9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0.4891304347826087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4-4B53-B3AA-C63B4999DE9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74-4B53-B3AA-C63B4999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215727"/>
        <c:axId val="1070938815"/>
      </c:lineChart>
      <c:catAx>
        <c:axId val="116821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38815"/>
        <c:crosses val="autoZero"/>
        <c:auto val="1"/>
        <c:lblAlgn val="ctr"/>
        <c:lblOffset val="100"/>
        <c:noMultiLvlLbl val="0"/>
      </c:catAx>
      <c:valAx>
        <c:axId val="10709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1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994060876020788"/>
          <c:y val="9.65446120530103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C-47C4-B65B-B6049F1418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C-47C4-B65B-B6049F1418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C-47C4-B65B-B6049F1418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C-47C4-B65B-B6049F141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028736"/>
        <c:axId val="1888371264"/>
      </c:barChart>
      <c:catAx>
        <c:axId val="15570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371264"/>
        <c:crosses val="autoZero"/>
        <c:auto val="1"/>
        <c:lblAlgn val="ctr"/>
        <c:lblOffset val="100"/>
        <c:noMultiLvlLbl val="0"/>
      </c:catAx>
      <c:valAx>
        <c:axId val="18883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Date!TablaDinámica1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8-4688-8C39-DA2B5B54A0E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8-4688-8C39-DA2B5B54A0E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8-4688-8C39-DA2B5B54A0E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F-4D64-B0A2-A03E3B7B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257968"/>
        <c:axId val="1792167248"/>
      </c:lineChart>
      <c:catAx>
        <c:axId val="21322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67248"/>
        <c:crosses val="autoZero"/>
        <c:auto val="1"/>
        <c:lblAlgn val="ctr"/>
        <c:lblOffset val="100"/>
        <c:noMultiLvlLbl val="0"/>
      </c:catAx>
      <c:valAx>
        <c:axId val="17921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2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838199</xdr:colOff>
      <xdr:row>2</xdr:row>
      <xdr:rowOff>185736</xdr:rowOff>
    </xdr:from>
    <xdr:to>
      <xdr:col>13</xdr:col>
      <xdr:colOff>9524</xdr:colOff>
      <xdr:row>18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99F7FE-2FD4-495F-A96C-BB165D8D1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</xdr:colOff>
      <xdr:row>0</xdr:row>
      <xdr:rowOff>0</xdr:rowOff>
    </xdr:from>
    <xdr:to>
      <xdr:col>13</xdr:col>
      <xdr:colOff>892175</xdr:colOff>
      <xdr:row>13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75C9D1B-1BA6-49D8-9030-4D510C864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104775</xdr:rowOff>
    </xdr:from>
    <xdr:to>
      <xdr:col>12</xdr:col>
      <xdr:colOff>228600</xdr:colOff>
      <xdr:row>14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687F0B-A01D-4A00-8C01-E76A1E973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14287</xdr:rowOff>
    </xdr:from>
    <xdr:to>
      <xdr:col>13</xdr:col>
      <xdr:colOff>19050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F0DB76-C0BB-4268-A91B-082420C80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Rello" refreshedDate="44362.955963425928" createdVersion="6" refreshedVersion="6" minRefreshableVersion="3" recordCount="4114" xr:uid="{E1C6FD2A-D05C-4112-8AC4-AC230C9140F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Rello" refreshedDate="44364.612054513891" createdVersion="6" refreshedVersion="6" minRefreshableVersion="3" recordCount="4114" xr:uid="{F07AEA01-DD8A-4D8F-A8B3-83767269AB76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5/17/2009"/>
          <s v="Trim.1"/>
          <s v="Trim.2"/>
          <s v="Trim.3"/>
          <s v="Trim.4"/>
          <s v="&gt;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Rello" refreshedDate="44366.492585995373" createdVersion="6" refreshedVersion="6" minRefreshableVersion="3" recordCount="4114" xr:uid="{C6EE6485-F863-493B-9B16-D7E1A2F67E81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5/17/2009"/>
          <s v="Trim.1"/>
          <s v="Trim.2"/>
          <s v="Trim.3"/>
          <s v="Trim.4"/>
          <s v="&gt;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FB92B-E2EF-4F94-AEA3-B1A5C03E580C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5539-FABB-472F-8C33-D309657B5768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formats count="2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77AF2-499A-4A85-BC15-0124E4B878C8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C446-BEDC-4F66-927D-B684F2BD6F10}">
  <sheetPr codeName="Hoja1"/>
  <dimension ref="A1:E18"/>
  <sheetViews>
    <sheetView workbookViewId="0">
      <selection activeCell="N4" sqref="N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1" spans="1:5" x14ac:dyDescent="0.25">
      <c r="A1" s="22" t="s">
        <v>8358</v>
      </c>
      <c r="B1" t="s">
        <v>8315</v>
      </c>
    </row>
    <row r="2" spans="1:5" x14ac:dyDescent="0.25">
      <c r="A2" s="22" t="s">
        <v>8398</v>
      </c>
      <c r="B2" t="s">
        <v>8366</v>
      </c>
    </row>
    <row r="4" spans="1:5" x14ac:dyDescent="0.25">
      <c r="A4" s="22" t="s">
        <v>8363</v>
      </c>
      <c r="B4" s="22" t="s">
        <v>8360</v>
      </c>
    </row>
    <row r="5" spans="1:5" x14ac:dyDescent="0.25">
      <c r="A5" s="2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8373</v>
      </c>
      <c r="B6" s="23">
        <v>56</v>
      </c>
      <c r="C6" s="23">
        <v>33</v>
      </c>
      <c r="D6" s="23">
        <v>7</v>
      </c>
      <c r="E6" s="23">
        <v>96</v>
      </c>
    </row>
    <row r="7" spans="1:5" x14ac:dyDescent="0.25">
      <c r="A7" s="24" t="s">
        <v>8374</v>
      </c>
      <c r="B7" s="23">
        <v>71</v>
      </c>
      <c r="C7" s="23">
        <v>39</v>
      </c>
      <c r="D7" s="23">
        <v>3</v>
      </c>
      <c r="E7" s="23">
        <v>113</v>
      </c>
    </row>
    <row r="8" spans="1:5" x14ac:dyDescent="0.25">
      <c r="A8" s="24" t="s">
        <v>8375</v>
      </c>
      <c r="B8" s="23">
        <v>56</v>
      </c>
      <c r="C8" s="23">
        <v>33</v>
      </c>
      <c r="D8" s="23">
        <v>3</v>
      </c>
      <c r="E8" s="23">
        <v>92</v>
      </c>
    </row>
    <row r="9" spans="1:5" x14ac:dyDescent="0.25">
      <c r="A9" s="24" t="s">
        <v>8376</v>
      </c>
      <c r="B9" s="23">
        <v>71</v>
      </c>
      <c r="C9" s="23">
        <v>40</v>
      </c>
      <c r="D9" s="23">
        <v>2</v>
      </c>
      <c r="E9" s="23">
        <v>113</v>
      </c>
    </row>
    <row r="10" spans="1:5" x14ac:dyDescent="0.25">
      <c r="A10" s="24" t="s">
        <v>8367</v>
      </c>
      <c r="B10" s="23">
        <v>111</v>
      </c>
      <c r="C10" s="23">
        <v>52</v>
      </c>
      <c r="D10" s="23">
        <v>3</v>
      </c>
      <c r="E10" s="23">
        <v>166</v>
      </c>
    </row>
    <row r="11" spans="1:5" x14ac:dyDescent="0.25">
      <c r="A11" s="24" t="s">
        <v>8377</v>
      </c>
      <c r="B11" s="23">
        <v>100</v>
      </c>
      <c r="C11" s="23">
        <v>49</v>
      </c>
      <c r="D11" s="23">
        <v>4</v>
      </c>
      <c r="E11" s="23">
        <v>153</v>
      </c>
    </row>
    <row r="12" spans="1:5" x14ac:dyDescent="0.25">
      <c r="A12" s="24" t="s">
        <v>8368</v>
      </c>
      <c r="B12" s="23">
        <v>87</v>
      </c>
      <c r="C12" s="23">
        <v>50</v>
      </c>
      <c r="D12" s="23">
        <v>1</v>
      </c>
      <c r="E12" s="23">
        <v>138</v>
      </c>
    </row>
    <row r="13" spans="1:5" x14ac:dyDescent="0.25">
      <c r="A13" s="24" t="s">
        <v>8369</v>
      </c>
      <c r="B13" s="23">
        <v>72</v>
      </c>
      <c r="C13" s="23">
        <v>47</v>
      </c>
      <c r="D13" s="23">
        <v>4</v>
      </c>
      <c r="E13" s="23">
        <v>123</v>
      </c>
    </row>
    <row r="14" spans="1:5" x14ac:dyDescent="0.25">
      <c r="A14" s="24" t="s">
        <v>8370</v>
      </c>
      <c r="B14" s="23">
        <v>59</v>
      </c>
      <c r="C14" s="23">
        <v>34</v>
      </c>
      <c r="D14" s="23">
        <v>4</v>
      </c>
      <c r="E14" s="23">
        <v>97</v>
      </c>
    </row>
    <row r="15" spans="1:5" x14ac:dyDescent="0.25">
      <c r="A15" s="24" t="s">
        <v>8371</v>
      </c>
      <c r="B15" s="23">
        <v>65</v>
      </c>
      <c r="C15" s="23">
        <v>50</v>
      </c>
      <c r="D15" s="23"/>
      <c r="E15" s="23">
        <v>115</v>
      </c>
    </row>
    <row r="16" spans="1:5" x14ac:dyDescent="0.25">
      <c r="A16" s="24" t="s">
        <v>8372</v>
      </c>
      <c r="B16" s="23">
        <v>54</v>
      </c>
      <c r="C16" s="23">
        <v>31</v>
      </c>
      <c r="D16" s="23">
        <v>3</v>
      </c>
      <c r="E16" s="23">
        <v>88</v>
      </c>
    </row>
    <row r="17" spans="1:5" x14ac:dyDescent="0.25">
      <c r="A17" s="24" t="s">
        <v>8378</v>
      </c>
      <c r="B17" s="23">
        <v>37</v>
      </c>
      <c r="C17" s="23">
        <v>35</v>
      </c>
      <c r="D17" s="23">
        <v>3</v>
      </c>
      <c r="E17" s="23">
        <v>75</v>
      </c>
    </row>
    <row r="18" spans="1:5" x14ac:dyDescent="0.25">
      <c r="A18" s="24" t="s">
        <v>8361</v>
      </c>
      <c r="B18" s="23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291B-F7BE-4AC7-86E8-3D5B3729284E}">
  <sheetPr codeName="Hoja2"/>
  <dimension ref="A1:R13"/>
  <sheetViews>
    <sheetView tabSelected="1" workbookViewId="0">
      <selection activeCell="D6" sqref="D6"/>
    </sheetView>
  </sheetViews>
  <sheetFormatPr baseColWidth="10" defaultRowHeight="15" x14ac:dyDescent="0.25"/>
  <cols>
    <col min="1" max="1" width="21" customWidth="1"/>
    <col min="2" max="2" width="11.85546875" bestFit="1" customWidth="1"/>
    <col min="6" max="6" width="12" bestFit="1" customWidth="1"/>
    <col min="10" max="10" width="13.5703125" bestFit="1" customWidth="1"/>
    <col min="11" max="11" width="12.5703125" customWidth="1"/>
    <col min="12" max="12" width="8.140625" customWidth="1"/>
    <col min="13" max="13" width="9.7109375" customWidth="1"/>
    <col min="14" max="14" width="14.5703125" customWidth="1"/>
    <col min="15" max="15" width="11.140625" customWidth="1"/>
    <col min="16" max="16" width="11" customWidth="1"/>
    <col min="17" max="17" width="11.140625" customWidth="1"/>
  </cols>
  <sheetData>
    <row r="1" spans="1:18" ht="30" x14ac:dyDescent="0.25">
      <c r="A1" s="27" t="s">
        <v>8379</v>
      </c>
      <c r="B1" s="27" t="s">
        <v>8399</v>
      </c>
      <c r="C1" s="27" t="s">
        <v>8400</v>
      </c>
      <c r="D1" s="27" t="s">
        <v>8401</v>
      </c>
      <c r="E1" s="27" t="s">
        <v>8402</v>
      </c>
      <c r="F1" s="27" t="s">
        <v>8403</v>
      </c>
      <c r="G1" s="27" t="s">
        <v>8404</v>
      </c>
      <c r="H1" s="27" t="s">
        <v>8405</v>
      </c>
      <c r="R1" s="2"/>
    </row>
    <row r="2" spans="1:18" x14ac:dyDescent="0.25">
      <c r="A2" s="28" t="s">
        <v>8406</v>
      </c>
      <c r="B2" s="29">
        <f>COUNTIFS('Kickstarter Data'!F:F,"Successful",'Kickstarter Data'!D:D,"&lt;1000",'Kickstarter Data'!R:R,"plays")</f>
        <v>141</v>
      </c>
      <c r="C2" s="29">
        <f>COUNTIFS('Kickstarter Data'!F:F,"Failed",'Kickstarter Data'!D:D,"&lt;1000",'Kickstarter Data'!R:R,"plays")</f>
        <v>45</v>
      </c>
      <c r="D2" s="29">
        <f>COUNTIFS('Kickstarter Data'!F:F,"Canceled",'Kickstarter Data'!D:D,"&lt;1000",'Kickstarter Data'!R:R,"plays")</f>
        <v>0</v>
      </c>
      <c r="E2" s="29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  <c r="I2" s="26"/>
    </row>
    <row r="3" spans="1:18" x14ac:dyDescent="0.25">
      <c r="A3" s="28" t="s">
        <v>8407</v>
      </c>
      <c r="B3" s="29">
        <f>COUNTIFS('Kickstarter Data'!F:F,"Successful",'Kickstarter Data'!D:D,"&gt;=1000",'Kickstarter Data'!D:D,"&lt;5000",'Kickstarter Data'!R:R,"plays")</f>
        <v>388</v>
      </c>
      <c r="C3" s="29">
        <f>COUNTIFS('Kickstarter Data'!F:F,"Failed",'Kickstarter Data'!D:D,"&gt;=1000",'Kickstarter Data'!D:D,"&lt;5000",'Kickstarter Data'!R:R,"plays")</f>
        <v>146</v>
      </c>
      <c r="D3" s="29">
        <f>COUNTIFS('Kickstarter Data'!F:F,"Canceled",'Kickstarter Data'!D:D,"&gt;=1000",'Kickstarter Data'!D:D,"&lt;5000",'Kickstarter Data'!R:R,"plays")</f>
        <v>0</v>
      </c>
      <c r="E3" s="29">
        <f t="shared" ref="E3:E12" si="0">SUM(B3:D3)</f>
        <v>534</v>
      </c>
      <c r="F3" s="30">
        <f t="shared" ref="F3:F12" si="1">B3/E3</f>
        <v>0.72659176029962547</v>
      </c>
      <c r="G3" s="30">
        <f t="shared" ref="G3:G12" si="2">C3/E3</f>
        <v>0.27340823970037453</v>
      </c>
      <c r="H3" s="30">
        <f t="shared" ref="H3:H12" si="3">D3/E3</f>
        <v>0</v>
      </c>
      <c r="I3" s="25"/>
    </row>
    <row r="4" spans="1:18" x14ac:dyDescent="0.25">
      <c r="A4" s="28" t="s">
        <v>8408</v>
      </c>
      <c r="B4" s="29">
        <f>COUNTIFS('Kickstarter Data'!F:F,"Successful",'Kickstarter Data'!D:D,"&gt;=5000",'Kickstarter Data'!D:D,"&lt;10000",'Kickstarter Data'!R:R,"plays")</f>
        <v>93</v>
      </c>
      <c r="C4" s="29">
        <f>COUNTIFS('Kickstarter Data'!F:F,"Failed",'Kickstarter Data'!D:D,"&gt;=5000",'Kickstarter Data'!D:D,"&lt;10000",'Kickstarter Data'!R:R,"plays")</f>
        <v>76</v>
      </c>
      <c r="D4" s="29">
        <f>COUNTIFS('Kickstarter Data'!F:F,"Canceled",'Kickstarter Data'!D:D,"&gt;=5000",'Kickstarter Data'!D:D,"&lt;10000",'Kickstarter Data'!R:R,"plays")</f>
        <v>0</v>
      </c>
      <c r="E4" s="29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  <c r="I4" s="25"/>
    </row>
    <row r="5" spans="1:18" x14ac:dyDescent="0.25">
      <c r="A5" s="28" t="s">
        <v>8409</v>
      </c>
      <c r="B5" s="29">
        <f>COUNTIFS('Kickstarter Data'!F:F,"Successful",'Kickstarter Data'!D:D,"&gt;=10000",'Kickstarter Data'!D:D,"&lt;15000",'Kickstarter Data'!R:R,"plays")</f>
        <v>39</v>
      </c>
      <c r="C5" s="29">
        <f>COUNTIFS('Kickstarter Data'!F:F,"Failed",'Kickstarter Data'!D:D,"&gt;=10000",'Kickstarter Data'!D:D,"&lt;15000",'Kickstarter Data'!R:R,"plays")</f>
        <v>33</v>
      </c>
      <c r="D5" s="29">
        <f>COUNTIFS('Kickstarter Data'!F:F,"Canceled",'Kickstarter Data'!D:D,"&gt;=10000",'Kickstarter Data'!D:D,"&lt;15000",'Kickstarter Data'!R:R,"plays")</f>
        <v>0</v>
      </c>
      <c r="E5" s="29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  <c r="I5" s="25"/>
    </row>
    <row r="6" spans="1:18" x14ac:dyDescent="0.25">
      <c r="A6" s="28" t="s">
        <v>8410</v>
      </c>
      <c r="B6" s="29">
        <f>COUNTIFS('Kickstarter Data'!F:F,"Successful",'Kickstarter Data'!D:D,"&gt;=15000",'Kickstarter Data'!D:D,"&lt;20000")</f>
        <v>94</v>
      </c>
      <c r="C6" s="29">
        <f>COUNTIFS('Kickstarter Data'!F:F,"Failed",'Kickstarter Data'!D:D,"&gt;=15000",'Kickstarter Data'!D:D,"&lt;20000")</f>
        <v>90</v>
      </c>
      <c r="D6" s="29">
        <f>COUNTIFS('Kickstarter Data'!F:F,"Canceled",'Kickstarter Data'!D:D,"&gt;=15000",'Kickstarter Data'!D:D,"&lt;20000",'Kickstarter Data'!R:R,"plays")</f>
        <v>0</v>
      </c>
      <c r="E6" s="29">
        <f t="shared" si="0"/>
        <v>184</v>
      </c>
      <c r="F6" s="30">
        <f t="shared" si="1"/>
        <v>0.51086956521739135</v>
      </c>
      <c r="G6" s="30">
        <f t="shared" si="2"/>
        <v>0.4891304347826087</v>
      </c>
      <c r="H6" s="30">
        <f t="shared" si="3"/>
        <v>0</v>
      </c>
      <c r="I6" s="25"/>
    </row>
    <row r="7" spans="1:18" x14ac:dyDescent="0.25">
      <c r="A7" s="28" t="s">
        <v>8411</v>
      </c>
      <c r="B7" s="29">
        <f>COUNTIFS('Kickstarter Data'!F:F,"Successful",'Kickstarter Data'!D:D,"&gt;=20000",'Kickstarter Data'!D:D,"&lt;25000",'Kickstarter Data'!R:R,"plays")</f>
        <v>9</v>
      </c>
      <c r="C7" s="29">
        <f>COUNTIFS('Kickstarter Data'!F:F,"Failed",'Kickstarter Data'!D:D,"&gt;=20000",'Kickstarter Data'!D:D,"&lt;25000",'Kickstarter Data'!R:R,"plays")</f>
        <v>11</v>
      </c>
      <c r="D7" s="29">
        <f>COUNTIFS('Kickstarter Data'!F:F,"Canceled",'Kickstarter Data'!D:D,"&gt;=20000",'Kickstarter Data'!D:D,"&lt;25000",'Kickstarter Data'!R:R,"plays")</f>
        <v>0</v>
      </c>
      <c r="E7" s="29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  <c r="I7" s="25"/>
    </row>
    <row r="8" spans="1:18" x14ac:dyDescent="0.25">
      <c r="A8" s="28" t="s">
        <v>8412</v>
      </c>
      <c r="B8" s="29">
        <f>COUNTIFS('Kickstarter Data'!F:F,"Successful",'Kickstarter Data'!D:D,"&gt;=25000",'Kickstarter Data'!D:D,"&lt;30000",'Kickstarter Data'!R:R,"plays")</f>
        <v>1</v>
      </c>
      <c r="C8" s="29">
        <f>COUNTIFS('Kickstarter Data'!F:F,"Failed",'Kickstarter Data'!D:D,"&gt;=25000",'Kickstarter Data'!D:D,"&lt;30000",'Kickstarter Data'!R:R,"plays")</f>
        <v>4</v>
      </c>
      <c r="D8" s="29">
        <f>COUNTIFS('Kickstarter Data'!F:F,"Canceled",'Kickstarter Data'!D:D,"&gt;=25000",'Kickstarter Data'!D:D,"&lt;30000",'Kickstarter Data'!R:R,"plays")</f>
        <v>0</v>
      </c>
      <c r="E8" s="29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  <c r="I8" s="25"/>
    </row>
    <row r="9" spans="1:18" x14ac:dyDescent="0.25">
      <c r="A9" s="28" t="s">
        <v>8413</v>
      </c>
      <c r="B9" s="29">
        <f>COUNTIFS('Kickstarter Data'!F:F,"Successful",'Kickstarter Data'!D:D,"&gt;=30000",'Kickstarter Data'!D:D,"&lt;35000",'Kickstarter Data'!R:R,"plays")</f>
        <v>3</v>
      </c>
      <c r="C9" s="29">
        <f>COUNTIFS('Kickstarter Data'!F:F,"Failed",'Kickstarter Data'!D:D,"&gt;=30000",'Kickstarter Data'!D:D,"&lt;35000",'Kickstarter Data'!R:R,"plays")</f>
        <v>8</v>
      </c>
      <c r="D9" s="29">
        <f>COUNTIFS('Kickstarter Data'!F:F,"Canceled",'Kickstarter Data'!D:D,"&gt;=30000",'Kickstarter Data'!D:D,"&lt;35000",'Kickstarter Data'!R:R,"plays")</f>
        <v>0</v>
      </c>
      <c r="E9" s="2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  <c r="I9" s="25"/>
    </row>
    <row r="10" spans="1:18" x14ac:dyDescent="0.25">
      <c r="A10" s="28" t="s">
        <v>8414</v>
      </c>
      <c r="B10" s="29">
        <f>COUNTIFS('Kickstarter Data'!F:F,"Successful",'Kickstarter Data'!D:D,"&gt;=35000",'Kickstarter Data'!D:D,"&lt;40000",'Kickstarter Data'!R:R,"plays")</f>
        <v>4</v>
      </c>
      <c r="C10" s="29">
        <f>COUNTIFS('Kickstarter Data'!F:F,"Failed",'Kickstarter Data'!D:D,"&gt;=35000",'Kickstarter Data'!D:D,"&lt;40000",'Kickstarter Data'!R:R,"plays")</f>
        <v>2</v>
      </c>
      <c r="D10" s="29">
        <f>COUNTIFS('Kickstarter Data'!F:F,"Canceled",'Kickstarter Data'!D:D,"&gt;=35000",'Kickstarter Data'!D:D,"&lt;40000",'Kickstarter Data'!R:R,"plays")</f>
        <v>0</v>
      </c>
      <c r="E10" s="29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18" x14ac:dyDescent="0.25">
      <c r="A11" s="28" t="s">
        <v>8415</v>
      </c>
      <c r="B11" s="29">
        <f>COUNTIFS('Kickstarter Data'!F:F,"Successful",'Kickstarter Data'!D:D,"&gt;=40000",'Kickstarter Data'!D:D,"&lt;45000",'Kickstarter Data'!R:R,"plays")</f>
        <v>2</v>
      </c>
      <c r="C11" s="29">
        <f>COUNTIFS('Kickstarter Data'!F:F,"Failed",'Kickstarter Data'!D:D,"&gt;=40000",'Kickstarter Data'!D:D,"&lt;45000",'Kickstarter Data'!R:R,"plays")</f>
        <v>1</v>
      </c>
      <c r="D11" s="29">
        <f>COUNTIFS('Kickstarter Data'!F:F,"Canceled",'Kickstarter Data'!D:D,"&gt;=40000",'Kickstarter Data'!D:D,"&lt;45000",'Kickstarter Data'!R:R,"plays")</f>
        <v>0</v>
      </c>
      <c r="E11" s="29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18" x14ac:dyDescent="0.25">
      <c r="A12" s="28" t="s">
        <v>8416</v>
      </c>
      <c r="B12" s="29">
        <f>COUNTIFS('Kickstarter Data'!F:F,"Successful",'Kickstarter Data'!D:D,"&gt;=45000",'Kickstarter Data'!D:D,"&lt;50000",'Kickstarter Data'!R:R,"plays")</f>
        <v>0</v>
      </c>
      <c r="C12" s="29">
        <f>COUNTIFS('Kickstarter Data'!F:F,"Failed",'Kickstarter Data'!D:D,"&gt;=45000",'Kickstarter Data'!D:D,"&lt;50000",'Kickstarter Data'!R:R,"plays")</f>
        <v>1</v>
      </c>
      <c r="D12" s="29">
        <f>COUNTIFS('Kickstarter Data'!F:F,"Canceled",'Kickstarter Data'!D:D,"&gt;=45000",'Kickstarter Data'!D:D,"&lt;50000",'Kickstarter Data'!R:R,"plays")</f>
        <v>0</v>
      </c>
      <c r="E12" s="29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18" x14ac:dyDescent="0.25">
      <c r="A13" s="28" t="s">
        <v>8417</v>
      </c>
      <c r="B13" s="29">
        <f>COUNTIFS('Kickstarter Data'!F:F,"Successful",'Kickstarter Data'!D:D,"&gt;=50000",'Kickstarter Data'!R:R,"plays")</f>
        <v>2</v>
      </c>
      <c r="C13" s="29">
        <f>COUNTIFS('Kickstarter Data'!F:F,"Failed",'Kickstarter Data'!D:D,"&gt;=50000",'Kickstarter Data'!R:R,"plays")</f>
        <v>14</v>
      </c>
      <c r="D13" s="29">
        <f>COUNTIFS('Kickstarter Data'!F:F,"Canceled",'Kickstarter Data'!D:D,"&gt;=50000",'Kickstarter Data'!R:R,"plays")</f>
        <v>0</v>
      </c>
      <c r="E13" s="29">
        <f t="shared" ref="E13" si="4">SUM(B13:D13)</f>
        <v>16</v>
      </c>
      <c r="F13" s="30">
        <f t="shared" ref="F13" si="5">B13/E13</f>
        <v>0.125</v>
      </c>
      <c r="G13" s="30">
        <f t="shared" ref="G13" si="6">C13/E13</f>
        <v>0.875</v>
      </c>
      <c r="H13" s="30">
        <f t="shared" ref="H13" si="7">D13/E13</f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>
    <tabColor rgb="FFFFC000"/>
  </sheetPr>
  <dimension ref="A1:U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sqref="A1:XFD1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14.28515625" customWidth="1"/>
    <col min="20" max="20" width="13" customWidth="1"/>
  </cols>
  <sheetData>
    <row r="1" spans="1:21" ht="3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2" t="s">
        <v>8364</v>
      </c>
      <c r="T1" s="13" t="s">
        <v>8365</v>
      </c>
      <c r="U1" s="13" t="s">
        <v>8398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403DA0A-497D-4ADD-9418-E666BE115084}"/>
  <conditionalFormatting sqref="F1:F1048576">
    <cfRule type="cellIs" dxfId="33" priority="4" operator="equal">
      <formula>"failed"</formula>
    </cfRule>
    <cfRule type="cellIs" dxfId="32" priority="5" operator="equal">
      <formula>"canceled"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O1:O1048576 P1 S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EDD48-9A98-43F3-B0A1-5DEF0ADC77AD}">
  <sheetPr codeName="Hoja4"/>
  <dimension ref="A1:F246"/>
  <sheetViews>
    <sheetView workbookViewId="0">
      <selection activeCell="G4" sqref="G4"/>
    </sheetView>
  </sheetViews>
  <sheetFormatPr baseColWidth="10" defaultRowHeight="15" x14ac:dyDescent="0.25"/>
  <cols>
    <col min="1" max="1" width="38.42578125" style="3" customWidth="1"/>
    <col min="2" max="2" width="63.28515625" style="3" customWidth="1"/>
    <col min="3" max="3" width="23.42578125" customWidth="1"/>
    <col min="5" max="5" width="17" bestFit="1" customWidth="1"/>
    <col min="6" max="6" width="17.85546875" bestFit="1" customWidth="1"/>
  </cols>
  <sheetData>
    <row r="1" spans="1:6" x14ac:dyDescent="0.25">
      <c r="A1" s="19" t="s">
        <v>8382</v>
      </c>
      <c r="B1" s="19" t="s">
        <v>8381</v>
      </c>
      <c r="C1" s="20" t="s">
        <v>8379</v>
      </c>
      <c r="D1" s="20" t="s">
        <v>8380</v>
      </c>
      <c r="E1" s="20" t="s">
        <v>8307</v>
      </c>
      <c r="F1" s="20" t="s">
        <v>8383</v>
      </c>
    </row>
    <row r="2" spans="1:6" ht="47.25" x14ac:dyDescent="0.25">
      <c r="A2" s="3" t="s">
        <v>3473</v>
      </c>
      <c r="B2" s="18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Data'!B2:E4115,3,FALSE)</f>
        <v>2000</v>
      </c>
      <c r="D2">
        <f>VLOOKUP(A2,'Kickstarter Data'!B2:E4115,4,FALSE)</f>
        <v>2020</v>
      </c>
      <c r="E2">
        <f>VLOOKUP(A2,'Kickstarter Data'!B2:P4115,15,FALSE)</f>
        <v>51.79</v>
      </c>
      <c r="F2">
        <f>VLOOKUP(A2,'Kickstarter Data'!B2:P4115,11,FALSE)</f>
        <v>39</v>
      </c>
    </row>
    <row r="3" spans="1:6" ht="47.25" x14ac:dyDescent="0.25">
      <c r="A3" s="3" t="s">
        <v>3616</v>
      </c>
      <c r="B3" s="18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Data'!B3:E4116,3,FALSE)</f>
        <v>2000</v>
      </c>
      <c r="D3">
        <f>VLOOKUP(A3,'Kickstarter Data'!B3:E4116,4,FALSE)</f>
        <v>2020</v>
      </c>
      <c r="E3">
        <f>VLOOKUP(A3,'Kickstarter Data'!B3:P4116,15,FALSE)</f>
        <v>36.07</v>
      </c>
      <c r="F3">
        <f>VLOOKUP(A3,'Kickstarter Data'!B3:P4116,11,FALSE)</f>
        <v>56</v>
      </c>
    </row>
    <row r="4" spans="1:6" ht="63" x14ac:dyDescent="0.25">
      <c r="A4" s="3" t="s">
        <v>3178</v>
      </c>
      <c r="B4" s="18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Data'!B4:E4117,3,FALSE)</f>
        <v>1500</v>
      </c>
      <c r="D4">
        <f>VLOOKUP(A4,'Kickstarter Data'!B4:E4117,4,FALSE)</f>
        <v>2576</v>
      </c>
      <c r="E4">
        <f>VLOOKUP(A4,'Kickstarter Data'!B4:P4117,15,FALSE)</f>
        <v>33.03</v>
      </c>
      <c r="F4">
        <f>VLOOKUP(A4,'Kickstarter Data'!B4:P4117,11,FALSE)</f>
        <v>78</v>
      </c>
    </row>
    <row r="5" spans="1:6" ht="63" x14ac:dyDescent="0.25">
      <c r="A5" s="3" t="s">
        <v>3329</v>
      </c>
      <c r="B5" s="18" t="str">
        <f>VLOOKUP(A5,'Kickstarter Data'!B:C,2,FALSE)</f>
        <v>Jestia and Raedon is a brand new romantic comedy play going to the Edinburgh Fringe Festival this summer.</v>
      </c>
      <c r="C5">
        <f>VLOOKUP(A5,'Kickstarter Data'!B5:E4118,3,FALSE)</f>
        <v>1000</v>
      </c>
      <c r="D5">
        <f>VLOOKUP(A5,'Kickstarter Data'!B5:E4118,4,FALSE)</f>
        <v>1168</v>
      </c>
      <c r="E5">
        <f>VLOOKUP(A5,'Kickstarter Data'!B5:P4118,15,FALSE)</f>
        <v>44.92</v>
      </c>
      <c r="F5">
        <f>VLOOKUP(A5,'Kickstarter Data'!B5:P4118,11,FALSE)</f>
        <v>26</v>
      </c>
    </row>
    <row r="6" spans="1:6" ht="47.25" x14ac:dyDescent="0.25">
      <c r="A6" s="3" t="s">
        <v>3221</v>
      </c>
      <c r="B6" s="18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Data'!B6:E4119,3,FALSE)</f>
        <v>4000</v>
      </c>
      <c r="D6">
        <f>VLOOKUP(A6,'Kickstarter Data'!B6:E4119,4,FALSE)</f>
        <v>4137</v>
      </c>
      <c r="E6">
        <f>VLOOKUP(A6,'Kickstarter Data'!B6:P4119,15,FALSE)</f>
        <v>36.61</v>
      </c>
      <c r="F6">
        <f>VLOOKUP(A6,'Kickstarter Data'!B6:P4119,11,FALSE)</f>
        <v>113</v>
      </c>
    </row>
    <row r="246" spans="1:1" x14ac:dyDescent="0.25">
      <c r="A246" s="4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5AE5-36A0-4B6F-8A7D-A1F7B58C3E89}">
  <sheetPr codeName="Hoja5"/>
  <dimension ref="A1:C14"/>
  <sheetViews>
    <sheetView workbookViewId="0">
      <selection activeCell="B14" sqref="B14"/>
    </sheetView>
  </sheetViews>
  <sheetFormatPr baseColWidth="10" defaultRowHeight="15" x14ac:dyDescent="0.25"/>
  <cols>
    <col min="1" max="1" width="28.28515625" bestFit="1" customWidth="1"/>
    <col min="2" max="2" width="16.5703125" customWidth="1"/>
    <col min="3" max="3" width="17.285156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8385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8391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t="s">
        <v>8392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t="s">
        <v>8393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8386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8395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5">
      <c r="A13" t="s">
        <v>8396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5">
      <c r="A14" t="s">
        <v>8397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2E6D-20EF-425F-ABFC-3C5810C6538B}">
  <sheetPr codeName="Hoja6"/>
  <dimension ref="A1:F6"/>
  <sheetViews>
    <sheetView workbookViewId="0">
      <selection activeCell="A21" sqref="A21"/>
    </sheetView>
  </sheetViews>
  <sheetFormatPr baseColWidth="10" defaultRowHeight="15" x14ac:dyDescent="0.25"/>
  <cols>
    <col min="1" max="1" width="19.28515625" style="14" bestFit="1" customWidth="1"/>
    <col min="2" max="2" width="22.42578125" style="14" bestFit="1" customWidth="1"/>
    <col min="3" max="3" width="6.140625" style="14" bestFit="1" customWidth="1"/>
    <col min="4" max="4" width="4.28515625" style="14" bestFit="1" customWidth="1"/>
    <col min="5" max="5" width="10" style="14" bestFit="1" customWidth="1"/>
    <col min="6" max="6" width="12.5703125" style="14" bestFit="1" customWidth="1"/>
    <col min="7" max="16384" width="11.42578125" style="14"/>
  </cols>
  <sheetData>
    <row r="1" spans="1:6" x14ac:dyDescent="0.25">
      <c r="A1" s="14" t="s">
        <v>8222</v>
      </c>
      <c r="B1" s="14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s="14" t="s">
        <v>8219</v>
      </c>
      <c r="C4" s="14" t="s">
        <v>8220</v>
      </c>
      <c r="D4" s="14" t="s">
        <v>8221</v>
      </c>
      <c r="E4" s="14" t="s">
        <v>8218</v>
      </c>
      <c r="F4" s="14" t="s">
        <v>8361</v>
      </c>
    </row>
    <row r="5" spans="1:6" x14ac:dyDescent="0.25">
      <c r="A5" s="17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7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0B2A-F454-4260-8617-06867A63C8D9}">
  <sheetPr codeName="Hoja7"/>
  <dimension ref="A1:F17"/>
  <sheetViews>
    <sheetView topLeftCell="A3" workbookViewId="0">
      <selection activeCell="J20" sqref="J20"/>
    </sheetView>
  </sheetViews>
  <sheetFormatPr baseColWidth="10" defaultRowHeight="15" x14ac:dyDescent="0.25"/>
  <cols>
    <col min="1" max="1" width="19.28515625" style="14" bestFit="1" customWidth="1"/>
    <col min="2" max="2" width="22.42578125" style="14" bestFit="1" customWidth="1"/>
    <col min="3" max="3" width="6.140625" style="14" bestFit="1" customWidth="1"/>
    <col min="4" max="4" width="4.28515625" style="14" bestFit="1" customWidth="1"/>
    <col min="5" max="5" width="10" style="14" bestFit="1" customWidth="1"/>
    <col min="6" max="6" width="12.5703125" style="14" bestFit="1" customWidth="1"/>
    <col min="7" max="16384" width="11.42578125" style="14"/>
  </cols>
  <sheetData>
    <row r="1" spans="1:6" x14ac:dyDescent="0.25">
      <c r="A1" s="14" t="s">
        <v>8358</v>
      </c>
      <c r="B1" s="14" t="s">
        <v>8366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s="14" t="s">
        <v>8219</v>
      </c>
      <c r="C4" s="14" t="s">
        <v>8220</v>
      </c>
      <c r="D4" s="14" t="s">
        <v>8221</v>
      </c>
      <c r="E4" s="14" t="s">
        <v>8218</v>
      </c>
      <c r="F4" s="14" t="s">
        <v>8361</v>
      </c>
    </row>
    <row r="5" spans="1:6" x14ac:dyDescent="0.25">
      <c r="A5" s="15" t="s">
        <v>8373</v>
      </c>
      <c r="B5" s="16">
        <v>34</v>
      </c>
      <c r="C5" s="16">
        <v>149</v>
      </c>
      <c r="D5" s="16">
        <v>2</v>
      </c>
      <c r="E5" s="16">
        <v>182</v>
      </c>
      <c r="F5" s="16">
        <v>367</v>
      </c>
    </row>
    <row r="6" spans="1:6" x14ac:dyDescent="0.25">
      <c r="A6" s="15" t="s">
        <v>8374</v>
      </c>
      <c r="B6" s="16">
        <v>27</v>
      </c>
      <c r="C6" s="16">
        <v>106</v>
      </c>
      <c r="D6" s="16">
        <v>18</v>
      </c>
      <c r="E6" s="16">
        <v>202</v>
      </c>
      <c r="F6" s="16">
        <v>353</v>
      </c>
    </row>
    <row r="7" spans="1:6" x14ac:dyDescent="0.25">
      <c r="A7" s="15" t="s">
        <v>8375</v>
      </c>
      <c r="B7" s="16">
        <v>28</v>
      </c>
      <c r="C7" s="16">
        <v>108</v>
      </c>
      <c r="D7" s="16">
        <v>30</v>
      </c>
      <c r="E7" s="16">
        <v>180</v>
      </c>
      <c r="F7" s="16">
        <v>346</v>
      </c>
    </row>
    <row r="8" spans="1:6" x14ac:dyDescent="0.25">
      <c r="A8" s="15" t="s">
        <v>8376</v>
      </c>
      <c r="B8" s="16">
        <v>27</v>
      </c>
      <c r="C8" s="16">
        <v>102</v>
      </c>
      <c r="D8" s="16"/>
      <c r="E8" s="16">
        <v>192</v>
      </c>
      <c r="F8" s="16">
        <v>321</v>
      </c>
    </row>
    <row r="9" spans="1:6" x14ac:dyDescent="0.25">
      <c r="A9" s="15" t="s">
        <v>8367</v>
      </c>
      <c r="B9" s="16">
        <v>26</v>
      </c>
      <c r="C9" s="16">
        <v>126</v>
      </c>
      <c r="D9" s="16"/>
      <c r="E9" s="16">
        <v>234</v>
      </c>
      <c r="F9" s="16">
        <v>386</v>
      </c>
    </row>
    <row r="10" spans="1:6" x14ac:dyDescent="0.25">
      <c r="A10" s="15" t="s">
        <v>8377</v>
      </c>
      <c r="B10" s="16">
        <v>27</v>
      </c>
      <c r="C10" s="16">
        <v>147</v>
      </c>
      <c r="D10" s="16"/>
      <c r="E10" s="16">
        <v>211</v>
      </c>
      <c r="F10" s="16">
        <v>385</v>
      </c>
    </row>
    <row r="11" spans="1:6" x14ac:dyDescent="0.25">
      <c r="A11" s="15" t="s">
        <v>8368</v>
      </c>
      <c r="B11" s="16">
        <v>43</v>
      </c>
      <c r="C11" s="16">
        <v>150</v>
      </c>
      <c r="D11" s="16"/>
      <c r="E11" s="16">
        <v>194</v>
      </c>
      <c r="F11" s="16">
        <v>387</v>
      </c>
    </row>
    <row r="12" spans="1:6" x14ac:dyDescent="0.25">
      <c r="A12" s="15" t="s">
        <v>8369</v>
      </c>
      <c r="B12" s="16">
        <v>33</v>
      </c>
      <c r="C12" s="16">
        <v>134</v>
      </c>
      <c r="D12" s="16"/>
      <c r="E12" s="16">
        <v>166</v>
      </c>
      <c r="F12" s="16">
        <v>333</v>
      </c>
    </row>
    <row r="13" spans="1:6" x14ac:dyDescent="0.25">
      <c r="A13" s="15" t="s">
        <v>8370</v>
      </c>
      <c r="B13" s="16">
        <v>24</v>
      </c>
      <c r="C13" s="16">
        <v>127</v>
      </c>
      <c r="D13" s="16"/>
      <c r="E13" s="16">
        <v>147</v>
      </c>
      <c r="F13" s="16">
        <v>298</v>
      </c>
    </row>
    <row r="14" spans="1:6" x14ac:dyDescent="0.25">
      <c r="A14" s="15" t="s">
        <v>8371</v>
      </c>
      <c r="B14" s="16">
        <v>20</v>
      </c>
      <c r="C14" s="16">
        <v>149</v>
      </c>
      <c r="D14" s="16"/>
      <c r="E14" s="16">
        <v>183</v>
      </c>
      <c r="F14" s="16">
        <v>352</v>
      </c>
    </row>
    <row r="15" spans="1:6" x14ac:dyDescent="0.25">
      <c r="A15" s="15" t="s">
        <v>8372</v>
      </c>
      <c r="B15" s="16">
        <v>37</v>
      </c>
      <c r="C15" s="16">
        <v>114</v>
      </c>
      <c r="D15" s="16"/>
      <c r="E15" s="16">
        <v>183</v>
      </c>
      <c r="F15" s="16">
        <v>334</v>
      </c>
    </row>
    <row r="16" spans="1:6" x14ac:dyDescent="0.25">
      <c r="A16" s="15" t="s">
        <v>8378</v>
      </c>
      <c r="B16" s="16">
        <v>23</v>
      </c>
      <c r="C16" s="16">
        <v>118</v>
      </c>
      <c r="D16" s="16"/>
      <c r="E16" s="16">
        <v>111</v>
      </c>
      <c r="F16" s="16">
        <v>252</v>
      </c>
    </row>
    <row r="17" spans="1:6" x14ac:dyDescent="0.25">
      <c r="A17" s="15" t="s">
        <v>8361</v>
      </c>
      <c r="B17" s="16">
        <v>349</v>
      </c>
      <c r="C17" s="16">
        <v>1530</v>
      </c>
      <c r="D17" s="16">
        <v>50</v>
      </c>
      <c r="E17" s="16">
        <v>2185</v>
      </c>
      <c r="F1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 Data</vt:lpstr>
      <vt:lpstr>Edinburgh Research</vt:lpstr>
      <vt:lpstr>Descriptive Statistics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Rello</cp:lastModifiedBy>
  <dcterms:created xsi:type="dcterms:W3CDTF">2017-04-20T15:17:24Z</dcterms:created>
  <dcterms:modified xsi:type="dcterms:W3CDTF">2021-06-24T01:06:53Z</dcterms:modified>
</cp:coreProperties>
</file>