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E8960B07-55F9-45A3-8D0B-2AF7647E35CE}" xr6:coauthVersionLast="46" xr6:coauthVersionMax="46" xr10:uidLastSave="{00000000-0000-0000-0000-000000000000}"/>
  <bookViews>
    <workbookView xWindow="-120" yWindow="-120" windowWidth="20730" windowHeight="11160" tabRatio="705" firstSheet="12" activeTab="18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19" sheetId="19" r:id="rId19"/>
    <sheet name="ERI19" sheetId="20" r:id="rId20"/>
    <sheet name="ECP19" sheetId="21" r:id="rId21"/>
    <sheet name="PAT19" sheetId="22" r:id="rId22"/>
    <sheet name="EFE19" sheetId="23" r:id="rId23"/>
    <sheet name="Planilla Final 2017" sheetId="24" state="hidden" r:id="rId24"/>
    <sheet name="Participaciones 2017" sheetId="25" state="hidden" r:id="rId25"/>
  </sheets>
  <externalReferences>
    <externalReference r:id="rId26"/>
  </externalReferences>
  <definedNames>
    <definedName name="_xlnm.Print_Area" localSheetId="7">'Asientos - para Consolidado'!$A$1:$M$75</definedName>
    <definedName name="_xlnm.Print_Area" localSheetId="22">'EFE19'!$A$1:$H$71</definedName>
    <definedName name="_xlnm.Print_Area" localSheetId="0">'ESF - ERI'!$A$1:$AI$79</definedName>
    <definedName name="_xlnm.Print_Area" localSheetId="18">'ESF19'!$A$2:$W$35</definedName>
    <definedName name="_xlnm.Print_Area" localSheetId="8">PNC!$B$1:$H$103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39" i="25" l="1"/>
  <c r="U39" i="25"/>
  <c r="G39" i="25"/>
  <c r="AA38" i="25"/>
  <c r="AG38" i="25" s="1"/>
  <c r="W37" i="25"/>
  <c r="U37" i="25"/>
  <c r="G37" i="25"/>
  <c r="E37" i="25"/>
  <c r="Y36" i="25"/>
  <c r="Q36" i="25"/>
  <c r="O36" i="25"/>
  <c r="M36" i="25"/>
  <c r="K36" i="25"/>
  <c r="I36" i="25"/>
  <c r="C36" i="25"/>
  <c r="G35" i="25"/>
  <c r="E35" i="25"/>
  <c r="Y34" i="25"/>
  <c r="Q34" i="25"/>
  <c r="K34" i="25"/>
  <c r="C34" i="25"/>
  <c r="K33" i="25"/>
  <c r="Y32" i="25"/>
  <c r="W32" i="25"/>
  <c r="U32" i="25"/>
  <c r="M32" i="25"/>
  <c r="K32" i="25"/>
  <c r="G32" i="25"/>
  <c r="E32" i="25"/>
  <c r="C32" i="25"/>
  <c r="U31" i="25"/>
  <c r="M31" i="25"/>
  <c r="E31" i="25"/>
  <c r="Y28" i="25"/>
  <c r="K28" i="25"/>
  <c r="Y27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Q25" i="25"/>
  <c r="Q37" i="25" s="1"/>
  <c r="M25" i="25"/>
  <c r="M37" i="25" s="1"/>
  <c r="K25" i="25"/>
  <c r="K37" i="25" s="1"/>
  <c r="E25" i="25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E33" i="25" s="1"/>
  <c r="C21" i="25"/>
  <c r="AE20" i="25"/>
  <c r="AC20" i="25"/>
  <c r="Y20" i="25"/>
  <c r="Q20" i="25"/>
  <c r="Q32" i="25" s="1"/>
  <c r="O20" i="25"/>
  <c r="O32" i="25" s="1"/>
  <c r="C20" i="25"/>
  <c r="AE19" i="25"/>
  <c r="Y19" i="25"/>
  <c r="Y31" i="25" s="1"/>
  <c r="W19" i="25"/>
  <c r="U19" i="25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I16" i="25"/>
  <c r="I23" i="25" s="1"/>
  <c r="I35" i="25" s="1"/>
  <c r="G16" i="25"/>
  <c r="G25" i="25" s="1"/>
  <c r="AE13" i="25"/>
  <c r="Y13" i="25"/>
  <c r="W13" i="25"/>
  <c r="U13" i="25"/>
  <c r="S13" i="25"/>
  <c r="Q13" i="25"/>
  <c r="O13" i="25"/>
  <c r="I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M74" i="24"/>
  <c r="M71" i="24"/>
  <c r="G71" i="24"/>
  <c r="B70" i="24"/>
  <c r="N70" i="24" s="1"/>
  <c r="R70" i="24" s="1"/>
  <c r="R67" i="24"/>
  <c r="N67" i="24"/>
  <c r="N66" i="24"/>
  <c r="R66" i="24" s="1"/>
  <c r="E64" i="24"/>
  <c r="E68" i="24" s="1"/>
  <c r="E71" i="24" s="1"/>
  <c r="B63" i="24"/>
  <c r="N63" i="24" s="1"/>
  <c r="R63" i="24" s="1"/>
  <c r="M61" i="24"/>
  <c r="M64" i="24" s="1"/>
  <c r="M68" i="24" s="1"/>
  <c r="J61" i="24"/>
  <c r="J64" i="24" s="1"/>
  <c r="J68" i="24" s="1"/>
  <c r="J71" i="24" s="1"/>
  <c r="J77" i="24" s="1"/>
  <c r="I61" i="24"/>
  <c r="I64" i="24" s="1"/>
  <c r="I68" i="24" s="1"/>
  <c r="I71" i="24" s="1"/>
  <c r="I77" i="24" s="1"/>
  <c r="F61" i="24"/>
  <c r="F64" i="24" s="1"/>
  <c r="F68" i="24" s="1"/>
  <c r="F71" i="24" s="1"/>
  <c r="E61" i="24"/>
  <c r="B61" i="24"/>
  <c r="B64" i="24" s="1"/>
  <c r="B68" i="24" s="1"/>
  <c r="B71" i="24" s="1"/>
  <c r="Q60" i="24"/>
  <c r="P60" i="24"/>
  <c r="N60" i="24"/>
  <c r="R60" i="24" s="1"/>
  <c r="K59" i="24"/>
  <c r="D59" i="24"/>
  <c r="M57" i="24"/>
  <c r="L57" i="24"/>
  <c r="L61" i="24" s="1"/>
  <c r="L64" i="24" s="1"/>
  <c r="L68" i="24" s="1"/>
  <c r="L71" i="24" s="1"/>
  <c r="K57" i="24"/>
  <c r="J57" i="24"/>
  <c r="I57" i="24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F57" i="24"/>
  <c r="E57" i="24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I52" i="24"/>
  <c r="D52" i="24"/>
  <c r="Q51" i="24"/>
  <c r="J51" i="24"/>
  <c r="J74" i="24" s="1"/>
  <c r="I51" i="24"/>
  <c r="I74" i="24" s="1"/>
  <c r="H51" i="24"/>
  <c r="D51" i="24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E51" i="24" s="1"/>
  <c r="E74" i="24" s="1"/>
  <c r="D50" i="24"/>
  <c r="C50" i="24"/>
  <c r="C51" i="24" s="1"/>
  <c r="B50" i="24"/>
  <c r="N50" i="24" s="1"/>
  <c r="R50" i="24" s="1"/>
  <c r="R49" i="24"/>
  <c r="B49" i="24"/>
  <c r="N49" i="24" s="1"/>
  <c r="N48" i="24"/>
  <c r="R48" i="24" s="1"/>
  <c r="P47" i="24"/>
  <c r="N47" i="24"/>
  <c r="R47" i="24" s="1"/>
  <c r="R46" i="24"/>
  <c r="N46" i="24"/>
  <c r="R45" i="24"/>
  <c r="P45" i="24"/>
  <c r="N45" i="24"/>
  <c r="P44" i="24"/>
  <c r="N44" i="24"/>
  <c r="P43" i="24"/>
  <c r="N43" i="24"/>
  <c r="M42" i="24"/>
  <c r="L42" i="24"/>
  <c r="L52" i="24" s="1"/>
  <c r="K42" i="24"/>
  <c r="J42" i="24"/>
  <c r="I42" i="24"/>
  <c r="H42" i="24"/>
  <c r="H52" i="24" s="1"/>
  <c r="G42" i="24"/>
  <c r="F42" i="24"/>
  <c r="E42" i="24"/>
  <c r="D42" i="24"/>
  <c r="B42" i="24"/>
  <c r="N41" i="24"/>
  <c r="R41" i="24" s="1"/>
  <c r="R40" i="24"/>
  <c r="N40" i="24"/>
  <c r="N39" i="24"/>
  <c r="R39" i="24" s="1"/>
  <c r="N38" i="24"/>
  <c r="R38" i="24" s="1"/>
  <c r="N37" i="24"/>
  <c r="R37" i="24" s="1"/>
  <c r="N36" i="24"/>
  <c r="R36" i="24" s="1"/>
  <c r="N35" i="24"/>
  <c r="R35" i="24" s="1"/>
  <c r="R34" i="24"/>
  <c r="N34" i="24"/>
  <c r="N33" i="24"/>
  <c r="R33" i="24" s="1"/>
  <c r="N32" i="24"/>
  <c r="R32" i="24" s="1"/>
  <c r="L32" i="24"/>
  <c r="R31" i="24"/>
  <c r="C31" i="24"/>
  <c r="N31" i="24" s="1"/>
  <c r="Q30" i="24"/>
  <c r="P30" i="24"/>
  <c r="N30" i="24"/>
  <c r="L30" i="24"/>
  <c r="N29" i="24"/>
  <c r="R29" i="24" s="1"/>
  <c r="P28" i="24"/>
  <c r="C28" i="24"/>
  <c r="R27" i="24"/>
  <c r="N27" i="24"/>
  <c r="N26" i="24"/>
  <c r="R26" i="24" s="1"/>
  <c r="R25" i="24"/>
  <c r="N25" i="24"/>
  <c r="N24" i="24"/>
  <c r="M23" i="24"/>
  <c r="K23" i="24"/>
  <c r="K52" i="24" s="1"/>
  <c r="J23" i="24"/>
  <c r="J52" i="24" s="1"/>
  <c r="I23" i="24"/>
  <c r="H23" i="24"/>
  <c r="G23" i="24"/>
  <c r="F23" i="24"/>
  <c r="E23" i="24"/>
  <c r="E52" i="24" s="1"/>
  <c r="D23" i="24"/>
  <c r="C23" i="24"/>
  <c r="B23" i="24"/>
  <c r="R22" i="24"/>
  <c r="N22" i="24"/>
  <c r="R21" i="24"/>
  <c r="N21" i="24"/>
  <c r="Q20" i="24"/>
  <c r="P20" i="24"/>
  <c r="N20" i="24"/>
  <c r="R20" i="24" s="1"/>
  <c r="R19" i="24"/>
  <c r="N19" i="24"/>
  <c r="N18" i="24"/>
  <c r="R18" i="24" s="1"/>
  <c r="R17" i="24"/>
  <c r="N17" i="24"/>
  <c r="P16" i="24"/>
  <c r="N16" i="24"/>
  <c r="R15" i="24"/>
  <c r="V15" i="24" s="1"/>
  <c r="N15" i="24"/>
  <c r="N14" i="24"/>
  <c r="N13" i="24"/>
  <c r="N12" i="24"/>
  <c r="R12" i="24" s="1"/>
  <c r="R11" i="24"/>
  <c r="N11" i="24"/>
  <c r="N10" i="24"/>
  <c r="L10" i="24"/>
  <c r="N9" i="24"/>
  <c r="R9" i="24" s="1"/>
  <c r="N8" i="24"/>
  <c r="L8" i="24"/>
  <c r="L23" i="24" s="1"/>
  <c r="R7" i="24"/>
  <c r="N7" i="24"/>
  <c r="R6" i="24"/>
  <c r="N6" i="24"/>
  <c r="R5" i="24"/>
  <c r="N5" i="24"/>
  <c r="C66" i="23"/>
  <c r="G63" i="23"/>
  <c r="E63" i="23"/>
  <c r="G62" i="23"/>
  <c r="F62" i="23"/>
  <c r="E62" i="23"/>
  <c r="C62" i="23"/>
  <c r="G61" i="23"/>
  <c r="F61" i="23"/>
  <c r="F63" i="23" s="1"/>
  <c r="E61" i="23"/>
  <c r="C61" i="23"/>
  <c r="C60" i="23"/>
  <c r="C59" i="23"/>
  <c r="C58" i="23"/>
  <c r="T57" i="23"/>
  <c r="W57" i="23" s="1"/>
  <c r="C57" i="23" s="1"/>
  <c r="E54" i="23"/>
  <c r="F53" i="23"/>
  <c r="F54" i="23" s="1"/>
  <c r="C53" i="23"/>
  <c r="C52" i="23"/>
  <c r="G51" i="23"/>
  <c r="G54" i="23" s="1"/>
  <c r="C51" i="23"/>
  <c r="C49" i="23"/>
  <c r="E48" i="23"/>
  <c r="C48" i="23"/>
  <c r="C54" i="23" s="1"/>
  <c r="E47" i="23"/>
  <c r="C47" i="23"/>
  <c r="W43" i="23"/>
  <c r="T43" i="23"/>
  <c r="C43" i="23"/>
  <c r="T42" i="23"/>
  <c r="W42" i="23" s="1"/>
  <c r="C42" i="23"/>
  <c r="W41" i="23"/>
  <c r="T41" i="23"/>
  <c r="F41" i="23"/>
  <c r="E41" i="23"/>
  <c r="C41" i="23"/>
  <c r="F39" i="23"/>
  <c r="E39" i="23"/>
  <c r="F38" i="23"/>
  <c r="E38" i="23"/>
  <c r="C38" i="23"/>
  <c r="C37" i="23"/>
  <c r="C36" i="23"/>
  <c r="C35" i="23"/>
  <c r="F34" i="23"/>
  <c r="E34" i="23"/>
  <c r="C34" i="23"/>
  <c r="G33" i="23"/>
  <c r="F33" i="23"/>
  <c r="E33" i="23"/>
  <c r="C33" i="23"/>
  <c r="F32" i="23"/>
  <c r="E32" i="23"/>
  <c r="C32" i="23"/>
  <c r="F31" i="23"/>
  <c r="E31" i="23"/>
  <c r="C31" i="23"/>
  <c r="F30" i="23"/>
  <c r="E30" i="23"/>
  <c r="C30" i="23"/>
  <c r="C29" i="23"/>
  <c r="E28" i="23"/>
  <c r="C28" i="23"/>
  <c r="E27" i="23"/>
  <c r="C27" i="23"/>
  <c r="E26" i="23"/>
  <c r="C26" i="23"/>
  <c r="C25" i="23"/>
  <c r="E24" i="23"/>
  <c r="C24" i="23"/>
  <c r="E23" i="23"/>
  <c r="C23" i="23"/>
  <c r="P21" i="23"/>
  <c r="E21" i="23"/>
  <c r="E40" i="23" s="1"/>
  <c r="T20" i="23"/>
  <c r="W20" i="23" s="1"/>
  <c r="W19" i="23"/>
  <c r="T19" i="23"/>
  <c r="E19" i="23"/>
  <c r="C19" i="23"/>
  <c r="W18" i="23"/>
  <c r="C18" i="23" s="1"/>
  <c r="T18" i="23"/>
  <c r="T17" i="23"/>
  <c r="W17" i="23" s="1"/>
  <c r="C17" i="23" s="1"/>
  <c r="S16" i="23"/>
  <c r="R16" i="23"/>
  <c r="Q16" i="23"/>
  <c r="P16" i="23"/>
  <c r="O16" i="23"/>
  <c r="N16" i="23"/>
  <c r="M16" i="23"/>
  <c r="L16" i="23"/>
  <c r="K16" i="23"/>
  <c r="J16" i="23"/>
  <c r="I16" i="23"/>
  <c r="H16" i="23"/>
  <c r="T16" i="23" s="1"/>
  <c r="W16" i="23" s="1"/>
  <c r="C16" i="23" s="1"/>
  <c r="F16" i="23"/>
  <c r="T15" i="23"/>
  <c r="C15" i="23"/>
  <c r="V14" i="23"/>
  <c r="T14" i="23"/>
  <c r="T13" i="23"/>
  <c r="W13" i="23" s="1"/>
  <c r="C13" i="23"/>
  <c r="W12" i="23"/>
  <c r="C12" i="23" s="1"/>
  <c r="T12" i="23"/>
  <c r="T11" i="23"/>
  <c r="W11" i="23" s="1"/>
  <c r="C11" i="23" s="1"/>
  <c r="W10" i="23"/>
  <c r="C10" i="23" s="1"/>
  <c r="V10" i="23"/>
  <c r="T10" i="23"/>
  <c r="W9" i="23"/>
  <c r="C9" i="23" s="1"/>
  <c r="T9" i="23"/>
  <c r="T8" i="23"/>
  <c r="W8" i="23" s="1"/>
  <c r="C8" i="23" s="1"/>
  <c r="T7" i="23"/>
  <c r="G6" i="23"/>
  <c r="G21" i="23" s="1"/>
  <c r="F6" i="23"/>
  <c r="F21" i="23" s="1"/>
  <c r="F40" i="23" s="1"/>
  <c r="F44" i="23" s="1"/>
  <c r="E6" i="23"/>
  <c r="H74" i="22"/>
  <c r="L72" i="22"/>
  <c r="J72" i="22"/>
  <c r="I72" i="22"/>
  <c r="H72" i="22"/>
  <c r="G72" i="22"/>
  <c r="E72" i="22"/>
  <c r="D72" i="22"/>
  <c r="C72" i="22"/>
  <c r="M71" i="22"/>
  <c r="L71" i="22"/>
  <c r="K71" i="22"/>
  <c r="J71" i="22"/>
  <c r="I71" i="22"/>
  <c r="H71" i="22"/>
  <c r="G71" i="22"/>
  <c r="F71" i="22"/>
  <c r="D71" i="22"/>
  <c r="C71" i="22"/>
  <c r="B71" i="22"/>
  <c r="M70" i="22"/>
  <c r="L70" i="22"/>
  <c r="K70" i="22"/>
  <c r="J70" i="22"/>
  <c r="I70" i="22"/>
  <c r="H70" i="22"/>
  <c r="G70" i="22"/>
  <c r="F70" i="22"/>
  <c r="E70" i="22"/>
  <c r="D70" i="22"/>
  <c r="C70" i="22"/>
  <c r="B70" i="22"/>
  <c r="N70" i="22" s="1"/>
  <c r="Q70" i="22" s="1"/>
  <c r="M69" i="22"/>
  <c r="L69" i="22"/>
  <c r="K69" i="22"/>
  <c r="J69" i="22"/>
  <c r="I69" i="22"/>
  <c r="H69" i="22"/>
  <c r="G69" i="22"/>
  <c r="F69" i="22"/>
  <c r="E69" i="22"/>
  <c r="D69" i="22"/>
  <c r="C69" i="22"/>
  <c r="B69" i="22"/>
  <c r="M68" i="22"/>
  <c r="L68" i="22"/>
  <c r="K68" i="22"/>
  <c r="J68" i="22"/>
  <c r="I68" i="22"/>
  <c r="H68" i="22"/>
  <c r="G68" i="22"/>
  <c r="F68" i="22"/>
  <c r="E68" i="22"/>
  <c r="D68" i="22"/>
  <c r="C68" i="22"/>
  <c r="B68" i="22"/>
  <c r="Q67" i="22"/>
  <c r="N67" i="22"/>
  <c r="M66" i="22"/>
  <c r="L66" i="22"/>
  <c r="L73" i="22" s="1"/>
  <c r="L74" i="22" s="1"/>
  <c r="K66" i="22"/>
  <c r="J66" i="22"/>
  <c r="J73" i="22" s="1"/>
  <c r="J74" i="22" s="1"/>
  <c r="I66" i="22"/>
  <c r="H66" i="22"/>
  <c r="H73" i="22" s="1"/>
  <c r="G66" i="22"/>
  <c r="F66" i="22"/>
  <c r="E66" i="22"/>
  <c r="D66" i="22"/>
  <c r="C66" i="22"/>
  <c r="C73" i="22" s="1"/>
  <c r="B66" i="22"/>
  <c r="M63" i="22"/>
  <c r="L63" i="22"/>
  <c r="K63" i="22"/>
  <c r="J63" i="22"/>
  <c r="I63" i="22"/>
  <c r="H63" i="22"/>
  <c r="G63" i="22"/>
  <c r="F63" i="22"/>
  <c r="E63" i="22"/>
  <c r="N62" i="22"/>
  <c r="Q62" i="22" s="1"/>
  <c r="P60" i="22"/>
  <c r="N59" i="22"/>
  <c r="L57" i="22"/>
  <c r="J57" i="22"/>
  <c r="G57" i="22"/>
  <c r="C57" i="22"/>
  <c r="L56" i="22"/>
  <c r="J56" i="22"/>
  <c r="I56" i="22"/>
  <c r="I57" i="22" s="1"/>
  <c r="H56" i="22"/>
  <c r="H57" i="22" s="1"/>
  <c r="G56" i="22"/>
  <c r="E56" i="22"/>
  <c r="E57" i="22" s="1"/>
  <c r="D56" i="22"/>
  <c r="D57" i="22" s="1"/>
  <c r="C56" i="22"/>
  <c r="E54" i="22"/>
  <c r="Q53" i="22"/>
  <c r="N53" i="22"/>
  <c r="N52" i="22"/>
  <c r="Q52" i="22" s="1"/>
  <c r="N51" i="22"/>
  <c r="Q51" i="22" s="1"/>
  <c r="N50" i="22"/>
  <c r="Q50" i="22" s="1"/>
  <c r="N49" i="22"/>
  <c r="P46" i="22"/>
  <c r="P47" i="22" s="1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Q45" i="22"/>
  <c r="N45" i="22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Q40" i="22" s="1"/>
  <c r="N39" i="22"/>
  <c r="P37" i="22"/>
  <c r="P36" i="22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Q35" i="22"/>
  <c r="N35" i="22"/>
  <c r="N34" i="22"/>
  <c r="Q34" i="22" s="1"/>
  <c r="P31" i="22"/>
  <c r="P32" i="22" s="1"/>
  <c r="O31" i="22"/>
  <c r="O32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N31" i="22" s="1"/>
  <c r="Q31" i="22" s="1"/>
  <c r="R31" i="22" s="1"/>
  <c r="P30" i="22"/>
  <c r="N30" i="22"/>
  <c r="Q30" i="22" s="1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6" i="22" s="1"/>
  <c r="Q26" i="22" s="1"/>
  <c r="R26" i="22" s="1"/>
  <c r="Q25" i="22"/>
  <c r="N25" i="22"/>
  <c r="N24" i="22"/>
  <c r="Q24" i="22" s="1"/>
  <c r="P22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N20" i="22"/>
  <c r="N19" i="22"/>
  <c r="Q19" i="22" s="1"/>
  <c r="O18" i="22"/>
  <c r="O21" i="22" s="1"/>
  <c r="O22" i="22" s="1"/>
  <c r="N18" i="22"/>
  <c r="P16" i="22"/>
  <c r="P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N15" i="22" s="1"/>
  <c r="O14" i="22"/>
  <c r="O68" i="22" s="1"/>
  <c r="N14" i="22"/>
  <c r="N13" i="22"/>
  <c r="Q13" i="22" s="1"/>
  <c r="L11" i="22"/>
  <c r="H11" i="22"/>
  <c r="D11" i="22"/>
  <c r="B11" i="22"/>
  <c r="M10" i="22"/>
  <c r="M11" i="22" s="1"/>
  <c r="L10" i="22"/>
  <c r="K10" i="22"/>
  <c r="K11" i="22" s="1"/>
  <c r="J10" i="22"/>
  <c r="J11" i="22" s="1"/>
  <c r="I10" i="22"/>
  <c r="I11" i="22" s="1"/>
  <c r="H10" i="22"/>
  <c r="G10" i="22"/>
  <c r="G11" i="22" s="1"/>
  <c r="F10" i="22"/>
  <c r="F11" i="22" s="1"/>
  <c r="E10" i="22"/>
  <c r="E11" i="22" s="1"/>
  <c r="D10" i="22"/>
  <c r="C10" i="22"/>
  <c r="C11" i="22" s="1"/>
  <c r="B10" i="22"/>
  <c r="Q9" i="22"/>
  <c r="N9" i="22"/>
  <c r="P8" i="22"/>
  <c r="N8" i="22"/>
  <c r="N7" i="22"/>
  <c r="O6" i="22"/>
  <c r="N6" i="22"/>
  <c r="D26" i="20"/>
  <c r="D20" i="20"/>
  <c r="Q20" i="19"/>
  <c r="R20" i="19" s="1"/>
  <c r="R11" i="19"/>
  <c r="D9" i="19"/>
  <c r="D5" i="19"/>
  <c r="F41" i="18"/>
  <c r="G40" i="18"/>
  <c r="F38" i="18"/>
  <c r="F35" i="18"/>
  <c r="D35" i="18"/>
  <c r="D38" i="18" s="1"/>
  <c r="G33" i="18"/>
  <c r="G27" i="18"/>
  <c r="G24" i="18"/>
  <c r="G21" i="18"/>
  <c r="G18" i="18"/>
  <c r="G15" i="18"/>
  <c r="G10" i="18"/>
  <c r="G7" i="18"/>
  <c r="E7" i="18"/>
  <c r="E35" i="18" s="1"/>
  <c r="E39" i="18" s="1"/>
  <c r="D240" i="17"/>
  <c r="F240" i="17" s="1"/>
  <c r="E239" i="17"/>
  <c r="E240" i="17" s="1"/>
  <c r="D235" i="17"/>
  <c r="E234" i="17"/>
  <c r="E235" i="17" s="1"/>
  <c r="E229" i="17"/>
  <c r="D229" i="17"/>
  <c r="E228" i="17"/>
  <c r="P54" i="22" s="1"/>
  <c r="D217" i="17"/>
  <c r="D211" i="17"/>
  <c r="E206" i="17"/>
  <c r="E205" i="17"/>
  <c r="E202" i="17"/>
  <c r="D199" i="17"/>
  <c r="D198" i="17"/>
  <c r="O54" i="22" s="1"/>
  <c r="D197" i="17"/>
  <c r="D195" i="17"/>
  <c r="D194" i="17"/>
  <c r="D188" i="17"/>
  <c r="E178" i="17"/>
  <c r="D175" i="17"/>
  <c r="D178" i="17" s="1"/>
  <c r="E171" i="17"/>
  <c r="D171" i="17"/>
  <c r="E170" i="17"/>
  <c r="P62" i="22" s="1"/>
  <c r="P68" i="22" s="1"/>
  <c r="E165" i="17"/>
  <c r="D165" i="17"/>
  <c r="E164" i="17"/>
  <c r="P59" i="22" s="1"/>
  <c r="E157" i="17"/>
  <c r="D153" i="17"/>
  <c r="D157" i="17" s="1"/>
  <c r="D147" i="17"/>
  <c r="E144" i="17"/>
  <c r="P44" i="22" s="1"/>
  <c r="D143" i="17"/>
  <c r="D142" i="17"/>
  <c r="D141" i="17"/>
  <c r="O39" i="22" s="1"/>
  <c r="O41" i="22" s="1"/>
  <c r="O42" i="22" s="1"/>
  <c r="D140" i="17"/>
  <c r="O13" i="22" s="1"/>
  <c r="D139" i="17"/>
  <c r="O29" i="22" s="1"/>
  <c r="D138" i="17"/>
  <c r="D137" i="17"/>
  <c r="D148" i="17" s="1"/>
  <c r="E130" i="17"/>
  <c r="D130" i="17"/>
  <c r="E129" i="17"/>
  <c r="D125" i="17"/>
  <c r="E124" i="17"/>
  <c r="E125" i="17" s="1"/>
  <c r="E120" i="17"/>
  <c r="D120" i="17"/>
  <c r="E114" i="17"/>
  <c r="F114" i="17" s="1"/>
  <c r="D114" i="17"/>
  <c r="F113" i="17"/>
  <c r="E105" i="17"/>
  <c r="F105" i="17" s="1"/>
  <c r="D105" i="17"/>
  <c r="F102" i="17"/>
  <c r="E91" i="17"/>
  <c r="F91" i="17" s="1"/>
  <c r="D86" i="17"/>
  <c r="D91" i="17" s="1"/>
  <c r="D79" i="17"/>
  <c r="E78" i="17"/>
  <c r="E72" i="17"/>
  <c r="E74" i="17" s="1"/>
  <c r="D70" i="17"/>
  <c r="D74" i="17" s="1"/>
  <c r="D65" i="17"/>
  <c r="F65" i="17" s="1"/>
  <c r="E62" i="17"/>
  <c r="E65" i="17" s="1"/>
  <c r="D59" i="17"/>
  <c r="E53" i="17"/>
  <c r="D53" i="17"/>
  <c r="E43" i="17"/>
  <c r="D43" i="17"/>
  <c r="E37" i="17"/>
  <c r="D37" i="17"/>
  <c r="F37" i="17" s="1"/>
  <c r="D35" i="17"/>
  <c r="D26" i="17"/>
  <c r="E27" i="17" s="1"/>
  <c r="D25" i="17"/>
  <c r="E20" i="17"/>
  <c r="D20" i="17"/>
  <c r="F20" i="17" s="1"/>
  <c r="F19" i="17"/>
  <c r="D18" i="17"/>
  <c r="E13" i="17"/>
  <c r="D13" i="17"/>
  <c r="F13" i="17" s="1"/>
  <c r="J8" i="17"/>
  <c r="Q80" i="16"/>
  <c r="Q78" i="16"/>
  <c r="P78" i="16"/>
  <c r="P80" i="16" s="1"/>
  <c r="I76" i="16"/>
  <c r="Q73" i="16"/>
  <c r="V6" i="23" s="1"/>
  <c r="P73" i="16"/>
  <c r="U6" i="23" s="1"/>
  <c r="U21" i="23" s="1"/>
  <c r="O72" i="16"/>
  <c r="R72" i="16" s="1"/>
  <c r="C71" i="16"/>
  <c r="C73" i="16" s="1"/>
  <c r="O70" i="16"/>
  <c r="R70" i="16" s="1"/>
  <c r="R69" i="16"/>
  <c r="O69" i="16"/>
  <c r="D18" i="20" s="1"/>
  <c r="K68" i="16"/>
  <c r="P6" i="23" s="1"/>
  <c r="F68" i="16"/>
  <c r="D68" i="16"/>
  <c r="B68" i="16"/>
  <c r="O67" i="16"/>
  <c r="R67" i="16" s="1"/>
  <c r="M66" i="16"/>
  <c r="M68" i="16" s="1"/>
  <c r="K66" i="16"/>
  <c r="G66" i="16"/>
  <c r="G68" i="16" s="1"/>
  <c r="C66" i="16"/>
  <c r="C68" i="16" s="1"/>
  <c r="I6" i="23" s="1"/>
  <c r="I21" i="23" s="1"/>
  <c r="O65" i="16"/>
  <c r="B65" i="16"/>
  <c r="J64" i="16"/>
  <c r="O64" i="16" s="1"/>
  <c r="N63" i="16"/>
  <c r="N66" i="16" s="1"/>
  <c r="N68" i="16" s="1"/>
  <c r="M63" i="16"/>
  <c r="L63" i="16"/>
  <c r="L66" i="16" s="1"/>
  <c r="L68" i="16" s="1"/>
  <c r="K63" i="16"/>
  <c r="J63" i="16"/>
  <c r="I63" i="16"/>
  <c r="I66" i="16" s="1"/>
  <c r="I68" i="16" s="1"/>
  <c r="H63" i="16"/>
  <c r="H66" i="16" s="1"/>
  <c r="H68" i="16" s="1"/>
  <c r="G63" i="16"/>
  <c r="F63" i="16"/>
  <c r="F66" i="16" s="1"/>
  <c r="E63" i="16"/>
  <c r="E66" i="16" s="1"/>
  <c r="E68" i="16" s="1"/>
  <c r="D63" i="16"/>
  <c r="D66" i="16" s="1"/>
  <c r="C63" i="16"/>
  <c r="B63" i="16"/>
  <c r="B66" i="16" s="1"/>
  <c r="O62" i="16"/>
  <c r="R62" i="16" s="1"/>
  <c r="D4" i="20" s="1"/>
  <c r="O61" i="16"/>
  <c r="G58" i="16"/>
  <c r="Q57" i="16"/>
  <c r="P57" i="16"/>
  <c r="N57" i="16"/>
  <c r="N76" i="16" s="1"/>
  <c r="M57" i="16"/>
  <c r="L57" i="16"/>
  <c r="K57" i="16"/>
  <c r="K76" i="16" s="1"/>
  <c r="J57" i="16"/>
  <c r="I57" i="16"/>
  <c r="H57" i="16"/>
  <c r="G57" i="16"/>
  <c r="G76" i="16" s="1"/>
  <c r="F57" i="16"/>
  <c r="E57" i="16"/>
  <c r="D57" i="16"/>
  <c r="C57" i="16"/>
  <c r="R56" i="16"/>
  <c r="O54" i="16"/>
  <c r="R54" i="16" s="1"/>
  <c r="O53" i="16"/>
  <c r="R53" i="16" s="1"/>
  <c r="O52" i="16"/>
  <c r="R52" i="16" s="1"/>
  <c r="O51" i="16"/>
  <c r="R51" i="16" s="1"/>
  <c r="O50" i="16"/>
  <c r="R50" i="16" s="1"/>
  <c r="O49" i="16"/>
  <c r="R49" i="16" s="1"/>
  <c r="O48" i="16"/>
  <c r="O47" i="16"/>
  <c r="R47" i="16" s="1"/>
  <c r="Q46" i="16"/>
  <c r="P46" i="16"/>
  <c r="N46" i="16"/>
  <c r="M46" i="16"/>
  <c r="M76" i="16" s="1"/>
  <c r="L46" i="16"/>
  <c r="L76" i="16" s="1"/>
  <c r="K46" i="16"/>
  <c r="J46" i="16"/>
  <c r="I46" i="16"/>
  <c r="H46" i="16"/>
  <c r="H76" i="16" s="1"/>
  <c r="G46" i="16"/>
  <c r="E46" i="16"/>
  <c r="C46" i="16"/>
  <c r="C58" i="16" s="1"/>
  <c r="O45" i="16"/>
  <c r="R45" i="16" s="1"/>
  <c r="Q27" i="19" s="1"/>
  <c r="R27" i="19" s="1"/>
  <c r="R44" i="16"/>
  <c r="Q25" i="19" s="1"/>
  <c r="R25" i="19" s="1"/>
  <c r="O44" i="16"/>
  <c r="O43" i="16"/>
  <c r="R43" i="16" s="1"/>
  <c r="Q26" i="19" s="1"/>
  <c r="R26" i="19" s="1"/>
  <c r="R42" i="16"/>
  <c r="Q24" i="19" s="1"/>
  <c r="R24" i="19" s="1"/>
  <c r="O42" i="16"/>
  <c r="O41" i="16"/>
  <c r="R41" i="16" s="1"/>
  <c r="Q23" i="19" s="1"/>
  <c r="R23" i="19" s="1"/>
  <c r="R40" i="16"/>
  <c r="Q22" i="19" s="1"/>
  <c r="R22" i="19" s="1"/>
  <c r="O40" i="16"/>
  <c r="O39" i="16"/>
  <c r="R39" i="16" s="1"/>
  <c r="Q21" i="19" s="1"/>
  <c r="R21" i="19" s="1"/>
  <c r="R38" i="16"/>
  <c r="O38" i="16"/>
  <c r="O37" i="16"/>
  <c r="R37" i="16" s="1"/>
  <c r="Q19" i="19" s="1"/>
  <c r="R36" i="16"/>
  <c r="O36" i="16"/>
  <c r="O35" i="16"/>
  <c r="R35" i="16" s="1"/>
  <c r="Q13" i="19" s="1"/>
  <c r="R13" i="19" s="1"/>
  <c r="D34" i="16"/>
  <c r="O33" i="16"/>
  <c r="R33" i="16" s="1"/>
  <c r="Q12" i="19" s="1"/>
  <c r="R12" i="19" s="1"/>
  <c r="O32" i="16"/>
  <c r="R32" i="16" s="1"/>
  <c r="Q11" i="19" s="1"/>
  <c r="R31" i="16"/>
  <c r="Q10" i="19" s="1"/>
  <c r="R10" i="19" s="1"/>
  <c r="O31" i="16"/>
  <c r="B31" i="16"/>
  <c r="O30" i="16"/>
  <c r="R30" i="16" s="1"/>
  <c r="Q9" i="19" s="1"/>
  <c r="R9" i="19" s="1"/>
  <c r="F29" i="16"/>
  <c r="F46" i="16" s="1"/>
  <c r="B29" i="16"/>
  <c r="R28" i="16"/>
  <c r="Q7" i="19" s="1"/>
  <c r="R7" i="19" s="1"/>
  <c r="O28" i="16"/>
  <c r="O27" i="16"/>
  <c r="R26" i="16"/>
  <c r="O26" i="16"/>
  <c r="Q25" i="16"/>
  <c r="P25" i="16"/>
  <c r="N25" i="16"/>
  <c r="M25" i="16"/>
  <c r="M58" i="16" s="1"/>
  <c r="L25" i="16"/>
  <c r="K25" i="16"/>
  <c r="J25" i="16"/>
  <c r="I25" i="16"/>
  <c r="H25" i="16"/>
  <c r="G25" i="16"/>
  <c r="E25" i="16"/>
  <c r="E58" i="16" s="1"/>
  <c r="D25" i="16"/>
  <c r="C25" i="16"/>
  <c r="O24" i="16"/>
  <c r="R24" i="16" s="1"/>
  <c r="C26" i="19" s="1"/>
  <c r="D26" i="19" s="1"/>
  <c r="O23" i="16"/>
  <c r="R23" i="16" s="1"/>
  <c r="C27" i="19" s="1"/>
  <c r="D27" i="19" s="1"/>
  <c r="O22" i="16"/>
  <c r="R22" i="16" s="1"/>
  <c r="C28" i="19" s="1"/>
  <c r="D28" i="19" s="1"/>
  <c r="O21" i="16"/>
  <c r="R21" i="16" s="1"/>
  <c r="C25" i="19" s="1"/>
  <c r="D25" i="19" s="1"/>
  <c r="R20" i="16"/>
  <c r="C24" i="19" s="1"/>
  <c r="D24" i="19" s="1"/>
  <c r="O20" i="16"/>
  <c r="O19" i="16"/>
  <c r="R19" i="16" s="1"/>
  <c r="C23" i="19" s="1"/>
  <c r="D23" i="19" s="1"/>
  <c r="O18" i="16"/>
  <c r="R18" i="16" s="1"/>
  <c r="C22" i="19" s="1"/>
  <c r="D22" i="19" s="1"/>
  <c r="O17" i="16"/>
  <c r="R17" i="16" s="1"/>
  <c r="O16" i="16"/>
  <c r="R16" i="16" s="1"/>
  <c r="C21" i="19" s="1"/>
  <c r="D21" i="19" s="1"/>
  <c r="O15" i="16"/>
  <c r="R15" i="16" s="1"/>
  <c r="C19" i="19" s="1"/>
  <c r="B15" i="16"/>
  <c r="R14" i="16"/>
  <c r="C20" i="19" s="1"/>
  <c r="D20" i="19" s="1"/>
  <c r="O14" i="16"/>
  <c r="R13" i="16"/>
  <c r="C13" i="19" s="1"/>
  <c r="D13" i="19" s="1"/>
  <c r="O13" i="16"/>
  <c r="R12" i="16"/>
  <c r="C12" i="19" s="1"/>
  <c r="D12" i="19" s="1"/>
  <c r="O12" i="16"/>
  <c r="R11" i="16"/>
  <c r="C10" i="19" s="1"/>
  <c r="D10" i="19" s="1"/>
  <c r="O11" i="16"/>
  <c r="F10" i="16"/>
  <c r="F25" i="16" s="1"/>
  <c r="F58" i="16" s="1"/>
  <c r="B10" i="16"/>
  <c r="R9" i="16"/>
  <c r="C9" i="19" s="1"/>
  <c r="O9" i="16"/>
  <c r="O8" i="16"/>
  <c r="R8" i="16" s="1"/>
  <c r="C8" i="19" s="1"/>
  <c r="D8" i="19" s="1"/>
  <c r="M8" i="16"/>
  <c r="O7" i="16"/>
  <c r="R7" i="16" s="1"/>
  <c r="C6" i="19" s="1"/>
  <c r="D6" i="19" s="1"/>
  <c r="O6" i="16"/>
  <c r="R6" i="16" s="1"/>
  <c r="O5" i="16"/>
  <c r="R5" i="16" s="1"/>
  <c r="C5" i="19" s="1"/>
  <c r="D80" i="15"/>
  <c r="G79" i="15"/>
  <c r="D79" i="15"/>
  <c r="G78" i="15"/>
  <c r="D78" i="15"/>
  <c r="D77" i="15"/>
  <c r="D76" i="15"/>
  <c r="G75" i="15"/>
  <c r="G81" i="15" s="1"/>
  <c r="G82" i="15" s="1"/>
  <c r="D75" i="15"/>
  <c r="D81" i="15" s="1"/>
  <c r="C74" i="15"/>
  <c r="C73" i="15"/>
  <c r="F72" i="15"/>
  <c r="C72" i="15"/>
  <c r="F71" i="15"/>
  <c r="F70" i="15"/>
  <c r="C70" i="15"/>
  <c r="C81" i="15" s="1"/>
  <c r="F69" i="15"/>
  <c r="F81" i="15" s="1"/>
  <c r="C69" i="15"/>
  <c r="G67" i="15"/>
  <c r="F67" i="15"/>
  <c r="F82" i="15" s="1"/>
  <c r="D64" i="15"/>
  <c r="C64" i="15"/>
  <c r="F59" i="15"/>
  <c r="D59" i="15"/>
  <c r="C59" i="15"/>
  <c r="E59" i="15" s="1"/>
  <c r="F58" i="15"/>
  <c r="C53" i="15"/>
  <c r="C49" i="15"/>
  <c r="D48" i="15"/>
  <c r="D46" i="15"/>
  <c r="E201" i="17" s="1"/>
  <c r="E38" i="15"/>
  <c r="D38" i="15"/>
  <c r="C38" i="15"/>
  <c r="F38" i="15" s="1"/>
  <c r="D29" i="15"/>
  <c r="C29" i="15"/>
  <c r="F29" i="15" s="1"/>
  <c r="C23" i="15"/>
  <c r="D22" i="15"/>
  <c r="E203" i="17" s="1"/>
  <c r="D21" i="15"/>
  <c r="D12" i="15"/>
  <c r="C9" i="15"/>
  <c r="C12" i="15" s="1"/>
  <c r="G59" i="14"/>
  <c r="I59" i="14" s="1"/>
  <c r="E59" i="14"/>
  <c r="E57" i="14"/>
  <c r="E56" i="14"/>
  <c r="G56" i="14" s="1"/>
  <c r="G55" i="14"/>
  <c r="I55" i="14" s="1"/>
  <c r="E55" i="14"/>
  <c r="E54" i="14"/>
  <c r="E52" i="14"/>
  <c r="G51" i="14"/>
  <c r="I51" i="14" s="1"/>
  <c r="E51" i="14"/>
  <c r="E50" i="14"/>
  <c r="G50" i="14" s="1"/>
  <c r="I50" i="14" s="1"/>
  <c r="AE40" i="14"/>
  <c r="AC40" i="14"/>
  <c r="S38" i="14"/>
  <c r="W36" i="14"/>
  <c r="U36" i="14"/>
  <c r="Q35" i="14"/>
  <c r="M34" i="14"/>
  <c r="I33" i="14"/>
  <c r="W32" i="14"/>
  <c r="U32" i="14"/>
  <c r="M32" i="14"/>
  <c r="G32" i="14"/>
  <c r="E32" i="14"/>
  <c r="Y27" i="14"/>
  <c r="Y39" i="14" s="1"/>
  <c r="Q27" i="14"/>
  <c r="Q39" i="14" s="1"/>
  <c r="I27" i="14"/>
  <c r="Y26" i="14"/>
  <c r="Y38" i="14" s="1"/>
  <c r="Q26" i="14"/>
  <c r="O26" i="14"/>
  <c r="G26" i="14"/>
  <c r="AG25" i="14"/>
  <c r="AC25" i="14"/>
  <c r="AA25" i="14"/>
  <c r="AE24" i="14"/>
  <c r="AC24" i="14"/>
  <c r="U24" i="14"/>
  <c r="M24" i="14"/>
  <c r="M36" i="14" s="1"/>
  <c r="E24" i="14"/>
  <c r="E36" i="14" s="1"/>
  <c r="AE23" i="14"/>
  <c r="AC23" i="14"/>
  <c r="W23" i="14"/>
  <c r="U23" i="14"/>
  <c r="AE22" i="14"/>
  <c r="W22" i="14"/>
  <c r="W34" i="14" s="1"/>
  <c r="Q22" i="14"/>
  <c r="O22" i="14"/>
  <c r="O34" i="14" s="1"/>
  <c r="AE21" i="14"/>
  <c r="W21" i="14"/>
  <c r="Q21" i="14"/>
  <c r="M21" i="14"/>
  <c r="O20" i="14"/>
  <c r="O32" i="14" s="1"/>
  <c r="AE19" i="14"/>
  <c r="AC19" i="14"/>
  <c r="W19" i="14"/>
  <c r="U19" i="14"/>
  <c r="M19" i="14"/>
  <c r="E19" i="14"/>
  <c r="S16" i="14"/>
  <c r="O16" i="14"/>
  <c r="O24" i="14" s="1"/>
  <c r="O36" i="14" s="1"/>
  <c r="I16" i="14"/>
  <c r="I26" i="14" s="1"/>
  <c r="I38" i="14" s="1"/>
  <c r="G16" i="14"/>
  <c r="AE11" i="14"/>
  <c r="AE27" i="14" s="1"/>
  <c r="AC11" i="14"/>
  <c r="AC27" i="14" s="1"/>
  <c r="Y11" i="14"/>
  <c r="W11" i="14"/>
  <c r="W27" i="14" s="1"/>
  <c r="W39" i="14" s="1"/>
  <c r="U11" i="14"/>
  <c r="S11" i="14"/>
  <c r="Q11" i="14"/>
  <c r="O11" i="14"/>
  <c r="O27" i="14" s="1"/>
  <c r="O39" i="14" s="1"/>
  <c r="M11" i="14"/>
  <c r="M27" i="14" s="1"/>
  <c r="K11" i="14"/>
  <c r="K27" i="14" s="1"/>
  <c r="I11" i="14"/>
  <c r="G11" i="14"/>
  <c r="G27" i="14" s="1"/>
  <c r="E11" i="14"/>
  <c r="AE10" i="14"/>
  <c r="AE26" i="14" s="1"/>
  <c r="AC10" i="14"/>
  <c r="AC26" i="14" s="1"/>
  <c r="Y10" i="14"/>
  <c r="W10" i="14"/>
  <c r="W38" i="14" s="1"/>
  <c r="U10" i="14"/>
  <c r="S10" i="14"/>
  <c r="S26" i="14" s="1"/>
  <c r="Q10" i="14"/>
  <c r="Q38" i="14" s="1"/>
  <c r="O10" i="14"/>
  <c r="M10" i="14"/>
  <c r="K10" i="14"/>
  <c r="I10" i="14"/>
  <c r="G10" i="14"/>
  <c r="E10" i="14"/>
  <c r="C10" i="14"/>
  <c r="AE9" i="14"/>
  <c r="AC9" i="14"/>
  <c r="Y9" i="14"/>
  <c r="W9" i="14"/>
  <c r="U9" i="14"/>
  <c r="S9" i="14"/>
  <c r="Q9" i="14"/>
  <c r="O9" i="14"/>
  <c r="M9" i="14"/>
  <c r="K9" i="14"/>
  <c r="I9" i="14"/>
  <c r="G9" i="14"/>
  <c r="E9" i="14"/>
  <c r="C9" i="14"/>
  <c r="AA9" i="14" s="1"/>
  <c r="AE8" i="14"/>
  <c r="AC8" i="14"/>
  <c r="Y8" i="14"/>
  <c r="W8" i="14"/>
  <c r="U8" i="14"/>
  <c r="S8" i="14"/>
  <c r="Q8" i="14"/>
  <c r="O8" i="14"/>
  <c r="M8" i="14"/>
  <c r="K8" i="14"/>
  <c r="I8" i="14"/>
  <c r="G8" i="14"/>
  <c r="E8" i="14"/>
  <c r="C8" i="14"/>
  <c r="AE7" i="14"/>
  <c r="AC7" i="14"/>
  <c r="Y7" i="14"/>
  <c r="W7" i="14"/>
  <c r="W35" i="14" s="1"/>
  <c r="U7" i="14"/>
  <c r="C172" i="12" s="1"/>
  <c r="S7" i="14"/>
  <c r="S35" i="14" s="1"/>
  <c r="Q7" i="14"/>
  <c r="Q23" i="14" s="1"/>
  <c r="O7" i="14"/>
  <c r="M7" i="14"/>
  <c r="C101" i="12" s="1"/>
  <c r="K7" i="14"/>
  <c r="I7" i="14"/>
  <c r="G7" i="14"/>
  <c r="E7" i="14"/>
  <c r="E23" i="14" s="1"/>
  <c r="C7" i="14"/>
  <c r="AE6" i="14"/>
  <c r="AC6" i="14"/>
  <c r="AC22" i="14" s="1"/>
  <c r="Y6" i="14"/>
  <c r="Y22" i="14" s="1"/>
  <c r="W6" i="14"/>
  <c r="U6" i="14"/>
  <c r="U22" i="14" s="1"/>
  <c r="U34" i="14" s="1"/>
  <c r="S6" i="14"/>
  <c r="Q6" i="14"/>
  <c r="O6" i="14"/>
  <c r="M6" i="14"/>
  <c r="M22" i="14" s="1"/>
  <c r="K6" i="14"/>
  <c r="I6" i="14"/>
  <c r="I22" i="14" s="1"/>
  <c r="G6" i="14"/>
  <c r="E6" i="14"/>
  <c r="E22" i="14" s="1"/>
  <c r="E34" i="14" s="1"/>
  <c r="C6" i="14"/>
  <c r="AE5" i="14"/>
  <c r="AC5" i="14"/>
  <c r="AC21" i="14" s="1"/>
  <c r="Y5" i="14"/>
  <c r="W5" i="14"/>
  <c r="W33" i="14" s="1"/>
  <c r="U5" i="14"/>
  <c r="U21" i="14" s="1"/>
  <c r="S5" i="14"/>
  <c r="Q5" i="14"/>
  <c r="O5" i="14"/>
  <c r="O33" i="14" s="1"/>
  <c r="M5" i="14"/>
  <c r="M33" i="14" s="1"/>
  <c r="K5" i="14"/>
  <c r="K33" i="14" s="1"/>
  <c r="I5" i="14"/>
  <c r="G5" i="14"/>
  <c r="E5" i="14"/>
  <c r="C5" i="14"/>
  <c r="AE4" i="14"/>
  <c r="AE20" i="14" s="1"/>
  <c r="AC4" i="14"/>
  <c r="AC20" i="14" s="1"/>
  <c r="Y4" i="14"/>
  <c r="W4" i="14"/>
  <c r="U4" i="14"/>
  <c r="S4" i="14"/>
  <c r="Q4" i="14"/>
  <c r="O4" i="14"/>
  <c r="M4" i="14"/>
  <c r="K4" i="14"/>
  <c r="K32" i="14" s="1"/>
  <c r="I4" i="14"/>
  <c r="I20" i="14" s="1"/>
  <c r="G4" i="14"/>
  <c r="E4" i="14"/>
  <c r="C4" i="14"/>
  <c r="AE3" i="14"/>
  <c r="AC3" i="14"/>
  <c r="Y3" i="14"/>
  <c r="W3" i="14"/>
  <c r="W31" i="14" s="1"/>
  <c r="U3" i="14"/>
  <c r="C168" i="12" s="1"/>
  <c r="S3" i="14"/>
  <c r="Q3" i="14"/>
  <c r="O3" i="14"/>
  <c r="M3" i="14"/>
  <c r="K3" i="14"/>
  <c r="I3" i="14"/>
  <c r="G3" i="14"/>
  <c r="E3" i="14"/>
  <c r="E31" i="14" s="1"/>
  <c r="C3" i="14"/>
  <c r="E27" i="13"/>
  <c r="F26" i="13"/>
  <c r="G26" i="13" s="1"/>
  <c r="E26" i="13"/>
  <c r="G25" i="13"/>
  <c r="G24" i="13"/>
  <c r="G23" i="13"/>
  <c r="G22" i="13"/>
  <c r="G21" i="13"/>
  <c r="G20" i="13"/>
  <c r="G19" i="13"/>
  <c r="F19" i="13"/>
  <c r="E19" i="13"/>
  <c r="F18" i="13"/>
  <c r="E18" i="13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Q224" i="12"/>
  <c r="S223" i="12"/>
  <c r="H215" i="12"/>
  <c r="I212" i="12"/>
  <c r="D212" i="12"/>
  <c r="I211" i="12"/>
  <c r="J211" i="12" s="1"/>
  <c r="E211" i="12"/>
  <c r="C211" i="12"/>
  <c r="I210" i="12"/>
  <c r="J209" i="12"/>
  <c r="I209" i="12"/>
  <c r="R208" i="12"/>
  <c r="K205" i="12" s="1"/>
  <c r="K208" i="12" s="1"/>
  <c r="I208" i="12"/>
  <c r="J208" i="12" s="1"/>
  <c r="C208" i="12"/>
  <c r="E208" i="12" s="1"/>
  <c r="R207" i="12"/>
  <c r="I207" i="12"/>
  <c r="C207" i="12"/>
  <c r="E207" i="12" s="1"/>
  <c r="J206" i="12"/>
  <c r="I206" i="12"/>
  <c r="E206" i="12"/>
  <c r="C206" i="12"/>
  <c r="J205" i="12"/>
  <c r="H201" i="12"/>
  <c r="H200" i="12"/>
  <c r="H199" i="12"/>
  <c r="H197" i="12"/>
  <c r="H194" i="12"/>
  <c r="H195" i="12" s="1"/>
  <c r="D194" i="12"/>
  <c r="D195" i="12" s="1"/>
  <c r="I192" i="12"/>
  <c r="K192" i="12" s="1"/>
  <c r="I191" i="12"/>
  <c r="I190" i="12"/>
  <c r="E190" i="12"/>
  <c r="C190" i="12"/>
  <c r="I189" i="12"/>
  <c r="E189" i="12"/>
  <c r="C189" i="12"/>
  <c r="Q188" i="12"/>
  <c r="R187" i="12" s="1"/>
  <c r="K184" i="12" s="1"/>
  <c r="K188" i="12"/>
  <c r="I188" i="12"/>
  <c r="C188" i="12"/>
  <c r="E188" i="12" s="1"/>
  <c r="S187" i="12"/>
  <c r="Q187" i="12"/>
  <c r="I187" i="12"/>
  <c r="E187" i="12"/>
  <c r="C187" i="12"/>
  <c r="R186" i="12"/>
  <c r="J184" i="12" s="1"/>
  <c r="I186" i="12"/>
  <c r="C186" i="12"/>
  <c r="E186" i="12" s="1"/>
  <c r="I185" i="12"/>
  <c r="E185" i="12"/>
  <c r="C185" i="12"/>
  <c r="H177" i="12"/>
  <c r="D175" i="12"/>
  <c r="I175" i="12" s="1"/>
  <c r="D174" i="12"/>
  <c r="I174" i="12" s="1"/>
  <c r="I173" i="12"/>
  <c r="E173" i="12"/>
  <c r="C173" i="12"/>
  <c r="I172" i="12"/>
  <c r="E172" i="12"/>
  <c r="S171" i="12"/>
  <c r="T169" i="12" s="1"/>
  <c r="Q171" i="12"/>
  <c r="R170" i="12" s="1"/>
  <c r="K167" i="12" s="1"/>
  <c r="I171" i="12"/>
  <c r="V170" i="12"/>
  <c r="U170" i="12"/>
  <c r="T170" i="12"/>
  <c r="I170" i="12"/>
  <c r="C170" i="12"/>
  <c r="E170" i="12" s="1"/>
  <c r="U169" i="12"/>
  <c r="U171" i="12" s="1"/>
  <c r="R169" i="12"/>
  <c r="D169" i="12"/>
  <c r="C169" i="12"/>
  <c r="I168" i="12"/>
  <c r="E168" i="12"/>
  <c r="D162" i="12"/>
  <c r="I160" i="12"/>
  <c r="H160" i="12"/>
  <c r="D160" i="12"/>
  <c r="I158" i="12"/>
  <c r="I157" i="12"/>
  <c r="E157" i="12"/>
  <c r="C157" i="12"/>
  <c r="I156" i="12"/>
  <c r="I155" i="12"/>
  <c r="K155" i="12" s="1"/>
  <c r="C155" i="12"/>
  <c r="E155" i="12" s="1"/>
  <c r="S154" i="12"/>
  <c r="T153" i="12" s="1"/>
  <c r="Q154" i="12"/>
  <c r="K154" i="12"/>
  <c r="I154" i="12"/>
  <c r="V153" i="12"/>
  <c r="U153" i="12"/>
  <c r="U154" i="12" s="1"/>
  <c r="R153" i="12"/>
  <c r="J153" i="12"/>
  <c r="I153" i="12"/>
  <c r="V152" i="12"/>
  <c r="U152" i="12"/>
  <c r="T152" i="12"/>
  <c r="R152" i="12"/>
  <c r="K152" i="12"/>
  <c r="I152" i="12"/>
  <c r="J151" i="12"/>
  <c r="I151" i="12"/>
  <c r="K150" i="12"/>
  <c r="K158" i="12" s="1"/>
  <c r="J150" i="12"/>
  <c r="H143" i="12"/>
  <c r="D143" i="12"/>
  <c r="I141" i="12"/>
  <c r="I140" i="12"/>
  <c r="E140" i="12"/>
  <c r="C140" i="12"/>
  <c r="J139" i="12"/>
  <c r="I139" i="12"/>
  <c r="C139" i="12"/>
  <c r="E139" i="12" s="1"/>
  <c r="J138" i="12"/>
  <c r="I138" i="12"/>
  <c r="C138" i="12"/>
  <c r="E138" i="12" s="1"/>
  <c r="S137" i="12"/>
  <c r="Q137" i="12"/>
  <c r="J137" i="12"/>
  <c r="I137" i="12"/>
  <c r="C137" i="12"/>
  <c r="E137" i="12" s="1"/>
  <c r="V136" i="12"/>
  <c r="U136" i="12"/>
  <c r="T136" i="12"/>
  <c r="R136" i="12"/>
  <c r="K133" i="12" s="1"/>
  <c r="I136" i="12"/>
  <c r="C136" i="12"/>
  <c r="E136" i="12" s="1"/>
  <c r="U135" i="12"/>
  <c r="U137" i="12" s="1"/>
  <c r="T135" i="12"/>
  <c r="R135" i="12"/>
  <c r="I135" i="12"/>
  <c r="I134" i="12"/>
  <c r="C134" i="12"/>
  <c r="E134" i="12" s="1"/>
  <c r="J133" i="12"/>
  <c r="C128" i="12"/>
  <c r="C127" i="12"/>
  <c r="H126" i="12"/>
  <c r="D126" i="12"/>
  <c r="C126" i="12"/>
  <c r="I124" i="12"/>
  <c r="E124" i="12"/>
  <c r="I123" i="12"/>
  <c r="E123" i="12"/>
  <c r="I122" i="12"/>
  <c r="E122" i="12"/>
  <c r="I121" i="12"/>
  <c r="E121" i="12"/>
  <c r="S120" i="12"/>
  <c r="T118" i="12" s="1"/>
  <c r="Q120" i="12"/>
  <c r="I120" i="12"/>
  <c r="E120" i="12"/>
  <c r="U119" i="12"/>
  <c r="I119" i="12"/>
  <c r="E119" i="12"/>
  <c r="U118" i="12"/>
  <c r="U120" i="12" s="1"/>
  <c r="I118" i="12"/>
  <c r="E118" i="12"/>
  <c r="I117" i="12"/>
  <c r="E117" i="12"/>
  <c r="E126" i="12" s="1"/>
  <c r="H107" i="12"/>
  <c r="D107" i="12"/>
  <c r="H106" i="12"/>
  <c r="K104" i="12"/>
  <c r="D104" i="12"/>
  <c r="I104" i="12" s="1"/>
  <c r="H103" i="12"/>
  <c r="D103" i="12"/>
  <c r="C103" i="12"/>
  <c r="E103" i="12" s="1"/>
  <c r="K102" i="12"/>
  <c r="I102" i="12"/>
  <c r="C102" i="12"/>
  <c r="E102" i="12" s="1"/>
  <c r="I101" i="12"/>
  <c r="E101" i="12"/>
  <c r="S100" i="12"/>
  <c r="T98" i="12" s="1"/>
  <c r="Q100" i="12"/>
  <c r="R99" i="12" s="1"/>
  <c r="K96" i="12" s="1"/>
  <c r="I100" i="12"/>
  <c r="K100" i="12" s="1"/>
  <c r="U99" i="12"/>
  <c r="U100" i="12" s="1"/>
  <c r="T99" i="12"/>
  <c r="V99" i="12" s="1"/>
  <c r="I99" i="12"/>
  <c r="C99" i="12"/>
  <c r="E99" i="12" s="1"/>
  <c r="U98" i="12"/>
  <c r="R98" i="12"/>
  <c r="K98" i="12"/>
  <c r="I98" i="12"/>
  <c r="C98" i="12"/>
  <c r="C107" i="12" s="1"/>
  <c r="E107" i="12" s="1"/>
  <c r="K97" i="12"/>
  <c r="I97" i="12"/>
  <c r="C97" i="12"/>
  <c r="E97" i="12" s="1"/>
  <c r="I89" i="12"/>
  <c r="H87" i="12"/>
  <c r="D87" i="12"/>
  <c r="H86" i="12"/>
  <c r="H89" i="12" s="1"/>
  <c r="D84" i="12"/>
  <c r="I84" i="12" s="1"/>
  <c r="H83" i="12"/>
  <c r="D83" i="12"/>
  <c r="D86" i="12" s="1"/>
  <c r="D89" i="12" s="1"/>
  <c r="I82" i="12"/>
  <c r="I81" i="12"/>
  <c r="S80" i="12"/>
  <c r="T79" i="12" s="1"/>
  <c r="Q80" i="12"/>
  <c r="I80" i="12"/>
  <c r="C80" i="12"/>
  <c r="E80" i="12" s="1"/>
  <c r="U79" i="12"/>
  <c r="U80" i="12" s="1"/>
  <c r="R79" i="12"/>
  <c r="V79" i="12" s="1"/>
  <c r="I79" i="12"/>
  <c r="U78" i="12"/>
  <c r="R78" i="12"/>
  <c r="I78" i="12"/>
  <c r="I77" i="12"/>
  <c r="K76" i="12"/>
  <c r="K78" i="12" s="1"/>
  <c r="H69" i="12"/>
  <c r="H71" i="12" s="1"/>
  <c r="D67" i="12"/>
  <c r="I67" i="12" s="1"/>
  <c r="J67" i="12" s="1"/>
  <c r="R66" i="12"/>
  <c r="D66" i="12"/>
  <c r="I66" i="12" s="1"/>
  <c r="C66" i="12"/>
  <c r="I65" i="12"/>
  <c r="I64" i="12"/>
  <c r="C64" i="12"/>
  <c r="E64" i="12" s="1"/>
  <c r="S63" i="12"/>
  <c r="T62" i="12" s="1"/>
  <c r="Q63" i="12"/>
  <c r="K63" i="12"/>
  <c r="I63" i="12"/>
  <c r="C63" i="12"/>
  <c r="E63" i="12" s="1"/>
  <c r="V62" i="12"/>
  <c r="U62" i="12"/>
  <c r="R62" i="12"/>
  <c r="K62" i="12"/>
  <c r="D62" i="12"/>
  <c r="I62" i="12" s="1"/>
  <c r="C62" i="12"/>
  <c r="E62" i="12" s="1"/>
  <c r="U61" i="12"/>
  <c r="U63" i="12" s="1"/>
  <c r="T61" i="12"/>
  <c r="R61" i="12"/>
  <c r="J61" i="12"/>
  <c r="I61" i="12"/>
  <c r="K61" i="12" s="1"/>
  <c r="I60" i="12"/>
  <c r="K60" i="12" s="1"/>
  <c r="C60" i="12"/>
  <c r="E60" i="12" s="1"/>
  <c r="K59" i="12"/>
  <c r="J59" i="12"/>
  <c r="J63" i="12" s="1"/>
  <c r="H50" i="12"/>
  <c r="D50" i="12"/>
  <c r="E49" i="12"/>
  <c r="H48" i="12"/>
  <c r="H52" i="12" s="1"/>
  <c r="D46" i="12"/>
  <c r="I46" i="12" s="1"/>
  <c r="D45" i="12"/>
  <c r="I45" i="12" s="1"/>
  <c r="I44" i="12"/>
  <c r="C44" i="12"/>
  <c r="E44" i="12" s="1"/>
  <c r="I43" i="12"/>
  <c r="E43" i="12"/>
  <c r="C43" i="12"/>
  <c r="S42" i="12"/>
  <c r="Q42" i="12"/>
  <c r="R41" i="12" s="1"/>
  <c r="I42" i="12"/>
  <c r="E42" i="12"/>
  <c r="C42" i="12"/>
  <c r="U41" i="12"/>
  <c r="T41" i="12"/>
  <c r="I41" i="12"/>
  <c r="E41" i="12"/>
  <c r="C41" i="12"/>
  <c r="U40" i="12"/>
  <c r="U42" i="12" s="1"/>
  <c r="T40" i="12"/>
  <c r="R40" i="12"/>
  <c r="V40" i="12" s="1"/>
  <c r="I40" i="12"/>
  <c r="C40" i="12"/>
  <c r="E40" i="12" s="1"/>
  <c r="I39" i="12"/>
  <c r="I48" i="12" s="1"/>
  <c r="C39" i="12"/>
  <c r="H33" i="12"/>
  <c r="H31" i="12"/>
  <c r="G31" i="12"/>
  <c r="F31" i="12"/>
  <c r="D31" i="12"/>
  <c r="D33" i="12" s="1"/>
  <c r="S30" i="12"/>
  <c r="T29" i="12" s="1"/>
  <c r="Q30" i="12"/>
  <c r="U29" i="12"/>
  <c r="R29" i="12"/>
  <c r="I29" i="12"/>
  <c r="D29" i="12"/>
  <c r="C29" i="12"/>
  <c r="E29" i="12" s="1"/>
  <c r="T28" i="12"/>
  <c r="R28" i="12"/>
  <c r="Q28" i="12"/>
  <c r="I28" i="12"/>
  <c r="E28" i="12"/>
  <c r="D28" i="12"/>
  <c r="I27" i="12"/>
  <c r="K27" i="12" s="1"/>
  <c r="C27" i="12"/>
  <c r="E27" i="12" s="1"/>
  <c r="I26" i="12"/>
  <c r="E26" i="12"/>
  <c r="C26" i="12"/>
  <c r="S25" i="12"/>
  <c r="Q25" i="12"/>
  <c r="O25" i="12"/>
  <c r="P24" i="12" s="1"/>
  <c r="I25" i="12"/>
  <c r="E25" i="12"/>
  <c r="C25" i="12"/>
  <c r="U24" i="12"/>
  <c r="T24" i="12"/>
  <c r="X28" i="12" s="1"/>
  <c r="R24" i="12"/>
  <c r="I24" i="12"/>
  <c r="K24" i="12" s="1"/>
  <c r="C24" i="12"/>
  <c r="E24" i="12" s="1"/>
  <c r="U23" i="12"/>
  <c r="U25" i="12" s="1"/>
  <c r="T23" i="12"/>
  <c r="R23" i="12"/>
  <c r="V23" i="12" s="1"/>
  <c r="P23" i="12"/>
  <c r="I23" i="12"/>
  <c r="D23" i="12"/>
  <c r="C23" i="12"/>
  <c r="E23" i="12" s="1"/>
  <c r="K22" i="12"/>
  <c r="I22" i="12"/>
  <c r="C22" i="12"/>
  <c r="K21" i="12"/>
  <c r="K26" i="12" s="1"/>
  <c r="D14" i="12"/>
  <c r="C14" i="12"/>
  <c r="G12" i="12"/>
  <c r="E12" i="12"/>
  <c r="E14" i="12" s="1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K207" i="11"/>
  <c r="M207" i="11" s="1"/>
  <c r="K202" i="11"/>
  <c r="M201" i="11"/>
  <c r="K201" i="11"/>
  <c r="D193" i="11"/>
  <c r="E190" i="11"/>
  <c r="G190" i="11" s="1"/>
  <c r="C190" i="11"/>
  <c r="E189" i="11"/>
  <c r="E188" i="11"/>
  <c r="G187" i="11"/>
  <c r="E187" i="11"/>
  <c r="L186" i="11"/>
  <c r="G183" i="11" s="1"/>
  <c r="G186" i="11"/>
  <c r="E186" i="11"/>
  <c r="L185" i="11"/>
  <c r="G185" i="11"/>
  <c r="E185" i="11"/>
  <c r="G184" i="11"/>
  <c r="E184" i="11"/>
  <c r="F183" i="11"/>
  <c r="D177" i="11"/>
  <c r="D176" i="11"/>
  <c r="E176" i="11" s="1"/>
  <c r="D175" i="11"/>
  <c r="C175" i="11"/>
  <c r="C177" i="11" s="1"/>
  <c r="D168" i="11"/>
  <c r="D173" i="11" s="1"/>
  <c r="C168" i="11"/>
  <c r="C173" i="11" s="1"/>
  <c r="E166" i="11"/>
  <c r="G166" i="11" s="1"/>
  <c r="E165" i="11"/>
  <c r="E164" i="11"/>
  <c r="G163" i="11"/>
  <c r="E163" i="11"/>
  <c r="K162" i="11"/>
  <c r="L161" i="11" s="1"/>
  <c r="G158" i="11" s="1"/>
  <c r="G164" i="11" s="1"/>
  <c r="G162" i="11"/>
  <c r="E162" i="11"/>
  <c r="M161" i="11"/>
  <c r="K161" i="11"/>
  <c r="G161" i="11"/>
  <c r="E161" i="11"/>
  <c r="L160" i="11"/>
  <c r="F158" i="11" s="1"/>
  <c r="G160" i="11"/>
  <c r="E160" i="11"/>
  <c r="G159" i="11"/>
  <c r="E159" i="11"/>
  <c r="D151" i="11"/>
  <c r="E149" i="11"/>
  <c r="C149" i="11"/>
  <c r="E148" i="11"/>
  <c r="C148" i="11"/>
  <c r="E147" i="11"/>
  <c r="E146" i="11"/>
  <c r="M145" i="11"/>
  <c r="K145" i="11"/>
  <c r="E145" i="11"/>
  <c r="O144" i="11"/>
  <c r="O145" i="11" s="1"/>
  <c r="N144" i="11"/>
  <c r="L144" i="11"/>
  <c r="P144" i="11" s="1"/>
  <c r="E144" i="11"/>
  <c r="O143" i="11"/>
  <c r="N143" i="11"/>
  <c r="L143" i="11"/>
  <c r="E143" i="11"/>
  <c r="C143" i="11"/>
  <c r="C151" i="11" s="1"/>
  <c r="E142" i="11"/>
  <c r="G141" i="11"/>
  <c r="G145" i="11" s="1"/>
  <c r="D135" i="11"/>
  <c r="C135" i="11"/>
  <c r="E133" i="11"/>
  <c r="E132" i="11"/>
  <c r="E131" i="11"/>
  <c r="E130" i="11"/>
  <c r="O129" i="11"/>
  <c r="M129" i="11"/>
  <c r="N127" i="11" s="1"/>
  <c r="K129" i="11"/>
  <c r="E129" i="11"/>
  <c r="O128" i="11"/>
  <c r="N128" i="11"/>
  <c r="L128" i="11"/>
  <c r="E128" i="11"/>
  <c r="O127" i="11"/>
  <c r="L127" i="11"/>
  <c r="P127" i="11" s="1"/>
  <c r="E127" i="11"/>
  <c r="E126" i="11"/>
  <c r="D118" i="11"/>
  <c r="C118" i="11"/>
  <c r="E116" i="11"/>
  <c r="E115" i="11"/>
  <c r="E114" i="11"/>
  <c r="F113" i="11"/>
  <c r="E113" i="11"/>
  <c r="M112" i="11"/>
  <c r="K112" i="11"/>
  <c r="L110" i="11" s="1"/>
  <c r="F108" i="11" s="1"/>
  <c r="E112" i="11"/>
  <c r="O111" i="11"/>
  <c r="L111" i="11"/>
  <c r="G108" i="11" s="1"/>
  <c r="C120" i="11" s="1"/>
  <c r="G111" i="11"/>
  <c r="E111" i="11"/>
  <c r="O110" i="11"/>
  <c r="O112" i="11" s="1"/>
  <c r="G110" i="11"/>
  <c r="E110" i="11"/>
  <c r="E109" i="11"/>
  <c r="D101" i="11"/>
  <c r="C101" i="11"/>
  <c r="E99" i="11"/>
  <c r="E98" i="11"/>
  <c r="E97" i="11"/>
  <c r="E96" i="11"/>
  <c r="M95" i="11"/>
  <c r="K95" i="11"/>
  <c r="E95" i="11"/>
  <c r="O94" i="11"/>
  <c r="N94" i="11"/>
  <c r="E94" i="11"/>
  <c r="O93" i="11"/>
  <c r="O95" i="11" s="1"/>
  <c r="N93" i="11"/>
  <c r="E93" i="11"/>
  <c r="E92" i="11"/>
  <c r="D83" i="11"/>
  <c r="C83" i="11"/>
  <c r="C82" i="11"/>
  <c r="C84" i="11" s="1"/>
  <c r="E80" i="11"/>
  <c r="C80" i="11"/>
  <c r="D79" i="11"/>
  <c r="D82" i="11" s="1"/>
  <c r="C79" i="11"/>
  <c r="E78" i="11"/>
  <c r="G78" i="11" s="1"/>
  <c r="E77" i="11"/>
  <c r="O76" i="11"/>
  <c r="M76" i="11"/>
  <c r="K76" i="11"/>
  <c r="G76" i="11"/>
  <c r="F76" i="11"/>
  <c r="E76" i="11"/>
  <c r="O75" i="11"/>
  <c r="N75" i="11"/>
  <c r="L75" i="11"/>
  <c r="P75" i="11" s="1"/>
  <c r="E75" i="11"/>
  <c r="G75" i="11" s="1"/>
  <c r="O74" i="11"/>
  <c r="N74" i="11"/>
  <c r="L74" i="11"/>
  <c r="E74" i="11"/>
  <c r="G73" i="11"/>
  <c r="E73" i="11"/>
  <c r="G72" i="11"/>
  <c r="F72" i="11"/>
  <c r="F73" i="11" s="1"/>
  <c r="D65" i="11"/>
  <c r="C65" i="11"/>
  <c r="C62" i="11"/>
  <c r="E62" i="11" s="1"/>
  <c r="D61" i="11"/>
  <c r="D64" i="11" s="1"/>
  <c r="D66" i="11" s="1"/>
  <c r="C61" i="1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D48" i="11"/>
  <c r="E46" i="11"/>
  <c r="C46" i="11"/>
  <c r="C48" i="11" s="1"/>
  <c r="L45" i="11"/>
  <c r="E45" i="11"/>
  <c r="C45" i="11"/>
  <c r="E44" i="11"/>
  <c r="E43" i="11"/>
  <c r="M42" i="11"/>
  <c r="K42" i="11"/>
  <c r="E42" i="11"/>
  <c r="O41" i="11"/>
  <c r="N41" i="11"/>
  <c r="E41" i="11"/>
  <c r="C41" i="11"/>
  <c r="O40" i="11"/>
  <c r="N40" i="11"/>
  <c r="E40" i="11"/>
  <c r="E39" i="11"/>
  <c r="D31" i="11"/>
  <c r="C31" i="11"/>
  <c r="D29" i="11"/>
  <c r="E27" i="11"/>
  <c r="C27" i="11"/>
  <c r="C26" i="11"/>
  <c r="E26" i="11" s="1"/>
  <c r="E25" i="11"/>
  <c r="E24" i="11"/>
  <c r="O23" i="11"/>
  <c r="M23" i="11"/>
  <c r="K23" i="11"/>
  <c r="E23" i="11"/>
  <c r="O22" i="11"/>
  <c r="L22" i="11"/>
  <c r="E22" i="11"/>
  <c r="O21" i="11"/>
  <c r="L21" i="11"/>
  <c r="F19" i="11" s="1"/>
  <c r="F24" i="11" s="1"/>
  <c r="E21" i="11"/>
  <c r="E20" i="11"/>
  <c r="D13" i="11"/>
  <c r="M12" i="11"/>
  <c r="K12" i="11"/>
  <c r="L10" i="11" s="1"/>
  <c r="O11" i="11"/>
  <c r="N11" i="11"/>
  <c r="C11" i="11"/>
  <c r="E11" i="11" s="1"/>
  <c r="N10" i="11"/>
  <c r="K10" i="11"/>
  <c r="O10" i="11" s="1"/>
  <c r="O12" i="11" s="1"/>
  <c r="E10" i="11"/>
  <c r="C10" i="11"/>
  <c r="E9" i="11"/>
  <c r="E8" i="11"/>
  <c r="E7" i="11"/>
  <c r="O6" i="11"/>
  <c r="M6" i="11"/>
  <c r="K6" i="11"/>
  <c r="E6" i="11"/>
  <c r="O5" i="11"/>
  <c r="L5" i="11"/>
  <c r="E5" i="11"/>
  <c r="O4" i="11"/>
  <c r="L4" i="11"/>
  <c r="C76" i="24" s="1"/>
  <c r="C4" i="11"/>
  <c r="E3" i="11"/>
  <c r="G2" i="11"/>
  <c r="G7" i="11" s="1"/>
  <c r="F2" i="11"/>
  <c r="E22" i="10"/>
  <c r="D9" i="10"/>
  <c r="C9" i="10"/>
  <c r="I95" i="9"/>
  <c r="F95" i="9"/>
  <c r="I86" i="9"/>
  <c r="F84" i="9"/>
  <c r="G83" i="9" s="1"/>
  <c r="C83" i="9"/>
  <c r="G82" i="9"/>
  <c r="C82" i="9"/>
  <c r="I73" i="9"/>
  <c r="F73" i="9"/>
  <c r="G72" i="9" s="1"/>
  <c r="G71" i="9"/>
  <c r="I62" i="9"/>
  <c r="F62" i="9"/>
  <c r="G61" i="9" s="1"/>
  <c r="C60" i="9"/>
  <c r="F51" i="9"/>
  <c r="G50" i="9" s="1"/>
  <c r="C50" i="9"/>
  <c r="G49" i="9"/>
  <c r="F40" i="9"/>
  <c r="G39" i="9"/>
  <c r="G38" i="9"/>
  <c r="F29" i="9"/>
  <c r="G28" i="9"/>
  <c r="G27" i="9"/>
  <c r="C27" i="9"/>
  <c r="I30" i="9" s="1"/>
  <c r="C24" i="9"/>
  <c r="F18" i="9"/>
  <c r="G17" i="9" s="1"/>
  <c r="G16" i="9"/>
  <c r="C16" i="9"/>
  <c r="F7" i="9"/>
  <c r="G5" i="9" s="1"/>
  <c r="G6" i="9"/>
  <c r="C5" i="9"/>
  <c r="C2" i="9"/>
  <c r="C6" i="9" s="1"/>
  <c r="E80" i="8"/>
  <c r="E82" i="8" s="1"/>
  <c r="D79" i="8"/>
  <c r="D82" i="8" s="1"/>
  <c r="E69" i="8"/>
  <c r="D65" i="8"/>
  <c r="D64" i="8"/>
  <c r="D63" i="8"/>
  <c r="D62" i="8"/>
  <c r="E72" i="8" s="1"/>
  <c r="Q20" i="1" s="1"/>
  <c r="D61" i="8"/>
  <c r="D59" i="8"/>
  <c r="D58" i="8"/>
  <c r="J51" i="8"/>
  <c r="E51" i="8"/>
  <c r="J50" i="8"/>
  <c r="J49" i="8"/>
  <c r="I49" i="8"/>
  <c r="E47" i="8"/>
  <c r="G46" i="8"/>
  <c r="G44" i="8"/>
  <c r="D43" i="8"/>
  <c r="D51" i="8" s="1"/>
  <c r="E34" i="8"/>
  <c r="D29" i="8"/>
  <c r="D28" i="8"/>
  <c r="D27" i="8"/>
  <c r="D26" i="8"/>
  <c r="D25" i="8"/>
  <c r="I6" i="9" s="1"/>
  <c r="D24" i="8"/>
  <c r="D16" i="8"/>
  <c r="H13" i="8"/>
  <c r="E13" i="8"/>
  <c r="C13" i="8"/>
  <c r="L12" i="8"/>
  <c r="J11" i="8"/>
  <c r="J13" i="8" s="1"/>
  <c r="I11" i="8"/>
  <c r="I13" i="8" s="1"/>
  <c r="H11" i="8"/>
  <c r="E11" i="8"/>
  <c r="C11" i="8"/>
  <c r="L10" i="8"/>
  <c r="K9" i="8"/>
  <c r="C93" i="9" s="1"/>
  <c r="I9" i="8"/>
  <c r="C71" i="9" s="1"/>
  <c r="G9" i="8"/>
  <c r="F9" i="8"/>
  <c r="C38" i="9" s="1"/>
  <c r="I40" i="9" s="1"/>
  <c r="D9" i="8"/>
  <c r="D11" i="8" s="1"/>
  <c r="D13" i="8" s="1"/>
  <c r="E30" i="7"/>
  <c r="Q13" i="24" s="1"/>
  <c r="R13" i="24" s="1"/>
  <c r="E29" i="7"/>
  <c r="E28" i="7"/>
  <c r="D26" i="7"/>
  <c r="P55" i="24" s="1"/>
  <c r="D23" i="7"/>
  <c r="E19" i="7"/>
  <c r="E16" i="7"/>
  <c r="E8" i="7"/>
  <c r="E5" i="7"/>
  <c r="E27" i="7" s="1"/>
  <c r="Q56" i="24" s="1"/>
  <c r="E37" i="6"/>
  <c r="E36" i="6"/>
  <c r="Q8" i="24" s="1"/>
  <c r="R8" i="24" s="1"/>
  <c r="E35" i="6"/>
  <c r="E34" i="6"/>
  <c r="Q14" i="24" s="1"/>
  <c r="R14" i="24" s="1"/>
  <c r="E33" i="6"/>
  <c r="D32" i="6"/>
  <c r="D30" i="6"/>
  <c r="AG41" i="1" s="1"/>
  <c r="AI41" i="1" s="1"/>
  <c r="AJ41" i="1" s="1"/>
  <c r="D29" i="6"/>
  <c r="E24" i="6"/>
  <c r="D24" i="6"/>
  <c r="F39" i="4"/>
  <c r="D39" i="4"/>
  <c r="R37" i="4"/>
  <c r="N35" i="4"/>
  <c r="R35" i="4" s="1"/>
  <c r="R33" i="4"/>
  <c r="P33" i="4"/>
  <c r="N31" i="4"/>
  <c r="R31" i="4" s="1"/>
  <c r="R29" i="4"/>
  <c r="N26" i="4"/>
  <c r="N39" i="4" s="1"/>
  <c r="L26" i="4"/>
  <c r="L39" i="4" s="1"/>
  <c r="J26" i="4"/>
  <c r="J39" i="4" s="1"/>
  <c r="H26" i="4"/>
  <c r="H39" i="4" s="1"/>
  <c r="F26" i="4"/>
  <c r="D26" i="4"/>
  <c r="B26" i="4"/>
  <c r="B39" i="4" s="1"/>
  <c r="R24" i="4"/>
  <c r="R22" i="4"/>
  <c r="P20" i="4"/>
  <c r="R18" i="4"/>
  <c r="R16" i="4"/>
  <c r="R14" i="4"/>
  <c r="R12" i="4"/>
  <c r="R10" i="4"/>
  <c r="R8" i="4"/>
  <c r="R6" i="4"/>
  <c r="D34" i="3"/>
  <c r="D12" i="3"/>
  <c r="D16" i="3" s="1"/>
  <c r="D20" i="3" s="1"/>
  <c r="D28" i="3" s="1"/>
  <c r="F7" i="3"/>
  <c r="F12" i="3" s="1"/>
  <c r="F16" i="3" s="1"/>
  <c r="F20" i="3" s="1"/>
  <c r="F28" i="3" s="1"/>
  <c r="F32" i="3" s="1"/>
  <c r="D7" i="3"/>
  <c r="D70" i="2"/>
  <c r="F67" i="2"/>
  <c r="F70" i="2" s="1"/>
  <c r="D67" i="2"/>
  <c r="F59" i="2"/>
  <c r="D54" i="2"/>
  <c r="D59" i="2" s="1"/>
  <c r="F48" i="2"/>
  <c r="F60" i="2" s="1"/>
  <c r="F72" i="2" s="1"/>
  <c r="F75" i="2" s="1"/>
  <c r="D48" i="2"/>
  <c r="D60" i="2" s="1"/>
  <c r="D72" i="2" s="1"/>
  <c r="D44" i="2"/>
  <c r="D41" i="2"/>
  <c r="F28" i="2"/>
  <c r="F29" i="2" s="1"/>
  <c r="D28" i="2"/>
  <c r="D27" i="2"/>
  <c r="D21" i="2"/>
  <c r="D29" i="2" s="1"/>
  <c r="D15" i="2"/>
  <c r="D30" i="2" s="1"/>
  <c r="D10" i="2"/>
  <c r="D9" i="2"/>
  <c r="D8" i="2"/>
  <c r="F7" i="2"/>
  <c r="F15" i="2" s="1"/>
  <c r="F30" i="2" s="1"/>
  <c r="F6" i="2"/>
  <c r="W82" i="1"/>
  <c r="Q81" i="1"/>
  <c r="S80" i="1"/>
  <c r="U79" i="1"/>
  <c r="T76" i="1"/>
  <c r="AI75" i="1"/>
  <c r="AJ75" i="1" s="1"/>
  <c r="AE75" i="1"/>
  <c r="N75" i="1"/>
  <c r="R75" i="1" s="1"/>
  <c r="AE72" i="1"/>
  <c r="AI72" i="1" s="1"/>
  <c r="AJ72" i="1" s="1"/>
  <c r="R72" i="1"/>
  <c r="N72" i="1"/>
  <c r="C72" i="1"/>
  <c r="AD69" i="1"/>
  <c r="AD73" i="1" s="1"/>
  <c r="AD76" i="1" s="1"/>
  <c r="K69" i="1"/>
  <c r="K73" i="1" s="1"/>
  <c r="K76" i="1" s="1"/>
  <c r="AE68" i="1"/>
  <c r="AI68" i="1" s="1"/>
  <c r="AJ68" i="1" s="1"/>
  <c r="S68" i="1"/>
  <c r="N68" i="1"/>
  <c r="R68" i="1" s="1"/>
  <c r="C68" i="1"/>
  <c r="AC66" i="1"/>
  <c r="AC69" i="1" s="1"/>
  <c r="AC73" i="1" s="1"/>
  <c r="Y66" i="1"/>
  <c r="Y69" i="1" s="1"/>
  <c r="Y73" i="1" s="1"/>
  <c r="X66" i="1"/>
  <c r="X69" i="1" s="1"/>
  <c r="X73" i="1" s="1"/>
  <c r="X80" i="1" s="1"/>
  <c r="U66" i="1"/>
  <c r="U69" i="1" s="1"/>
  <c r="U73" i="1" s="1"/>
  <c r="T66" i="1"/>
  <c r="T69" i="1" s="1"/>
  <c r="T73" i="1" s="1"/>
  <c r="T80" i="1" s="1"/>
  <c r="M66" i="1"/>
  <c r="M69" i="1" s="1"/>
  <c r="M73" i="1" s="1"/>
  <c r="M76" i="1" s="1"/>
  <c r="J66" i="1"/>
  <c r="J69" i="1" s="1"/>
  <c r="J73" i="1" s="1"/>
  <c r="J76" i="1" s="1"/>
  <c r="I66" i="1"/>
  <c r="I69" i="1" s="1"/>
  <c r="I73" i="1" s="1"/>
  <c r="I76" i="1" s="1"/>
  <c r="F66" i="1"/>
  <c r="F69" i="1" s="1"/>
  <c r="F73" i="1" s="1"/>
  <c r="F76" i="1" s="1"/>
  <c r="E66" i="1"/>
  <c r="E69" i="1" s="1"/>
  <c r="E73" i="1" s="1"/>
  <c r="E76" i="1" s="1"/>
  <c r="AI65" i="1"/>
  <c r="AJ65" i="1" s="1"/>
  <c r="AH65" i="1"/>
  <c r="AG65" i="1"/>
  <c r="AG81" i="1" s="1"/>
  <c r="AE65" i="1"/>
  <c r="R65" i="1"/>
  <c r="P65" i="1"/>
  <c r="N65" i="1"/>
  <c r="C65" i="1"/>
  <c r="AB64" i="1"/>
  <c r="AE64" i="1" s="1"/>
  <c r="Q64" i="1"/>
  <c r="H64" i="1"/>
  <c r="N64" i="1" s="1"/>
  <c r="R64" i="1" s="1"/>
  <c r="F64" i="1"/>
  <c r="E64" i="1"/>
  <c r="C64" i="1"/>
  <c r="AK62" i="1"/>
  <c r="AK66" i="1" s="1"/>
  <c r="AK69" i="1" s="1"/>
  <c r="AK73" i="1" s="1"/>
  <c r="AK76" i="1" s="1"/>
  <c r="AD62" i="1"/>
  <c r="AD66" i="1" s="1"/>
  <c r="AC62" i="1"/>
  <c r="AB62" i="1"/>
  <c r="AA62" i="1"/>
  <c r="AA66" i="1" s="1"/>
  <c r="AA69" i="1" s="1"/>
  <c r="AA73" i="1" s="1"/>
  <c r="AA76" i="1" s="1"/>
  <c r="AA82" i="1" s="1"/>
  <c r="Z62" i="1"/>
  <c r="Z66" i="1" s="1"/>
  <c r="Z69" i="1" s="1"/>
  <c r="Z73" i="1" s="1"/>
  <c r="Y62" i="1"/>
  <c r="X62" i="1"/>
  <c r="W62" i="1"/>
  <c r="W66" i="1" s="1"/>
  <c r="W69" i="1" s="1"/>
  <c r="W73" i="1" s="1"/>
  <c r="W76" i="1" s="1"/>
  <c r="W81" i="1" s="1"/>
  <c r="V62" i="1"/>
  <c r="V66" i="1" s="1"/>
  <c r="V69" i="1" s="1"/>
  <c r="V73" i="1" s="1"/>
  <c r="U62" i="1"/>
  <c r="T62" i="1"/>
  <c r="S62" i="1"/>
  <c r="S66" i="1" s="1"/>
  <c r="S69" i="1" s="1"/>
  <c r="S73" i="1" s="1"/>
  <c r="S76" i="1" s="1"/>
  <c r="S81" i="1" s="1"/>
  <c r="M62" i="1"/>
  <c r="L62" i="1"/>
  <c r="L66" i="1" s="1"/>
  <c r="L69" i="1" s="1"/>
  <c r="L73" i="1" s="1"/>
  <c r="L76" i="1" s="1"/>
  <c r="K62" i="1"/>
  <c r="K66" i="1" s="1"/>
  <c r="J62" i="1"/>
  <c r="I62" i="1"/>
  <c r="H62" i="1"/>
  <c r="G62" i="1"/>
  <c r="G66" i="1" s="1"/>
  <c r="G69" i="1" s="1"/>
  <c r="G73" i="1" s="1"/>
  <c r="G76" i="1" s="1"/>
  <c r="F62" i="1"/>
  <c r="E62" i="1"/>
  <c r="D62" i="1"/>
  <c r="D66" i="1" s="1"/>
  <c r="D69" i="1" s="1"/>
  <c r="D73" i="1" s="1"/>
  <c r="D76" i="1" s="1"/>
  <c r="D56" i="1" s="1"/>
  <c r="B62" i="1"/>
  <c r="B66" i="1" s="1"/>
  <c r="B69" i="1" s="1"/>
  <c r="B73" i="1" s="1"/>
  <c r="B76" i="1" s="1"/>
  <c r="AH61" i="1"/>
  <c r="AE61" i="1"/>
  <c r="AI61" i="1" s="1"/>
  <c r="AJ61" i="1" s="1"/>
  <c r="Q61" i="1"/>
  <c r="N61" i="1"/>
  <c r="R61" i="1" s="1"/>
  <c r="C61" i="1"/>
  <c r="AG60" i="1"/>
  <c r="AL68" i="1" s="1"/>
  <c r="AE60" i="1"/>
  <c r="P60" i="1"/>
  <c r="N60" i="1"/>
  <c r="N62" i="1" s="1"/>
  <c r="N66" i="1" s="1"/>
  <c r="N69" i="1" s="1"/>
  <c r="N73" i="1" s="1"/>
  <c r="N76" i="1" s="1"/>
  <c r="C60" i="1"/>
  <c r="AK58" i="1"/>
  <c r="AC58" i="1"/>
  <c r="AB58" i="1"/>
  <c r="AA58" i="1"/>
  <c r="Z58" i="1"/>
  <c r="Z79" i="1" s="1"/>
  <c r="Y58" i="1"/>
  <c r="Y79" i="1" s="1"/>
  <c r="X58" i="1"/>
  <c r="W58" i="1"/>
  <c r="V58" i="1"/>
  <c r="V79" i="1" s="1"/>
  <c r="U58" i="1"/>
  <c r="T58" i="1"/>
  <c r="M58" i="1"/>
  <c r="C90" i="9" s="1"/>
  <c r="L58" i="1"/>
  <c r="C79" i="9" s="1"/>
  <c r="C85" i="9" s="1"/>
  <c r="K58" i="1"/>
  <c r="C68" i="9" s="1"/>
  <c r="C72" i="9" s="1"/>
  <c r="J58" i="1"/>
  <c r="C57" i="9" s="1"/>
  <c r="I58" i="1"/>
  <c r="C46" i="9" s="1"/>
  <c r="G58" i="1"/>
  <c r="G79" i="1" s="1"/>
  <c r="F58" i="1"/>
  <c r="C13" i="9" s="1"/>
  <c r="E58" i="1"/>
  <c r="B58" i="1"/>
  <c r="B79" i="1" s="1"/>
  <c r="AH57" i="1"/>
  <c r="AG57" i="1"/>
  <c r="AI57" i="1" s="1"/>
  <c r="AJ57" i="1" s="1"/>
  <c r="AE57" i="1"/>
  <c r="N57" i="1"/>
  <c r="C57" i="1"/>
  <c r="AH56" i="1"/>
  <c r="Q56" i="1"/>
  <c r="P56" i="1"/>
  <c r="AH55" i="1"/>
  <c r="AG55" i="1"/>
  <c r="S55" i="1"/>
  <c r="AE55" i="1" s="1"/>
  <c r="Q55" i="1"/>
  <c r="H55" i="1"/>
  <c r="H58" i="1" s="1"/>
  <c r="C55" i="1"/>
  <c r="B55" i="1"/>
  <c r="S54" i="1"/>
  <c r="AH53" i="1"/>
  <c r="AI53" i="1" s="1"/>
  <c r="AG53" i="1"/>
  <c r="AE53" i="1"/>
  <c r="P53" i="1"/>
  <c r="R53" i="1" s="1"/>
  <c r="N53" i="1"/>
  <c r="C53" i="1"/>
  <c r="AO52" i="1"/>
  <c r="AG52" i="1"/>
  <c r="AE52" i="1"/>
  <c r="AI52" i="1" s="1"/>
  <c r="AJ52" i="1" s="1"/>
  <c r="P52" i="1"/>
  <c r="N52" i="1"/>
  <c r="R52" i="1" s="1"/>
  <c r="C52" i="1"/>
  <c r="AE51" i="1"/>
  <c r="AI51" i="1" s="1"/>
  <c r="N51" i="1"/>
  <c r="R51" i="1" s="1"/>
  <c r="C51" i="1"/>
  <c r="AL50" i="1"/>
  <c r="AG50" i="1"/>
  <c r="AE50" i="1"/>
  <c r="AI50" i="1" s="1"/>
  <c r="AJ50" i="1" s="1"/>
  <c r="P50" i="1"/>
  <c r="N50" i="1"/>
  <c r="R50" i="1" s="1"/>
  <c r="C50" i="1"/>
  <c r="AI49" i="1"/>
  <c r="AG49" i="1"/>
  <c r="AE49" i="1"/>
  <c r="P49" i="1"/>
  <c r="F49" i="1"/>
  <c r="N49" i="1" s="1"/>
  <c r="C49" i="1"/>
  <c r="AG48" i="1"/>
  <c r="AE48" i="1"/>
  <c r="P48" i="1"/>
  <c r="N48" i="1"/>
  <c r="R48" i="1" s="1"/>
  <c r="C48" i="1"/>
  <c r="AK47" i="1"/>
  <c r="AD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H44" i="1"/>
  <c r="N44" i="1" s="1"/>
  <c r="R44" i="1" s="1"/>
  <c r="C44" i="1"/>
  <c r="AE43" i="1"/>
  <c r="AI43" i="1" s="1"/>
  <c r="AJ43" i="1" s="1"/>
  <c r="R43" i="1"/>
  <c r="N43" i="1"/>
  <c r="C43" i="1"/>
  <c r="AI42" i="1"/>
  <c r="AJ42" i="1" s="1"/>
  <c r="AG42" i="1"/>
  <c r="AE42" i="1"/>
  <c r="N42" i="1"/>
  <c r="R42" i="1" s="1"/>
  <c r="C42" i="1"/>
  <c r="AE41" i="1"/>
  <c r="P41" i="1"/>
  <c r="N41" i="1"/>
  <c r="R41" i="1" s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J37" i="1"/>
  <c r="AE37" i="1"/>
  <c r="AI37" i="1" s="1"/>
  <c r="N37" i="1"/>
  <c r="R37" i="1" s="1"/>
  <c r="C37" i="1"/>
  <c r="AE36" i="1"/>
  <c r="AI36" i="1" s="1"/>
  <c r="AJ36" i="1" s="1"/>
  <c r="AC36" i="1"/>
  <c r="N36" i="1"/>
  <c r="R36" i="1" s="1"/>
  <c r="C36" i="1"/>
  <c r="AE35" i="1"/>
  <c r="AI35" i="1" s="1"/>
  <c r="AJ35" i="1" s="1"/>
  <c r="R35" i="1"/>
  <c r="N35" i="1"/>
  <c r="C35" i="1"/>
  <c r="AH34" i="1"/>
  <c r="AC34" i="1"/>
  <c r="AC47" i="1" s="1"/>
  <c r="R34" i="1"/>
  <c r="N34" i="1"/>
  <c r="C34" i="1"/>
  <c r="AI33" i="1"/>
  <c r="AJ33" i="1" s="1"/>
  <c r="AE33" i="1"/>
  <c r="N33" i="1"/>
  <c r="R33" i="1" s="1"/>
  <c r="C33" i="1"/>
  <c r="AE32" i="1"/>
  <c r="AI32" i="1" s="1"/>
  <c r="AJ32" i="1" s="1"/>
  <c r="R32" i="1"/>
  <c r="N32" i="1"/>
  <c r="C32" i="1"/>
  <c r="AI31" i="1"/>
  <c r="AJ31" i="1" s="1"/>
  <c r="AG31" i="1"/>
  <c r="AE31" i="1"/>
  <c r="P31" i="1"/>
  <c r="F31" i="1"/>
  <c r="N31" i="1" s="1"/>
  <c r="R31" i="1" s="1"/>
  <c r="C31" i="1"/>
  <c r="AJ30" i="1"/>
  <c r="AG30" i="1"/>
  <c r="AE30" i="1"/>
  <c r="AI30" i="1" s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K26" i="1"/>
  <c r="AO49" i="1" s="1"/>
  <c r="AD26" i="1"/>
  <c r="AB26" i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I25" i="1"/>
  <c r="AJ25" i="1" s="1"/>
  <c r="AG25" i="1"/>
  <c r="AE25" i="1"/>
  <c r="N25" i="1"/>
  <c r="C25" i="1"/>
  <c r="AI24" i="1"/>
  <c r="AJ24" i="1" s="1"/>
  <c r="AE24" i="1"/>
  <c r="N24" i="1"/>
  <c r="R24" i="1" s="1"/>
  <c r="C24" i="1"/>
  <c r="AE23" i="1"/>
  <c r="AI23" i="1" s="1"/>
  <c r="AJ23" i="1" s="1"/>
  <c r="R23" i="1"/>
  <c r="N23" i="1"/>
  <c r="C23" i="1"/>
  <c r="AI22" i="1"/>
  <c r="AJ22" i="1" s="1"/>
  <c r="AH22" i="1"/>
  <c r="AG22" i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N20" i="1"/>
  <c r="C20" i="1"/>
  <c r="AM19" i="1"/>
  <c r="AI19" i="1"/>
  <c r="AJ19" i="1" s="1"/>
  <c r="AH19" i="1"/>
  <c r="AE19" i="1"/>
  <c r="Q19" i="1"/>
  <c r="H19" i="1"/>
  <c r="E19" i="1"/>
  <c r="N19" i="1" s="1"/>
  <c r="C19" i="1"/>
  <c r="AE18" i="1"/>
  <c r="AI18" i="1" s="1"/>
  <c r="AJ18" i="1" s="1"/>
  <c r="R18" i="1"/>
  <c r="N18" i="1"/>
  <c r="C18" i="1"/>
  <c r="AI17" i="1"/>
  <c r="AJ17" i="1" s="1"/>
  <c r="AG17" i="1"/>
  <c r="AG79" i="1" s="1"/>
  <c r="AE17" i="1"/>
  <c r="P17" i="1"/>
  <c r="L17" i="1"/>
  <c r="L26" i="1" s="1"/>
  <c r="H17" i="1"/>
  <c r="F17" i="1"/>
  <c r="N17" i="1" s="1"/>
  <c r="C17" i="1"/>
  <c r="AI16" i="1"/>
  <c r="AE16" i="1"/>
  <c r="N16" i="1"/>
  <c r="R16" i="1" s="1"/>
  <c r="C16" i="1"/>
  <c r="AH15" i="1"/>
  <c r="AE15" i="1"/>
  <c r="AI15" i="1" s="1"/>
  <c r="AJ15" i="1" s="1"/>
  <c r="N15" i="1"/>
  <c r="R15" i="1" s="1"/>
  <c r="C15" i="1"/>
  <c r="AE14" i="1"/>
  <c r="AI14" i="1" s="1"/>
  <c r="AJ14" i="1" s="1"/>
  <c r="N14" i="1"/>
  <c r="R14" i="1" s="1"/>
  <c r="C14" i="1"/>
  <c r="AH13" i="1"/>
  <c r="AI13" i="1" s="1"/>
  <c r="AJ13" i="1" s="1"/>
  <c r="AE13" i="1"/>
  <c r="N13" i="1"/>
  <c r="R13" i="1" s="1"/>
  <c r="C13" i="1"/>
  <c r="AE12" i="1"/>
  <c r="AI12" i="1" s="1"/>
  <c r="AJ12" i="1" s="1"/>
  <c r="R12" i="1"/>
  <c r="N12" i="1"/>
  <c r="C12" i="1"/>
  <c r="AI11" i="1"/>
  <c r="AJ11" i="1" s="1"/>
  <c r="AE11" i="1"/>
  <c r="J11" i="1"/>
  <c r="H11" i="1"/>
  <c r="F11" i="1"/>
  <c r="C11" i="1"/>
  <c r="AC10" i="1"/>
  <c r="N10" i="1"/>
  <c r="R10" i="1" s="1"/>
  <c r="C10" i="1"/>
  <c r="AH9" i="1"/>
  <c r="AE9" i="1"/>
  <c r="AI9" i="1" s="1"/>
  <c r="AJ9" i="1" s="1"/>
  <c r="F9" i="1"/>
  <c r="N9" i="1" s="1"/>
  <c r="C9" i="1"/>
  <c r="AM8" i="1"/>
  <c r="AH8" i="1"/>
  <c r="AC8" i="1"/>
  <c r="AE8" i="1" s="1"/>
  <c r="N8" i="1"/>
  <c r="R8" i="1" s="1"/>
  <c r="H8" i="1"/>
  <c r="H26" i="1" s="1"/>
  <c r="C8" i="1"/>
  <c r="AI7" i="1"/>
  <c r="AJ7" i="1" s="1"/>
  <c r="AE7" i="1"/>
  <c r="N7" i="1"/>
  <c r="R7" i="1" s="1"/>
  <c r="C7" i="1"/>
  <c r="AE6" i="1"/>
  <c r="AI6" i="1" s="1"/>
  <c r="AJ6" i="1" s="1"/>
  <c r="R6" i="1"/>
  <c r="N6" i="1"/>
  <c r="C6" i="1"/>
  <c r="AI5" i="1"/>
  <c r="AJ5" i="1" s="1"/>
  <c r="AE5" i="1"/>
  <c r="N5" i="1"/>
  <c r="R5" i="1" s="1"/>
  <c r="C5" i="1"/>
  <c r="H32" i="3" l="1"/>
  <c r="F34" i="3"/>
  <c r="V80" i="1"/>
  <c r="V76" i="1"/>
  <c r="Z80" i="1"/>
  <c r="Z76" i="1"/>
  <c r="Z82" i="1" s="1"/>
  <c r="AD56" i="1"/>
  <c r="AD81" i="1"/>
  <c r="AD82" i="1" s="1"/>
  <c r="AL51" i="1"/>
  <c r="AJ51" i="1"/>
  <c r="C19" i="9"/>
  <c r="C17" i="9"/>
  <c r="X79" i="1"/>
  <c r="AC80" i="1"/>
  <c r="AC76" i="1"/>
  <c r="T81" i="1"/>
  <c r="T82" i="1" s="1"/>
  <c r="D75" i="2"/>
  <c r="Q10" i="24"/>
  <c r="AH10" i="1"/>
  <c r="AH79" i="1" s="1"/>
  <c r="AH80" i="1" s="1"/>
  <c r="E4" i="11"/>
  <c r="C13" i="11"/>
  <c r="G8" i="11"/>
  <c r="F8" i="11"/>
  <c r="E48" i="11"/>
  <c r="F58" i="11"/>
  <c r="G115" i="11"/>
  <c r="F115" i="11"/>
  <c r="D153" i="11"/>
  <c r="AI47" i="1"/>
  <c r="AJ47" i="1" s="1"/>
  <c r="AL53" i="1"/>
  <c r="AJ53" i="1"/>
  <c r="H79" i="1"/>
  <c r="X76" i="1"/>
  <c r="W80" i="1"/>
  <c r="C35" i="9"/>
  <c r="F7" i="11"/>
  <c r="F3" i="11"/>
  <c r="N4" i="11"/>
  <c r="P4" i="11" s="1"/>
  <c r="N5" i="11"/>
  <c r="R10" i="11" s="1"/>
  <c r="N21" i="11"/>
  <c r="P21" i="11" s="1"/>
  <c r="N22" i="11"/>
  <c r="G26" i="11"/>
  <c r="F26" i="11"/>
  <c r="G80" i="11"/>
  <c r="F80" i="11"/>
  <c r="D178" i="11"/>
  <c r="D179" i="11" s="1"/>
  <c r="G175" i="11"/>
  <c r="G176" i="11" s="1"/>
  <c r="AL52" i="1"/>
  <c r="AE54" i="1"/>
  <c r="AI54" i="1" s="1"/>
  <c r="S58" i="1"/>
  <c r="S79" i="1" s="1"/>
  <c r="Y76" i="1"/>
  <c r="Y82" i="1" s="1"/>
  <c r="Y80" i="1"/>
  <c r="AA80" i="1"/>
  <c r="P26" i="4"/>
  <c r="P39" i="4" s="1"/>
  <c r="R20" i="4"/>
  <c r="R26" i="4" s="1"/>
  <c r="R39" i="4" s="1"/>
  <c r="Q59" i="24"/>
  <c r="S62" i="24" s="1"/>
  <c r="AH64" i="1"/>
  <c r="L9" i="8"/>
  <c r="F11" i="8"/>
  <c r="F13" i="8" s="1"/>
  <c r="P10" i="11"/>
  <c r="E61" i="11"/>
  <c r="C64" i="11"/>
  <c r="C66" i="11" s="1"/>
  <c r="C86" i="11"/>
  <c r="C85" i="11"/>
  <c r="G109" i="11"/>
  <c r="E118" i="11"/>
  <c r="F109" i="11"/>
  <c r="G112" i="11"/>
  <c r="F112" i="11"/>
  <c r="G128" i="11"/>
  <c r="E135" i="11"/>
  <c r="F129" i="11"/>
  <c r="G143" i="11"/>
  <c r="E151" i="11"/>
  <c r="G144" i="11"/>
  <c r="G147" i="11"/>
  <c r="F164" i="11"/>
  <c r="F162" i="11"/>
  <c r="F160" i="11"/>
  <c r="F161" i="11"/>
  <c r="F159" i="11"/>
  <c r="G165" i="11"/>
  <c r="F165" i="11"/>
  <c r="E168" i="11"/>
  <c r="D200" i="12"/>
  <c r="D197" i="12"/>
  <c r="D199" i="12" s="1"/>
  <c r="D198" i="12"/>
  <c r="T79" i="1"/>
  <c r="AB79" i="1"/>
  <c r="AL69" i="1"/>
  <c r="AI64" i="1"/>
  <c r="AJ64" i="1" s="1"/>
  <c r="AL67" i="1"/>
  <c r="U80" i="1"/>
  <c r="U76" i="1"/>
  <c r="C18" i="9"/>
  <c r="F25" i="11"/>
  <c r="E120" i="11"/>
  <c r="AO16" i="1"/>
  <c r="AJ16" i="1"/>
  <c r="AC26" i="1"/>
  <c r="AC79" i="1" s="1"/>
  <c r="AE10" i="1"/>
  <c r="AI10" i="1" s="1"/>
  <c r="AJ10" i="1" s="1"/>
  <c r="AI8" i="1"/>
  <c r="N11" i="1"/>
  <c r="R11" i="1" s="1"/>
  <c r="J26" i="1"/>
  <c r="J79" i="1" s="1"/>
  <c r="R17" i="1"/>
  <c r="R19" i="1"/>
  <c r="R20" i="1"/>
  <c r="R47" i="1"/>
  <c r="AI48" i="1"/>
  <c r="R49" i="1"/>
  <c r="AJ49" i="1"/>
  <c r="AL49" i="1"/>
  <c r="AI55" i="1"/>
  <c r="E79" i="1"/>
  <c r="C63" i="9"/>
  <c r="W79" i="1"/>
  <c r="AA79" i="1"/>
  <c r="AI60" i="1"/>
  <c r="AE62" i="1"/>
  <c r="AE66" i="1" s="1"/>
  <c r="AE69" i="1" s="1"/>
  <c r="AE73" i="1" s="1"/>
  <c r="AE76" i="1" s="1"/>
  <c r="N56" i="1"/>
  <c r="R56" i="1" s="1"/>
  <c r="D58" i="1"/>
  <c r="D79" i="1" s="1"/>
  <c r="C56" i="1"/>
  <c r="H66" i="1"/>
  <c r="H69" i="1" s="1"/>
  <c r="H73" i="1" s="1"/>
  <c r="AB66" i="1"/>
  <c r="AB69" i="1" s="1"/>
  <c r="AB73" i="1" s="1"/>
  <c r="S82" i="1"/>
  <c r="D38" i="6"/>
  <c r="F15" i="5" s="1"/>
  <c r="E38" i="6"/>
  <c r="D19" i="8"/>
  <c r="G19" i="8"/>
  <c r="G20" i="8" s="1"/>
  <c r="E17" i="8"/>
  <c r="C30" i="9"/>
  <c r="C28" i="9"/>
  <c r="C29" i="9" s="1"/>
  <c r="I31" i="9"/>
  <c r="I32" i="9" s="1"/>
  <c r="C61" i="9"/>
  <c r="G94" i="9"/>
  <c r="C94" i="9" s="1"/>
  <c r="C95" i="9" s="1"/>
  <c r="C97" i="9" s="1"/>
  <c r="G93" i="9"/>
  <c r="G10" i="11"/>
  <c r="F10" i="11"/>
  <c r="L11" i="11"/>
  <c r="P11" i="11" s="1"/>
  <c r="E29" i="11"/>
  <c r="F27" i="11"/>
  <c r="E64" i="11"/>
  <c r="D84" i="11"/>
  <c r="E84" i="11" s="1"/>
  <c r="D119" i="11"/>
  <c r="D121" i="11" s="1"/>
  <c r="D122" i="11" s="1"/>
  <c r="D120" i="11"/>
  <c r="F163" i="11"/>
  <c r="I31" i="12"/>
  <c r="K23" i="12"/>
  <c r="I69" i="12"/>
  <c r="K79" i="12"/>
  <c r="K174" i="12"/>
  <c r="C33" i="14"/>
  <c r="C21" i="14"/>
  <c r="AA5" i="14"/>
  <c r="AG5" i="14" s="1"/>
  <c r="E26" i="14"/>
  <c r="E38" i="14"/>
  <c r="E13" i="14"/>
  <c r="G52" i="24"/>
  <c r="G74" i="24"/>
  <c r="N26" i="1"/>
  <c r="E26" i="6"/>
  <c r="D40" i="6"/>
  <c r="C49" i="9"/>
  <c r="G11" i="8"/>
  <c r="G13" i="8" s="1"/>
  <c r="E73" i="8"/>
  <c r="G5" i="11"/>
  <c r="F5" i="11"/>
  <c r="G6" i="11"/>
  <c r="G9" i="11"/>
  <c r="F22" i="11"/>
  <c r="C29" i="11"/>
  <c r="C32" i="11" s="1"/>
  <c r="L41" i="11"/>
  <c r="L40" i="11"/>
  <c r="P57" i="11"/>
  <c r="G54" i="11"/>
  <c r="G58" i="11" s="1"/>
  <c r="G77" i="11"/>
  <c r="F77" i="11"/>
  <c r="E101" i="11"/>
  <c r="F114" i="11"/>
  <c r="F111" i="11"/>
  <c r="G113" i="11"/>
  <c r="G116" i="11"/>
  <c r="P128" i="11"/>
  <c r="G125" i="11"/>
  <c r="G129" i="11" s="1"/>
  <c r="P143" i="11"/>
  <c r="F141" i="11"/>
  <c r="D152" i="11" s="1"/>
  <c r="D154" i="11" s="1"/>
  <c r="D155" i="11" s="1"/>
  <c r="F187" i="11"/>
  <c r="F186" i="11"/>
  <c r="F185" i="11"/>
  <c r="G188" i="11"/>
  <c r="F188" i="11"/>
  <c r="D195" i="11"/>
  <c r="K208" i="11"/>
  <c r="K203" i="11"/>
  <c r="K28" i="12"/>
  <c r="J28" i="12"/>
  <c r="V29" i="12"/>
  <c r="K41" i="12"/>
  <c r="J46" i="12"/>
  <c r="K64" i="12"/>
  <c r="J64" i="12"/>
  <c r="K66" i="12"/>
  <c r="J66" i="12"/>
  <c r="K67" i="12"/>
  <c r="C79" i="12"/>
  <c r="E79" i="12" s="1"/>
  <c r="K82" i="12"/>
  <c r="E98" i="12"/>
  <c r="H109" i="12"/>
  <c r="R118" i="12"/>
  <c r="R119" i="12"/>
  <c r="K135" i="12"/>
  <c r="J135" i="12"/>
  <c r="J154" i="12"/>
  <c r="J158" i="12"/>
  <c r="D161" i="12"/>
  <c r="D163" i="12" s="1"/>
  <c r="K175" i="12"/>
  <c r="J185" i="12"/>
  <c r="J191" i="12"/>
  <c r="F27" i="13"/>
  <c r="G27" i="13" s="1"/>
  <c r="G18" i="13"/>
  <c r="Q31" i="14"/>
  <c r="C32" i="14"/>
  <c r="C20" i="14"/>
  <c r="S20" i="14"/>
  <c r="C152" i="12"/>
  <c r="E152" i="12" s="1"/>
  <c r="AA4" i="14"/>
  <c r="AG4" i="14" s="1"/>
  <c r="Y35" i="14"/>
  <c r="C36" i="14"/>
  <c r="C24" i="14"/>
  <c r="C82" i="12"/>
  <c r="E82" i="12" s="1"/>
  <c r="K24" i="14"/>
  <c r="K36" i="14" s="1"/>
  <c r="C156" i="12"/>
  <c r="E156" i="12" s="1"/>
  <c r="S24" i="14"/>
  <c r="S36" i="14" s="1"/>
  <c r="AA8" i="14"/>
  <c r="AG8" i="14" s="1"/>
  <c r="AE28" i="14"/>
  <c r="E204" i="17"/>
  <c r="E207" i="17" s="1"/>
  <c r="D23" i="15"/>
  <c r="D14" i="20"/>
  <c r="R65" i="16"/>
  <c r="R6" i="23"/>
  <c r="R21" i="23" s="1"/>
  <c r="M71" i="16"/>
  <c r="M73" i="16" s="1"/>
  <c r="N66" i="22"/>
  <c r="K134" i="12"/>
  <c r="I143" i="12"/>
  <c r="J134" i="12"/>
  <c r="S21" i="14"/>
  <c r="S33" i="14"/>
  <c r="C153" i="12"/>
  <c r="E153" i="12" s="1"/>
  <c r="M26" i="14"/>
  <c r="M28" i="14" s="1"/>
  <c r="C52" i="24"/>
  <c r="F26" i="1"/>
  <c r="Q57" i="24"/>
  <c r="Q61" i="24" s="1"/>
  <c r="Q64" i="24" s="1"/>
  <c r="Q68" i="24" s="1"/>
  <c r="Q71" i="24" s="1"/>
  <c r="Q76" i="24"/>
  <c r="AE34" i="1"/>
  <c r="AI34" i="1" s="1"/>
  <c r="AJ34" i="1" s="1"/>
  <c r="F47" i="1"/>
  <c r="F79" i="1" s="1"/>
  <c r="N47" i="1"/>
  <c r="N55" i="1"/>
  <c r="L79" i="1"/>
  <c r="E40" i="6"/>
  <c r="E23" i="7"/>
  <c r="C73" i="9"/>
  <c r="D73" i="8"/>
  <c r="C7" i="9"/>
  <c r="C62" i="9"/>
  <c r="C64" i="9" s="1"/>
  <c r="C78" i="24"/>
  <c r="P5" i="11"/>
  <c r="F6" i="11"/>
  <c r="F9" i="11"/>
  <c r="F11" i="11"/>
  <c r="P22" i="11"/>
  <c r="G19" i="11"/>
  <c r="G24" i="11" s="1"/>
  <c r="F23" i="11"/>
  <c r="D32" i="11"/>
  <c r="O42" i="11"/>
  <c r="G74" i="11"/>
  <c r="F74" i="11"/>
  <c r="E79" i="11"/>
  <c r="E82" i="11" s="1"/>
  <c r="L93" i="11"/>
  <c r="L94" i="11"/>
  <c r="P110" i="11"/>
  <c r="N110" i="11"/>
  <c r="N111" i="11"/>
  <c r="P111" i="11" s="1"/>
  <c r="F116" i="11"/>
  <c r="G142" i="11"/>
  <c r="F142" i="11"/>
  <c r="G149" i="11"/>
  <c r="M202" i="11"/>
  <c r="M162" i="11"/>
  <c r="N160" i="11" s="1"/>
  <c r="F166" i="11"/>
  <c r="G189" i="11"/>
  <c r="F190" i="11"/>
  <c r="M203" i="11"/>
  <c r="C31" i="12"/>
  <c r="J27" i="12"/>
  <c r="K46" i="12"/>
  <c r="C50" i="12"/>
  <c r="E50" i="12" s="1"/>
  <c r="J60" i="12"/>
  <c r="J62" i="12"/>
  <c r="E66" i="12"/>
  <c r="J76" i="12"/>
  <c r="J82" i="12" s="1"/>
  <c r="H91" i="12"/>
  <c r="H90" i="12"/>
  <c r="D106" i="12"/>
  <c r="D109" i="12" s="1"/>
  <c r="I103" i="12"/>
  <c r="K140" i="12"/>
  <c r="J140" i="12"/>
  <c r="H144" i="12"/>
  <c r="T187" i="12"/>
  <c r="S224" i="12"/>
  <c r="S225" i="12" s="1"/>
  <c r="S188" i="12"/>
  <c r="T186" i="12" s="1"/>
  <c r="K191" i="12"/>
  <c r="K186" i="12"/>
  <c r="H198" i="12"/>
  <c r="I198" i="12" s="1"/>
  <c r="K207" i="12"/>
  <c r="C31" i="14"/>
  <c r="C19" i="14"/>
  <c r="C77" i="12"/>
  <c r="K19" i="14"/>
  <c r="K13" i="14"/>
  <c r="K31" i="14"/>
  <c r="C151" i="12"/>
  <c r="S31" i="14"/>
  <c r="S13" i="14"/>
  <c r="AA3" i="14"/>
  <c r="C23" i="14"/>
  <c r="C35" i="14" s="1"/>
  <c r="K23" i="14"/>
  <c r="K35" i="14"/>
  <c r="C81" i="12"/>
  <c r="E81" i="12" s="1"/>
  <c r="AA7" i="14"/>
  <c r="AG7" i="14" s="1"/>
  <c r="M13" i="14"/>
  <c r="E146" i="17"/>
  <c r="E79" i="17"/>
  <c r="F79" i="17" s="1"/>
  <c r="H53" i="12"/>
  <c r="K80" i="12"/>
  <c r="J80" i="12"/>
  <c r="K84" i="12"/>
  <c r="V98" i="12"/>
  <c r="J96" i="12"/>
  <c r="K139" i="12"/>
  <c r="K138" i="12"/>
  <c r="K137" i="12"/>
  <c r="V169" i="12"/>
  <c r="J167" i="12"/>
  <c r="J171" i="12" s="1"/>
  <c r="K187" i="12"/>
  <c r="J187" i="12"/>
  <c r="U26" i="14"/>
  <c r="U38" i="14" s="1"/>
  <c r="U13" i="14"/>
  <c r="I74" i="9"/>
  <c r="I75" i="9" s="1"/>
  <c r="C74" i="9"/>
  <c r="K79" i="1"/>
  <c r="Q9" i="1"/>
  <c r="I52" i="9"/>
  <c r="C52" i="9"/>
  <c r="I96" i="9"/>
  <c r="I97" i="9" s="1"/>
  <c r="C96" i="9"/>
  <c r="R60" i="1"/>
  <c r="R62" i="1" s="1"/>
  <c r="R66" i="1" s="1"/>
  <c r="R69" i="1" s="1"/>
  <c r="R73" i="1" s="1"/>
  <c r="R76" i="1" s="1"/>
  <c r="I79" i="1"/>
  <c r="M79" i="1"/>
  <c r="C8" i="9"/>
  <c r="G60" i="9"/>
  <c r="I63" i="9" s="1"/>
  <c r="I64" i="9" s="1"/>
  <c r="C84" i="9"/>
  <c r="C86" i="9" s="1"/>
  <c r="G3" i="11"/>
  <c r="G11" i="11"/>
  <c r="D14" i="11"/>
  <c r="D15" i="11"/>
  <c r="F54" i="11"/>
  <c r="F60" i="11"/>
  <c r="F62" i="11"/>
  <c r="P74" i="11"/>
  <c r="F75" i="11"/>
  <c r="F78" i="11"/>
  <c r="F110" i="11"/>
  <c r="G114" i="11"/>
  <c r="F125" i="11"/>
  <c r="G131" i="11"/>
  <c r="F131" i="11"/>
  <c r="G146" i="11"/>
  <c r="F146" i="11"/>
  <c r="G148" i="11"/>
  <c r="C153" i="11"/>
  <c r="N161" i="11"/>
  <c r="C176" i="11"/>
  <c r="C178" i="11"/>
  <c r="C179" i="11" s="1"/>
  <c r="F184" i="11"/>
  <c r="F189" i="11"/>
  <c r="E22" i="12"/>
  <c r="E31" i="12" s="1"/>
  <c r="K25" i="12"/>
  <c r="K31" i="12" s="1"/>
  <c r="V28" i="12"/>
  <c r="I33" i="12"/>
  <c r="J38" i="12"/>
  <c r="V41" i="12"/>
  <c r="K38" i="12"/>
  <c r="K44" i="12" s="1"/>
  <c r="D48" i="12"/>
  <c r="D52" i="12" s="1"/>
  <c r="K65" i="12"/>
  <c r="J65" i="12"/>
  <c r="C78" i="12"/>
  <c r="T78" i="12"/>
  <c r="V78" i="12" s="1"/>
  <c r="K81" i="12"/>
  <c r="J84" i="12"/>
  <c r="D91" i="12"/>
  <c r="K99" i="12"/>
  <c r="J99" i="12"/>
  <c r="K136" i="12"/>
  <c r="J141" i="12"/>
  <c r="K141" i="12"/>
  <c r="H145" i="12"/>
  <c r="H161" i="12"/>
  <c r="H163" i="12" s="1"/>
  <c r="H164" i="12" s="1"/>
  <c r="I169" i="12"/>
  <c r="D177" i="12"/>
  <c r="E169" i="12"/>
  <c r="K170" i="12"/>
  <c r="J170" i="12"/>
  <c r="H179" i="12"/>
  <c r="K206" i="12"/>
  <c r="K211" i="12"/>
  <c r="Q33" i="14"/>
  <c r="C22" i="14"/>
  <c r="C34" i="14" s="1"/>
  <c r="K34" i="14"/>
  <c r="K22" i="14"/>
  <c r="S22" i="14"/>
  <c r="S34" i="14" s="1"/>
  <c r="C154" i="12"/>
  <c r="E154" i="12" s="1"/>
  <c r="AA6" i="14"/>
  <c r="AG6" i="14" s="1"/>
  <c r="AC13" i="14"/>
  <c r="G52" i="14"/>
  <c r="I52" i="14" s="1"/>
  <c r="K153" i="12"/>
  <c r="K156" i="12"/>
  <c r="J157" i="12"/>
  <c r="K168" i="12"/>
  <c r="K172" i="12"/>
  <c r="J173" i="12"/>
  <c r="K189" i="12"/>
  <c r="J190" i="12"/>
  <c r="K212" i="12"/>
  <c r="M31" i="14"/>
  <c r="G38" i="14"/>
  <c r="I39" i="14"/>
  <c r="G24" i="14"/>
  <c r="G36" i="14" s="1"/>
  <c r="G19" i="14"/>
  <c r="G28" i="14" s="1"/>
  <c r="G22" i="14"/>
  <c r="G34" i="14" s="1"/>
  <c r="G23" i="14"/>
  <c r="I54" i="14"/>
  <c r="G54" i="14"/>
  <c r="I57" i="14"/>
  <c r="G57" i="14"/>
  <c r="D66" i="15"/>
  <c r="C7" i="19"/>
  <c r="D7" i="19" s="1"/>
  <c r="R48" i="16"/>
  <c r="F76" i="16"/>
  <c r="J76" i="16"/>
  <c r="J58" i="16"/>
  <c r="C83" i="16"/>
  <c r="C78" i="16"/>
  <c r="L76" i="24"/>
  <c r="L77" i="24"/>
  <c r="S63" i="24"/>
  <c r="S64" i="24" s="1"/>
  <c r="P57" i="24"/>
  <c r="P61" i="24" s="1"/>
  <c r="P64" i="24" s="1"/>
  <c r="P68" i="24" s="1"/>
  <c r="P71" i="24" s="1"/>
  <c r="R55" i="24"/>
  <c r="K11" i="8"/>
  <c r="K13" i="8" s="1"/>
  <c r="I85" i="9"/>
  <c r="I87" i="9" s="1"/>
  <c r="C119" i="11"/>
  <c r="D136" i="11"/>
  <c r="J21" i="12"/>
  <c r="J25" i="12" s="1"/>
  <c r="V61" i="12"/>
  <c r="D69" i="12"/>
  <c r="K77" i="12"/>
  <c r="J78" i="12"/>
  <c r="I83" i="12"/>
  <c r="I86" i="12" s="1"/>
  <c r="J97" i="12"/>
  <c r="K101" i="12"/>
  <c r="J102" i="12"/>
  <c r="T119" i="12"/>
  <c r="I126" i="12"/>
  <c r="V135" i="12"/>
  <c r="D145" i="12"/>
  <c r="I145" i="12" s="1"/>
  <c r="J155" i="12"/>
  <c r="J156" i="12"/>
  <c r="K157" i="12"/>
  <c r="H162" i="12"/>
  <c r="I162" i="12" s="1"/>
  <c r="J168" i="12"/>
  <c r="J172" i="12"/>
  <c r="K173" i="12"/>
  <c r="H178" i="12"/>
  <c r="H180" i="12" s="1"/>
  <c r="H181" i="12" s="1"/>
  <c r="I194" i="12"/>
  <c r="K185" i="12"/>
  <c r="J186" i="12"/>
  <c r="J189" i="12"/>
  <c r="K190" i="12"/>
  <c r="J192" i="12"/>
  <c r="J207" i="12"/>
  <c r="C209" i="12"/>
  <c r="E209" i="12" s="1"/>
  <c r="E215" i="12" s="1"/>
  <c r="K210" i="12"/>
  <c r="J210" i="12"/>
  <c r="J212" i="12"/>
  <c r="W40" i="14"/>
  <c r="G33" i="14"/>
  <c r="G35" i="14"/>
  <c r="K39" i="14"/>
  <c r="S39" i="14"/>
  <c r="W28" i="14"/>
  <c r="Y21" i="14"/>
  <c r="Y33" i="14" s="1"/>
  <c r="I23" i="14"/>
  <c r="I35" i="14" s="1"/>
  <c r="M39" i="14"/>
  <c r="E12" i="15"/>
  <c r="F12" i="15"/>
  <c r="D19" i="19"/>
  <c r="C29" i="19"/>
  <c r="O63" i="16"/>
  <c r="O66" i="16" s="1"/>
  <c r="O68" i="16" s="1"/>
  <c r="O71" i="16" s="1"/>
  <c r="O73" i="16" s="1"/>
  <c r="R61" i="16"/>
  <c r="N6" i="23"/>
  <c r="N21" i="23" s="1"/>
  <c r="H71" i="16"/>
  <c r="H73" i="16" s="1"/>
  <c r="Q6" i="23"/>
  <c r="Q21" i="23" s="1"/>
  <c r="L71" i="16"/>
  <c r="L73" i="16" s="1"/>
  <c r="D9" i="20"/>
  <c r="R64" i="16"/>
  <c r="M6" i="23"/>
  <c r="M21" i="23" s="1"/>
  <c r="G71" i="16"/>
  <c r="G73" i="16" s="1"/>
  <c r="K71" i="16"/>
  <c r="K73" i="16" s="1"/>
  <c r="C79" i="16"/>
  <c r="G35" i="18"/>
  <c r="G39" i="18"/>
  <c r="G41" i="18" s="1"/>
  <c r="D73" i="22"/>
  <c r="D74" i="22" s="1"/>
  <c r="V24" i="12"/>
  <c r="U28" i="12"/>
  <c r="U30" i="12" s="1"/>
  <c r="Q223" i="12"/>
  <c r="K29" i="12"/>
  <c r="H32" i="12"/>
  <c r="D32" i="12"/>
  <c r="E39" i="12"/>
  <c r="H70" i="12"/>
  <c r="H72" i="12" s="1"/>
  <c r="H73" i="12" s="1"/>
  <c r="C129" i="12"/>
  <c r="E143" i="12"/>
  <c r="J136" i="12"/>
  <c r="D144" i="12"/>
  <c r="K151" i="12"/>
  <c r="J152" i="12"/>
  <c r="K171" i="12"/>
  <c r="I177" i="12"/>
  <c r="J188" i="12"/>
  <c r="K209" i="12"/>
  <c r="H217" i="12"/>
  <c r="I19" i="14"/>
  <c r="I13" i="14"/>
  <c r="Q19" i="14"/>
  <c r="Q13" i="14"/>
  <c r="Y13" i="14"/>
  <c r="Y19" i="14"/>
  <c r="C61" i="12"/>
  <c r="I32" i="14"/>
  <c r="C135" i="12"/>
  <c r="E135" i="12" s="1"/>
  <c r="Q32" i="14"/>
  <c r="Q20" i="14"/>
  <c r="I34" i="14"/>
  <c r="Q34" i="14"/>
  <c r="Y34" i="14"/>
  <c r="Y23" i="14"/>
  <c r="C210" i="12"/>
  <c r="E210" i="12" s="1"/>
  <c r="I24" i="14"/>
  <c r="I36" i="14" s="1"/>
  <c r="C65" i="12"/>
  <c r="E65" i="12" s="1"/>
  <c r="Q24" i="14"/>
  <c r="Q36" i="14"/>
  <c r="Y36" i="14"/>
  <c r="Y24" i="14"/>
  <c r="C26" i="14"/>
  <c r="C38" i="14"/>
  <c r="K26" i="14"/>
  <c r="K38" i="14" s="1"/>
  <c r="AA10" i="14"/>
  <c r="AG10" i="14" s="1"/>
  <c r="E27" i="14"/>
  <c r="E39" i="14" s="1"/>
  <c r="U39" i="14"/>
  <c r="U27" i="14"/>
  <c r="U28" i="14" s="1"/>
  <c r="AC28" i="14"/>
  <c r="AC42" i="14" s="1"/>
  <c r="AC44" i="14" s="1"/>
  <c r="Y20" i="14"/>
  <c r="Y32" i="14" s="1"/>
  <c r="S27" i="14"/>
  <c r="O10" i="16"/>
  <c r="R10" i="16" s="1"/>
  <c r="C11" i="19" s="1"/>
  <c r="D11" i="19" s="1"/>
  <c r="B25" i="16"/>
  <c r="Q5" i="19"/>
  <c r="O34" i="16"/>
  <c r="R34" i="16" s="1"/>
  <c r="Q15" i="19" s="1"/>
  <c r="R15" i="19" s="1"/>
  <c r="D46" i="16"/>
  <c r="D76" i="16" s="1"/>
  <c r="Q28" i="19"/>
  <c r="R19" i="19"/>
  <c r="K6" i="23"/>
  <c r="K21" i="23" s="1"/>
  <c r="E71" i="16"/>
  <c r="E73" i="16" s="1"/>
  <c r="J6" i="23"/>
  <c r="J21" i="23" s="1"/>
  <c r="D71" i="16"/>
  <c r="D73" i="16" s="1"/>
  <c r="E29" i="17"/>
  <c r="E133" i="17" s="1"/>
  <c r="E145" i="17"/>
  <c r="F27" i="17"/>
  <c r="D200" i="17"/>
  <c r="D207" i="17" s="1"/>
  <c r="E212" i="17"/>
  <c r="D213" i="17"/>
  <c r="O66" i="22"/>
  <c r="O10" i="22"/>
  <c r="O11" i="22" s="1"/>
  <c r="D49" i="15"/>
  <c r="C66" i="15"/>
  <c r="D58" i="16"/>
  <c r="H58" i="16"/>
  <c r="L58" i="16"/>
  <c r="B46" i="16"/>
  <c r="O29" i="16"/>
  <c r="R29" i="16" s="1"/>
  <c r="Q8" i="19" s="1"/>
  <c r="R8" i="19" s="1"/>
  <c r="C76" i="16"/>
  <c r="L6" i="23"/>
  <c r="L21" i="23" s="1"/>
  <c r="F71" i="16"/>
  <c r="F73" i="16" s="1"/>
  <c r="F74" i="17"/>
  <c r="O60" i="22"/>
  <c r="Q60" i="22" s="1"/>
  <c r="D190" i="17"/>
  <c r="E189" i="17"/>
  <c r="N69" i="22"/>
  <c r="Q69" i="22" s="1"/>
  <c r="N10" i="22"/>
  <c r="N11" i="22" s="1"/>
  <c r="C74" i="22"/>
  <c r="O38" i="14"/>
  <c r="G13" i="14"/>
  <c r="O13" i="14"/>
  <c r="W13" i="14"/>
  <c r="AE13" i="14"/>
  <c r="O19" i="14"/>
  <c r="E21" i="14"/>
  <c r="E28" i="14" s="1"/>
  <c r="U31" i="14"/>
  <c r="U33" i="14"/>
  <c r="E35" i="14"/>
  <c r="M35" i="14"/>
  <c r="U35" i="14"/>
  <c r="G39" i="14"/>
  <c r="AE42" i="14"/>
  <c r="AE44" i="14" s="1"/>
  <c r="I58" i="16"/>
  <c r="R27" i="16"/>
  <c r="Q6" i="19" s="1"/>
  <c r="R6" i="19" s="1"/>
  <c r="E76" i="16"/>
  <c r="K58" i="16"/>
  <c r="O6" i="23"/>
  <c r="O21" i="23" s="1"/>
  <c r="I71" i="16"/>
  <c r="I73" i="16" s="1"/>
  <c r="F235" i="17"/>
  <c r="Q18" i="22"/>
  <c r="Q21" i="22" s="1"/>
  <c r="R21" i="22" s="1"/>
  <c r="Q20" i="22"/>
  <c r="O55" i="22"/>
  <c r="F65" i="23"/>
  <c r="R24" i="24"/>
  <c r="C100" i="12"/>
  <c r="E100" i="12" s="1"/>
  <c r="C171" i="12"/>
  <c r="G21" i="14"/>
  <c r="O23" i="14"/>
  <c r="O35" i="14" s="1"/>
  <c r="I56" i="14"/>
  <c r="F48" i="15"/>
  <c r="N58" i="16"/>
  <c r="S6" i="23"/>
  <c r="S21" i="23" s="1"/>
  <c r="N71" i="16"/>
  <c r="N73" i="16" s="1"/>
  <c r="H6" i="23"/>
  <c r="B71" i="16"/>
  <c r="Q74" i="16"/>
  <c r="D29" i="17"/>
  <c r="F29" i="17" s="1"/>
  <c r="D219" i="17"/>
  <c r="F219" i="17" s="1"/>
  <c r="E218" i="17"/>
  <c r="E219" i="17" s="1"/>
  <c r="D13" i="20"/>
  <c r="N46" i="22"/>
  <c r="Q44" i="22"/>
  <c r="E44" i="23"/>
  <c r="G77" i="24"/>
  <c r="G76" i="24"/>
  <c r="J66" i="16"/>
  <c r="J68" i="16" s="1"/>
  <c r="J71" i="16" s="1"/>
  <c r="J73" i="16" s="1"/>
  <c r="O15" i="22"/>
  <c r="O16" i="22" s="1"/>
  <c r="P63" i="22"/>
  <c r="P64" i="22" s="1"/>
  <c r="Q8" i="22"/>
  <c r="P41" i="22"/>
  <c r="P42" i="22" s="1"/>
  <c r="C77" i="24"/>
  <c r="B77" i="24"/>
  <c r="B76" i="24"/>
  <c r="R16" i="24"/>
  <c r="P23" i="24"/>
  <c r="D76" i="24"/>
  <c r="Q29" i="22"/>
  <c r="N36" i="22"/>
  <c r="Q36" i="22" s="1"/>
  <c r="R36" i="22" s="1"/>
  <c r="N41" i="22"/>
  <c r="I73" i="22"/>
  <c r="I74" i="22" s="1"/>
  <c r="C63" i="23"/>
  <c r="E65" i="23"/>
  <c r="N23" i="24"/>
  <c r="N28" i="24"/>
  <c r="R28" i="24" s="1"/>
  <c r="C42" i="24"/>
  <c r="L74" i="24"/>
  <c r="D74" i="24"/>
  <c r="F76" i="24"/>
  <c r="W28" i="25"/>
  <c r="W31" i="25"/>
  <c r="W40" i="25" s="1"/>
  <c r="W42" i="25" s="1"/>
  <c r="W44" i="25" s="1"/>
  <c r="Q6" i="22"/>
  <c r="Q14" i="22"/>
  <c r="N21" i="22"/>
  <c r="Q39" i="22"/>
  <c r="Q41" i="22" s="1"/>
  <c r="M52" i="24"/>
  <c r="N51" i="24"/>
  <c r="R43" i="24"/>
  <c r="C74" i="24"/>
  <c r="R56" i="24"/>
  <c r="N57" i="24"/>
  <c r="C37" i="25"/>
  <c r="AA37" i="25" s="1"/>
  <c r="AG37" i="25" s="1"/>
  <c r="N54" i="22"/>
  <c r="Q54" i="22" s="1"/>
  <c r="E71" i="22"/>
  <c r="E73" i="22" s="1"/>
  <c r="E74" i="22" s="1"/>
  <c r="N63" i="22"/>
  <c r="Q59" i="22"/>
  <c r="G73" i="22"/>
  <c r="G74" i="22" s="1"/>
  <c r="N68" i="22"/>
  <c r="Q68" i="22" s="1"/>
  <c r="W14" i="23"/>
  <c r="C14" i="23" s="1"/>
  <c r="R10" i="24"/>
  <c r="R23" i="24" s="1"/>
  <c r="F52" i="24"/>
  <c r="P51" i="24"/>
  <c r="Q53" i="24" s="1"/>
  <c r="R30" i="24"/>
  <c r="R44" i="24"/>
  <c r="K61" i="24"/>
  <c r="K64" i="24" s="1"/>
  <c r="K68" i="24" s="1"/>
  <c r="K71" i="24" s="1"/>
  <c r="N59" i="24"/>
  <c r="R59" i="24" s="1"/>
  <c r="M77" i="24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G40" i="23"/>
  <c r="G44" i="23" s="1"/>
  <c r="G65" i="23" s="1"/>
  <c r="G67" i="23" s="1"/>
  <c r="F66" i="23" s="1"/>
  <c r="K74" i="24"/>
  <c r="H74" i="24"/>
  <c r="Y39" i="25"/>
  <c r="Y40" i="25" s="1"/>
  <c r="Y42" i="25" s="1"/>
  <c r="Y44" i="25" s="1"/>
  <c r="G13" i="25"/>
  <c r="Q40" i="25"/>
  <c r="AA35" i="25"/>
  <c r="AG35" i="25" s="1"/>
  <c r="B51" i="24"/>
  <c r="B74" i="24" s="1"/>
  <c r="P76" i="24"/>
  <c r="AG3" i="25"/>
  <c r="S20" i="25"/>
  <c r="S32" i="25" s="1"/>
  <c r="S19" i="25"/>
  <c r="S23" i="25"/>
  <c r="S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39" i="25" s="1"/>
  <c r="AA39" i="25" s="1"/>
  <c r="AG39" i="25" s="1"/>
  <c r="AA11" i="25"/>
  <c r="AG11" i="25" s="1"/>
  <c r="E13" i="25"/>
  <c r="M27" i="25"/>
  <c r="M39" i="25" s="1"/>
  <c r="M40" i="25" s="1"/>
  <c r="M13" i="25"/>
  <c r="U28" i="25"/>
  <c r="C33" i="25"/>
  <c r="C28" i="25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Q74" i="24" l="1"/>
  <c r="F207" i="17"/>
  <c r="AA34" i="14"/>
  <c r="AG34" i="14" s="1"/>
  <c r="AA35" i="14"/>
  <c r="AG35" i="14" s="1"/>
  <c r="AA21" i="25"/>
  <c r="AG21" i="25" s="1"/>
  <c r="E40" i="25"/>
  <c r="S31" i="25"/>
  <c r="S40" i="25" s="1"/>
  <c r="S42" i="25" s="1"/>
  <c r="S44" i="25" s="1"/>
  <c r="S28" i="25"/>
  <c r="M55" i="22"/>
  <c r="C213" i="12"/>
  <c r="N78" i="16"/>
  <c r="N79" i="16" s="1"/>
  <c r="R42" i="24"/>
  <c r="R52" i="24" s="1"/>
  <c r="AA38" i="14"/>
  <c r="AG38" i="14" s="1"/>
  <c r="E119" i="11"/>
  <c r="C121" i="11"/>
  <c r="D82" i="15"/>
  <c r="E33" i="14"/>
  <c r="E40" i="14" s="1"/>
  <c r="E42" i="14" s="1"/>
  <c r="E44" i="14" s="1"/>
  <c r="K40" i="14"/>
  <c r="K103" i="12"/>
  <c r="J103" i="12"/>
  <c r="S28" i="14"/>
  <c r="F38" i="11"/>
  <c r="P40" i="11"/>
  <c r="AB80" i="1"/>
  <c r="AB76" i="1"/>
  <c r="C87" i="11"/>
  <c r="E85" i="11"/>
  <c r="C39" i="9"/>
  <c r="C40" i="9" s="1"/>
  <c r="C42" i="9" s="1"/>
  <c r="C41" i="9"/>
  <c r="X81" i="1"/>
  <c r="X82" i="1"/>
  <c r="F4" i="11"/>
  <c r="G4" i="11"/>
  <c r="AC81" i="1"/>
  <c r="AC82" i="1" s="1"/>
  <c r="AA33" i="25"/>
  <c r="AG33" i="25" s="1"/>
  <c r="Q42" i="25"/>
  <c r="Q44" i="25" s="1"/>
  <c r="G28" i="25"/>
  <c r="R59" i="22"/>
  <c r="AA22" i="25"/>
  <c r="AG22" i="25" s="1"/>
  <c r="R51" i="24"/>
  <c r="P52" i="24"/>
  <c r="N42" i="24"/>
  <c r="N52" i="24" s="1"/>
  <c r="D133" i="17"/>
  <c r="O28" i="14"/>
  <c r="P7" i="22"/>
  <c r="E190" i="17"/>
  <c r="F78" i="16"/>
  <c r="C84" i="12"/>
  <c r="F55" i="22"/>
  <c r="F79" i="16"/>
  <c r="C82" i="15"/>
  <c r="E66" i="15"/>
  <c r="D79" i="16"/>
  <c r="D78" i="16"/>
  <c r="C46" i="12"/>
  <c r="Q16" i="19"/>
  <c r="Q29" i="19" s="1"/>
  <c r="R5" i="19"/>
  <c r="AA26" i="14"/>
  <c r="AG26" i="14" s="1"/>
  <c r="I31" i="14"/>
  <c r="I40" i="14" s="1"/>
  <c r="I28" i="14"/>
  <c r="D146" i="12"/>
  <c r="I144" i="12"/>
  <c r="Q230" i="12"/>
  <c r="Q225" i="12"/>
  <c r="G78" i="16"/>
  <c r="C104" i="12"/>
  <c r="K55" i="22"/>
  <c r="L78" i="16"/>
  <c r="C175" i="12"/>
  <c r="D3" i="20"/>
  <c r="D6" i="20" s="1"/>
  <c r="D11" i="20" s="1"/>
  <c r="D16" i="20" s="1"/>
  <c r="D22" i="20" s="1"/>
  <c r="D28" i="20" s="1"/>
  <c r="D35" i="20" s="1"/>
  <c r="R63" i="16"/>
  <c r="R66" i="16" s="1"/>
  <c r="R68" i="16" s="1"/>
  <c r="R71" i="16" s="1"/>
  <c r="R73" i="16" s="1"/>
  <c r="W42" i="14"/>
  <c r="W44" i="14" s="1"/>
  <c r="L78" i="24"/>
  <c r="I91" i="12"/>
  <c r="J43" i="12"/>
  <c r="J42" i="12"/>
  <c r="E153" i="11"/>
  <c r="G60" i="11"/>
  <c r="H54" i="12"/>
  <c r="H55" i="12" s="1"/>
  <c r="H56" i="12" s="1"/>
  <c r="AA19" i="14"/>
  <c r="H146" i="12"/>
  <c r="H147" i="12" s="1"/>
  <c r="I109" i="12"/>
  <c r="D110" i="12"/>
  <c r="D111" i="12"/>
  <c r="I111" i="12" s="1"/>
  <c r="K45" i="12"/>
  <c r="F91" i="11"/>
  <c r="P93" i="11"/>
  <c r="E13" i="11"/>
  <c r="C75" i="9"/>
  <c r="M38" i="14"/>
  <c r="M40" i="14" s="1"/>
  <c r="M42" i="14" s="1"/>
  <c r="M44" i="14" s="1"/>
  <c r="S32" i="14"/>
  <c r="S40" i="14" s="1"/>
  <c r="S42" i="14" s="1"/>
  <c r="S44" i="14" s="1"/>
  <c r="J175" i="12"/>
  <c r="K116" i="12"/>
  <c r="V119" i="12"/>
  <c r="J44" i="12"/>
  <c r="J41" i="12"/>
  <c r="G38" i="11"/>
  <c r="P41" i="11"/>
  <c r="G22" i="11"/>
  <c r="J174" i="12"/>
  <c r="E19" i="8"/>
  <c r="H80" i="1"/>
  <c r="H76" i="1"/>
  <c r="N58" i="1"/>
  <c r="N79" i="1" s="1"/>
  <c r="AJ55" i="1"/>
  <c r="AL55" i="1"/>
  <c r="AI58" i="1"/>
  <c r="AJ48" i="1"/>
  <c r="AL48" i="1"/>
  <c r="AJ8" i="1"/>
  <c r="AI26" i="1"/>
  <c r="AJ26" i="1" s="1"/>
  <c r="AE26" i="1"/>
  <c r="G25" i="11"/>
  <c r="F147" i="11"/>
  <c r="F61" i="11"/>
  <c r="G61" i="11"/>
  <c r="L11" i="8"/>
  <c r="E35" i="8"/>
  <c r="AE47" i="1"/>
  <c r="F13" i="11"/>
  <c r="D213" i="12"/>
  <c r="C191" i="11"/>
  <c r="AD58" i="1"/>
  <c r="AD79" i="1" s="1"/>
  <c r="AE56" i="1"/>
  <c r="G40" i="25"/>
  <c r="G42" i="25" s="1"/>
  <c r="G44" i="25" s="1"/>
  <c r="D78" i="24"/>
  <c r="E28" i="25"/>
  <c r="E171" i="12"/>
  <c r="E177" i="12" s="1"/>
  <c r="O56" i="22"/>
  <c r="O57" i="22" s="1"/>
  <c r="Y28" i="14"/>
  <c r="Y31" i="14"/>
  <c r="Y40" i="14" s="1"/>
  <c r="Y42" i="14" s="1"/>
  <c r="Y44" i="14" s="1"/>
  <c r="K79" i="16"/>
  <c r="K78" i="16"/>
  <c r="C158" i="12"/>
  <c r="E158" i="12" s="1"/>
  <c r="AA22" i="14"/>
  <c r="AG22" i="14" s="1"/>
  <c r="R9" i="1"/>
  <c r="AG3" i="14"/>
  <c r="P94" i="11"/>
  <c r="G91" i="11"/>
  <c r="D33" i="11"/>
  <c r="D34" i="11"/>
  <c r="Q40" i="14"/>
  <c r="F145" i="11"/>
  <c r="F148" i="11"/>
  <c r="G59" i="11"/>
  <c r="G55" i="11"/>
  <c r="G62" i="11"/>
  <c r="G56" i="11"/>
  <c r="C51" i="9"/>
  <c r="C53" i="9" s="1"/>
  <c r="C103" i="9" s="1"/>
  <c r="D31" i="8" s="1"/>
  <c r="I51" i="9"/>
  <c r="I53" i="9" s="1"/>
  <c r="C68" i="11"/>
  <c r="C67" i="11"/>
  <c r="E66" i="11"/>
  <c r="V82" i="1"/>
  <c r="V81" i="1"/>
  <c r="C40" i="25"/>
  <c r="C42" i="25" s="1"/>
  <c r="C44" i="25" s="1"/>
  <c r="I32" i="25"/>
  <c r="AA20" i="25"/>
  <c r="AG20" i="25" s="1"/>
  <c r="I28" i="25"/>
  <c r="AG13" i="25"/>
  <c r="AA27" i="25"/>
  <c r="AG27" i="25" s="1"/>
  <c r="K77" i="24"/>
  <c r="K76" i="24"/>
  <c r="N71" i="22"/>
  <c r="N61" i="24"/>
  <c r="N64" i="24" s="1"/>
  <c r="N68" i="24" s="1"/>
  <c r="N71" i="24" s="1"/>
  <c r="Q46" i="22"/>
  <c r="R46" i="22" s="1"/>
  <c r="R44" i="22"/>
  <c r="B55" i="22"/>
  <c r="B73" i="16"/>
  <c r="F67" i="23"/>
  <c r="E66" i="23" s="1"/>
  <c r="E67" i="23" s="1"/>
  <c r="F49" i="15"/>
  <c r="E49" i="15"/>
  <c r="R46" i="16"/>
  <c r="D34" i="12"/>
  <c r="I32" i="12"/>
  <c r="O31" i="14"/>
  <c r="O40" i="14" s="1"/>
  <c r="O42" i="14" s="1"/>
  <c r="O44" i="14" s="1"/>
  <c r="J22" i="12"/>
  <c r="J26" i="12"/>
  <c r="J29" i="12"/>
  <c r="J24" i="12"/>
  <c r="Q23" i="24"/>
  <c r="Q15" i="22"/>
  <c r="R15" i="22" s="1"/>
  <c r="R25" i="16"/>
  <c r="O46" i="16"/>
  <c r="D178" i="12"/>
  <c r="D179" i="12"/>
  <c r="I179" i="12" s="1"/>
  <c r="D53" i="12"/>
  <c r="I52" i="12"/>
  <c r="D54" i="12"/>
  <c r="F149" i="11"/>
  <c r="C152" i="11"/>
  <c r="F130" i="11"/>
  <c r="F127" i="11"/>
  <c r="F133" i="11"/>
  <c r="F126" i="11"/>
  <c r="C136" i="11"/>
  <c r="D68" i="11"/>
  <c r="F59" i="11"/>
  <c r="F56" i="11"/>
  <c r="F55" i="11"/>
  <c r="G13" i="11"/>
  <c r="J101" i="12"/>
  <c r="J98" i="12"/>
  <c r="J104" i="12"/>
  <c r="J100" i="12"/>
  <c r="K28" i="14"/>
  <c r="K197" i="12"/>
  <c r="K198" i="12" s="1"/>
  <c r="J79" i="12"/>
  <c r="J77" i="12"/>
  <c r="J81" i="12"/>
  <c r="D90" i="12"/>
  <c r="J45" i="12"/>
  <c r="C33" i="12"/>
  <c r="C32" i="12"/>
  <c r="M78" i="16"/>
  <c r="C192" i="12"/>
  <c r="AA24" i="14"/>
  <c r="AG24" i="14" s="1"/>
  <c r="AA20" i="14"/>
  <c r="AG20" i="14" s="1"/>
  <c r="J116" i="12"/>
  <c r="V118" i="12"/>
  <c r="D194" i="11"/>
  <c r="D196" i="11" s="1"/>
  <c r="D197" i="11" s="1"/>
  <c r="C137" i="11"/>
  <c r="E137" i="11" s="1"/>
  <c r="G130" i="11"/>
  <c r="G126" i="11"/>
  <c r="D137" i="11"/>
  <c r="G127" i="11"/>
  <c r="G133" i="11"/>
  <c r="D67" i="11"/>
  <c r="C34" i="11"/>
  <c r="E32" i="11"/>
  <c r="C33" i="11"/>
  <c r="G27" i="11"/>
  <c r="Q80" i="24"/>
  <c r="AH85" i="1"/>
  <c r="AJ60" i="1"/>
  <c r="AI62" i="1"/>
  <c r="F132" i="11"/>
  <c r="F57" i="11"/>
  <c r="C20" i="9"/>
  <c r="F143" i="11"/>
  <c r="AG56" i="1"/>
  <c r="AH81" i="1"/>
  <c r="AA19" i="25"/>
  <c r="AA24" i="25"/>
  <c r="AG24" i="25" s="1"/>
  <c r="AA13" i="25"/>
  <c r="O28" i="25"/>
  <c r="O31" i="25"/>
  <c r="O40" i="25" s="1"/>
  <c r="M78" i="24"/>
  <c r="B52" i="24"/>
  <c r="AA25" i="25"/>
  <c r="AG25" i="25" s="1"/>
  <c r="R6" i="22"/>
  <c r="F77" i="24"/>
  <c r="F78" i="24" s="1"/>
  <c r="D77" i="24"/>
  <c r="M28" i="25"/>
  <c r="M42" i="25" s="1"/>
  <c r="M44" i="25" s="1"/>
  <c r="G78" i="24"/>
  <c r="H21" i="23"/>
  <c r="T6" i="23"/>
  <c r="C15" i="19"/>
  <c r="C33" i="19" s="1"/>
  <c r="E76" i="24"/>
  <c r="N76" i="24" s="1"/>
  <c r="R76" i="24" s="1"/>
  <c r="I78" i="16"/>
  <c r="C141" i="12"/>
  <c r="U40" i="14"/>
  <c r="U42" i="14" s="1"/>
  <c r="U44" i="14" s="1"/>
  <c r="O71" i="22"/>
  <c r="V15" i="23"/>
  <c r="E213" i="17"/>
  <c r="F213" i="17" s="1"/>
  <c r="P49" i="22"/>
  <c r="E148" i="17"/>
  <c r="E79" i="16"/>
  <c r="C67" i="12"/>
  <c r="E67" i="12" s="1"/>
  <c r="E78" i="16"/>
  <c r="O25" i="16"/>
  <c r="E61" i="12"/>
  <c r="E69" i="12" s="1"/>
  <c r="Q28" i="14"/>
  <c r="H34" i="12"/>
  <c r="H78" i="16"/>
  <c r="G31" i="14"/>
  <c r="G40" i="14" s="1"/>
  <c r="G42" i="14" s="1"/>
  <c r="G44" i="14" s="1"/>
  <c r="J83" i="12"/>
  <c r="K83" i="12"/>
  <c r="D70" i="12"/>
  <c r="D71" i="12"/>
  <c r="I71" i="12" s="1"/>
  <c r="D138" i="11"/>
  <c r="D139" i="11" s="1"/>
  <c r="R57" i="24"/>
  <c r="R61" i="24" s="1"/>
  <c r="R64" i="24" s="1"/>
  <c r="R68" i="24" s="1"/>
  <c r="R71" i="24" s="1"/>
  <c r="C80" i="16"/>
  <c r="K169" i="12"/>
  <c r="J169" i="12"/>
  <c r="C87" i="12"/>
  <c r="E87" i="12" s="1"/>
  <c r="E78" i="12"/>
  <c r="K43" i="12"/>
  <c r="K42" i="12"/>
  <c r="D16" i="11"/>
  <c r="C130" i="12"/>
  <c r="AA23" i="14"/>
  <c r="AG23" i="14" s="1"/>
  <c r="E151" i="12"/>
  <c r="E160" i="12" s="1"/>
  <c r="C160" i="12"/>
  <c r="E77" i="12"/>
  <c r="H92" i="12"/>
  <c r="H93" i="12" s="1"/>
  <c r="G79" i="11"/>
  <c r="F79" i="11"/>
  <c r="C9" i="9"/>
  <c r="AA36" i="14"/>
  <c r="AG36" i="14" s="1"/>
  <c r="AA32" i="14"/>
  <c r="AG32" i="14" s="1"/>
  <c r="H216" i="12"/>
  <c r="H218" i="12" s="1"/>
  <c r="H219" i="12" s="1"/>
  <c r="I163" i="12"/>
  <c r="D164" i="12"/>
  <c r="H110" i="12"/>
  <c r="H112" i="12" s="1"/>
  <c r="H113" i="12" s="1"/>
  <c r="H111" i="12"/>
  <c r="G23" i="11"/>
  <c r="AA21" i="14"/>
  <c r="AG21" i="14" s="1"/>
  <c r="J23" i="12"/>
  <c r="D85" i="11"/>
  <c r="D86" i="11"/>
  <c r="E86" i="11" s="1"/>
  <c r="C31" i="9"/>
  <c r="F19" i="8"/>
  <c r="G132" i="11"/>
  <c r="G57" i="11"/>
  <c r="U81" i="1"/>
  <c r="U82" i="1"/>
  <c r="D201" i="12"/>
  <c r="F144" i="11"/>
  <c r="F128" i="11"/>
  <c r="I106" i="12"/>
  <c r="C15" i="11"/>
  <c r="C14" i="11"/>
  <c r="C101" i="9"/>
  <c r="E36" i="8" s="1"/>
  <c r="Q57" i="1" s="1"/>
  <c r="R57" i="1" s="1"/>
  <c r="N77" i="24" l="1"/>
  <c r="R77" i="24" s="1"/>
  <c r="P25" i="1"/>
  <c r="C162" i="12"/>
  <c r="E162" i="12" s="1"/>
  <c r="C161" i="12"/>
  <c r="E141" i="12"/>
  <c r="C143" i="12"/>
  <c r="E38" i="8"/>
  <c r="C212" i="12"/>
  <c r="E213" i="12"/>
  <c r="D87" i="11"/>
  <c r="D88" i="11" s="1"/>
  <c r="I80" i="16"/>
  <c r="W6" i="23"/>
  <c r="T21" i="23"/>
  <c r="AJ62" i="1"/>
  <c r="AI66" i="1"/>
  <c r="E34" i="11"/>
  <c r="M79" i="16"/>
  <c r="M80" i="16" s="1"/>
  <c r="C138" i="11"/>
  <c r="B79" i="16"/>
  <c r="B55" i="16"/>
  <c r="B78" i="16"/>
  <c r="AA33" i="14"/>
  <c r="AG33" i="14" s="1"/>
  <c r="D35" i="11"/>
  <c r="D36" i="11" s="1"/>
  <c r="I213" i="12"/>
  <c r="D215" i="12"/>
  <c r="N11" i="8"/>
  <c r="O12" i="8" s="1"/>
  <c r="L13" i="8"/>
  <c r="K56" i="22"/>
  <c r="K57" i="22" s="1"/>
  <c r="K72" i="22"/>
  <c r="K73" i="22" s="1"/>
  <c r="K74" i="22" s="1"/>
  <c r="E58" i="14"/>
  <c r="F72" i="22"/>
  <c r="F73" i="22" s="1"/>
  <c r="F74" i="22" s="1"/>
  <c r="F56" i="22"/>
  <c r="F57" i="22" s="1"/>
  <c r="E53" i="14"/>
  <c r="P10" i="22"/>
  <c r="P11" i="22" s="1"/>
  <c r="Q7" i="22"/>
  <c r="Q10" i="22" s="1"/>
  <c r="P71" i="22"/>
  <c r="Q71" i="22" s="1"/>
  <c r="E87" i="11"/>
  <c r="C88" i="11"/>
  <c r="F42" i="11"/>
  <c r="F40" i="11"/>
  <c r="F45" i="11"/>
  <c r="F44" i="11"/>
  <c r="F41" i="11"/>
  <c r="F43" i="11"/>
  <c r="F39" i="11"/>
  <c r="D49" i="11"/>
  <c r="C49" i="11"/>
  <c r="F46" i="11"/>
  <c r="K42" i="14"/>
  <c r="K44" i="14" s="1"/>
  <c r="M56" i="22"/>
  <c r="M57" i="22" s="1"/>
  <c r="M72" i="22"/>
  <c r="M73" i="22" s="1"/>
  <c r="M74" i="22" s="1"/>
  <c r="E60" i="14"/>
  <c r="E42" i="25"/>
  <c r="E44" i="25" s="1"/>
  <c r="D17" i="11"/>
  <c r="V21" i="23"/>
  <c r="W15" i="23"/>
  <c r="J122" i="12"/>
  <c r="H127" i="12"/>
  <c r="D127" i="12"/>
  <c r="J121" i="12"/>
  <c r="J123" i="12"/>
  <c r="J118" i="12"/>
  <c r="J124" i="12"/>
  <c r="J117" i="12"/>
  <c r="J120" i="12"/>
  <c r="J119" i="12"/>
  <c r="I54" i="12"/>
  <c r="I40" i="25"/>
  <c r="I42" i="25" s="1"/>
  <c r="I44" i="25" s="1"/>
  <c r="AA32" i="25"/>
  <c r="AG32" i="25" s="1"/>
  <c r="R74" i="24"/>
  <c r="S52" i="24"/>
  <c r="T52" i="24" s="1"/>
  <c r="C16" i="11"/>
  <c r="E14" i="11"/>
  <c r="I70" i="12"/>
  <c r="D72" i="12"/>
  <c r="E15" i="11"/>
  <c r="C102" i="9"/>
  <c r="D32" i="8" s="1"/>
  <c r="P55" i="1" s="1"/>
  <c r="R55" i="1" s="1"/>
  <c r="R58" i="1" s="1"/>
  <c r="I7" i="9"/>
  <c r="H79" i="16"/>
  <c r="H80" i="16" s="1"/>
  <c r="C69" i="12"/>
  <c r="E80" i="16"/>
  <c r="Q49" i="22"/>
  <c r="P66" i="22"/>
  <c r="I79" i="16"/>
  <c r="O42" i="25"/>
  <c r="O44" i="25" s="1"/>
  <c r="AG19" i="25"/>
  <c r="AG28" i="25" s="1"/>
  <c r="AA28" i="25"/>
  <c r="C35" i="11"/>
  <c r="C36" i="11" s="1"/>
  <c r="E33" i="11"/>
  <c r="D69" i="11"/>
  <c r="D70" i="11" s="1"/>
  <c r="C34" i="12"/>
  <c r="E32" i="12"/>
  <c r="I90" i="12"/>
  <c r="D92" i="12"/>
  <c r="E152" i="11"/>
  <c r="C154" i="11"/>
  <c r="I178" i="12"/>
  <c r="D180" i="12"/>
  <c r="P53" i="24"/>
  <c r="P74" i="24" s="1"/>
  <c r="Q52" i="24"/>
  <c r="J31" i="12"/>
  <c r="I34" i="12"/>
  <c r="D35" i="12"/>
  <c r="I35" i="12" s="1"/>
  <c r="B72" i="22"/>
  <c r="B56" i="22"/>
  <c r="B57" i="22" s="1"/>
  <c r="N55" i="22"/>
  <c r="E49" i="14"/>
  <c r="K78" i="24"/>
  <c r="AA31" i="25"/>
  <c r="C69" i="11"/>
  <c r="E67" i="11"/>
  <c r="AI56" i="1"/>
  <c r="AE58" i="1"/>
  <c r="AE79" i="1" s="1"/>
  <c r="Q22" i="1"/>
  <c r="G45" i="11"/>
  <c r="G44" i="11"/>
  <c r="G41" i="11"/>
  <c r="G42" i="11"/>
  <c r="G40" i="11"/>
  <c r="C50" i="11"/>
  <c r="G46" i="11"/>
  <c r="D50" i="11"/>
  <c r="G43" i="11"/>
  <c r="G39" i="11"/>
  <c r="K120" i="12"/>
  <c r="H128" i="12"/>
  <c r="K119" i="12"/>
  <c r="K117" i="12"/>
  <c r="D128" i="12"/>
  <c r="K124" i="12"/>
  <c r="K123" i="12"/>
  <c r="K121" i="12"/>
  <c r="K118" i="12"/>
  <c r="K122" i="12"/>
  <c r="F98" i="11"/>
  <c r="F95" i="11"/>
  <c r="F97" i="11"/>
  <c r="F94" i="11"/>
  <c r="D102" i="11"/>
  <c r="D104" i="11" s="1"/>
  <c r="D105" i="11" s="1"/>
  <c r="F96" i="11"/>
  <c r="C102" i="11"/>
  <c r="F93" i="11"/>
  <c r="F99" i="11"/>
  <c r="F92" i="11"/>
  <c r="D112" i="12"/>
  <c r="I110" i="12"/>
  <c r="AG19" i="14"/>
  <c r="L79" i="16"/>
  <c r="L80" i="16" s="1"/>
  <c r="E104" i="12"/>
  <c r="E109" i="12" s="1"/>
  <c r="C106" i="12"/>
  <c r="I42" i="14"/>
  <c r="I44" i="14" s="1"/>
  <c r="E46" i="12"/>
  <c r="C45" i="12"/>
  <c r="E84" i="12"/>
  <c r="C83" i="12"/>
  <c r="AB81" i="1"/>
  <c r="AE81" i="1" s="1"/>
  <c r="AI81" i="1" s="1"/>
  <c r="E121" i="11"/>
  <c r="C122" i="11"/>
  <c r="E191" i="11"/>
  <c r="C193" i="11"/>
  <c r="I146" i="12"/>
  <c r="D147" i="12"/>
  <c r="H35" i="12"/>
  <c r="E77" i="24"/>
  <c r="E78" i="24" s="1"/>
  <c r="E192" i="12"/>
  <c r="C191" i="12"/>
  <c r="E33" i="12"/>
  <c r="AA31" i="14"/>
  <c r="I53" i="12"/>
  <c r="D55" i="12"/>
  <c r="D56" i="12" s="1"/>
  <c r="N74" i="24"/>
  <c r="E68" i="11"/>
  <c r="Q42" i="14"/>
  <c r="Q44" i="14" s="1"/>
  <c r="G98" i="11"/>
  <c r="G95" i="11"/>
  <c r="G94" i="11"/>
  <c r="G97" i="11"/>
  <c r="G96" i="11"/>
  <c r="G92" i="11"/>
  <c r="G93" i="11"/>
  <c r="D103" i="11"/>
  <c r="C103" i="11"/>
  <c r="E103" i="11" s="1"/>
  <c r="G99" i="11"/>
  <c r="K80" i="16"/>
  <c r="AL59" i="1"/>
  <c r="AM59" i="1" s="1"/>
  <c r="AI79" i="1"/>
  <c r="AJ58" i="1"/>
  <c r="H224" i="12"/>
  <c r="C174" i="12"/>
  <c r="E175" i="12"/>
  <c r="G79" i="16"/>
  <c r="G80" i="16" s="1"/>
  <c r="D80" i="16"/>
  <c r="F80" i="16"/>
  <c r="N80" i="16"/>
  <c r="E154" i="11" l="1"/>
  <c r="C155" i="11"/>
  <c r="AI69" i="1"/>
  <c r="AJ66" i="1"/>
  <c r="C145" i="12"/>
  <c r="E145" i="12" s="1"/>
  <c r="C144" i="12"/>
  <c r="AJ81" i="1"/>
  <c r="AJ79" i="1"/>
  <c r="G191" i="11"/>
  <c r="F191" i="11"/>
  <c r="E193" i="11"/>
  <c r="AB82" i="1"/>
  <c r="AE82" i="1" s="1"/>
  <c r="AI82" i="1" s="1"/>
  <c r="E45" i="12"/>
  <c r="C48" i="12"/>
  <c r="D202" i="11"/>
  <c r="R22" i="1"/>
  <c r="Q78" i="1"/>
  <c r="E69" i="11"/>
  <c r="C70" i="11"/>
  <c r="N56" i="22"/>
  <c r="E34" i="12"/>
  <c r="C35" i="12"/>
  <c r="E35" i="12" s="1"/>
  <c r="I72" i="12"/>
  <c r="D73" i="12"/>
  <c r="E16" i="11"/>
  <c r="C17" i="11"/>
  <c r="E17" i="11" s="1"/>
  <c r="D129" i="12"/>
  <c r="I127" i="12"/>
  <c r="E127" i="12"/>
  <c r="G60" i="14"/>
  <c r="I60" i="14" s="1"/>
  <c r="D216" i="12"/>
  <c r="D217" i="12"/>
  <c r="E138" i="11"/>
  <c r="C139" i="11"/>
  <c r="C109" i="12"/>
  <c r="E106" i="12"/>
  <c r="G58" i="14"/>
  <c r="I58" i="14"/>
  <c r="O79" i="16"/>
  <c r="R79" i="16" s="1"/>
  <c r="E212" i="12"/>
  <c r="C215" i="12"/>
  <c r="E174" i="12"/>
  <c r="C177" i="12"/>
  <c r="I112" i="12"/>
  <c r="D113" i="12"/>
  <c r="E102" i="11"/>
  <c r="C104" i="11"/>
  <c r="I128" i="12"/>
  <c r="E128" i="12"/>
  <c r="AG31" i="25"/>
  <c r="AG40" i="25" s="1"/>
  <c r="AA40" i="25"/>
  <c r="I180" i="12"/>
  <c r="D181" i="12"/>
  <c r="I92" i="12"/>
  <c r="D93" i="12"/>
  <c r="Q66" i="22"/>
  <c r="C71" i="12"/>
  <c r="E71" i="12" s="1"/>
  <c r="C70" i="12"/>
  <c r="H129" i="12"/>
  <c r="E49" i="11"/>
  <c r="C51" i="11"/>
  <c r="Q11" i="22"/>
  <c r="R10" i="22"/>
  <c r="J213" i="12"/>
  <c r="K213" i="12"/>
  <c r="I215" i="12"/>
  <c r="B80" i="16"/>
  <c r="O78" i="16"/>
  <c r="H223" i="12"/>
  <c r="D38" i="8"/>
  <c r="K38" i="8" s="1"/>
  <c r="AG31" i="14"/>
  <c r="C194" i="11"/>
  <c r="C201" i="11" s="1"/>
  <c r="C195" i="11"/>
  <c r="E61" i="14"/>
  <c r="G49" i="14"/>
  <c r="G61" i="14" s="1"/>
  <c r="I53" i="14"/>
  <c r="G53" i="14"/>
  <c r="C163" i="12"/>
  <c r="E161" i="12"/>
  <c r="E191" i="12"/>
  <c r="E194" i="12" s="1"/>
  <c r="E195" i="12" s="1"/>
  <c r="C194" i="12"/>
  <c r="C195" i="12" s="1"/>
  <c r="E83" i="12"/>
  <c r="C86" i="12"/>
  <c r="E50" i="11"/>
  <c r="AL81" i="1"/>
  <c r="AL56" i="1"/>
  <c r="AL57" i="1" s="1"/>
  <c r="AM56" i="1"/>
  <c r="AJ56" i="1"/>
  <c r="N72" i="22"/>
  <c r="B73" i="22"/>
  <c r="R49" i="22"/>
  <c r="D203" i="11"/>
  <c r="D51" i="11"/>
  <c r="D52" i="11" s="1"/>
  <c r="D201" i="11"/>
  <c r="O55" i="16"/>
  <c r="C11" i="14"/>
  <c r="B57" i="16"/>
  <c r="W21" i="23"/>
  <c r="C6" i="23"/>
  <c r="C21" i="23" s="1"/>
  <c r="C40" i="23" s="1"/>
  <c r="C44" i="23" s="1"/>
  <c r="C65" i="23" s="1"/>
  <c r="C67" i="23" s="1"/>
  <c r="C71" i="23" s="1"/>
  <c r="R25" i="1"/>
  <c r="P78" i="1"/>
  <c r="P79" i="1" s="1"/>
  <c r="E201" i="11" l="1"/>
  <c r="C208" i="11"/>
  <c r="R55" i="16"/>
  <c r="R57" i="16" s="1"/>
  <c r="O57" i="16"/>
  <c r="O76" i="16" s="1"/>
  <c r="C200" i="12"/>
  <c r="E200" i="12" s="1"/>
  <c r="C198" i="12"/>
  <c r="E198" i="12" s="1"/>
  <c r="C197" i="12"/>
  <c r="I49" i="14"/>
  <c r="I61" i="14" s="1"/>
  <c r="D182" i="17" s="1"/>
  <c r="E70" i="12"/>
  <c r="C72" i="12"/>
  <c r="R66" i="22"/>
  <c r="C217" i="12"/>
  <c r="E217" i="12" s="1"/>
  <c r="C216" i="12"/>
  <c r="I129" i="12"/>
  <c r="D130" i="12"/>
  <c r="E130" i="12" s="1"/>
  <c r="E129" i="12"/>
  <c r="E48" i="12"/>
  <c r="C52" i="12"/>
  <c r="AJ69" i="1"/>
  <c r="AI73" i="1"/>
  <c r="C27" i="14"/>
  <c r="AA11" i="14"/>
  <c r="C13" i="14"/>
  <c r="N73" i="22"/>
  <c r="N74" i="22" s="1"/>
  <c r="B74" i="22"/>
  <c r="E89" i="12"/>
  <c r="E194" i="11"/>
  <c r="C196" i="11"/>
  <c r="H130" i="12"/>
  <c r="H225" i="12"/>
  <c r="H226" i="12" s="1"/>
  <c r="D204" i="11"/>
  <c r="E39" i="8"/>
  <c r="E51" i="11"/>
  <c r="C52" i="11"/>
  <c r="I217" i="12"/>
  <c r="D224" i="12"/>
  <c r="I224" i="12" s="1"/>
  <c r="N57" i="22"/>
  <c r="E52" i="12"/>
  <c r="E144" i="12"/>
  <c r="C146" i="12"/>
  <c r="E163" i="12"/>
  <c r="C164" i="12"/>
  <c r="E164" i="12" s="1"/>
  <c r="I216" i="12"/>
  <c r="D218" i="12"/>
  <c r="D223" i="12"/>
  <c r="B76" i="16"/>
  <c r="B58" i="16"/>
  <c r="E86" i="12"/>
  <c r="C89" i="12"/>
  <c r="E195" i="11"/>
  <c r="C202" i="11"/>
  <c r="O80" i="16"/>
  <c r="R78" i="16"/>
  <c r="R80" i="16" s="1"/>
  <c r="E104" i="11"/>
  <c r="C105" i="11"/>
  <c r="C179" i="12"/>
  <c r="E179" i="12" s="1"/>
  <c r="C178" i="12"/>
  <c r="C110" i="12"/>
  <c r="C111" i="12"/>
  <c r="E111" i="12" s="1"/>
  <c r="R26" i="1"/>
  <c r="C205" i="11" l="1"/>
  <c r="E202" i="11"/>
  <c r="Q31" i="19"/>
  <c r="Q33" i="19" s="1"/>
  <c r="Q36" i="19" s="1"/>
  <c r="R76" i="16"/>
  <c r="E110" i="12"/>
  <c r="C112" i="12"/>
  <c r="C90" i="12"/>
  <c r="C91" i="12"/>
  <c r="E91" i="12" s="1"/>
  <c r="I223" i="12"/>
  <c r="AA27" i="14"/>
  <c r="C28" i="14"/>
  <c r="C54" i="12"/>
  <c r="C53" i="12"/>
  <c r="C180" i="12"/>
  <c r="E178" i="12"/>
  <c r="AJ73" i="1"/>
  <c r="AJ76" i="1" s="1"/>
  <c r="AI76" i="1"/>
  <c r="C218" i="12"/>
  <c r="E216" i="12"/>
  <c r="E72" i="12"/>
  <c r="C73" i="12"/>
  <c r="E73" i="12" s="1"/>
  <c r="C199" i="12"/>
  <c r="E197" i="12"/>
  <c r="AG11" i="14"/>
  <c r="AG13" i="14" s="1"/>
  <c r="AA13" i="14"/>
  <c r="I218" i="12"/>
  <c r="D219" i="12"/>
  <c r="D225" i="12"/>
  <c r="I225" i="12" s="1"/>
  <c r="E146" i="12"/>
  <c r="C147" i="12"/>
  <c r="E147" i="12" s="1"/>
  <c r="E196" i="11"/>
  <c r="C203" i="11"/>
  <c r="E203" i="11" s="1"/>
  <c r="C197" i="11"/>
  <c r="C39" i="14"/>
  <c r="O61" i="22"/>
  <c r="D184" i="17"/>
  <c r="D242" i="17" s="1"/>
  <c r="E183" i="17"/>
  <c r="E90" i="12" l="1"/>
  <c r="C92" i="12"/>
  <c r="Q61" i="22"/>
  <c r="Q63" i="22" s="1"/>
  <c r="Q64" i="22" s="1"/>
  <c r="O72" i="22"/>
  <c r="O73" i="22" s="1"/>
  <c r="O74" i="22" s="1"/>
  <c r="O63" i="22"/>
  <c r="O64" i="22" s="1"/>
  <c r="E54" i="12"/>
  <c r="C224" i="12"/>
  <c r="E224" i="12" s="1"/>
  <c r="AA39" i="14"/>
  <c r="C40" i="14"/>
  <c r="C42" i="14" s="1"/>
  <c r="C44" i="14" s="1"/>
  <c r="C201" i="12"/>
  <c r="E199" i="12"/>
  <c r="E201" i="12" s="1"/>
  <c r="E218" i="12"/>
  <c r="C219" i="12"/>
  <c r="E219" i="12" s="1"/>
  <c r="E180" i="12"/>
  <c r="C181" i="12"/>
  <c r="E181" i="12" s="1"/>
  <c r="F243" i="17"/>
  <c r="D226" i="12"/>
  <c r="I226" i="12" s="1"/>
  <c r="E112" i="12"/>
  <c r="C113" i="12"/>
  <c r="E113" i="12" s="1"/>
  <c r="P55" i="22"/>
  <c r="E184" i="17"/>
  <c r="E242" i="17" s="1"/>
  <c r="C55" i="12"/>
  <c r="E53" i="12"/>
  <c r="C223" i="12"/>
  <c r="AG27" i="14"/>
  <c r="AG28" i="14" s="1"/>
  <c r="AA28" i="14"/>
  <c r="C204" i="11"/>
  <c r="E204" i="11" s="1"/>
  <c r="E223" i="12" l="1"/>
  <c r="P72" i="22"/>
  <c r="P56" i="22"/>
  <c r="P57" i="22" s="1"/>
  <c r="Q55" i="22"/>
  <c r="Q56" i="22" s="1"/>
  <c r="E55" i="12"/>
  <c r="C225" i="12"/>
  <c r="E225" i="12" s="1"/>
  <c r="C56" i="12"/>
  <c r="E56" i="12" s="1"/>
  <c r="E92" i="12"/>
  <c r="C93" i="12"/>
  <c r="E93" i="12" s="1"/>
  <c r="AG39" i="14"/>
  <c r="AG40" i="14" s="1"/>
  <c r="AG42" i="14" s="1"/>
  <c r="AG44" i="14" s="1"/>
  <c r="AA40" i="14"/>
  <c r="AA42" i="14" s="1"/>
  <c r="AA44" i="14" s="1"/>
  <c r="C226" i="12" l="1"/>
  <c r="Q72" i="22"/>
  <c r="Q73" i="22" s="1"/>
  <c r="P73" i="22"/>
  <c r="P74" i="22" s="1"/>
  <c r="Q57" i="22"/>
  <c r="R56" i="22"/>
  <c r="E226" i="12"/>
  <c r="Q74" i="22" l="1"/>
  <c r="R7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<sst xmlns="http://schemas.openxmlformats.org/spreadsheetml/2006/main" count="2509" uniqueCount="864">
  <si>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</si>
  <si>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</si>
  <si>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</si>
  <si>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</si>
  <si>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</si>
  <si>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</si>
  <si>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</si>
  <si>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</si>
  <si>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</si>
  <si>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</si>
  <si>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</si>
  <si>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</si>
  <si>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</si>
  <si>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</si>
  <si>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</si>
  <si>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</si>
  <si>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</si>
  <si>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</si>
  <si>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</si>
  <si>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</si>
  <si>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</si>
  <si>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</si>
  <si>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</si>
  <si>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</si>
  <si>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</si>
  <si>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</si>
  <si>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</si>
  <si>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</si>
  <si>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</si>
  <si>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</si>
  <si>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</si>
  <si>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</si>
  <si>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</si>
  <si>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</si>
  <si>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</si>
  <si>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</si>
  <si>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</si>
  <si>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</si>
  <si>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</si>
  <si>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</si>
  <si>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</si>
  <si>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</si>
  <si>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</si>
  <si>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</si>
  <si>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</si>
  <si>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</si>
  <si>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</si>
  <si>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</si>
  <si>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</si>
  <si>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</si>
  <si>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</si>
  <si>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</si>
  <si>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</si>
  <si>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</si>
  <si>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</si>
  <si>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</si>
  <si>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</si>
  <si>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</si>
  <si>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</si>
  <si>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</si>
  <si>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</si>
  <si>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</si>
  <si>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</si>
  <si>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</si>
  <si>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</si>
  <si>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</si>
  <si>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</si>
  <si>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</si>
  <si>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</si>
  <si>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</si>
  <si>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</si>
  <si>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</si>
  <si>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</si>
  <si>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</si>
  <si>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</si>
  <si>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</si>
  <si>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</si>
  <si>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</si>
  <si>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</si>
  <si>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</si>
  <si>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</si>
  <si>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</si>
  <si>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</si>
  <si>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</si>
  <si>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</si>
  <si>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</si>
  <si>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</si>
  <si>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</si>
  <si>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</si>
  <si>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</si>
  <si>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</si>
  <si>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</si>
  <si>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</si>
  <si>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</si>
  <si>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</si>
  <si>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</si>
  <si>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</si>
  <si>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</si>
  <si>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</si>
  <si>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</si>
  <si>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</si>
  <si>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</si>
  <si>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</si>
  <si>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</si>
  <si>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</si>
  <si>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</si>
  <si>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</si>
  <si>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</si>
  <si>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</si>
  <si>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</si>
  <si>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</si>
  <si>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</si>
  <si>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</si>
  <si>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</si>
  <si>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</si>
  <si>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</si>
  <si>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</si>
  <si>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</si>
  <si>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</si>
  <si>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</si>
  <si>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</si>
  <si>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</si>
  <si>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</si>
  <si>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</si>
  <si>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</si>
  <si>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</si>
  <si>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</si>
  <si>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</si>
  <si>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</si>
  <si>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</si>
  <si>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</si>
  <si>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</si>
  <si>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</si>
  <si>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</si>
  <si>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</si>
  <si>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</si>
  <si>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</si>
  <si>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</si>
  <si>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</si>
  <si>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</si>
  <si>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</si>
  <si>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</si>
  <si>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</si>
  <si>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</si>
  <si>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</si>
  <si>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</si>
  <si>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</si>
  <si>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</si>
  <si>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</si>
  <si>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</si>
  <si>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</si>
  <si>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</si>
  <si>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</si>
  <si>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</si>
  <si>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</si>
  <si>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</si>
  <si>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</si>
  <si>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</si>
  <si>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</si>
  <si>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</si>
  <si>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</si>
  <si>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</si>
  <si>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</si>
  <si>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</si>
  <si>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</si>
  <si>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</si>
  <si>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</si>
  <si>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</si>
  <si>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</si>
  <si>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</si>
  <si>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</si>
  <si>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</si>
  <si>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</si>
  <si>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</si>
  <si>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</si>
  <si>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</si>
  <si>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</si>
  <si>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</si>
  <si>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</si>
  <si>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</si>
  <si>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</si>
  <si>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</si>
  <si>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</si>
  <si>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</si>
  <si>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</si>
  <si>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</si>
  <si>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</si>
  <si>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</si>
  <si>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</si>
  <si>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</si>
  <si>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</si>
  <si>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</si>
  <si>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</si>
  <si>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</si>
  <si>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</si>
  <si>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</si>
  <si>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</si>
  <si>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</si>
  <si>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</si>
  <si>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</si>
  <si>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</si>
  <si>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</si>
  <si>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</si>
  <si>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</si>
  <si>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</si>
  <si>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</si>
  <si>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</si>
  <si>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</si>
  <si>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</si>
  <si>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</si>
  <si>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</si>
  <si>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</si>
  <si>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</si>
  <si>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</si>
  <si>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</si>
  <si>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</si>
  <si>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</si>
  <si>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</si>
  <si>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</si>
  <si>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</si>
  <si>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</si>
  <si>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</si>
  <si>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</si>
  <si>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</si>
  <si>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</si>
  <si>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</si>
  <si>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</si>
  <si>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</si>
  <si>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</si>
  <si>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</si>
  <si>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</si>
  <si>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</si>
  <si>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</si>
  <si>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</si>
  <si>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</si>
  <si>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</si>
  <si>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</si>
  <si>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</si>
  <si>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</si>
  <si>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</si>
  <si>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</si>
  <si>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</si>
  <si>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</si>
  <si>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</si>
  <si>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</si>
  <si>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</si>
  <si>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</si>
  <si>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</si>
  <si>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</si>
  <si>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</si>
  <si>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</si>
  <si>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</si>
  <si>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</si>
  <si>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</si>
  <si>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</si>
  <si>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</si>
  <si>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</si>
  <si>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</si>
  <si>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</si>
  <si>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</si>
  <si>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</si>
  <si>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</si>
  <si>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</si>
  <si>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</si>
  <si>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</si>
  <si>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</si>
  <si>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</si>
  <si>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</si>
  <si>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</si>
  <si>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</si>
  <si>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</si>
  <si>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</si>
  <si>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</si>
  <si>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</si>
  <si>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</si>
  <si>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</si>
  <si>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</si>
  <si>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</si>
  <si>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</si>
  <si>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</si>
  <si>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</si>
  <si>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</si>
  <si>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</si>
  <si>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</si>
  <si>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</si>
  <si>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</si>
  <si>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</si>
  <si>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</si>
  <si>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</si>
  <si>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</si>
  <si>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</si>
  <si>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</si>
  <si>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</si>
  <si>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</si>
  <si>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</si>
  <si>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</si>
  <si>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</si>
  <si>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</si>
  <si>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</si>
  <si>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</si>
  <si>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</si>
  <si>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</si>
  <si>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</si>
  <si>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</si>
  <si>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</si>
  <si>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</si>
  <si>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</si>
  <si>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</si>
  <si>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</si>
  <si>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</si>
  <si>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</si>
  <si>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</si>
  <si>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</si>
  <si>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</si>
  <si>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</si>
  <si>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</si>
  <si>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</si>
  <si>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</si>
  <si>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</si>
  <si>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</si>
  <si>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</si>
  <si>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</si>
  <si>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</si>
  <si>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</si>
  <si>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</si>
  <si>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</si>
  <si>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</si>
  <si>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</si>
  <si>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</si>
  <si>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</si>
  <si>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</si>
  <si>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</si>
  <si>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</si>
  <si>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</si>
  <si>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</si>
  <si>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</si>
  <si>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</si>
  <si>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</si>
  <si>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</si>
  <si>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</si>
  <si>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</si>
  <si>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</si>
  <si>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</si>
  <si>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</si>
  <si>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</si>
  <si>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</si>
  <si>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</si>
  <si>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</si>
  <si>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</si>
  <si>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</si>
  <si>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</si>
  <si>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</si>
  <si>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</si>
  <si>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</si>
  <si>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</si>
  <si>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</si>
  <si>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</si>
  <si>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</si>
  <si>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</si>
  <si>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</si>
  <si>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</si>
  <si>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</si>
  <si>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</si>
  <si>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</si>
  <si>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</si>
  <si>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</si>
  <si>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</si>
  <si>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</si>
  <si>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</si>
  <si>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</si>
  <si>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</si>
  <si>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</si>
  <si>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</si>
  <si>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</si>
  <si>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</si>
  <si>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</si>
  <si>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</si>
  <si>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</si>
  <si>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</si>
  <si>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</si>
  <si>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</si>
  <si>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</si>
  <si>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</si>
  <si>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</si>
  <si>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</si>
  <si>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</si>
  <si>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</si>
  <si>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</si>
  <si>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</si>
  <si>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</si>
  <si>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</si>
  <si>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</si>
  <si>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</si>
  <si>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</si>
  <si>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</si>
  <si>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</si>
  <si>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</si>
  <si>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</si>
  <si>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</si>
  <si>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</si>
  <si>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</si>
  <si>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</si>
  <si>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</si>
  <si>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</si>
  <si>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</si>
  <si>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</si>
  <si>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</si>
  <si>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</si>
  <si>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</si>
  <si>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</si>
  <si>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</si>
  <si>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</si>
  <si>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</si>
  <si>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</si>
  <si>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</si>
  <si>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</si>
  <si>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</si>
  <si>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</si>
  <si>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</si>
  <si>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</si>
  <si>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</si>
  <si>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</si>
  <si>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</si>
  <si>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</si>
  <si>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</si>
  <si>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</si>
  <si>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</si>
  <si>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</si>
  <si>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</si>
  <si>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</si>
  <si>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</si>
  <si>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</si>
  <si>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</si>
  <si>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</si>
  <si>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</si>
  <si>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</si>
  <si>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</si>
  <si>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</si>
  <si>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</si>
  <si>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</si>
  <si>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</si>
  <si>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</si>
  <si>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</si>
  <si>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</si>
  <si>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</si>
  <si>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</si>
  <si>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</si>
  <si>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</si>
  <si>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Resultado 2019         US$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</si>
  <si>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</si>
  <si>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</si>
  <si>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</si>
  <si>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</si>
  <si>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</si>
  <si>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</si>
  <si>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</si>
  <si>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</si>
  <si>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</si>
  <si>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</si>
  <si>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</si>
  <si>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</si>
  <si>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</si>
  <si>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</si>
  <si>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</si>
  <si>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</si>
  <si>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</si>
  <si>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</si>
  <si>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</si>
  <si>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</si>
  <si>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</si>
  <si>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</si>
  <si>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</si>
  <si>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</si>
  <si>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</si>
  <si>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</si>
  <si>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</si>
  <si>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</si>
  <si>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</si>
  <si>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</si>
  <si>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</si>
  <si>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</si>
  <si>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</si>
  <si>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</si>
  <si>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 xml:space="preserve">     á Cuentas por pagar relacionadas LP</t>
  </si>
  <si>
    <t xml:space="preserve">     á Otras cuentas por cobrar CP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</si>
  <si>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</si>
  <si>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</si>
  <si>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</si>
  <si>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</si>
  <si>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</si>
  <si>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</si>
  <si>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</si>
  <si>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</si>
  <si>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</si>
  <si>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</si>
  <si>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</si>
  <si>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</si>
  <si>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</si>
  <si>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</si>
  <si>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</si>
  <si>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</si>
  <si>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</si>
  <si>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</si>
  <si>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</si>
  <si>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</si>
  <si>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</si>
  <si>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</si>
  <si>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LatamFiberHome
31/12/2020</t>
  </si>
  <si>
    <t>Cerinsa
31/12/2020</t>
  </si>
  <si>
    <t>Econocompu
31/12/2020</t>
  </si>
  <si>
    <t>Smartcities
31/12/2020</t>
  </si>
  <si>
    <t>Megadatos 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</si>
  <si>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</si>
  <si>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</si>
  <si>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</si>
  <si>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</si>
  <si>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</si>
  <si>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</si>
  <si>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</si>
  <si>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</si>
  <si>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</si>
  <si>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</si>
  <si>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</si>
  <si>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</si>
  <si>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Pasivo contingente</t>
  </si>
  <si>
    <t>Obligaciones financieras L/P</t>
  </si>
  <si>
    <t>Valores emitidos L/P</t>
  </si>
  <si>
    <t>Jubilacion patronal y desahucio</t>
  </si>
  <si>
    <t>Pasivos por arrendamientos L/P</t>
  </si>
  <si>
    <t>Superávit por revaluación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</si>
  <si>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</si>
  <si>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</si>
  <si>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</si>
  <si>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</si>
  <si>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</si>
  <si>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</si>
  <si>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</si>
  <si>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</si>
  <si>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</si>
  <si>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</si>
  <si>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</si>
  <si>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</si>
  <si>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</si>
  <si>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</si>
  <si>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</si>
  <si>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</si>
  <si>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</si>
  <si>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</si>
  <si>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</si>
  <si>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</si>
  <si>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</si>
  <si>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</si>
  <si>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</si>
  <si>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</si>
  <si>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</si>
  <si>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</si>
  <si>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</si>
  <si>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</si>
  <si>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</si>
  <si>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</si>
  <si>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</si>
  <si>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</si>
  <si>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</si>
  <si>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</si>
  <si>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</si>
  <si>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</si>
  <si>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</si>
  <si>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</si>
  <si>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</si>
  <si>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</si>
  <si>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</si>
  <si>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</si>
  <si>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</si>
  <si>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</si>
  <si>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</si>
  <si>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</si>
  <si>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</si>
  <si>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</si>
  <si>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</si>
  <si>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</si>
  <si>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</si>
  <si>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</si>
  <si>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</si>
  <si>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</si>
  <si>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</si>
  <si>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</si>
  <si>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</si>
  <si>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</si>
  <si>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</si>
  <si>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</si>
  <si>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</si>
  <si>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</si>
  <si>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</si>
  <si>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</si>
  <si>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</si>
  <si>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</si>
  <si>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</si>
  <si>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</si>
  <si>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</si>
  <si>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</si>
  <si>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</si>
  <si>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</si>
  <si>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</si>
  <si>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</si>
  <si>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</si>
  <si>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</si>
  <si>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</si>
  <si>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</si>
  <si>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</si>
  <si>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</si>
  <si>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</si>
  <si>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Cuentas por pagara relacionadas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</si>
  <si>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</si>
  <si>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</si>
  <si>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</si>
  <si>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</si>
  <si>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</si>
  <si>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</si>
  <si>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</si>
  <si>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</si>
  <si>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</si>
  <si>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</si>
  <si>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</si>
  <si>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RECLASIFICACION CUENTA POR COBRAR A C.B.P. EN CORPOANDINO Y QUE NO ES RELACIOANDA</t>
  </si>
  <si>
    <t>a Cuentas por cobrar relacionadas CP</t>
  </si>
  <si>
    <t>Eliminación de transacciones entre Telconet y subsidiarias</t>
  </si>
  <si>
    <t>Al 31 de diciembre dl 2019</t>
  </si>
  <si>
    <t>ok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</si>
  <si>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</si>
  <si>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</si>
  <si>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</si>
  <si>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</si>
  <si>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</si>
  <si>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</si>
  <si>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</si>
  <si>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</si>
  <si>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</si>
  <si>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</si>
  <si>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</si>
  <si>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</si>
  <si>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</si>
  <si>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</si>
  <si>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</si>
  <si>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</si>
  <si>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</si>
  <si>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Pasivos del contrato</t>
  </si>
  <si>
    <t xml:space="preserve">   Pasivos por arrendamientos</t>
  </si>
  <si>
    <t xml:space="preserve">   Pasivo contingente</t>
  </si>
  <si>
    <t>Total del activo corriente</t>
  </si>
  <si>
    <t>Beneficios Sociales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</si>
  <si>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</si>
  <si>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</si>
  <si>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</si>
  <si>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</si>
  <si>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</si>
  <si>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</si>
  <si>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</si>
  <si>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>Jubilación Patronal y Bonificación por desahucio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</si>
  <si>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</si>
  <si>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</si>
  <si>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</si>
  <si>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</si>
  <si>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</si>
  <si>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</si>
  <si>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</si>
  <si>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</si>
  <si>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VARIACIÓN DE PATRIMONIO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</si>
  <si>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</si>
  <si>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</si>
  <si>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</si>
  <si>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</si>
  <si>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</si>
  <si>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</si>
  <si>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Efecto de implementación NIIF 9</t>
  </si>
  <si>
    <t>Gasto de depreciación</t>
  </si>
  <si>
    <t>Otros ajustes menores</t>
  </si>
  <si>
    <t>Liquidación activos y pasivos de Netspeed</t>
  </si>
  <si>
    <t>ACTIVOS POR DERECHOS DE USO</t>
  </si>
  <si>
    <t>Más Provisión de impuesto a la renta</t>
  </si>
  <si>
    <t>Registro contra pasivos por arrendamiento</t>
  </si>
  <si>
    <t>Pagos netos</t>
  </si>
  <si>
    <t>JUBILACION Y DESAHUCIO</t>
  </si>
  <si>
    <t>Provision del periodo</t>
  </si>
  <si>
    <t>Pagos, netos</t>
  </si>
  <si>
    <t>Pérdida actuarial en jubilación y desahucio</t>
  </si>
  <si>
    <t>Otros movimientos netos</t>
  </si>
  <si>
    <t>ACTIVOS INTANGIBLES</t>
  </si>
  <si>
    <t>Amortización del periodo</t>
  </si>
  <si>
    <t>Amortización</t>
  </si>
  <si>
    <t xml:space="preserve">IMPUESTOS POR PAGAR </t>
  </si>
  <si>
    <t>Provisión de impuesto a la renta</t>
  </si>
  <si>
    <t>Pago de impuesto a la renta</t>
  </si>
  <si>
    <t>BENEFICIOS SOCIALES POR PAGAR</t>
  </si>
  <si>
    <t>Provisión 15% PT</t>
  </si>
  <si>
    <t>Pago de 15% PT</t>
  </si>
  <si>
    <t>CUENTAS POR COBRAR COMERCIALES</t>
  </si>
  <si>
    <t>Provisión para incobrables</t>
  </si>
  <si>
    <t>Variación en cuentas por cobrar comerciales</t>
  </si>
  <si>
    <t>OTRAS CUENTAS POR COBRAR</t>
  </si>
  <si>
    <t xml:space="preserve">Variación en otras cuentas por cobrar </t>
  </si>
  <si>
    <t>IMPUESTO DIFERIDO</t>
  </si>
  <si>
    <t>Cargo a resultados</t>
  </si>
  <si>
    <t>PASIVOS POR ARRENDAMIENTO</t>
  </si>
  <si>
    <t>Pagos por arrendamientos</t>
  </si>
  <si>
    <t>Registro contra derechos de uso</t>
  </si>
  <si>
    <t>PASIVOS DEL CONTRATO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</si>
  <si>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</si>
  <si>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</si>
  <si>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</si>
  <si>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</si>
  <si>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</si>
  <si>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</si>
  <si>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</si>
  <si>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</si>
  <si>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</si>
  <si>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</si>
  <si>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</si>
  <si>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</si>
  <si>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</si>
  <si>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</si>
  <si>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</si>
  <si>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</si>
  <si>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</si>
  <si>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</si>
  <si>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</si>
  <si>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</si>
  <si>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</si>
  <si>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</si>
  <si>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</si>
  <si>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</si>
  <si>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</si>
  <si>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</si>
  <si>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</si>
  <si>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</si>
  <si>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</si>
  <si>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</si>
  <si>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</si>
  <si>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</si>
  <si>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</si>
  <si>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</si>
  <si>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</si>
  <si>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</si>
  <si>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</si>
  <si>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</si>
  <si>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</si>
  <si>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</si>
  <si>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</si>
  <si>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</si>
  <si>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</si>
  <si>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</si>
  <si>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</si>
  <si>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</si>
  <si>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</si>
  <si>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Telconet S.A.
31/12/2018</t>
  </si>
  <si>
    <t>Cable Andino Inc.
31/12/2018</t>
  </si>
  <si>
    <t>Cable Andino Corpoandino 
31/12/2018</t>
  </si>
  <si>
    <t>Transtelco
31/12/2018</t>
  </si>
  <si>
    <t>Netspeed
31/12/2018</t>
  </si>
  <si>
    <t>Cerinsa
31/12/2018</t>
  </si>
  <si>
    <t>Econocompu
31/12/2018</t>
  </si>
  <si>
    <t>Smartcities
31/12/2018</t>
  </si>
  <si>
    <t>Inmobiliaria Leonor3
31/12/2018</t>
  </si>
  <si>
    <t>Telsoterra
31/12/2018</t>
  </si>
  <si>
    <t>Linkotel 31/12/2018</t>
  </si>
  <si>
    <t>Telconet Panamá 31/12/2018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</si>
  <si>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</si>
  <si>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</si>
  <si>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</si>
  <si>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</si>
  <si>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</si>
  <si>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</si>
  <si>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</si>
  <si>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</si>
  <si>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</si>
  <si>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</si>
  <si>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</si>
  <si>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</si>
  <si>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</si>
  <si>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</si>
  <si>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</si>
  <si>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</si>
  <si>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</si>
  <si>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</si>
  <si>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</si>
  <si>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</si>
  <si>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</si>
  <si>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</si>
  <si>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</si>
  <si>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</si>
  <si>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</si>
  <si>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</si>
  <si>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</si>
  <si>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</si>
  <si>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</si>
  <si>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Telconet S.A.
31/12/2019</t>
  </si>
  <si>
    <t>Cable Andino Inc.
31/12/2019</t>
  </si>
  <si>
    <t>Cable Andino Corpoandino 
31/12/2019</t>
  </si>
  <si>
    <t>Transtelco
31/12/2019</t>
  </si>
  <si>
    <t>Netspeed
31/12/2019</t>
  </si>
  <si>
    <t>Cerinsa
31/12/2019</t>
  </si>
  <si>
    <t>Econocompu
31/12/2019</t>
  </si>
  <si>
    <t>Smartcities
31/12/2019</t>
  </si>
  <si>
    <t>Inmob. Leonor3
31/12/2019</t>
  </si>
  <si>
    <t>Telsoterra
31/12/2019</t>
  </si>
  <si>
    <t>Linkotel 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</si>
  <si>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</si>
  <si>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</si>
  <si>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</si>
  <si>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</si>
  <si>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</si>
  <si>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</si>
  <si>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</si>
  <si>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</si>
  <si>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</si>
  <si>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</si>
  <si>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</si>
  <si>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</si>
  <si>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</si>
  <si>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</si>
  <si>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</si>
  <si>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</si>
  <si>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</si>
  <si>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</si>
  <si>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</si>
  <si>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</si>
  <si>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</si>
  <si>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</si>
  <si>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</si>
  <si>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</si>
  <si>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</si>
  <si>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</si>
  <si>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</si>
  <si>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</si>
  <si>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</si>
  <si>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</si>
  <si>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</si>
  <si>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</si>
  <si>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</si>
  <si>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</si>
  <si>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</si>
  <si>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Ingreso (egreso) por retiro y venta de aportes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</si>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</sst>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</numFmts>
  <fonts count="82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586">
    <xf numFmtId="0" fontId="0" fillId="0" borderId="0"/>
    <xf numFmtId="164" fontId="81" fillId="0" borderId="0" applyBorder="0" applyProtection="0"/>
    <xf numFmtId="191" fontId="81" fillId="0" borderId="0" applyBorder="0" applyProtection="0"/>
    <xf numFmtId="193" fontId="81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0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8" fontId="81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1" fillId="0" borderId="0" applyBorder="0" applyProtection="0"/>
    <xf numFmtId="172" fontId="81" fillId="0" borderId="0" applyBorder="0" applyProtection="0"/>
    <xf numFmtId="173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74" fontId="81" fillId="0" borderId="0" applyBorder="0" applyProtection="0"/>
    <xf numFmtId="175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65" fontId="81" fillId="0" borderId="0" applyBorder="0" applyProtection="0"/>
    <xf numFmtId="0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76" fontId="81" fillId="0" borderId="0" applyBorder="0" applyProtection="0"/>
    <xf numFmtId="173" fontId="81" fillId="0" borderId="0" applyBorder="0" applyProtection="0"/>
    <xf numFmtId="0" fontId="81" fillId="0" borderId="0" applyBorder="0" applyProtection="0"/>
    <xf numFmtId="165" fontId="81" fillId="0" borderId="0" applyBorder="0" applyProtection="0"/>
    <xf numFmtId="176" fontId="81" fillId="0" borderId="0" applyBorder="0" applyProtection="0"/>
    <xf numFmtId="172" fontId="81" fillId="0" borderId="0" applyBorder="0" applyProtection="0"/>
    <xf numFmtId="177" fontId="81" fillId="0" borderId="0" applyBorder="0" applyProtection="0"/>
    <xf numFmtId="172" fontId="81" fillId="0" borderId="0" applyBorder="0" applyProtection="0"/>
    <xf numFmtId="171" fontId="81" fillId="0" borderId="0" applyBorder="0" applyProtection="0"/>
    <xf numFmtId="171" fontId="81" fillId="0" borderId="0" applyBorder="0" applyProtection="0"/>
    <xf numFmtId="178" fontId="81" fillId="0" borderId="0" applyBorder="0" applyProtection="0"/>
    <xf numFmtId="178" fontId="81" fillId="0" borderId="0" applyBorder="0" applyProtection="0"/>
    <xf numFmtId="178" fontId="81" fillId="0" borderId="0" applyBorder="0" applyProtection="0"/>
    <xf numFmtId="165" fontId="81" fillId="0" borderId="0" applyBorder="0" applyProtection="0"/>
    <xf numFmtId="168" fontId="81" fillId="0" borderId="0" applyBorder="0" applyProtection="0"/>
    <xf numFmtId="172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0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79" fontId="81" fillId="0" borderId="0" applyBorder="0" applyProtection="0"/>
    <xf numFmtId="180" fontId="81" fillId="0" borderId="0" applyBorder="0" applyProtection="0"/>
    <xf numFmtId="181" fontId="81" fillId="0" borderId="0" applyBorder="0" applyProtection="0"/>
    <xf numFmtId="165" fontId="81" fillId="0" borderId="0" applyBorder="0" applyProtection="0"/>
    <xf numFmtId="181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74" fontId="81" fillId="0" borderId="0" applyBorder="0" applyProtection="0"/>
    <xf numFmtId="0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82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72" fontId="81" fillId="0" borderId="0" applyBorder="0" applyProtection="0"/>
    <xf numFmtId="183" fontId="81" fillId="0" borderId="0" applyBorder="0" applyProtection="0"/>
    <xf numFmtId="172" fontId="81" fillId="0" borderId="0" applyBorder="0" applyProtection="0"/>
    <xf numFmtId="172" fontId="81" fillId="0" borderId="0" applyBorder="0" applyProtection="0"/>
    <xf numFmtId="184" fontId="81" fillId="0" borderId="0" applyBorder="0" applyProtection="0"/>
    <xf numFmtId="172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85" fontId="81" fillId="0" borderId="0" applyBorder="0" applyProtection="0"/>
    <xf numFmtId="186" fontId="81" fillId="0" borderId="0" applyBorder="0" applyProtection="0"/>
    <xf numFmtId="185" fontId="81" fillId="0" borderId="0" applyBorder="0" applyProtection="0"/>
    <xf numFmtId="164" fontId="81" fillId="0" borderId="0" applyBorder="0" applyProtection="0"/>
    <xf numFmtId="187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88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90" fontId="81" fillId="0" borderId="0" applyBorder="0" applyProtection="0"/>
    <xf numFmtId="191" fontId="81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1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81" fillId="0" borderId="0"/>
    <xf numFmtId="0" fontId="81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878">
    <xf numFmtId="0" fontId="0" fillId="0" borderId="0" xfId="0"/>
    <xf numFmtId="196" fontId="75" fillId="8" borderId="3" xfId="191" applyNumberFormat="1" applyFont="1" applyFill="1" applyBorder="1" applyAlignment="1" applyProtection="1">
      <alignment horizontal="center" vertical="center" wrapText="1"/>
    </xf>
    <xf numFmtId="196" fontId="57" fillId="6" borderId="7" xfId="191" applyNumberFormat="1" applyFont="1" applyFill="1" applyBorder="1" applyAlignment="1" applyProtection="1">
      <alignment horizontal="center" vertical="center" wrapText="1"/>
    </xf>
    <xf numFmtId="0" fontId="32" fillId="0" borderId="0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3" fillId="0" borderId="0" xfId="528" applyFont="1" applyBorder="1" applyAlignment="1">
      <alignment horizontal="left" wrapText="1"/>
    </xf>
    <xf numFmtId="0" fontId="31" fillId="0" borderId="21" xfId="528" applyFont="1" applyBorder="1" applyAlignment="1">
      <alignment horizontal="left" wrapText="1"/>
    </xf>
    <xf numFmtId="0" fontId="28" fillId="6" borderId="7" xfId="331" applyFont="1" applyFill="1" applyBorder="1" applyAlignment="1">
      <alignment horizontal="center"/>
    </xf>
    <xf numFmtId="194" fontId="24" fillId="0" borderId="0" xfId="3" applyNumberFormat="1" applyFont="1" applyBorder="1" applyAlignment="1" applyProtection="1">
      <alignment horizontal="center" vertical="center"/>
    </xf>
    <xf numFmtId="196" fontId="13" fillId="0" borderId="3" xfId="191" applyNumberFormat="1" applyFont="1" applyBorder="1" applyAlignment="1" applyProtection="1">
      <alignment horizontal="center" vertical="center" wrapText="1"/>
    </xf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9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9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49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50" fillId="0" borderId="0" xfId="0" applyNumberFormat="1" applyFont="1"/>
    <xf numFmtId="0" fontId="51" fillId="6" borderId="0" xfId="0" applyFont="1" applyFill="1"/>
    <xf numFmtId="0" fontId="0" fillId="6" borderId="0" xfId="0" applyFill="1"/>
    <xf numFmtId="0" fontId="25" fillId="6" borderId="0" xfId="0" applyFont="1" applyFill="1"/>
    <xf numFmtId="0" fontId="52" fillId="6" borderId="0" xfId="0" applyFont="1" applyFill="1"/>
    <xf numFmtId="0" fontId="50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3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50" fillId="6" borderId="10" xfId="0" applyFont="1" applyFill="1" applyBorder="1"/>
    <xf numFmtId="195" fontId="54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50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50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50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50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5" fillId="6" borderId="0" xfId="0" applyNumberFormat="1" applyFont="1" applyFill="1" applyBorder="1"/>
    <xf numFmtId="195" fontId="50" fillId="6" borderId="0" xfId="1" applyNumberFormat="1" applyFont="1" applyFill="1" applyBorder="1" applyAlignment="1" applyProtection="1"/>
    <xf numFmtId="193" fontId="56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4" fillId="6" borderId="4" xfId="263" applyFont="1" applyFill="1" applyBorder="1" applyAlignment="1">
      <alignment horizontal="center" vertical="center" wrapText="1"/>
    </xf>
    <xf numFmtId="196" fontId="54" fillId="6" borderId="4" xfId="191" applyNumberFormat="1" applyFont="1" applyFill="1" applyBorder="1" applyAlignment="1" applyProtection="1">
      <alignment horizontal="center" vertical="center" wrapText="1"/>
    </xf>
    <xf numFmtId="195" fontId="58" fillId="6" borderId="0" xfId="1" applyNumberFormat="1" applyFont="1" applyFill="1" applyBorder="1" applyAlignment="1" applyProtection="1"/>
    <xf numFmtId="0" fontId="54" fillId="6" borderId="0" xfId="0" applyFont="1" applyFill="1"/>
    <xf numFmtId="195" fontId="54" fillId="6" borderId="3" xfId="1" applyNumberFormat="1" applyFont="1" applyFill="1" applyBorder="1" applyAlignment="1" applyProtection="1">
      <alignment horizontal="left" vertical="center" wrapText="1"/>
    </xf>
    <xf numFmtId="195" fontId="54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50" fillId="0" borderId="0" xfId="1" applyNumberFormat="1" applyFont="1" applyBorder="1" applyAlignment="1" applyProtection="1"/>
    <xf numFmtId="195" fontId="12" fillId="6" borderId="3" xfId="1" applyNumberFormat="1" applyFont="1" applyFill="1" applyBorder="1" applyAlignment="1" applyProtection="1">
      <alignment horizontal="right" vertical="center"/>
    </xf>
    <xf numFmtId="195" fontId="54" fillId="6" borderId="4" xfId="1" applyNumberFormat="1" applyFont="1" applyFill="1" applyBorder="1" applyAlignment="1" applyProtection="1">
      <alignment horizontal="left" vertical="center" wrapText="1"/>
    </xf>
    <xf numFmtId="195" fontId="54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59" fillId="0" borderId="0" xfId="1" applyNumberFormat="1" applyFont="1" applyBorder="1" applyAlignment="1" applyProtection="1"/>
    <xf numFmtId="195" fontId="14" fillId="6" borderId="0" xfId="1" applyNumberFormat="1" applyFont="1" applyFill="1" applyBorder="1" applyAlignment="1" applyProtection="1"/>
    <xf numFmtId="195" fontId="54" fillId="6" borderId="6" xfId="1" applyNumberFormat="1" applyFont="1" applyFill="1" applyBorder="1" applyAlignment="1" applyProtection="1">
      <alignment horizontal="left" vertical="center" wrapText="1"/>
    </xf>
    <xf numFmtId="195" fontId="54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0" fillId="2" borderId="0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54" fillId="6" borderId="6" xfId="1" applyNumberFormat="1" applyFont="1" applyFill="1" applyBorder="1" applyAlignment="1" applyProtection="1">
      <alignment horizontal="right" wrapText="1"/>
    </xf>
    <xf numFmtId="195" fontId="54" fillId="6" borderId="3" xfId="1" applyNumberFormat="1" applyFont="1" applyFill="1" applyBorder="1" applyAlignment="1" applyProtection="1">
      <alignment horizontal="right" wrapText="1"/>
    </xf>
    <xf numFmtId="195" fontId="54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64" fontId="54" fillId="6" borderId="0" xfId="1" applyFont="1" applyFill="1" applyBorder="1" applyAlignment="1" applyProtection="1">
      <alignment horizontal="right" vertical="center" wrapText="1"/>
    </xf>
    <xf numFmtId="195" fontId="54" fillId="6" borderId="0" xfId="1" applyNumberFormat="1" applyFont="1" applyFill="1" applyBorder="1" applyAlignment="1" applyProtection="1">
      <alignment horizontal="right" vertical="center" wrapText="1"/>
    </xf>
    <xf numFmtId="208" fontId="58" fillId="6" borderId="0" xfId="1" applyNumberFormat="1" applyFont="1" applyFill="1" applyBorder="1" applyAlignment="1" applyProtection="1">
      <alignment horizontal="right" vertical="center" wrapText="1"/>
    </xf>
    <xf numFmtId="208" fontId="54" fillId="6" borderId="0" xfId="1" applyNumberFormat="1" applyFont="1" applyFill="1" applyBorder="1" applyAlignment="1" applyProtection="1">
      <alignment horizontal="right" vertical="center" wrapText="1"/>
    </xf>
    <xf numFmtId="194" fontId="12" fillId="6" borderId="0" xfId="0" applyNumberFormat="1" applyFont="1" applyFill="1" applyBorder="1"/>
    <xf numFmtId="208" fontId="60" fillId="6" borderId="0" xfId="3" applyNumberFormat="1" applyFont="1" applyFill="1" applyBorder="1" applyAlignment="1" applyProtection="1">
      <alignment horizontal="right" vertical="center" wrapText="1"/>
    </xf>
    <xf numFmtId="208" fontId="58" fillId="6" borderId="0" xfId="3" applyNumberFormat="1" applyFont="1" applyFill="1" applyBorder="1" applyAlignment="1" applyProtection="1">
      <alignment horizontal="right" vertical="center" wrapText="1"/>
    </xf>
    <xf numFmtId="208" fontId="50" fillId="6" borderId="0" xfId="0" applyNumberFormat="1" applyFont="1" applyFill="1" applyBorder="1" applyAlignment="1">
      <alignment horizontal="center"/>
    </xf>
    <xf numFmtId="208" fontId="54" fillId="6" borderId="0" xfId="3" applyNumberFormat="1" applyFont="1" applyFill="1" applyBorder="1" applyAlignment="1" applyProtection="1">
      <alignment horizontal="center" vertical="center" wrapText="1"/>
    </xf>
    <xf numFmtId="196" fontId="54" fillId="6" borderId="29" xfId="191" applyNumberFormat="1" applyFont="1" applyFill="1" applyBorder="1" applyAlignment="1" applyProtection="1">
      <alignment horizontal="center" vertical="center" wrapText="1"/>
    </xf>
    <xf numFmtId="195" fontId="54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4" fillId="6" borderId="10" xfId="3" applyNumberFormat="1" applyFont="1" applyFill="1" applyBorder="1" applyAlignment="1" applyProtection="1">
      <alignment horizontal="right" vertical="center"/>
    </xf>
    <xf numFmtId="208" fontId="54" fillId="6" borderId="10" xfId="3" applyNumberFormat="1" applyFont="1" applyFill="1" applyBorder="1" applyAlignment="1" applyProtection="1">
      <alignment horizontal="center" vertical="center"/>
    </xf>
    <xf numFmtId="208" fontId="54" fillId="6" borderId="10" xfId="191" applyNumberFormat="1" applyFont="1" applyFill="1" applyBorder="1" applyAlignment="1" applyProtection="1">
      <alignment horizontal="center" vertical="center"/>
    </xf>
    <xf numFmtId="195" fontId="54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4" fillId="6" borderId="6" xfId="3" applyNumberFormat="1" applyFont="1" applyFill="1" applyBorder="1" applyAlignment="1" applyProtection="1">
      <alignment horizontal="center" vertical="center"/>
    </xf>
    <xf numFmtId="208" fontId="54" fillId="6" borderId="6" xfId="3" applyNumberFormat="1" applyFont="1" applyFill="1" applyBorder="1" applyAlignment="1" applyProtection="1">
      <alignment horizontal="right" vertical="center"/>
    </xf>
    <xf numFmtId="208" fontId="54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61" fillId="6" borderId="0" xfId="1" applyNumberFormat="1" applyFont="1" applyFill="1" applyBorder="1" applyAlignment="1" applyProtection="1"/>
    <xf numFmtId="195" fontId="54" fillId="6" borderId="10" xfId="1" applyNumberFormat="1" applyFont="1" applyFill="1" applyBorder="1" applyAlignment="1" applyProtection="1">
      <alignment horizontal="left" vertical="center" wrapText="1"/>
    </xf>
    <xf numFmtId="195" fontId="54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3" applyNumberFormat="1" applyFont="1" applyFill="1" applyBorder="1" applyAlignment="1" applyProtection="1">
      <alignment horizontal="center" vertic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4" fillId="6" borderId="36" xfId="1" applyNumberFormat="1" applyFont="1" applyFill="1" applyBorder="1" applyAlignment="1" applyProtection="1">
      <alignment horizontal="left" vertical="center" wrapText="1"/>
    </xf>
    <xf numFmtId="195" fontId="54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4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vertical="center"/>
    </xf>
    <xf numFmtId="208" fontId="14" fillId="6" borderId="0" xfId="1" applyNumberFormat="1" applyFont="1" applyFill="1" applyBorder="1" applyAlignment="1" applyProtection="1">
      <alignment vertical="center"/>
    </xf>
    <xf numFmtId="0" fontId="56" fillId="6" borderId="0" xfId="263" applyFont="1" applyFill="1" applyAlignment="1">
      <alignment horizontal="left" vertical="center"/>
    </xf>
    <xf numFmtId="0" fontId="54" fillId="6" borderId="0" xfId="263" applyFont="1" applyFill="1" applyBorder="1" applyAlignment="1">
      <alignment horizontal="left" vertical="center"/>
    </xf>
    <xf numFmtId="208" fontId="54" fillId="6" borderId="0" xfId="3" applyNumberFormat="1" applyFont="1" applyFill="1" applyBorder="1" applyAlignment="1" applyProtection="1">
      <alignment horizontal="right" vertical="center"/>
    </xf>
    <xf numFmtId="0" fontId="52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2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208" fontId="12" fillId="6" borderId="0" xfId="1" applyNumberFormat="1" applyFont="1" applyFill="1" applyBorder="1" applyAlignment="1" applyProtection="1"/>
    <xf numFmtId="0" fontId="50" fillId="0" borderId="0" xfId="0" applyFont="1"/>
    <xf numFmtId="195" fontId="12" fillId="0" borderId="0" xfId="1" applyNumberFormat="1" applyFont="1" applyBorder="1" applyAlignment="1" applyProtection="1"/>
    <xf numFmtId="0" fontId="6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195" fontId="52" fillId="0" borderId="0" xfId="1" applyNumberFormat="1" applyFont="1" applyBorder="1" applyAlignment="1" applyProtection="1">
      <alignment horizontal="center"/>
    </xf>
    <xf numFmtId="0" fontId="53" fillId="0" borderId="0" xfId="0" applyFont="1" applyAlignment="1">
      <alignment horizontal="center"/>
    </xf>
    <xf numFmtId="0" fontId="50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4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50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2" fillId="6" borderId="0" xfId="1" applyNumberFormat="1" applyFont="1" applyFill="1" applyBorder="1" applyAlignment="1" applyProtection="1"/>
    <xf numFmtId="0" fontId="63" fillId="6" borderId="0" xfId="0" applyFont="1" applyFill="1"/>
    <xf numFmtId="195" fontId="62" fillId="6" borderId="0" xfId="1" applyNumberFormat="1" applyFont="1" applyFill="1" applyBorder="1" applyAlignment="1" applyProtection="1">
      <alignment horizontal="center"/>
    </xf>
    <xf numFmtId="0" fontId="54" fillId="6" borderId="0" xfId="0" applyFont="1" applyFill="1" applyAlignment="1">
      <alignment horizontal="center"/>
    </xf>
    <xf numFmtId="0" fontId="54" fillId="6" borderId="0" xfId="0" applyFont="1" applyFill="1" applyBorder="1" applyAlignment="1">
      <alignment horizontal="center"/>
    </xf>
    <xf numFmtId="0" fontId="54" fillId="6" borderId="0" xfId="0" applyFont="1" applyFill="1" applyBorder="1" applyAlignment="1">
      <alignment horizontal="center" wrapText="1"/>
    </xf>
    <xf numFmtId="0" fontId="64" fillId="6" borderId="0" xfId="0" applyFont="1" applyFill="1" applyAlignment="1">
      <alignment horizontal="center"/>
    </xf>
    <xf numFmtId="0" fontId="65" fillId="6" borderId="0" xfId="0" applyFont="1" applyFill="1" applyBorder="1" applyAlignment="1">
      <alignment horizontal="center"/>
    </xf>
    <xf numFmtId="0" fontId="64" fillId="6" borderId="0" xfId="0" applyFont="1" applyFill="1" applyBorder="1" applyAlignment="1">
      <alignment horizontal="center"/>
    </xf>
    <xf numFmtId="195" fontId="66" fillId="6" borderId="0" xfId="1" applyNumberFormat="1" applyFont="1" applyFill="1" applyBorder="1" applyAlignment="1" applyProtection="1">
      <alignment horizontal="center"/>
    </xf>
    <xf numFmtId="195" fontId="66" fillId="6" borderId="11" xfId="1" applyNumberFormat="1" applyFont="1" applyFill="1" applyBorder="1" applyAlignment="1" applyProtection="1">
      <alignment horizontal="center"/>
    </xf>
    <xf numFmtId="0" fontId="54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6" fillId="6" borderId="0" xfId="0" applyFont="1" applyFill="1" applyBorder="1" applyAlignment="1">
      <alignment horizontal="center"/>
    </xf>
    <xf numFmtId="3" fontId="54" fillId="6" borderId="0" xfId="0" applyNumberFormat="1" applyFont="1" applyFill="1" applyAlignment="1">
      <alignment horizontal="right" vertical="center"/>
    </xf>
    <xf numFmtId="0" fontId="54" fillId="6" borderId="0" xfId="0" applyFont="1" applyFill="1" applyBorder="1"/>
    <xf numFmtId="177" fontId="54" fillId="6" borderId="0" xfId="0" applyNumberFormat="1" applyFont="1" applyFill="1" applyBorder="1"/>
    <xf numFmtId="195" fontId="62" fillId="6" borderId="13" xfId="1" applyNumberFormat="1" applyFont="1" applyFill="1" applyBorder="1" applyAlignment="1" applyProtection="1">
      <alignment horizontal="center"/>
    </xf>
    <xf numFmtId="0" fontId="54" fillId="6" borderId="10" xfId="0" applyFont="1" applyFill="1" applyBorder="1"/>
    <xf numFmtId="0" fontId="54" fillId="6" borderId="0" xfId="0" applyFont="1" applyFill="1" applyAlignment="1">
      <alignment horizontal="left"/>
    </xf>
    <xf numFmtId="3" fontId="67" fillId="6" borderId="0" xfId="0" applyNumberFormat="1" applyFont="1" applyFill="1" applyAlignment="1">
      <alignment horizontal="right" vertical="center"/>
    </xf>
    <xf numFmtId="0" fontId="54" fillId="6" borderId="0" xfId="0" applyFont="1" applyFill="1" applyBorder="1" applyAlignment="1">
      <alignment horizontal="left"/>
    </xf>
    <xf numFmtId="0" fontId="54" fillId="6" borderId="0" xfId="326" applyFont="1" applyFill="1" applyBorder="1" applyAlignment="1">
      <alignment horizontal="left"/>
    </xf>
    <xf numFmtId="177" fontId="54" fillId="6" borderId="0" xfId="326" applyNumberFormat="1" applyFont="1" applyFill="1" applyBorder="1" applyAlignment="1">
      <alignment horizontal="left"/>
    </xf>
    <xf numFmtId="205" fontId="54" fillId="6" borderId="10" xfId="9" applyNumberFormat="1" applyFont="1" applyFill="1" applyBorder="1" applyAlignment="1" applyProtection="1"/>
    <xf numFmtId="205" fontId="54" fillId="6" borderId="0" xfId="9" applyNumberFormat="1" applyFont="1" applyFill="1" applyBorder="1" applyAlignment="1" applyProtection="1"/>
    <xf numFmtId="0" fontId="54" fillId="6" borderId="0" xfId="0" applyFont="1" applyFill="1" applyAlignment="1">
      <alignment horizontal="left" indent="1"/>
    </xf>
    <xf numFmtId="0" fontId="54" fillId="6" borderId="0" xfId="0" applyFont="1" applyFill="1" applyAlignment="1">
      <alignment horizontal="center" vertical="center"/>
    </xf>
    <xf numFmtId="195" fontId="54" fillId="6" borderId="0" xfId="0" applyNumberFormat="1" applyFont="1" applyFill="1" applyAlignment="1">
      <alignment horizontal="center" vertical="center"/>
    </xf>
    <xf numFmtId="195" fontId="62" fillId="6" borderId="0" xfId="1" applyNumberFormat="1" applyFont="1" applyFill="1" applyBorder="1" applyAlignment="1" applyProtection="1">
      <alignment horizontal="right"/>
    </xf>
    <xf numFmtId="208" fontId="54" fillId="6" borderId="0" xfId="0" applyNumberFormat="1" applyFont="1" applyFill="1" applyBorder="1"/>
    <xf numFmtId="208" fontId="54" fillId="6" borderId="0" xfId="92" applyNumberFormat="1" applyFont="1" applyFill="1" applyBorder="1" applyAlignment="1" applyProtection="1"/>
    <xf numFmtId="208" fontId="54" fillId="6" borderId="0" xfId="0" applyNumberFormat="1" applyFont="1" applyFill="1" applyBorder="1" applyAlignment="1"/>
    <xf numFmtId="0" fontId="54" fillId="6" borderId="0" xfId="0" applyFont="1" applyFill="1" applyBorder="1" applyAlignment="1">
      <alignment horizontal="left" indent="1"/>
    </xf>
    <xf numFmtId="195" fontId="54" fillId="6" borderId="0" xfId="0" applyNumberFormat="1" applyFont="1" applyFill="1" applyBorder="1" applyAlignment="1">
      <alignment horizontal="center"/>
    </xf>
    <xf numFmtId="3" fontId="67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2" fillId="6" borderId="13" xfId="1" applyNumberFormat="1" applyFont="1" applyFill="1" applyBorder="1" applyAlignment="1" applyProtection="1">
      <alignment horizontal="right"/>
    </xf>
    <xf numFmtId="208" fontId="54" fillId="6" borderId="10" xfId="92" applyNumberFormat="1" applyFont="1" applyFill="1" applyBorder="1" applyAlignment="1" applyProtection="1">
      <alignment horizontal="right"/>
    </xf>
    <xf numFmtId="195" fontId="54" fillId="6" borderId="0" xfId="92" applyNumberFormat="1" applyFont="1" applyFill="1" applyBorder="1" applyAlignment="1" applyProtection="1"/>
    <xf numFmtId="208" fontId="63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4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2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4" fillId="6" borderId="0" xfId="9" applyNumberFormat="1" applyFont="1" applyFill="1" applyBorder="1" applyAlignment="1" applyProtection="1"/>
    <xf numFmtId="208" fontId="54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4" fillId="6" borderId="8" xfId="9" applyNumberFormat="1" applyFont="1" applyFill="1" applyBorder="1" applyAlignment="1" applyProtection="1"/>
    <xf numFmtId="209" fontId="54" fillId="6" borderId="0" xfId="92" applyNumberFormat="1" applyFont="1" applyFill="1" applyBorder="1" applyAlignment="1" applyProtection="1"/>
    <xf numFmtId="209" fontId="54" fillId="6" borderId="0" xfId="0" applyNumberFormat="1" applyFont="1" applyFill="1" applyBorder="1" applyAlignment="1"/>
    <xf numFmtId="0" fontId="54" fillId="6" borderId="0" xfId="326" applyFont="1" applyFill="1" applyBorder="1"/>
    <xf numFmtId="0" fontId="54" fillId="6" borderId="0" xfId="326" applyFont="1" applyFill="1" applyBorder="1" applyAlignment="1">
      <alignment horizontal="center"/>
    </xf>
    <xf numFmtId="208" fontId="54" fillId="6" borderId="3" xfId="9" applyNumberFormat="1" applyFont="1" applyFill="1" applyBorder="1" applyAlignment="1" applyProtection="1">
      <alignment horizontal="right"/>
    </xf>
    <xf numFmtId="209" fontId="54" fillId="6" borderId="0" xfId="0" applyNumberFormat="1" applyFont="1" applyFill="1" applyBorder="1"/>
    <xf numFmtId="0" fontId="54" fillId="6" borderId="0" xfId="326" applyFont="1" applyFill="1" applyBorder="1" applyAlignment="1">
      <alignment horizontal="left" indent="1"/>
    </xf>
    <xf numFmtId="195" fontId="54" fillId="6" borderId="0" xfId="326" applyNumberFormat="1" applyFont="1" applyFill="1" applyBorder="1" applyAlignment="1">
      <alignment horizontal="center"/>
    </xf>
    <xf numFmtId="208" fontId="54" fillId="6" borderId="0" xfId="326" applyNumberFormat="1" applyFont="1" applyFill="1" applyBorder="1" applyAlignment="1">
      <alignment horizontal="right"/>
    </xf>
    <xf numFmtId="208" fontId="54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4" fillId="6" borderId="0" xfId="9" applyNumberFormat="1" applyFont="1" applyFill="1" applyBorder="1" applyAlignment="1" applyProtection="1"/>
    <xf numFmtId="208" fontId="54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4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7" fillId="6" borderId="0" xfId="326" applyFont="1" applyFill="1" applyBorder="1" applyAlignment="1">
      <alignment horizontal="center"/>
    </xf>
    <xf numFmtId="208" fontId="54" fillId="6" borderId="1" xfId="92" applyNumberFormat="1" applyFont="1" applyFill="1" applyBorder="1" applyAlignment="1" applyProtection="1"/>
    <xf numFmtId="208" fontId="54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7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4" fillId="6" borderId="0" xfId="326" applyNumberFormat="1" applyFont="1" applyFill="1" applyBorder="1"/>
    <xf numFmtId="208" fontId="54" fillId="6" borderId="10" xfId="0" applyNumberFormat="1" applyFont="1" applyFill="1" applyBorder="1"/>
    <xf numFmtId="210" fontId="54" fillId="6" borderId="0" xfId="0" applyNumberFormat="1" applyFont="1" applyFill="1" applyBorder="1"/>
    <xf numFmtId="208" fontId="54" fillId="6" borderId="10" xfId="92" applyNumberFormat="1" applyFont="1" applyFill="1" applyBorder="1" applyAlignment="1" applyProtection="1"/>
    <xf numFmtId="210" fontId="54" fillId="6" borderId="0" xfId="0" applyNumberFormat="1" applyFont="1" applyFill="1" applyBorder="1" applyAlignment="1">
      <alignment horizontal="center"/>
    </xf>
    <xf numFmtId="0" fontId="67" fillId="6" borderId="0" xfId="0" applyFont="1" applyFill="1" applyBorder="1" applyAlignment="1">
      <alignment horizontal="center"/>
    </xf>
    <xf numFmtId="177" fontId="54" fillId="6" borderId="2" xfId="9" applyNumberFormat="1" applyFont="1" applyFill="1" applyBorder="1" applyAlignment="1" applyProtection="1"/>
    <xf numFmtId="0" fontId="54" fillId="6" borderId="0" xfId="326" applyFont="1" applyFill="1" applyBorder="1" applyAlignment="1">
      <alignment wrapText="1"/>
    </xf>
    <xf numFmtId="0" fontId="67" fillId="6" borderId="0" xfId="326" applyFont="1" applyFill="1" applyBorder="1" applyAlignment="1">
      <alignment wrapText="1"/>
    </xf>
    <xf numFmtId="177" fontId="54" fillId="6" borderId="2" xfId="9" applyNumberFormat="1" applyFont="1" applyFill="1" applyBorder="1" applyAlignment="1" applyProtection="1">
      <alignment horizontal="right"/>
    </xf>
    <xf numFmtId="177" fontId="54" fillId="6" borderId="37" xfId="9" applyNumberFormat="1" applyFont="1" applyFill="1" applyBorder="1" applyAlignment="1" applyProtection="1"/>
    <xf numFmtId="195" fontId="54" fillId="6" borderId="0" xfId="0" applyNumberFormat="1" applyFont="1" applyFill="1" applyBorder="1"/>
    <xf numFmtId="195" fontId="62" fillId="6" borderId="18" xfId="1" applyNumberFormat="1" applyFont="1" applyFill="1" applyBorder="1" applyAlignment="1" applyProtection="1"/>
    <xf numFmtId="0" fontId="12" fillId="6" borderId="16" xfId="0" applyFont="1" applyFill="1" applyBorder="1"/>
    <xf numFmtId="210" fontId="54" fillId="6" borderId="16" xfId="0" applyNumberFormat="1" applyFont="1" applyFill="1" applyBorder="1"/>
    <xf numFmtId="210" fontId="54" fillId="6" borderId="14" xfId="0" applyNumberFormat="1" applyFont="1" applyFill="1" applyBorder="1"/>
    <xf numFmtId="198" fontId="54" fillId="6" borderId="14" xfId="0" applyNumberFormat="1" applyFont="1" applyFill="1" applyBorder="1"/>
    <xf numFmtId="198" fontId="54" fillId="6" borderId="0" xfId="0" applyNumberFormat="1" applyFont="1" applyFill="1" applyBorder="1"/>
    <xf numFmtId="0" fontId="12" fillId="6" borderId="17" xfId="0" applyFont="1" applyFill="1" applyBorder="1"/>
    <xf numFmtId="210" fontId="54" fillId="6" borderId="15" xfId="0" applyNumberFormat="1" applyFont="1" applyFill="1" applyBorder="1"/>
    <xf numFmtId="198" fontId="54" fillId="6" borderId="4" xfId="0" applyNumberFormat="1" applyFont="1" applyFill="1" applyBorder="1"/>
    <xf numFmtId="198" fontId="54" fillId="6" borderId="6" xfId="0" applyNumberFormat="1" applyFont="1" applyFill="1" applyBorder="1"/>
    <xf numFmtId="210" fontId="54" fillId="6" borderId="3" xfId="0" applyNumberFormat="1" applyFont="1" applyFill="1" applyBorder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4" fillId="0" borderId="0" xfId="0" applyNumberFormat="1" applyFont="1" applyBorder="1" applyAlignment="1">
      <alignment horizontal="center"/>
    </xf>
    <xf numFmtId="0" fontId="54" fillId="6" borderId="0" xfId="0" applyFont="1" applyFill="1" applyAlignment="1"/>
    <xf numFmtId="0" fontId="64" fillId="0" borderId="0" xfId="0" applyFont="1" applyBorder="1" applyAlignment="1">
      <alignment horizontal="center"/>
    </xf>
    <xf numFmtId="210" fontId="5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4" fillId="0" borderId="0" xfId="0" applyNumberFormat="1" applyFont="1" applyBorder="1" applyAlignment="1"/>
    <xf numFmtId="211" fontId="54" fillId="0" borderId="0" xfId="0" applyNumberFormat="1" applyFont="1" applyBorder="1" applyAlignment="1"/>
    <xf numFmtId="211" fontId="54" fillId="0" borderId="0" xfId="0" applyNumberFormat="1" applyFont="1" applyBorder="1" applyAlignment="1">
      <alignment horizontal="center"/>
    </xf>
    <xf numFmtId="211" fontId="54" fillId="0" borderId="0" xfId="0" applyNumberFormat="1" applyFont="1" applyAlignment="1"/>
    <xf numFmtId="195" fontId="54" fillId="0" borderId="0" xfId="92" applyNumberFormat="1" applyFont="1" applyBorder="1" applyAlignment="1" applyProtection="1">
      <alignment horizontal="center"/>
    </xf>
    <xf numFmtId="195" fontId="54" fillId="0" borderId="0" xfId="92" applyNumberFormat="1" applyFont="1" applyBorder="1" applyAlignment="1" applyProtection="1"/>
    <xf numFmtId="164" fontId="0" fillId="0" borderId="0" xfId="0" applyNumberFormat="1" applyAlignment="1"/>
    <xf numFmtId="195" fontId="54" fillId="0" borderId="7" xfId="92" applyNumberFormat="1" applyFont="1" applyBorder="1" applyAlignment="1" applyProtection="1">
      <alignment horizontal="center"/>
    </xf>
    <xf numFmtId="195" fontId="54" fillId="0" borderId="1" xfId="92" applyNumberFormat="1" applyFont="1" applyBorder="1" applyAlignment="1" applyProtection="1"/>
    <xf numFmtId="195" fontId="54" fillId="0" borderId="7" xfId="92" applyNumberFormat="1" applyFont="1" applyBorder="1" applyAlignment="1" applyProtection="1"/>
    <xf numFmtId="211" fontId="54" fillId="6" borderId="0" xfId="0" applyNumberFormat="1" applyFont="1" applyFill="1" applyBorder="1" applyAlignment="1"/>
    <xf numFmtId="211" fontId="54" fillId="6" borderId="0" xfId="0" applyNumberFormat="1" applyFont="1" applyFill="1" applyBorder="1" applyAlignment="1">
      <alignment horizontal="center"/>
    </xf>
    <xf numFmtId="0" fontId="54" fillId="0" borderId="0" xfId="0" applyFont="1" applyBorder="1" applyAlignment="1">
      <alignment horizontal="left" wrapText="1"/>
    </xf>
    <xf numFmtId="0" fontId="54" fillId="0" borderId="0" xfId="0" applyFont="1" applyBorder="1" applyAlignment="1">
      <alignment horizontal="center"/>
    </xf>
    <xf numFmtId="0" fontId="54" fillId="0" borderId="0" xfId="0" applyFont="1" applyBorder="1" applyAlignment="1"/>
    <xf numFmtId="195" fontId="54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4" fillId="0" borderId="0" xfId="0" applyNumberFormat="1" applyFont="1" applyBorder="1" applyAlignment="1">
      <alignment horizontal="left" wrapText="1"/>
    </xf>
    <xf numFmtId="211" fontId="54" fillId="0" borderId="0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64" fontId="54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8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4" fillId="0" borderId="0" xfId="109" applyNumberFormat="1" applyFont="1" applyBorder="1" applyAlignment="1" applyProtection="1">
      <alignment horizontal="center" wrapText="1"/>
    </xf>
    <xf numFmtId="177" fontId="64" fillId="0" borderId="0" xfId="109" applyNumberFormat="1" applyFont="1" applyBorder="1" applyAlignment="1" applyProtection="1">
      <alignment horizontal="center"/>
    </xf>
    <xf numFmtId="177" fontId="64" fillId="0" borderId="0" xfId="109" applyNumberFormat="1" applyFont="1" applyBorder="1" applyAlignment="1" applyProtection="1">
      <alignment horizontal="center" wrapText="1"/>
    </xf>
    <xf numFmtId="210" fontId="54" fillId="0" borderId="0" xfId="12" applyNumberFormat="1" applyFont="1" applyBorder="1" applyAlignment="1" applyProtection="1">
      <alignment wrapText="1"/>
    </xf>
    <xf numFmtId="0" fontId="54" fillId="0" borderId="0" xfId="0" applyFont="1" applyAlignment="1">
      <alignment wrapText="1"/>
    </xf>
    <xf numFmtId="195" fontId="54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4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4" fillId="0" borderId="0" xfId="109" applyNumberFormat="1" applyFont="1" applyBorder="1" applyAlignment="1" applyProtection="1">
      <alignment wrapText="1"/>
    </xf>
    <xf numFmtId="0" fontId="54" fillId="0" borderId="0" xfId="0" applyFont="1" applyAlignment="1">
      <alignment vertical="center" wrapText="1"/>
    </xf>
    <xf numFmtId="195" fontId="54" fillId="0" borderId="0" xfId="94" applyNumberFormat="1" applyFont="1" applyBorder="1" applyAlignment="1" applyProtection="1">
      <alignment vertical="center" wrapText="1"/>
    </xf>
    <xf numFmtId="195" fontId="54" fillId="0" borderId="0" xfId="94" applyNumberFormat="1" applyFont="1" applyBorder="1" applyAlignment="1" applyProtection="1"/>
    <xf numFmtId="195" fontId="54" fillId="0" borderId="1" xfId="0" applyNumberFormat="1" applyFont="1" applyBorder="1" applyAlignment="1">
      <alignment wrapText="1"/>
    </xf>
    <xf numFmtId="195" fontId="54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4" fillId="6" borderId="0" xfId="94" applyNumberFormat="1" applyFont="1" applyFill="1" applyBorder="1" applyAlignment="1" applyProtection="1"/>
    <xf numFmtId="195" fontId="50" fillId="6" borderId="0" xfId="0" applyNumberFormat="1" applyFont="1" applyFill="1" applyAlignment="1">
      <alignment wrapText="1"/>
    </xf>
    <xf numFmtId="195" fontId="54" fillId="0" borderId="2" xfId="0" applyNumberFormat="1" applyFont="1" applyBorder="1" applyAlignment="1">
      <alignment wrapText="1"/>
    </xf>
    <xf numFmtId="195" fontId="69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5" fillId="6" borderId="0" xfId="0" applyFont="1" applyFill="1"/>
    <xf numFmtId="208" fontId="54" fillId="6" borderId="4" xfId="191" applyNumberFormat="1" applyFont="1" applyFill="1" applyBorder="1" applyAlignment="1" applyProtection="1">
      <alignment horizontal="center" vertical="center" wrapText="1"/>
    </xf>
    <xf numFmtId="208" fontId="54" fillId="6" borderId="3" xfId="191" applyNumberFormat="1" applyFont="1" applyFill="1" applyBorder="1" applyAlignment="1" applyProtection="1">
      <alignment horizontal="center" vertical="center" wrapText="1"/>
    </xf>
    <xf numFmtId="0" fontId="70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5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5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70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1" fillId="6" borderId="0" xfId="1" applyNumberFormat="1" applyFont="1" applyFill="1" applyBorder="1" applyAlignment="1" applyProtection="1"/>
    <xf numFmtId="195" fontId="0" fillId="6" borderId="1" xfId="1" applyNumberFormat="1" applyFont="1" applyFill="1" applyBorder="1" applyAlignment="1" applyProtection="1"/>
    <xf numFmtId="195" fontId="0" fillId="6" borderId="1" xfId="0" applyNumberFormat="1" applyFill="1" applyBorder="1"/>
    <xf numFmtId="0" fontId="0" fillId="6" borderId="10" xfId="0" applyFont="1" applyFill="1" applyBorder="1" applyAlignment="1">
      <alignment wrapText="1"/>
    </xf>
    <xf numFmtId="0" fontId="68" fillId="6" borderId="0" xfId="0" applyFont="1" applyFill="1"/>
    <xf numFmtId="0" fontId="52" fillId="6" borderId="0" xfId="467" applyFont="1" applyFill="1" applyBorder="1" applyAlignment="1" applyProtection="1"/>
    <xf numFmtId="0" fontId="52" fillId="6" borderId="0" xfId="467" applyFont="1" applyFill="1"/>
    <xf numFmtId="0" fontId="12" fillId="6" borderId="0" xfId="467" applyFont="1" applyFill="1" applyBorder="1" applyAlignment="1" applyProtection="1"/>
    <xf numFmtId="0" fontId="69" fillId="6" borderId="0" xfId="467" applyFont="1" applyFill="1" applyBorder="1" applyAlignment="1">
      <alignment horizontal="center" wrapText="1"/>
    </xf>
    <xf numFmtId="1" fontId="65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4" fillId="6" borderId="0" xfId="191" applyNumberFormat="1" applyFont="1" applyFill="1" applyBorder="1" applyAlignment="1" applyProtection="1">
      <alignment horizontal="center" vertical="center" wrapText="1"/>
    </xf>
    <xf numFmtId="196" fontId="54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4" fillId="0" borderId="0" xfId="1" applyNumberFormat="1" applyFont="1" applyBorder="1" applyAlignment="1" applyProtection="1"/>
    <xf numFmtId="195" fontId="54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2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2" fillId="6" borderId="0" xfId="1" applyNumberFormat="1" applyFont="1" applyFill="1" applyBorder="1" applyAlignment="1" applyProtection="1">
      <alignment horizontal="right" vertical="center" wrapText="1"/>
    </xf>
    <xf numFmtId="195" fontId="52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9" fillId="6" borderId="0" xfId="0" applyNumberFormat="1" applyFont="1" applyFill="1"/>
    <xf numFmtId="0" fontId="73" fillId="0" borderId="0" xfId="0" applyFont="1"/>
    <xf numFmtId="193" fontId="74" fillId="0" borderId="0" xfId="3" applyFont="1" applyBorder="1" applyAlignment="1" applyProtection="1">
      <alignment horizontal="left" vertical="center"/>
    </xf>
    <xf numFmtId="194" fontId="73" fillId="0" borderId="0" xfId="0" applyNumberFormat="1" applyFont="1"/>
    <xf numFmtId="0" fontId="74" fillId="0" borderId="0" xfId="325" applyFont="1" applyAlignment="1">
      <alignment vertical="center"/>
    </xf>
    <xf numFmtId="195" fontId="73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5" fillId="8" borderId="4" xfId="263" applyFont="1" applyFill="1" applyBorder="1" applyAlignment="1">
      <alignment horizontal="center" vertical="center" wrapText="1"/>
    </xf>
    <xf numFmtId="196" fontId="75" fillId="8" borderId="4" xfId="191" applyNumberFormat="1" applyFont="1" applyFill="1" applyBorder="1" applyAlignment="1" applyProtection="1">
      <alignment horizontal="center" vertical="center" wrapText="1"/>
    </xf>
    <xf numFmtId="0" fontId="74" fillId="0" borderId="3" xfId="263" applyFont="1" applyBorder="1" applyAlignment="1">
      <alignment horizontal="left" vertical="center" wrapText="1"/>
    </xf>
    <xf numFmtId="194" fontId="76" fillId="0" borderId="3" xfId="193" applyNumberFormat="1" applyFont="1" applyBorder="1" applyAlignment="1" applyProtection="1"/>
    <xf numFmtId="194" fontId="77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8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5" fillId="9" borderId="3" xfId="263" applyFont="1" applyFill="1" applyBorder="1" applyAlignment="1">
      <alignment horizontal="left" vertical="center" wrapText="1"/>
    </xf>
    <xf numFmtId="194" fontId="75" fillId="9" borderId="3" xfId="191" applyNumberFormat="1" applyFont="1" applyFill="1" applyBorder="1" applyAlignment="1" applyProtection="1">
      <alignment vertical="center"/>
    </xf>
    <xf numFmtId="194" fontId="75" fillId="9" borderId="3" xfId="191" applyNumberFormat="1" applyFont="1" applyFill="1" applyBorder="1" applyAlignment="1" applyProtection="1">
      <alignment horizontal="center" vertical="center"/>
    </xf>
    <xf numFmtId="194" fontId="74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6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3" fillId="0" borderId="0" xfId="1" applyFont="1" applyBorder="1" applyAlignment="1" applyProtection="1"/>
    <xf numFmtId="0" fontId="74" fillId="0" borderId="0" xfId="263" applyFont="1" applyBorder="1" applyAlignment="1">
      <alignment horizontal="left" vertical="center" wrapText="1"/>
    </xf>
    <xf numFmtId="194" fontId="74" fillId="0" borderId="0" xfId="3" applyNumberFormat="1" applyFont="1" applyBorder="1" applyAlignment="1" applyProtection="1">
      <alignment horizontal="right" vertical="center" wrapText="1"/>
    </xf>
    <xf numFmtId="193" fontId="77" fillId="0" borderId="0" xfId="3" applyFont="1" applyBorder="1" applyAlignment="1" applyProtection="1">
      <alignment horizontal="center" vertical="center" wrapText="1"/>
    </xf>
    <xf numFmtId="194" fontId="73" fillId="0" borderId="0" xfId="0" applyNumberFormat="1" applyFont="1" applyBorder="1"/>
    <xf numFmtId="0" fontId="73" fillId="0" borderId="0" xfId="0" applyFont="1" applyBorder="1"/>
    <xf numFmtId="194" fontId="79" fillId="0" borderId="0" xfId="0" applyNumberFormat="1" applyFont="1" applyBorder="1"/>
    <xf numFmtId="0" fontId="74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6" fillId="0" borderId="6" xfId="193" applyNumberFormat="1" applyFont="1" applyBorder="1" applyAlignment="1" applyProtection="1"/>
    <xf numFmtId="194" fontId="77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7" fillId="0" borderId="3" xfId="3" applyNumberFormat="1" applyFont="1" applyBorder="1" applyAlignment="1" applyProtection="1">
      <alignment horizontal="center" vertical="center"/>
    </xf>
    <xf numFmtId="194" fontId="74" fillId="0" borderId="6" xfId="3" applyNumberFormat="1" applyFont="1" applyBorder="1" applyAlignment="1" applyProtection="1">
      <alignment horizontal="right" vertical="center"/>
    </xf>
    <xf numFmtId="0" fontId="80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4" fillId="0" borderId="3" xfId="263" applyFont="1" applyBorder="1" applyAlignment="1">
      <alignment horizontal="left" vertical="center"/>
    </xf>
    <xf numFmtId="194" fontId="74" fillId="0" borderId="6" xfId="191" applyNumberFormat="1" applyFont="1" applyBorder="1" applyAlignment="1" applyProtection="1">
      <alignment vertical="center"/>
    </xf>
    <xf numFmtId="194" fontId="74" fillId="0" borderId="0" xfId="191" applyNumberFormat="1" applyFont="1" applyBorder="1" applyAlignment="1" applyProtection="1">
      <alignment vertical="center"/>
    </xf>
    <xf numFmtId="195" fontId="74" fillId="0" borderId="0" xfId="1" applyNumberFormat="1" applyFont="1" applyBorder="1" applyAlignment="1" applyProtection="1">
      <alignment vertical="center"/>
    </xf>
    <xf numFmtId="194" fontId="77" fillId="0" borderId="0" xfId="191" applyNumberFormat="1" applyFont="1" applyBorder="1" applyAlignment="1" applyProtection="1">
      <alignment horizontal="center" vertical="center"/>
    </xf>
    <xf numFmtId="0" fontId="80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9" fillId="0" borderId="0" xfId="0" applyFont="1"/>
    <xf numFmtId="195" fontId="73" fillId="0" borderId="0" xfId="0" applyNumberFormat="1" applyFont="1"/>
    <xf numFmtId="165" fontId="73" fillId="0" borderId="0" xfId="0" applyNumberFormat="1" applyFont="1"/>
    <xf numFmtId="0" fontId="45" fillId="0" borderId="0" xfId="0" applyFont="1"/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7032EA0B" TargetMode="External"/><Relationship Id="rId1" Type="http://schemas.openxmlformats.org/officeDocument/2006/relationships/externalLinkPath" Target="file:///\\7032EA0B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4257812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2" t="s">
        <v>0</v>
      </c>
      <c r="C1" s="12"/>
      <c r="E1" s="12"/>
      <c r="F1" s="12"/>
      <c r="G1" s="13"/>
      <c r="H1" s="13"/>
      <c r="I1" s="13"/>
      <c r="J1" s="13"/>
      <c r="K1" s="13"/>
      <c r="L1" s="13"/>
      <c r="M1" s="13"/>
      <c r="N1" s="13"/>
      <c r="P1" s="14"/>
      <c r="Q1" s="13"/>
      <c r="R1" s="13"/>
      <c r="T1" s="15"/>
      <c r="AJ1" s="13"/>
      <c r="AK1" s="13"/>
    </row>
    <row r="2" spans="1:41">
      <c r="A2" s="16" t="s">
        <v>1</v>
      </c>
      <c r="B2" s="13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P2" s="13"/>
      <c r="Q2" s="13"/>
      <c r="R2" s="13"/>
      <c r="T2" s="17"/>
      <c r="AJ2" s="13"/>
      <c r="AK2" s="13"/>
    </row>
    <row r="3" spans="1:41" ht="24.75" customHeight="1">
      <c r="A3" s="18"/>
      <c r="C3" s="18"/>
      <c r="F3" s="19"/>
      <c r="G3" s="15"/>
      <c r="P3" s="11" t="s">
        <v>2</v>
      </c>
      <c r="Q3" s="11"/>
      <c r="V3" s="15"/>
      <c r="AG3" s="11" t="s">
        <v>2</v>
      </c>
      <c r="AH3" s="11"/>
    </row>
    <row r="4" spans="1:41" ht="78" customHeight="1">
      <c r="A4" s="20" t="s">
        <v>3</v>
      </c>
      <c r="B4" s="21" t="s">
        <v>4</v>
      </c>
      <c r="C4" s="20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1" t="s">
        <v>10</v>
      </c>
      <c r="I4" s="21" t="s">
        <v>11</v>
      </c>
      <c r="J4" s="21" t="s">
        <v>12</v>
      </c>
      <c r="K4" s="21" t="s">
        <v>13</v>
      </c>
      <c r="L4" s="21" t="s">
        <v>14</v>
      </c>
      <c r="M4" s="21" t="s">
        <v>15</v>
      </c>
      <c r="N4" s="21" t="s">
        <v>16</v>
      </c>
      <c r="O4" s="21" t="s">
        <v>17</v>
      </c>
      <c r="P4" s="21" t="s">
        <v>18</v>
      </c>
      <c r="Q4" s="21" t="s">
        <v>19</v>
      </c>
      <c r="R4" s="21" t="s">
        <v>20</v>
      </c>
      <c r="S4" s="21" t="s">
        <v>21</v>
      </c>
      <c r="T4" s="21" t="s">
        <v>22</v>
      </c>
      <c r="U4" s="21" t="s">
        <v>23</v>
      </c>
      <c r="V4" s="21" t="s">
        <v>24</v>
      </c>
      <c r="W4" s="21" t="s">
        <v>25</v>
      </c>
      <c r="X4" s="21" t="s">
        <v>26</v>
      </c>
      <c r="Y4" s="21" t="s">
        <v>27</v>
      </c>
      <c r="Z4" s="21" t="s">
        <v>28</v>
      </c>
      <c r="AA4" s="21" t="s">
        <v>29</v>
      </c>
      <c r="AB4" s="21" t="s">
        <v>30</v>
      </c>
      <c r="AC4" s="21" t="s">
        <v>31</v>
      </c>
      <c r="AD4" s="21" t="s">
        <v>32</v>
      </c>
      <c r="AE4" s="21" t="s">
        <v>16</v>
      </c>
      <c r="AF4" s="21" t="s">
        <v>17</v>
      </c>
      <c r="AG4" s="21" t="s">
        <v>18</v>
      </c>
      <c r="AH4" s="21" t="s">
        <v>19</v>
      </c>
      <c r="AI4" s="21" t="s">
        <v>33</v>
      </c>
      <c r="AJ4" s="21" t="s">
        <v>5</v>
      </c>
      <c r="AK4" s="21" t="s">
        <v>34</v>
      </c>
    </row>
    <row r="5" spans="1:41" s="27" customFormat="1" ht="15.75" customHeight="1">
      <c r="A5" s="22" t="s">
        <v>35</v>
      </c>
      <c r="B5" s="23">
        <v>2767055</v>
      </c>
      <c r="C5" s="24">
        <f t="shared" ref="C5:C25" si="0">D5-B5</f>
        <v>0</v>
      </c>
      <c r="D5" s="23">
        <v>2767055</v>
      </c>
      <c r="E5" s="23">
        <v>11901</v>
      </c>
      <c r="F5" s="23">
        <v>2651.43</v>
      </c>
      <c r="G5" s="23">
        <v>67392.38</v>
      </c>
      <c r="H5" s="23">
        <v>914.33</v>
      </c>
      <c r="I5" s="23">
        <v>0</v>
      </c>
      <c r="J5" s="23">
        <v>0</v>
      </c>
      <c r="K5" s="23">
        <v>10000</v>
      </c>
      <c r="L5" s="23">
        <v>0</v>
      </c>
      <c r="M5" s="23">
        <v>800</v>
      </c>
      <c r="N5" s="25">
        <f t="shared" ref="N5:N25" si="1">SUM(D5:M5)</f>
        <v>2860714.14</v>
      </c>
      <c r="O5" s="26"/>
      <c r="P5" s="23"/>
      <c r="Q5" s="23"/>
      <c r="R5" s="23">
        <f t="shared" ref="R5:R25" si="2">N5+P5-Q5</f>
        <v>2860714.14</v>
      </c>
      <c r="S5" s="23">
        <v>1607132</v>
      </c>
      <c r="T5" s="23">
        <v>42926</v>
      </c>
      <c r="U5" s="23">
        <v>6856</v>
      </c>
      <c r="V5" s="23">
        <v>2227</v>
      </c>
      <c r="W5" s="23">
        <v>3845</v>
      </c>
      <c r="X5" s="23">
        <v>0</v>
      </c>
      <c r="Y5" s="23">
        <v>0</v>
      </c>
      <c r="Z5" s="23">
        <v>10000</v>
      </c>
      <c r="AA5" s="23">
        <v>0</v>
      </c>
      <c r="AB5" s="23">
        <v>5631</v>
      </c>
      <c r="AC5" s="23">
        <v>10301</v>
      </c>
      <c r="AD5" s="23">
        <v>53644</v>
      </c>
      <c r="AE5" s="25">
        <f t="shared" ref="AE5:AE25" si="3">SUM(S5:AD5)</f>
        <v>1742562</v>
      </c>
      <c r="AF5" s="26"/>
      <c r="AG5" s="23"/>
      <c r="AH5" s="23"/>
      <c r="AI5" s="23">
        <f t="shared" ref="AI5:AI25" si="4">AE5+AG5-AH5</f>
        <v>1742562</v>
      </c>
      <c r="AJ5" s="23">
        <f t="shared" ref="AJ5:AJ26" si="5">AI5-AK5</f>
        <v>-1118152</v>
      </c>
      <c r="AK5" s="23">
        <v>2860714</v>
      </c>
    </row>
    <row r="6" spans="1:41" s="27" customFormat="1" ht="27.75" customHeight="1">
      <c r="A6" s="22" t="s">
        <v>36</v>
      </c>
      <c r="B6" s="23">
        <v>1874777</v>
      </c>
      <c r="C6" s="24">
        <f t="shared" si="0"/>
        <v>0</v>
      </c>
      <c r="D6" s="23">
        <v>1874777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5">
        <f t="shared" si="1"/>
        <v>1874777</v>
      </c>
      <c r="O6" s="26"/>
      <c r="P6" s="23"/>
      <c r="Q6" s="23"/>
      <c r="R6" s="23">
        <f t="shared" si="2"/>
        <v>1874777</v>
      </c>
      <c r="S6" s="23">
        <v>2644455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5">
        <f t="shared" si="3"/>
        <v>2644455</v>
      </c>
      <c r="AF6" s="26"/>
      <c r="AG6" s="23"/>
      <c r="AH6" s="23"/>
      <c r="AI6" s="23">
        <f t="shared" si="4"/>
        <v>2644455</v>
      </c>
      <c r="AJ6" s="23">
        <f t="shared" si="5"/>
        <v>769678</v>
      </c>
      <c r="AK6" s="23">
        <v>1874777</v>
      </c>
    </row>
    <row r="7" spans="1:41" s="27" customFormat="1" ht="26.25" customHeight="1">
      <c r="A7" s="22" t="s">
        <v>37</v>
      </c>
      <c r="B7" s="23">
        <v>4274933</v>
      </c>
      <c r="C7" s="24">
        <f t="shared" si="0"/>
        <v>0</v>
      </c>
      <c r="D7" s="23">
        <v>4274933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5">
        <f t="shared" si="1"/>
        <v>4274933</v>
      </c>
      <c r="O7" s="26"/>
      <c r="P7" s="23"/>
      <c r="Q7" s="23"/>
      <c r="R7" s="23">
        <f t="shared" si="2"/>
        <v>4274933</v>
      </c>
      <c r="S7" s="23">
        <v>102620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5">
        <f t="shared" si="3"/>
        <v>102620</v>
      </c>
      <c r="AF7" s="26"/>
      <c r="AG7" s="23"/>
      <c r="AH7" s="23"/>
      <c r="AI7" s="23">
        <f t="shared" si="4"/>
        <v>102620</v>
      </c>
      <c r="AJ7" s="23">
        <f t="shared" si="5"/>
        <v>-4172313</v>
      </c>
      <c r="AK7" s="23">
        <v>4274933</v>
      </c>
    </row>
    <row r="8" spans="1:41" s="27" customFormat="1" ht="15.75" customHeight="1">
      <c r="A8" s="22" t="s">
        <v>38</v>
      </c>
      <c r="B8" s="23">
        <v>18677464</v>
      </c>
      <c r="C8" s="24">
        <f t="shared" si="0"/>
        <v>0</v>
      </c>
      <c r="D8" s="23">
        <v>18677464</v>
      </c>
      <c r="E8" s="23">
        <v>0</v>
      </c>
      <c r="F8" s="23">
        <v>0</v>
      </c>
      <c r="G8" s="23">
        <v>0</v>
      </c>
      <c r="H8" s="23">
        <f>13716.03-435.11</f>
        <v>13280.92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5">
        <f t="shared" si="1"/>
        <v>18690744.920000002</v>
      </c>
      <c r="O8" s="26"/>
      <c r="P8" s="23"/>
      <c r="Q8" s="23"/>
      <c r="R8" s="23">
        <f t="shared" si="2"/>
        <v>18690744.920000002</v>
      </c>
      <c r="S8" s="28">
        <v>10565005</v>
      </c>
      <c r="T8" s="23">
        <v>4461516</v>
      </c>
      <c r="U8" s="23">
        <v>273861</v>
      </c>
      <c r="V8" s="23">
        <v>0</v>
      </c>
      <c r="W8" s="23">
        <v>18892</v>
      </c>
      <c r="X8" s="23">
        <v>0</v>
      </c>
      <c r="Y8" s="23">
        <v>0</v>
      </c>
      <c r="Z8" s="23">
        <v>0</v>
      </c>
      <c r="AA8" s="23">
        <v>0</v>
      </c>
      <c r="AB8" s="23">
        <v>41672</v>
      </c>
      <c r="AC8" s="23">
        <f>81977-46414</f>
        <v>35563</v>
      </c>
      <c r="AD8" s="23">
        <v>166895</v>
      </c>
      <c r="AE8" s="25">
        <f t="shared" si="3"/>
        <v>15563404</v>
      </c>
      <c r="AF8" s="26" t="s">
        <v>39</v>
      </c>
      <c r="AG8" s="23"/>
      <c r="AH8" s="23">
        <f>+'Diarios Cxc Cxp relac (c)'!E36</f>
        <v>0</v>
      </c>
      <c r="AI8" s="23">
        <f t="shared" si="4"/>
        <v>15563404</v>
      </c>
      <c r="AJ8" s="23">
        <f t="shared" si="5"/>
        <v>-3127341</v>
      </c>
      <c r="AK8" s="23">
        <v>18690745</v>
      </c>
      <c r="AL8" s="27">
        <v>2620913.81</v>
      </c>
      <c r="AM8" s="29">
        <f>T8-AL8</f>
        <v>1840602.19</v>
      </c>
    </row>
    <row r="9" spans="1:41" s="35" customFormat="1">
      <c r="A9" s="30" t="s">
        <v>40</v>
      </c>
      <c r="B9" s="31">
        <v>7836813</v>
      </c>
      <c r="C9" s="32">
        <f t="shared" si="0"/>
        <v>505882</v>
      </c>
      <c r="D9" s="31">
        <v>8342695</v>
      </c>
      <c r="E9" s="31">
        <v>116867</v>
      </c>
      <c r="F9" s="31">
        <f>900.42+10742.79</f>
        <v>11643.210000000001</v>
      </c>
      <c r="G9" s="31">
        <v>1646872.1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3">
        <f t="shared" si="1"/>
        <v>10118077.310000001</v>
      </c>
      <c r="O9" s="34" t="s">
        <v>41</v>
      </c>
      <c r="P9" s="31"/>
      <c r="Q9" s="31">
        <f>+'Asientos - para Consolidado'!E69+'Asientos - para Consolidado'!E66+'Asientos - para Consolidado'!E67+'Asientos - para Consolidado'!E68+'Asientos - para Consolidado'!E70</f>
        <v>6488095.8899999997</v>
      </c>
      <c r="R9" s="31">
        <f t="shared" si="2"/>
        <v>3629981.4200000009</v>
      </c>
      <c r="S9" s="31">
        <v>32908556</v>
      </c>
      <c r="T9" s="31">
        <v>2044176</v>
      </c>
      <c r="U9" s="31">
        <v>717537</v>
      </c>
      <c r="V9" s="31">
        <v>990080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10000</v>
      </c>
      <c r="AE9" s="33">
        <f t="shared" si="3"/>
        <v>36670349</v>
      </c>
      <c r="AF9" s="34" t="s">
        <v>39</v>
      </c>
      <c r="AG9" s="31"/>
      <c r="AH9" s="31">
        <f>+'Diarios Cxc Cxp relac (c)'!E33</f>
        <v>8986223</v>
      </c>
      <c r="AI9" s="31">
        <f t="shared" si="4"/>
        <v>27684126</v>
      </c>
      <c r="AJ9" s="31">
        <f t="shared" si="5"/>
        <v>24054145</v>
      </c>
      <c r="AK9" s="31">
        <v>3629981</v>
      </c>
    </row>
    <row r="10" spans="1:41" s="27" customFormat="1" ht="15.75" customHeight="1">
      <c r="A10" s="22" t="s">
        <v>42</v>
      </c>
      <c r="B10" s="23">
        <v>7558486</v>
      </c>
      <c r="C10" s="24">
        <f t="shared" si="0"/>
        <v>-505882</v>
      </c>
      <c r="D10" s="23">
        <v>7052604</v>
      </c>
      <c r="E10" s="23">
        <v>0</v>
      </c>
      <c r="F10" s="23">
        <v>0</v>
      </c>
      <c r="G10" s="23">
        <v>0</v>
      </c>
      <c r="H10" s="23">
        <v>13467.8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5">
        <f t="shared" si="1"/>
        <v>7066071.7999999998</v>
      </c>
      <c r="O10" s="26" t="s">
        <v>41</v>
      </c>
      <c r="P10" s="23"/>
      <c r="Q10" s="23"/>
      <c r="R10" s="23">
        <f t="shared" si="2"/>
        <v>7066071.7999999998</v>
      </c>
      <c r="S10" s="23">
        <v>5481731</v>
      </c>
      <c r="T10" s="23">
        <v>4477</v>
      </c>
      <c r="U10" s="23">
        <v>0</v>
      </c>
      <c r="V10" s="23">
        <v>0</v>
      </c>
      <c r="W10" s="23"/>
      <c r="X10" s="23">
        <v>0</v>
      </c>
      <c r="Y10" s="23">
        <v>0</v>
      </c>
      <c r="Z10" s="23">
        <v>0</v>
      </c>
      <c r="AA10" s="23">
        <v>0</v>
      </c>
      <c r="AB10" s="23">
        <v>448</v>
      </c>
      <c r="AC10" s="23">
        <f>35886+1569+4835</f>
        <v>42290</v>
      </c>
      <c r="AD10" s="23">
        <v>9502</v>
      </c>
      <c r="AE10" s="25">
        <f t="shared" si="3"/>
        <v>5538448</v>
      </c>
      <c r="AF10" s="26" t="s">
        <v>39</v>
      </c>
      <c r="AG10" s="23"/>
      <c r="AH10" s="23">
        <f>'Diarios Cxc Cxp relac (c)'!E35</f>
        <v>0</v>
      </c>
      <c r="AI10" s="23">
        <f t="shared" si="4"/>
        <v>5538448</v>
      </c>
      <c r="AJ10" s="23">
        <f t="shared" si="5"/>
        <v>-1527624</v>
      </c>
      <c r="AK10" s="23">
        <v>7066072</v>
      </c>
    </row>
    <row r="11" spans="1:41" s="27" customFormat="1" ht="15.75" customHeight="1">
      <c r="A11" s="22" t="s">
        <v>43</v>
      </c>
      <c r="B11" s="23">
        <v>1085701</v>
      </c>
      <c r="C11" s="24">
        <f t="shared" si="0"/>
        <v>0</v>
      </c>
      <c r="D11" s="23">
        <v>1085701</v>
      </c>
      <c r="E11" s="23">
        <v>0</v>
      </c>
      <c r="F11" s="23">
        <f>557539.9+7.5</f>
        <v>557547.4</v>
      </c>
      <c r="G11" s="23">
        <v>130431.64</v>
      </c>
      <c r="H11" s="23">
        <f>13300.66+68836.97</f>
        <v>82137.63</v>
      </c>
      <c r="I11" s="23">
        <v>0</v>
      </c>
      <c r="J11" s="23">
        <f>6821.11+1167.48</f>
        <v>7988.59</v>
      </c>
      <c r="K11" s="23">
        <v>0</v>
      </c>
      <c r="L11" s="23">
        <v>0</v>
      </c>
      <c r="M11" s="23">
        <v>0</v>
      </c>
      <c r="N11" s="25">
        <f t="shared" si="1"/>
        <v>1863806.26</v>
      </c>
      <c r="O11" s="26"/>
      <c r="P11" s="23"/>
      <c r="Q11" s="23"/>
      <c r="R11" s="23">
        <f t="shared" si="2"/>
        <v>1863806.26</v>
      </c>
      <c r="S11" s="28">
        <v>480186</v>
      </c>
      <c r="T11" s="23">
        <v>0</v>
      </c>
      <c r="U11" s="23">
        <v>60656</v>
      </c>
      <c r="V11" s="23">
        <v>134914</v>
      </c>
      <c r="W11" s="23">
        <v>123577</v>
      </c>
      <c r="X11" s="23">
        <v>0</v>
      </c>
      <c r="Y11" s="23">
        <v>7989</v>
      </c>
      <c r="Z11" s="23">
        <v>0</v>
      </c>
      <c r="AA11" s="23">
        <v>0</v>
      </c>
      <c r="AB11" s="23">
        <v>242520</v>
      </c>
      <c r="AC11" s="23">
        <v>74937</v>
      </c>
      <c r="AD11" s="23" t="s">
        <v>44</v>
      </c>
      <c r="AE11" s="25">
        <f t="shared" si="3"/>
        <v>1124779</v>
      </c>
      <c r="AF11" s="26"/>
      <c r="AG11" s="23"/>
      <c r="AH11" s="23"/>
      <c r="AI11" s="23">
        <f t="shared" si="4"/>
        <v>1124779</v>
      </c>
      <c r="AJ11" s="23">
        <f t="shared" si="5"/>
        <v>-739027</v>
      </c>
      <c r="AK11" s="23">
        <v>1863806</v>
      </c>
    </row>
    <row r="12" spans="1:41" ht="15.75" customHeight="1">
      <c r="A12" s="36" t="s">
        <v>45</v>
      </c>
      <c r="B12" s="37">
        <v>2140316</v>
      </c>
      <c r="C12" s="38">
        <f t="shared" si="0"/>
        <v>0</v>
      </c>
      <c r="D12" s="37">
        <v>2140316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9">
        <f t="shared" si="1"/>
        <v>2140316</v>
      </c>
      <c r="O12" s="40"/>
      <c r="P12" s="37"/>
      <c r="Q12" s="37"/>
      <c r="R12" s="37">
        <f t="shared" si="2"/>
        <v>2140316</v>
      </c>
      <c r="S12" s="37">
        <v>625964</v>
      </c>
      <c r="T12" s="37">
        <v>0</v>
      </c>
      <c r="U12" s="37">
        <v>152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16068</v>
      </c>
      <c r="AC12" s="37">
        <v>0</v>
      </c>
      <c r="AD12" s="37">
        <v>0</v>
      </c>
      <c r="AE12" s="39">
        <f t="shared" si="3"/>
        <v>642184</v>
      </c>
      <c r="AF12" s="40"/>
      <c r="AG12" s="37"/>
      <c r="AH12" s="37"/>
      <c r="AI12" s="37">
        <f t="shared" si="4"/>
        <v>642184</v>
      </c>
      <c r="AJ12" s="37">
        <f t="shared" si="5"/>
        <v>-1498133</v>
      </c>
      <c r="AK12" s="37">
        <v>2140317</v>
      </c>
    </row>
    <row r="13" spans="1:41" s="27" customFormat="1" ht="15.75" customHeight="1">
      <c r="A13" s="22" t="s">
        <v>46</v>
      </c>
      <c r="B13" s="23">
        <v>19594268</v>
      </c>
      <c r="C13" s="24">
        <f t="shared" si="0"/>
        <v>0</v>
      </c>
      <c r="D13" s="23">
        <v>19594268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5">
        <f t="shared" si="1"/>
        <v>19594268</v>
      </c>
      <c r="O13" s="26"/>
      <c r="P13" s="23"/>
      <c r="Q13" s="23"/>
      <c r="R13" s="23">
        <f t="shared" si="2"/>
        <v>19594268</v>
      </c>
      <c r="S13" s="23">
        <v>14883321</v>
      </c>
      <c r="T13" s="23">
        <v>0</v>
      </c>
      <c r="U13" s="23">
        <v>1706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11306</v>
      </c>
      <c r="AC13" s="23">
        <v>0</v>
      </c>
      <c r="AD13" s="23">
        <v>0</v>
      </c>
      <c r="AE13" s="25">
        <f t="shared" si="3"/>
        <v>14896333</v>
      </c>
      <c r="AF13" s="26"/>
      <c r="AG13" s="23"/>
      <c r="AH13" s="23">
        <f>'Ventas-Compras (d)'!E30</f>
        <v>11306</v>
      </c>
      <c r="AI13" s="23">
        <f t="shared" si="4"/>
        <v>14885027</v>
      </c>
      <c r="AJ13" s="23">
        <f t="shared" si="5"/>
        <v>-4709241</v>
      </c>
      <c r="AK13" s="23">
        <v>19594268</v>
      </c>
    </row>
    <row r="14" spans="1:41" ht="15.75" customHeight="1">
      <c r="A14" s="36" t="s">
        <v>47</v>
      </c>
      <c r="B14" s="37">
        <v>11189237</v>
      </c>
      <c r="C14" s="38">
        <f t="shared" si="0"/>
        <v>0</v>
      </c>
      <c r="D14" s="37">
        <v>11189237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9">
        <f t="shared" si="1"/>
        <v>11189237</v>
      </c>
      <c r="O14" s="40"/>
      <c r="P14" s="37"/>
      <c r="Q14" s="37"/>
      <c r="R14" s="37">
        <f t="shared" si="2"/>
        <v>11189237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9">
        <f t="shared" si="3"/>
        <v>0</v>
      </c>
      <c r="AF14" s="40"/>
      <c r="AG14" s="37"/>
      <c r="AH14" s="37"/>
      <c r="AI14" s="37">
        <f t="shared" si="4"/>
        <v>0</v>
      </c>
      <c r="AJ14" s="37">
        <f t="shared" si="5"/>
        <v>-11189237</v>
      </c>
      <c r="AK14" s="37">
        <v>11189237</v>
      </c>
    </row>
    <row r="15" spans="1:41" ht="15.75" customHeight="1">
      <c r="A15" s="36" t="s">
        <v>48</v>
      </c>
      <c r="B15" s="37">
        <v>0</v>
      </c>
      <c r="C15" s="38">
        <f t="shared" si="0"/>
        <v>0</v>
      </c>
      <c r="D15" s="37">
        <v>0</v>
      </c>
      <c r="E15" s="37"/>
      <c r="F15" s="37"/>
      <c r="G15" s="37"/>
      <c r="H15" s="37"/>
      <c r="I15" s="37"/>
      <c r="J15" s="37"/>
      <c r="K15" s="37"/>
      <c r="L15" s="37"/>
      <c r="M15" s="37"/>
      <c r="N15" s="39">
        <f t="shared" si="1"/>
        <v>0</v>
      </c>
      <c r="O15" s="40"/>
      <c r="P15" s="37"/>
      <c r="Q15" s="37"/>
      <c r="R15" s="37">
        <f t="shared" si="2"/>
        <v>0</v>
      </c>
      <c r="S15" s="37">
        <v>40694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9">
        <f t="shared" si="3"/>
        <v>40694</v>
      </c>
      <c r="AF15" s="40" t="s">
        <v>39</v>
      </c>
      <c r="AG15" s="37"/>
      <c r="AH15" s="37">
        <f>'Diarios Cxc Cxp relac (c)'!E34</f>
        <v>40694</v>
      </c>
      <c r="AI15" s="37">
        <f t="shared" si="4"/>
        <v>0</v>
      </c>
      <c r="AJ15" s="37">
        <f t="shared" si="5"/>
        <v>0</v>
      </c>
      <c r="AK15" s="37">
        <v>0</v>
      </c>
    </row>
    <row r="16" spans="1:41" s="27" customFormat="1" ht="15.75" customHeight="1">
      <c r="A16" s="22" t="s">
        <v>49</v>
      </c>
      <c r="B16" s="23">
        <v>2899664</v>
      </c>
      <c r="C16" s="24">
        <f t="shared" si="0"/>
        <v>0</v>
      </c>
      <c r="D16" s="23">
        <v>2899664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5">
        <f t="shared" si="1"/>
        <v>2899664</v>
      </c>
      <c r="O16" s="26"/>
      <c r="P16" s="23"/>
      <c r="Q16" s="23"/>
      <c r="R16" s="23">
        <f t="shared" si="2"/>
        <v>2899664</v>
      </c>
      <c r="S16" s="23">
        <v>3212434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5">
        <f t="shared" si="3"/>
        <v>3212434</v>
      </c>
      <c r="AF16" s="26"/>
      <c r="AG16" s="23"/>
      <c r="AH16" s="23"/>
      <c r="AI16" s="23">
        <f t="shared" si="4"/>
        <v>3212434</v>
      </c>
      <c r="AJ16" s="23">
        <f t="shared" si="5"/>
        <v>312770</v>
      </c>
      <c r="AK16" s="23">
        <v>2899664</v>
      </c>
      <c r="AO16" s="29">
        <f>S16-AI16</f>
        <v>0</v>
      </c>
    </row>
    <row r="17" spans="1:39" ht="15.75" customHeight="1">
      <c r="A17" s="36" t="s">
        <v>50</v>
      </c>
      <c r="B17" s="37">
        <v>57179789</v>
      </c>
      <c r="C17" s="38">
        <f t="shared" si="0"/>
        <v>-1084012</v>
      </c>
      <c r="D17" s="37">
        <v>56095777</v>
      </c>
      <c r="E17" s="37">
        <v>0</v>
      </c>
      <c r="F17" s="37">
        <f>152350+3565270.86</f>
        <v>3717620.86</v>
      </c>
      <c r="G17" s="37">
        <v>471133.12</v>
      </c>
      <c r="H17" s="37">
        <f>110964+150978.89+358100.26-353189.6</f>
        <v>266853.55000000005</v>
      </c>
      <c r="I17" s="37">
        <v>400660.97</v>
      </c>
      <c r="J17" s="37">
        <v>0</v>
      </c>
      <c r="K17" s="37">
        <v>0</v>
      </c>
      <c r="L17" s="37">
        <f>1140.17</f>
        <v>1140.17</v>
      </c>
      <c r="M17" s="37">
        <v>0</v>
      </c>
      <c r="N17" s="39">
        <f t="shared" si="1"/>
        <v>60953185.669999994</v>
      </c>
      <c r="O17" s="40" t="s">
        <v>51</v>
      </c>
      <c r="P17" s="37">
        <f>+'Asientos - para Consolidado'!D33</f>
        <v>881973.00000000605</v>
      </c>
      <c r="Q17" s="37"/>
      <c r="R17" s="37">
        <f t="shared" si="2"/>
        <v>61835158.670000002</v>
      </c>
      <c r="S17" s="37">
        <v>66573020</v>
      </c>
      <c r="T17" s="37">
        <v>44671913</v>
      </c>
      <c r="U17" s="37">
        <v>3233810</v>
      </c>
      <c r="V17" s="37">
        <v>33545</v>
      </c>
      <c r="W17" s="37">
        <v>218631</v>
      </c>
      <c r="X17" s="37">
        <v>373713</v>
      </c>
      <c r="Y17" s="37">
        <v>0</v>
      </c>
      <c r="Z17" s="37">
        <v>0</v>
      </c>
      <c r="AA17" s="37">
        <v>1140</v>
      </c>
      <c r="AB17" s="37">
        <v>1718909</v>
      </c>
      <c r="AC17" s="37">
        <v>367967</v>
      </c>
      <c r="AD17" s="37">
        <v>209213</v>
      </c>
      <c r="AE17" s="39">
        <f t="shared" si="3"/>
        <v>117401861</v>
      </c>
      <c r="AF17" s="40" t="s">
        <v>52</v>
      </c>
      <c r="AG17" s="37">
        <f>'Diario 2015 (a)'!C10</f>
        <v>881973.00000000605</v>
      </c>
      <c r="AH17" s="37"/>
      <c r="AI17" s="37">
        <f t="shared" si="4"/>
        <v>118283834</v>
      </c>
      <c r="AJ17" s="37">
        <f t="shared" si="5"/>
        <v>56448675</v>
      </c>
      <c r="AK17" s="37">
        <v>61835159</v>
      </c>
    </row>
    <row r="18" spans="1:39" s="27" customFormat="1" ht="15.75" customHeight="1">
      <c r="A18" s="22" t="s">
        <v>53</v>
      </c>
      <c r="B18" s="23">
        <v>1073683</v>
      </c>
      <c r="C18" s="24">
        <f t="shared" si="0"/>
        <v>-213217</v>
      </c>
      <c r="D18" s="23">
        <v>860466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5">
        <f t="shared" si="1"/>
        <v>860466</v>
      </c>
      <c r="O18" s="26"/>
      <c r="P18" s="23"/>
      <c r="Q18" s="23"/>
      <c r="R18" s="23">
        <f t="shared" si="2"/>
        <v>860466</v>
      </c>
      <c r="S18" s="23">
        <v>661755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/>
      <c r="AD18" s="23">
        <v>0</v>
      </c>
      <c r="AE18" s="25">
        <f t="shared" si="3"/>
        <v>661755</v>
      </c>
      <c r="AF18" s="26"/>
      <c r="AG18" s="23"/>
      <c r="AH18" s="23"/>
      <c r="AI18" s="23">
        <f t="shared" si="4"/>
        <v>661755</v>
      </c>
      <c r="AJ18" s="23">
        <f t="shared" si="5"/>
        <v>-198711</v>
      </c>
      <c r="AK18" s="23">
        <v>860466</v>
      </c>
    </row>
    <row r="19" spans="1:39" ht="15.75" customHeight="1">
      <c r="A19" s="36" t="s">
        <v>54</v>
      </c>
      <c r="B19" s="37">
        <v>12927724</v>
      </c>
      <c r="C19" s="38">
        <f t="shared" si="0"/>
        <v>0</v>
      </c>
      <c r="D19" s="37">
        <v>12927724</v>
      </c>
      <c r="E19" s="37">
        <f>6749770-6747316</f>
        <v>2454</v>
      </c>
      <c r="F19" s="37">
        <v>0</v>
      </c>
      <c r="G19" s="37">
        <v>552.25</v>
      </c>
      <c r="H19" s="37">
        <f>5778.16-5778.16</f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9">
        <f t="shared" si="1"/>
        <v>12930730.25</v>
      </c>
      <c r="O19" s="40" t="s">
        <v>41</v>
      </c>
      <c r="P19" s="37"/>
      <c r="Q19" s="37">
        <f>+'Asientos - para Consolidado'!E71</f>
        <v>940330</v>
      </c>
      <c r="R19" s="37">
        <f t="shared" si="2"/>
        <v>11990400.25</v>
      </c>
      <c r="S19" s="37">
        <v>11586243</v>
      </c>
      <c r="T19" s="41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117971</v>
      </c>
      <c r="AD19" s="37">
        <v>0</v>
      </c>
      <c r="AE19" s="39">
        <f t="shared" si="3"/>
        <v>11704214</v>
      </c>
      <c r="AF19" s="40" t="s">
        <v>51</v>
      </c>
      <c r="AG19" s="37"/>
      <c r="AH19" s="37" t="e">
        <f>#REF!</f>
        <v>#REF!</v>
      </c>
      <c r="AI19" s="37" t="e">
        <f t="shared" si="4"/>
        <v>#REF!</v>
      </c>
      <c r="AJ19" s="37" t="e">
        <f t="shared" si="5"/>
        <v>#REF!</v>
      </c>
      <c r="AK19" s="37">
        <v>11990400</v>
      </c>
      <c r="AM19" s="15">
        <f>AK19+AK25</f>
        <v>12384735</v>
      </c>
    </row>
    <row r="20" spans="1:39">
      <c r="A20" s="36" t="s">
        <v>55</v>
      </c>
      <c r="B20" s="37">
        <v>29438688</v>
      </c>
      <c r="C20" s="38">
        <f t="shared" si="0"/>
        <v>-2307659</v>
      </c>
      <c r="D20" s="37">
        <v>27131029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9">
        <f t="shared" si="1"/>
        <v>27131029</v>
      </c>
      <c r="O20" s="40" t="s">
        <v>41</v>
      </c>
      <c r="P20" s="37"/>
      <c r="Q20" s="37">
        <f>+'Asientos - para Consolidado'!E72</f>
        <v>27269564.260000002</v>
      </c>
      <c r="R20" s="37">
        <f t="shared" si="2"/>
        <v>-138535.26000000164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9">
        <f t="shared" si="3"/>
        <v>0</v>
      </c>
      <c r="AF20" s="40"/>
      <c r="AG20" s="37"/>
      <c r="AH20" s="37"/>
      <c r="AI20" s="37">
        <f t="shared" si="4"/>
        <v>0</v>
      </c>
      <c r="AJ20" s="37">
        <f t="shared" si="5"/>
        <v>138535</v>
      </c>
      <c r="AK20" s="37">
        <v>-138535</v>
      </c>
      <c r="AM20" s="15">
        <f>AK20+AK23</f>
        <v>40281700</v>
      </c>
    </row>
    <row r="21" spans="1:39">
      <c r="A21" s="36" t="s">
        <v>56</v>
      </c>
      <c r="B21" s="37">
        <v>0</v>
      </c>
      <c r="C21" s="38">
        <f t="shared" si="0"/>
        <v>1297229</v>
      </c>
      <c r="D21" s="37">
        <v>1297229</v>
      </c>
      <c r="E21" s="37"/>
      <c r="F21" s="37"/>
      <c r="G21" s="37"/>
      <c r="H21" s="37"/>
      <c r="I21" s="37"/>
      <c r="J21" s="37"/>
      <c r="K21" s="37"/>
      <c r="L21" s="37"/>
      <c r="M21" s="37"/>
      <c r="N21" s="39">
        <f t="shared" si="1"/>
        <v>1297229</v>
      </c>
      <c r="O21" s="40"/>
      <c r="P21" s="37"/>
      <c r="Q21" s="37"/>
      <c r="R21" s="37">
        <f t="shared" si="2"/>
        <v>1297229</v>
      </c>
      <c r="S21" s="37">
        <v>1422229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9">
        <f t="shared" si="3"/>
        <v>1422229</v>
      </c>
      <c r="AF21" s="40"/>
      <c r="AG21" s="37"/>
      <c r="AH21" s="37"/>
      <c r="AI21" s="37">
        <f t="shared" si="4"/>
        <v>1422229</v>
      </c>
      <c r="AJ21" s="37">
        <f t="shared" si="5"/>
        <v>125000</v>
      </c>
      <c r="AK21" s="37">
        <v>1297229</v>
      </c>
    </row>
    <row r="22" spans="1:39">
      <c r="A22" s="36" t="s">
        <v>57</v>
      </c>
      <c r="B22" s="37">
        <v>10163519</v>
      </c>
      <c r="C22" s="38">
        <f t="shared" si="0"/>
        <v>0</v>
      </c>
      <c r="D22" s="37">
        <v>10163519</v>
      </c>
      <c r="E22" s="37">
        <v>100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9">
        <f t="shared" si="1"/>
        <v>10163619</v>
      </c>
      <c r="O22" s="40" t="s">
        <v>58</v>
      </c>
      <c r="P22" s="37"/>
      <c r="Q22" s="37">
        <f>+'Asientos - para Consolidado'!E17+'Asientos - para Consolidado'!E35+'Asientos - para Consolidado'!E80</f>
        <v>4846189.339999998</v>
      </c>
      <c r="R22" s="37">
        <f t="shared" si="2"/>
        <v>5317429.660000002</v>
      </c>
      <c r="S22" s="37">
        <v>44513438</v>
      </c>
      <c r="T22" s="37">
        <v>100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9">
        <f t="shared" si="3"/>
        <v>44513538</v>
      </c>
      <c r="AF22" s="40" t="s">
        <v>59</v>
      </c>
      <c r="AG22" s="37" t="e">
        <f>#REF!</f>
        <v>#REF!</v>
      </c>
      <c r="AH22" s="37" t="e">
        <f>'Diario 2015 (a)'!D12+#REF!</f>
        <v>#REF!</v>
      </c>
      <c r="AI22" s="37" t="e">
        <f t="shared" si="4"/>
        <v>#REF!</v>
      </c>
      <c r="AJ22" s="37" t="e">
        <f t="shared" si="5"/>
        <v>#REF!</v>
      </c>
      <c r="AK22" s="37">
        <v>5317430</v>
      </c>
    </row>
    <row r="23" spans="1:39">
      <c r="A23" s="36" t="s">
        <v>60</v>
      </c>
      <c r="B23" s="42">
        <v>0</v>
      </c>
      <c r="C23" s="38">
        <f t="shared" si="0"/>
        <v>0</v>
      </c>
      <c r="D23" s="42">
        <v>0</v>
      </c>
      <c r="E23" s="42">
        <v>40420235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39">
        <f t="shared" si="1"/>
        <v>40420235</v>
      </c>
      <c r="O23" s="40"/>
      <c r="P23" s="37"/>
      <c r="Q23" s="37"/>
      <c r="R23" s="37">
        <f t="shared" si="2"/>
        <v>40420235</v>
      </c>
      <c r="S23" s="42">
        <v>0</v>
      </c>
      <c r="T23" s="42">
        <v>883849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C23" s="37">
        <v>0</v>
      </c>
      <c r="AD23" s="37">
        <v>0</v>
      </c>
      <c r="AE23" s="39">
        <f t="shared" si="3"/>
        <v>883849</v>
      </c>
      <c r="AF23" s="40"/>
      <c r="AG23" s="37"/>
      <c r="AH23" s="37"/>
      <c r="AI23" s="37">
        <f t="shared" si="4"/>
        <v>883849</v>
      </c>
      <c r="AJ23" s="37">
        <f t="shared" si="5"/>
        <v>-39536386</v>
      </c>
      <c r="AK23" s="37">
        <v>40420235</v>
      </c>
    </row>
    <row r="24" spans="1:39">
      <c r="A24" s="36" t="s">
        <v>61</v>
      </c>
      <c r="B24" s="42">
        <v>105895</v>
      </c>
      <c r="C24" s="38">
        <f t="shared" si="0"/>
        <v>0</v>
      </c>
      <c r="D24" s="42">
        <v>105895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39">
        <f t="shared" si="1"/>
        <v>105895</v>
      </c>
      <c r="O24" s="40"/>
      <c r="P24" s="37"/>
      <c r="Q24" s="37"/>
      <c r="R24" s="37">
        <f t="shared" si="2"/>
        <v>105895</v>
      </c>
      <c r="S24" s="42">
        <v>105894</v>
      </c>
      <c r="T24" s="37">
        <v>0</v>
      </c>
      <c r="U24" s="37">
        <v>373443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2963501</v>
      </c>
      <c r="AC24" s="37">
        <v>0</v>
      </c>
      <c r="AD24" s="37">
        <v>0</v>
      </c>
      <c r="AE24" s="39">
        <f t="shared" si="3"/>
        <v>3442838</v>
      </c>
      <c r="AF24" s="40"/>
      <c r="AG24" s="37"/>
      <c r="AH24" s="37"/>
      <c r="AI24" s="37">
        <f t="shared" si="4"/>
        <v>3442838</v>
      </c>
      <c r="AJ24" s="37">
        <f t="shared" si="5"/>
        <v>3336943</v>
      </c>
      <c r="AK24" s="37">
        <v>105895</v>
      </c>
    </row>
    <row r="25" spans="1:39">
      <c r="A25" s="36" t="s">
        <v>62</v>
      </c>
      <c r="B25" s="43">
        <v>0</v>
      </c>
      <c r="C25" s="38">
        <f t="shared" si="0"/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4">
        <f t="shared" si="1"/>
        <v>0</v>
      </c>
      <c r="O25" s="40" t="s">
        <v>51</v>
      </c>
      <c r="P25" s="37">
        <f>+'Asientos - para Consolidado'!D31</f>
        <v>394335.36694421433</v>
      </c>
      <c r="Q25" s="37"/>
      <c r="R25" s="43">
        <f t="shared" si="2"/>
        <v>394335.36694421433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4">
        <f t="shared" si="3"/>
        <v>0</v>
      </c>
      <c r="AF25" s="40" t="s">
        <v>52</v>
      </c>
      <c r="AG25" s="37">
        <f>'Diario 2015 (a)'!C8</f>
        <v>394335.36694421398</v>
      </c>
      <c r="AH25" s="37"/>
      <c r="AI25" s="43">
        <f t="shared" si="4"/>
        <v>394335.36694421398</v>
      </c>
      <c r="AJ25" s="43">
        <f t="shared" si="5"/>
        <v>0.36694421397987753</v>
      </c>
      <c r="AK25" s="43">
        <v>394335</v>
      </c>
    </row>
    <row r="26" spans="1:39">
      <c r="A26" s="45" t="s">
        <v>63</v>
      </c>
      <c r="B26" s="46">
        <f>SUM(B5:B25)</f>
        <v>190788012</v>
      </c>
      <c r="C26" s="45"/>
      <c r="D26" s="46">
        <f t="shared" ref="D26:N26" si="6">SUM(D5:D25)</f>
        <v>188480353</v>
      </c>
      <c r="E26" s="46">
        <f t="shared" si="6"/>
        <v>40551557</v>
      </c>
      <c r="F26" s="46">
        <f t="shared" si="6"/>
        <v>4289462.9000000004</v>
      </c>
      <c r="G26" s="46">
        <f t="shared" si="6"/>
        <v>2316381.4899999998</v>
      </c>
      <c r="H26" s="46">
        <f t="shared" si="6"/>
        <v>376654.23000000004</v>
      </c>
      <c r="I26" s="46">
        <f t="shared" si="6"/>
        <v>400660.97</v>
      </c>
      <c r="J26" s="46">
        <f t="shared" si="6"/>
        <v>7988.59</v>
      </c>
      <c r="K26" s="46">
        <f t="shared" si="6"/>
        <v>10000</v>
      </c>
      <c r="L26" s="46">
        <f t="shared" si="6"/>
        <v>1140.17</v>
      </c>
      <c r="M26" s="46">
        <f t="shared" si="6"/>
        <v>800</v>
      </c>
      <c r="N26" s="46">
        <f t="shared" si="6"/>
        <v>236434998.34999999</v>
      </c>
      <c r="O26" s="40"/>
      <c r="P26" s="46"/>
      <c r="Q26" s="46"/>
      <c r="R26" s="46">
        <f t="shared" ref="R26:AE26" si="7">SUM(R5:R25)</f>
        <v>198167127.22694421</v>
      </c>
      <c r="S26" s="37">
        <f t="shared" si="7"/>
        <v>197414677</v>
      </c>
      <c r="T26" s="46">
        <f t="shared" si="7"/>
        <v>52108957</v>
      </c>
      <c r="U26" s="46">
        <f t="shared" si="7"/>
        <v>4668021</v>
      </c>
      <c r="V26" s="46">
        <f t="shared" si="7"/>
        <v>1160766</v>
      </c>
      <c r="W26" s="46">
        <f t="shared" si="7"/>
        <v>364945</v>
      </c>
      <c r="X26" s="46">
        <f t="shared" si="7"/>
        <v>373713</v>
      </c>
      <c r="Y26" s="46">
        <f t="shared" si="7"/>
        <v>7989</v>
      </c>
      <c r="Z26" s="46">
        <f t="shared" si="7"/>
        <v>10000</v>
      </c>
      <c r="AA26" s="46">
        <f t="shared" si="7"/>
        <v>1140</v>
      </c>
      <c r="AB26" s="46">
        <f t="shared" si="7"/>
        <v>5000055</v>
      </c>
      <c r="AC26" s="46">
        <f t="shared" si="7"/>
        <v>649029</v>
      </c>
      <c r="AD26" s="46">
        <f t="shared" si="7"/>
        <v>449254</v>
      </c>
      <c r="AE26" s="46">
        <f t="shared" si="7"/>
        <v>262208546</v>
      </c>
      <c r="AF26" s="40"/>
      <c r="AG26" s="46" t="s">
        <v>44</v>
      </c>
      <c r="AH26" s="46" t="s">
        <v>44</v>
      </c>
      <c r="AI26" s="46" t="e">
        <f>SUM(AI5:AI25)</f>
        <v>#REF!</v>
      </c>
      <c r="AJ26" s="46" t="e">
        <f t="shared" si="5"/>
        <v>#REF!</v>
      </c>
      <c r="AK26" s="46">
        <f>SUM(AK5:AK25)</f>
        <v>198167128</v>
      </c>
    </row>
    <row r="27" spans="1:39">
      <c r="A27" s="36" t="s">
        <v>64</v>
      </c>
      <c r="B27" s="46"/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0"/>
      <c r="P27" s="46"/>
      <c r="Q27" s="46"/>
      <c r="R27" s="46"/>
      <c r="S27" s="37">
        <v>260402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39">
        <f t="shared" ref="AE27:AE46" si="8">SUM(S27:AD27)</f>
        <v>260402</v>
      </c>
      <c r="AF27" s="40"/>
      <c r="AG27" s="46">
        <v>0</v>
      </c>
      <c r="AH27" s="46">
        <v>0</v>
      </c>
      <c r="AI27" s="37">
        <f t="shared" ref="AI27:AI46" si="9">AE27-AG27+AH27</f>
        <v>260402</v>
      </c>
      <c r="AJ27" s="46"/>
      <c r="AK27" s="46"/>
    </row>
    <row r="28" spans="1:39" s="27" customFormat="1">
      <c r="A28" s="22" t="s">
        <v>65</v>
      </c>
      <c r="B28" s="23">
        <v>25932582</v>
      </c>
      <c r="C28" s="24">
        <f>D28-B28</f>
        <v>0</v>
      </c>
      <c r="D28" s="23">
        <v>25932582</v>
      </c>
      <c r="E28" s="23">
        <v>0</v>
      </c>
      <c r="F28" s="23">
        <v>0</v>
      </c>
      <c r="G28" s="23">
        <v>1776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5">
        <f>SUM(D28:M28)</f>
        <v>25934358</v>
      </c>
      <c r="O28" s="26"/>
      <c r="P28" s="23"/>
      <c r="Q28" s="23"/>
      <c r="R28" s="23">
        <f>N28-P28+Q28</f>
        <v>25934358</v>
      </c>
      <c r="S28" s="23">
        <v>13413675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5">
        <f t="shared" si="8"/>
        <v>13413675</v>
      </c>
      <c r="AF28" s="26"/>
      <c r="AG28" s="23"/>
      <c r="AH28" s="23"/>
      <c r="AI28" s="47">
        <f t="shared" si="9"/>
        <v>13413675</v>
      </c>
      <c r="AJ28" s="23">
        <f>AI28-AK28</f>
        <v>-12520683</v>
      </c>
      <c r="AK28" s="23">
        <v>25934358</v>
      </c>
    </row>
    <row r="29" spans="1:39" s="27" customFormat="1">
      <c r="A29" s="22" t="s">
        <v>66</v>
      </c>
      <c r="B29" s="23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5"/>
      <c r="O29" s="26"/>
      <c r="P29" s="23"/>
      <c r="Q29" s="23"/>
      <c r="R29" s="23"/>
      <c r="S29" s="23">
        <v>11459310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5">
        <f t="shared" si="8"/>
        <v>11459310</v>
      </c>
      <c r="AF29" s="26"/>
      <c r="AG29" s="23"/>
      <c r="AH29" s="23"/>
      <c r="AI29" s="47">
        <f t="shared" si="9"/>
        <v>11459310</v>
      </c>
      <c r="AJ29" s="23"/>
      <c r="AK29" s="23"/>
    </row>
    <row r="30" spans="1:39" s="27" customFormat="1" ht="15.75" customHeight="1">
      <c r="A30" s="22" t="s">
        <v>67</v>
      </c>
      <c r="B30" s="23">
        <v>22920758</v>
      </c>
      <c r="C30" s="24">
        <f t="shared" ref="C30:C38" si="10">D30-B30</f>
        <v>0</v>
      </c>
      <c r="D30" s="23">
        <v>22920758</v>
      </c>
      <c r="E30" s="23">
        <v>1677372</v>
      </c>
      <c r="F30" s="23">
        <f>76243.49+333</f>
        <v>76576.490000000005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5">
        <f t="shared" ref="N30:N38" si="11">SUM(D30:M30)</f>
        <v>24674706.489999998</v>
      </c>
      <c r="O30" s="26"/>
      <c r="P30" s="23"/>
      <c r="Q30" s="23"/>
      <c r="R30" s="23">
        <f t="shared" ref="R30:R38" si="12">N30-P30+Q30</f>
        <v>24674706.489999998</v>
      </c>
      <c r="S30" s="28">
        <v>18438625</v>
      </c>
      <c r="T30" s="23">
        <v>2041083</v>
      </c>
      <c r="U30" s="23">
        <v>42437</v>
      </c>
      <c r="V30" s="23">
        <v>0</v>
      </c>
      <c r="W30" s="23"/>
      <c r="X30" s="23">
        <v>0</v>
      </c>
      <c r="Y30" s="23">
        <v>0</v>
      </c>
      <c r="Z30" s="23">
        <v>0</v>
      </c>
      <c r="AA30" s="23">
        <v>0</v>
      </c>
      <c r="AB30" s="23">
        <v>24357</v>
      </c>
      <c r="AC30" s="23">
        <v>10173</v>
      </c>
      <c r="AD30" s="23">
        <v>55288</v>
      </c>
      <c r="AE30" s="25">
        <f t="shared" si="8"/>
        <v>20611963</v>
      </c>
      <c r="AF30" s="26" t="s">
        <v>39</v>
      </c>
      <c r="AG30" s="23">
        <f>+'Diarios Cxc Cxp relac (c)'!D32</f>
        <v>175918</v>
      </c>
      <c r="AH30" s="23"/>
      <c r="AI30" s="47">
        <f t="shared" si="9"/>
        <v>20436045</v>
      </c>
      <c r="AJ30" s="23">
        <f t="shared" ref="AJ30:AJ38" si="13">AI30-AK30</f>
        <v>-4238661</v>
      </c>
      <c r="AK30" s="23">
        <v>24674706</v>
      </c>
    </row>
    <row r="31" spans="1:39" s="35" customFormat="1" ht="15.75" customHeight="1">
      <c r="A31" s="30" t="s">
        <v>68</v>
      </c>
      <c r="B31" s="31">
        <v>1315987</v>
      </c>
      <c r="C31" s="32">
        <f t="shared" si="10"/>
        <v>0</v>
      </c>
      <c r="D31" s="31">
        <v>1315987</v>
      </c>
      <c r="E31" s="31">
        <v>2113253</v>
      </c>
      <c r="F31" s="31">
        <f>256939.18</f>
        <v>256939.18</v>
      </c>
      <c r="G31" s="31">
        <v>1374067</v>
      </c>
      <c r="H31" s="31">
        <v>505881.68</v>
      </c>
      <c r="I31" s="31">
        <v>0</v>
      </c>
      <c r="J31" s="31">
        <v>793.6</v>
      </c>
      <c r="K31" s="31">
        <v>0</v>
      </c>
      <c r="L31" s="31">
        <v>0</v>
      </c>
      <c r="M31" s="31">
        <v>0</v>
      </c>
      <c r="N31" s="33">
        <f t="shared" si="11"/>
        <v>5566921.459999999</v>
      </c>
      <c r="O31" s="34" t="s">
        <v>41</v>
      </c>
      <c r="P31" s="31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31"/>
      <c r="R31" s="31">
        <f t="shared" si="12"/>
        <v>805430.56999999937</v>
      </c>
      <c r="S31" s="31">
        <v>1314903</v>
      </c>
      <c r="T31" s="31">
        <v>4733</v>
      </c>
      <c r="U31" s="31">
        <v>0</v>
      </c>
      <c r="V31" s="31">
        <v>180603</v>
      </c>
      <c r="W31" s="31">
        <v>1296079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125748</v>
      </c>
      <c r="AD31" s="31">
        <v>901366</v>
      </c>
      <c r="AE31" s="33">
        <f t="shared" si="8"/>
        <v>3823432</v>
      </c>
      <c r="AF31" s="34" t="s">
        <v>69</v>
      </c>
      <c r="AG31" s="31" t="e">
        <f>#REF!+'Diarios Cxc Cxp relac (c)'!D29</f>
        <v>#REF!</v>
      </c>
      <c r="AH31" s="31"/>
      <c r="AI31" s="31" t="e">
        <f t="shared" si="9"/>
        <v>#REF!</v>
      </c>
      <c r="AJ31" s="31" t="e">
        <f t="shared" si="13"/>
        <v>#REF!</v>
      </c>
      <c r="AK31" s="31">
        <v>805431</v>
      </c>
    </row>
    <row r="32" spans="1:39" s="27" customFormat="1" ht="15.75" customHeight="1">
      <c r="A32" s="22" t="s">
        <v>70</v>
      </c>
      <c r="B32" s="23"/>
      <c r="C32" s="24">
        <f t="shared" si="10"/>
        <v>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5">
        <f t="shared" si="11"/>
        <v>0</v>
      </c>
      <c r="O32" s="26"/>
      <c r="P32" s="23"/>
      <c r="Q32" s="23"/>
      <c r="R32" s="23">
        <f t="shared" si="12"/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5">
        <f t="shared" si="8"/>
        <v>0</v>
      </c>
      <c r="AF32" s="26"/>
      <c r="AG32" s="23"/>
      <c r="AH32" s="23"/>
      <c r="AI32" s="23">
        <f t="shared" si="9"/>
        <v>0</v>
      </c>
      <c r="AJ32" s="23">
        <f t="shared" si="13"/>
        <v>0</v>
      </c>
      <c r="AK32" s="23">
        <v>0</v>
      </c>
    </row>
    <row r="33" spans="1:38" s="27" customFormat="1" ht="15.75" customHeight="1">
      <c r="A33" s="22" t="s">
        <v>71</v>
      </c>
      <c r="B33" s="23">
        <v>2513028</v>
      </c>
      <c r="C33" s="24">
        <f t="shared" si="10"/>
        <v>0</v>
      </c>
      <c r="D33" s="23">
        <v>2513028</v>
      </c>
      <c r="E33" s="23">
        <v>0</v>
      </c>
      <c r="F33" s="23">
        <v>3416.78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5">
        <f t="shared" si="11"/>
        <v>2516444.7799999998</v>
      </c>
      <c r="O33" s="26"/>
      <c r="P33" s="23"/>
      <c r="Q33" s="23"/>
      <c r="R33" s="23">
        <f t="shared" si="12"/>
        <v>2516444.7799999998</v>
      </c>
      <c r="S33" s="23">
        <v>4228478</v>
      </c>
      <c r="T33" s="23">
        <v>0</v>
      </c>
      <c r="U33" s="23">
        <v>39874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6555</v>
      </c>
      <c r="AD33" s="23">
        <v>0</v>
      </c>
      <c r="AE33" s="25">
        <f t="shared" si="8"/>
        <v>4274907</v>
      </c>
      <c r="AF33" s="26"/>
      <c r="AG33" s="23"/>
      <c r="AH33" s="23"/>
      <c r="AI33" s="23">
        <f t="shared" si="9"/>
        <v>4274907</v>
      </c>
      <c r="AJ33" s="23">
        <f t="shared" si="13"/>
        <v>1758462</v>
      </c>
      <c r="AK33" s="23">
        <v>2516445</v>
      </c>
    </row>
    <row r="34" spans="1:38" ht="15.75" customHeight="1">
      <c r="A34" s="36" t="s">
        <v>72</v>
      </c>
      <c r="B34" s="37">
        <v>887149</v>
      </c>
      <c r="C34" s="38">
        <f t="shared" si="10"/>
        <v>0</v>
      </c>
      <c r="D34" s="37">
        <v>887149</v>
      </c>
      <c r="E34" s="37">
        <v>0</v>
      </c>
      <c r="F34" s="37">
        <v>0</v>
      </c>
      <c r="G34" s="37">
        <v>0</v>
      </c>
      <c r="H34" s="37">
        <v>39069.9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9">
        <f t="shared" si="11"/>
        <v>926218.9</v>
      </c>
      <c r="O34" s="40"/>
      <c r="P34" s="37"/>
      <c r="Q34" s="37"/>
      <c r="R34" s="37">
        <f t="shared" si="12"/>
        <v>926218.9</v>
      </c>
      <c r="S34" s="37">
        <v>4870701</v>
      </c>
      <c r="T34" s="37">
        <v>0</v>
      </c>
      <c r="U34" s="37">
        <v>19615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551</v>
      </c>
      <c r="AC34" s="37">
        <f>26629+15462+477</f>
        <v>42568</v>
      </c>
      <c r="AD34" s="37">
        <v>22494</v>
      </c>
      <c r="AE34" s="39">
        <f t="shared" si="8"/>
        <v>4955929</v>
      </c>
      <c r="AF34" s="40" t="s">
        <v>73</v>
      </c>
      <c r="AG34" s="37"/>
      <c r="AH34" s="37" t="e">
        <f>+#REF!</f>
        <v>#REF!</v>
      </c>
      <c r="AI34" s="37" t="e">
        <f t="shared" si="9"/>
        <v>#REF!</v>
      </c>
      <c r="AJ34" s="37" t="e">
        <f t="shared" si="13"/>
        <v>#REF!</v>
      </c>
      <c r="AK34" s="37">
        <v>926219</v>
      </c>
    </row>
    <row r="35" spans="1:38" ht="15.75" customHeight="1">
      <c r="A35" s="36" t="s">
        <v>74</v>
      </c>
      <c r="B35" s="37">
        <v>10350691</v>
      </c>
      <c r="C35" s="38">
        <f t="shared" si="10"/>
        <v>0</v>
      </c>
      <c r="D35" s="37">
        <v>10350691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9">
        <f t="shared" si="11"/>
        <v>10350691</v>
      </c>
      <c r="O35" s="40"/>
      <c r="P35" s="37"/>
      <c r="Q35" s="37"/>
      <c r="R35" s="37">
        <f t="shared" si="12"/>
        <v>10350691</v>
      </c>
      <c r="S35" s="37">
        <v>1953502</v>
      </c>
      <c r="T35" s="37">
        <v>6540980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9">
        <f t="shared" si="8"/>
        <v>8494482</v>
      </c>
      <c r="AF35" s="40"/>
      <c r="AG35" s="37"/>
      <c r="AH35" s="37"/>
      <c r="AI35" s="37">
        <f t="shared" si="9"/>
        <v>8494482</v>
      </c>
      <c r="AJ35" s="37">
        <f t="shared" si="13"/>
        <v>-1856209</v>
      </c>
      <c r="AK35" s="37">
        <v>10350691</v>
      </c>
    </row>
    <row r="36" spans="1:38" ht="15.75" customHeight="1">
      <c r="A36" s="36" t="s">
        <v>75</v>
      </c>
      <c r="B36" s="37">
        <v>4600587</v>
      </c>
      <c r="C36" s="38">
        <f t="shared" si="10"/>
        <v>0</v>
      </c>
      <c r="D36" s="37">
        <v>4600587</v>
      </c>
      <c r="E36" s="37">
        <v>0</v>
      </c>
      <c r="F36" s="37">
        <v>4059.05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9">
        <f t="shared" si="11"/>
        <v>4604646.05</v>
      </c>
      <c r="O36" s="40"/>
      <c r="P36" s="37"/>
      <c r="Q36" s="37"/>
      <c r="R36" s="37">
        <f t="shared" si="12"/>
        <v>4604646.05</v>
      </c>
      <c r="S36" s="37">
        <v>4524107</v>
      </c>
      <c r="T36" s="37">
        <v>0</v>
      </c>
      <c r="U36" s="37">
        <v>14447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6596</v>
      </c>
      <c r="AC36" s="37">
        <f>11535+2782</f>
        <v>14317</v>
      </c>
      <c r="AD36" s="37">
        <v>0</v>
      </c>
      <c r="AE36" s="39">
        <f t="shared" si="8"/>
        <v>4559467</v>
      </c>
      <c r="AF36" s="40"/>
      <c r="AG36" s="37"/>
      <c r="AH36" s="37"/>
      <c r="AI36" s="37">
        <f t="shared" si="9"/>
        <v>4559467</v>
      </c>
      <c r="AJ36" s="37">
        <f t="shared" si="13"/>
        <v>-45179</v>
      </c>
      <c r="AK36" s="37">
        <v>4604646</v>
      </c>
    </row>
    <row r="37" spans="1:38" s="27" customFormat="1" ht="15.75" customHeight="1">
      <c r="A37" s="22" t="s">
        <v>76</v>
      </c>
      <c r="B37" s="48">
        <v>3530956</v>
      </c>
      <c r="C37" s="24">
        <f t="shared" si="10"/>
        <v>0</v>
      </c>
      <c r="D37" s="48">
        <v>3530956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25">
        <f t="shared" si="11"/>
        <v>3530956</v>
      </c>
      <c r="O37" s="26"/>
      <c r="P37" s="23"/>
      <c r="Q37" s="23"/>
      <c r="R37" s="23">
        <f t="shared" si="12"/>
        <v>3530956</v>
      </c>
      <c r="S37" s="48">
        <v>4183053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5">
        <f t="shared" si="8"/>
        <v>4183053</v>
      </c>
      <c r="AF37" s="26"/>
      <c r="AG37" s="23"/>
      <c r="AH37" s="23"/>
      <c r="AI37" s="23">
        <f t="shared" si="9"/>
        <v>4183053</v>
      </c>
      <c r="AJ37" s="23">
        <f t="shared" si="13"/>
        <v>652097</v>
      </c>
      <c r="AK37" s="23">
        <v>3530956</v>
      </c>
    </row>
    <row r="38" spans="1:38" s="27" customFormat="1" ht="15.75" customHeight="1">
      <c r="A38" s="22" t="s">
        <v>77</v>
      </c>
      <c r="B38" s="48">
        <v>18309239</v>
      </c>
      <c r="C38" s="24">
        <f t="shared" si="10"/>
        <v>0</v>
      </c>
      <c r="D38" s="48">
        <v>18309239</v>
      </c>
      <c r="E38" s="48">
        <v>0</v>
      </c>
      <c r="F38" s="48">
        <v>0</v>
      </c>
      <c r="G38" s="48">
        <v>0</v>
      </c>
      <c r="H38" s="48">
        <v>25674.22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25">
        <f t="shared" si="11"/>
        <v>18334913.219999999</v>
      </c>
      <c r="O38" s="26"/>
      <c r="P38" s="23"/>
      <c r="Q38" s="23"/>
      <c r="R38" s="23">
        <f t="shared" si="12"/>
        <v>18334913.219999999</v>
      </c>
      <c r="S38" s="48">
        <v>9674932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5">
        <f t="shared" si="8"/>
        <v>9674932</v>
      </c>
      <c r="AF38" s="26"/>
      <c r="AG38" s="23"/>
      <c r="AH38" s="23"/>
      <c r="AI38" s="47">
        <f t="shared" si="9"/>
        <v>9674932</v>
      </c>
      <c r="AJ38" s="23">
        <f t="shared" si="13"/>
        <v>-8659981</v>
      </c>
      <c r="AK38" s="23">
        <v>18334913</v>
      </c>
    </row>
    <row r="39" spans="1:38" s="27" customFormat="1" ht="15.75" customHeight="1">
      <c r="A39" s="22" t="s">
        <v>78</v>
      </c>
      <c r="B39" s="48"/>
      <c r="C39" s="24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25"/>
      <c r="O39" s="26"/>
      <c r="P39" s="23"/>
      <c r="Q39" s="23"/>
      <c r="R39" s="23"/>
      <c r="S39" s="48">
        <v>6710516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5">
        <f t="shared" si="8"/>
        <v>6710516</v>
      </c>
      <c r="AF39" s="26"/>
      <c r="AG39" s="23"/>
      <c r="AH39" s="23"/>
      <c r="AI39" s="47">
        <f t="shared" si="9"/>
        <v>6710516</v>
      </c>
      <c r="AJ39" s="23"/>
      <c r="AK39" s="23"/>
    </row>
    <row r="40" spans="1:38" s="27" customFormat="1" ht="15.75" customHeight="1">
      <c r="A40" s="22" t="s">
        <v>79</v>
      </c>
      <c r="B40" s="48"/>
      <c r="C40" s="24">
        <f t="shared" ref="C40:C46" si="14">D40-B40</f>
        <v>0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25">
        <f t="shared" ref="N40:N46" si="15">SUM(D40:M40)</f>
        <v>0</v>
      </c>
      <c r="O40" s="26"/>
      <c r="P40" s="23"/>
      <c r="Q40" s="23"/>
      <c r="R40" s="23">
        <f t="shared" ref="R40:R46" si="16">N40-P40+Q40</f>
        <v>0</v>
      </c>
      <c r="S40" s="48">
        <v>2203673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5">
        <f t="shared" si="8"/>
        <v>2203673</v>
      </c>
      <c r="AF40" s="26"/>
      <c r="AG40" s="23"/>
      <c r="AH40" s="23"/>
      <c r="AI40" s="47">
        <f t="shared" si="9"/>
        <v>2203673</v>
      </c>
      <c r="AJ40" s="23">
        <f t="shared" ref="AJ40:AJ53" si="17">AI40-AK40</f>
        <v>2203673</v>
      </c>
      <c r="AK40" s="23">
        <v>0</v>
      </c>
    </row>
    <row r="41" spans="1:38" ht="15.75" customHeight="1">
      <c r="A41" s="36" t="s">
        <v>80</v>
      </c>
      <c r="B41" s="42">
        <v>14282894</v>
      </c>
      <c r="C41" s="38">
        <f t="shared" si="14"/>
        <v>0</v>
      </c>
      <c r="D41" s="42">
        <v>14282894</v>
      </c>
      <c r="E41" s="42">
        <v>0</v>
      </c>
      <c r="F41" s="42">
        <v>2666934.9300000002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39">
        <f t="shared" si="15"/>
        <v>16949828.93</v>
      </c>
      <c r="O41" s="40" t="s">
        <v>41</v>
      </c>
      <c r="P41" s="37">
        <f>+'Asientos - para Consolidado'!D57</f>
        <v>2666934.9300000002</v>
      </c>
      <c r="Q41" s="37"/>
      <c r="R41" s="37">
        <f t="shared" si="16"/>
        <v>14282894</v>
      </c>
      <c r="S41" s="42">
        <v>10628880</v>
      </c>
      <c r="T41" s="37">
        <v>0</v>
      </c>
      <c r="U41" s="42">
        <v>2566935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42">
        <v>3477854</v>
      </c>
      <c r="AC41" s="37">
        <v>507600</v>
      </c>
      <c r="AD41" s="37">
        <v>0</v>
      </c>
      <c r="AE41" s="39">
        <f t="shared" si="8"/>
        <v>17181269</v>
      </c>
      <c r="AF41" s="40" t="s">
        <v>39</v>
      </c>
      <c r="AG41" s="37">
        <f>+'Diarios Cxc Cxp relac (c)'!D30</f>
        <v>3985455</v>
      </c>
      <c r="AH41" s="37"/>
      <c r="AI41" s="37">
        <f t="shared" si="9"/>
        <v>13195814</v>
      </c>
      <c r="AJ41" s="37">
        <f t="shared" si="17"/>
        <v>-1087080</v>
      </c>
      <c r="AK41" s="37">
        <v>14282894</v>
      </c>
    </row>
    <row r="42" spans="1:38" ht="15.75" customHeight="1">
      <c r="A42" s="36" t="s">
        <v>81</v>
      </c>
      <c r="B42" s="42"/>
      <c r="C42" s="38">
        <f t="shared" si="14"/>
        <v>0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9">
        <f t="shared" si="15"/>
        <v>0</v>
      </c>
      <c r="O42" s="40"/>
      <c r="P42" s="37"/>
      <c r="Q42" s="37"/>
      <c r="R42" s="37">
        <f t="shared" si="16"/>
        <v>0</v>
      </c>
      <c r="S42" s="42">
        <v>3182459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16045</v>
      </c>
      <c r="AC42" s="37">
        <v>0</v>
      </c>
      <c r="AD42" s="37">
        <v>0</v>
      </c>
      <c r="AE42" s="39">
        <f t="shared" si="8"/>
        <v>3198504</v>
      </c>
      <c r="AF42" s="40" t="s">
        <v>39</v>
      </c>
      <c r="AG42" s="37">
        <f>+'Diarios Cxc Cxp relac (c)'!D31</f>
        <v>0</v>
      </c>
      <c r="AH42" s="37"/>
      <c r="AI42" s="37">
        <f t="shared" si="9"/>
        <v>3198504</v>
      </c>
      <c r="AJ42" s="37">
        <f t="shared" si="17"/>
        <v>3198504</v>
      </c>
      <c r="AK42" s="37">
        <v>0</v>
      </c>
    </row>
    <row r="43" spans="1:38" ht="15.75" customHeight="1">
      <c r="A43" s="36" t="s">
        <v>82</v>
      </c>
      <c r="B43" s="42"/>
      <c r="C43" s="38">
        <f t="shared" si="14"/>
        <v>0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9">
        <f t="shared" si="15"/>
        <v>0</v>
      </c>
      <c r="O43" s="40"/>
      <c r="P43" s="37"/>
      <c r="Q43" s="37"/>
      <c r="R43" s="37">
        <f t="shared" si="16"/>
        <v>0</v>
      </c>
      <c r="S43" s="42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42">
        <v>0</v>
      </c>
      <c r="AC43" s="37">
        <v>0</v>
      </c>
      <c r="AD43" s="37">
        <v>0</v>
      </c>
      <c r="AE43" s="39">
        <f t="shared" si="8"/>
        <v>0</v>
      </c>
      <c r="AF43" s="40"/>
      <c r="AG43" s="37"/>
      <c r="AH43" s="37"/>
      <c r="AI43" s="37">
        <f t="shared" si="9"/>
        <v>0</v>
      </c>
      <c r="AJ43" s="37">
        <f t="shared" si="17"/>
        <v>0</v>
      </c>
      <c r="AK43" s="37">
        <v>0</v>
      </c>
    </row>
    <row r="44" spans="1:38" ht="15.75" customHeight="1">
      <c r="A44" s="36" t="s">
        <v>83</v>
      </c>
      <c r="B44" s="42">
        <v>3513316</v>
      </c>
      <c r="C44" s="38">
        <f t="shared" si="14"/>
        <v>924346</v>
      </c>
      <c r="D44" s="42">
        <v>4437662</v>
      </c>
      <c r="E44" s="42">
        <v>0</v>
      </c>
      <c r="F44" s="42">
        <v>0</v>
      </c>
      <c r="G44" s="42">
        <v>0</v>
      </c>
      <c r="H44" s="42">
        <f>21025.63+12925.72</f>
        <v>33951.35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39">
        <f t="shared" si="15"/>
        <v>4471613.3499999996</v>
      </c>
      <c r="O44" s="40"/>
      <c r="P44" s="37"/>
      <c r="Q44" s="37"/>
      <c r="R44" s="37">
        <f t="shared" si="16"/>
        <v>4471613.3499999996</v>
      </c>
      <c r="S44" s="42">
        <v>5140510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42">
        <v>0</v>
      </c>
      <c r="AC44" s="42">
        <v>45037</v>
      </c>
      <c r="AD44" s="37">
        <v>0</v>
      </c>
      <c r="AE44" s="39">
        <f t="shared" si="8"/>
        <v>5185547</v>
      </c>
      <c r="AF44" s="40"/>
      <c r="AG44" s="37"/>
      <c r="AH44" s="37"/>
      <c r="AI44" s="37">
        <f t="shared" si="9"/>
        <v>5185547</v>
      </c>
      <c r="AJ44" s="37">
        <f t="shared" si="17"/>
        <v>713933</v>
      </c>
      <c r="AK44" s="37">
        <v>4471614</v>
      </c>
    </row>
    <row r="45" spans="1:38" s="27" customFormat="1" ht="15.75" customHeight="1">
      <c r="A45" s="22" t="s">
        <v>84</v>
      </c>
      <c r="B45" s="48">
        <v>13213506</v>
      </c>
      <c r="C45" s="24">
        <f t="shared" si="14"/>
        <v>0</v>
      </c>
      <c r="D45" s="48">
        <v>13213506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25">
        <f t="shared" si="15"/>
        <v>13213506</v>
      </c>
      <c r="O45" s="26"/>
      <c r="P45" s="23"/>
      <c r="Q45" s="23"/>
      <c r="R45" s="23">
        <f t="shared" si="16"/>
        <v>13213506</v>
      </c>
      <c r="S45" s="48">
        <v>20813206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48">
        <v>0</v>
      </c>
      <c r="AC45" s="23">
        <v>0</v>
      </c>
      <c r="AD45" s="23">
        <v>0</v>
      </c>
      <c r="AE45" s="25">
        <f t="shared" si="8"/>
        <v>20813206</v>
      </c>
      <c r="AF45" s="26"/>
      <c r="AG45" s="23"/>
      <c r="AH45" s="23"/>
      <c r="AI45" s="23">
        <f t="shared" si="9"/>
        <v>20813206</v>
      </c>
      <c r="AJ45" s="23">
        <f t="shared" si="17"/>
        <v>7599700</v>
      </c>
      <c r="AK45" s="23">
        <v>13213506</v>
      </c>
    </row>
    <row r="46" spans="1:38" ht="15.75" customHeight="1">
      <c r="A46" s="36" t="s">
        <v>85</v>
      </c>
      <c r="B46" s="43">
        <v>3572443</v>
      </c>
      <c r="C46" s="38">
        <f t="shared" si="14"/>
        <v>2334259</v>
      </c>
      <c r="D46" s="43">
        <v>5906702</v>
      </c>
      <c r="E46" s="43">
        <v>0</v>
      </c>
      <c r="F46" s="43">
        <v>0</v>
      </c>
      <c r="G46" s="43">
        <v>31406.06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4">
        <f t="shared" si="15"/>
        <v>5938108.0599999996</v>
      </c>
      <c r="O46" s="40"/>
      <c r="P46" s="37"/>
      <c r="Q46" s="37"/>
      <c r="R46" s="43">
        <f t="shared" si="16"/>
        <v>5938108.0599999996</v>
      </c>
      <c r="S46" s="43">
        <v>3572443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4">
        <f t="shared" si="8"/>
        <v>3572443</v>
      </c>
      <c r="AF46" s="40"/>
      <c r="AG46" s="37"/>
      <c r="AH46" s="37"/>
      <c r="AI46" s="43">
        <f t="shared" si="9"/>
        <v>3572443</v>
      </c>
      <c r="AJ46" s="43">
        <f t="shared" si="17"/>
        <v>-2365666</v>
      </c>
      <c r="AK46" s="43">
        <v>5938109</v>
      </c>
    </row>
    <row r="47" spans="1:38" ht="15.75" customHeight="1">
      <c r="A47" s="45" t="s">
        <v>86</v>
      </c>
      <c r="B47" s="49">
        <f>SUM(B28:B46)</f>
        <v>124943136</v>
      </c>
      <c r="C47" s="50"/>
      <c r="D47" s="49">
        <f t="shared" ref="D47:N47" si="18">SUM(D28:D46)</f>
        <v>128201741</v>
      </c>
      <c r="E47" s="49">
        <f t="shared" si="18"/>
        <v>3790625</v>
      </c>
      <c r="F47" s="49">
        <f t="shared" si="18"/>
        <v>3007926.43</v>
      </c>
      <c r="G47" s="49">
        <f t="shared" si="18"/>
        <v>1407249.06</v>
      </c>
      <c r="H47" s="49">
        <f t="shared" si="18"/>
        <v>604577.14999999991</v>
      </c>
      <c r="I47" s="49">
        <f t="shared" si="18"/>
        <v>0</v>
      </c>
      <c r="J47" s="49">
        <f t="shared" si="18"/>
        <v>793.6</v>
      </c>
      <c r="K47" s="49">
        <f t="shared" si="18"/>
        <v>0</v>
      </c>
      <c r="L47" s="49">
        <f t="shared" si="18"/>
        <v>0</v>
      </c>
      <c r="M47" s="49">
        <f t="shared" si="18"/>
        <v>0</v>
      </c>
      <c r="N47" s="49">
        <f t="shared" si="18"/>
        <v>137012912.23999998</v>
      </c>
      <c r="O47" s="40"/>
      <c r="P47" s="46"/>
      <c r="Q47" s="46"/>
      <c r="R47" s="49">
        <f>SUM(R28:R46)</f>
        <v>129584486.41999999</v>
      </c>
      <c r="S47" s="49">
        <f>SUM(S27:S46)</f>
        <v>126573375</v>
      </c>
      <c r="T47" s="49">
        <f t="shared" ref="T47:AD47" si="19">SUM(T28:T46)</f>
        <v>8586796</v>
      </c>
      <c r="U47" s="49">
        <f t="shared" si="19"/>
        <v>2683308</v>
      </c>
      <c r="V47" s="49">
        <f t="shared" si="19"/>
        <v>180603</v>
      </c>
      <c r="W47" s="49">
        <f t="shared" si="19"/>
        <v>1296079</v>
      </c>
      <c r="X47" s="49">
        <f t="shared" si="19"/>
        <v>0</v>
      </c>
      <c r="Y47" s="49">
        <f t="shared" si="19"/>
        <v>0</v>
      </c>
      <c r="Z47" s="49">
        <f t="shared" si="19"/>
        <v>0</v>
      </c>
      <c r="AA47" s="49">
        <f t="shared" si="19"/>
        <v>0</v>
      </c>
      <c r="AB47" s="49">
        <f t="shared" si="19"/>
        <v>3525403</v>
      </c>
      <c r="AC47" s="49">
        <f t="shared" si="19"/>
        <v>751998</v>
      </c>
      <c r="AD47" s="49">
        <f t="shared" si="19"/>
        <v>979148</v>
      </c>
      <c r="AE47" s="49">
        <f>SUM(AE27:AE46)</f>
        <v>144576710</v>
      </c>
      <c r="AF47" s="40"/>
      <c r="AG47" s="46"/>
      <c r="AH47" s="46"/>
      <c r="AI47" s="49" t="e">
        <f>SUM(AI27:AI46)</f>
        <v>#REF!</v>
      </c>
      <c r="AJ47" s="49" t="e">
        <f t="shared" si="17"/>
        <v>#REF!</v>
      </c>
      <c r="AK47" s="49">
        <f>SUM(AK28:AK46)</f>
        <v>129584488</v>
      </c>
    </row>
    <row r="48" spans="1:38" ht="15.75" customHeight="1">
      <c r="A48" s="36" t="s">
        <v>87</v>
      </c>
      <c r="B48" s="37">
        <v>23879352</v>
      </c>
      <c r="C48" s="38">
        <f t="shared" ref="C48:C53" si="20">D48-B48</f>
        <v>0</v>
      </c>
      <c r="D48" s="37">
        <v>23879352</v>
      </c>
      <c r="E48" s="51">
        <v>5000</v>
      </c>
      <c r="F48" s="51">
        <v>105000</v>
      </c>
      <c r="G48" s="51">
        <v>10000</v>
      </c>
      <c r="H48" s="37">
        <v>1000</v>
      </c>
      <c r="I48" s="37">
        <v>1000</v>
      </c>
      <c r="J48" s="37">
        <v>5000</v>
      </c>
      <c r="K48" s="37">
        <v>10000</v>
      </c>
      <c r="L48" s="37">
        <v>800</v>
      </c>
      <c r="M48" s="37">
        <v>800</v>
      </c>
      <c r="N48" s="39">
        <f t="shared" ref="N48:N53" si="21">SUM(D48:M48)</f>
        <v>24017952</v>
      </c>
      <c r="O48" s="40" t="s">
        <v>51</v>
      </c>
      <c r="P48" s="37">
        <f>+'Asientos - para Consolidado'!D24</f>
        <v>138600</v>
      </c>
      <c r="Q48" s="37"/>
      <c r="R48" s="37">
        <f t="shared" ref="R48:R53" si="22">N48-P48+Q48</f>
        <v>23879352</v>
      </c>
      <c r="S48" s="37">
        <v>30006697</v>
      </c>
      <c r="T48" s="51">
        <v>5000</v>
      </c>
      <c r="U48" s="51">
        <v>1105000</v>
      </c>
      <c r="V48" s="51">
        <v>10000</v>
      </c>
      <c r="W48" s="37">
        <v>1000</v>
      </c>
      <c r="X48" s="37">
        <v>1000</v>
      </c>
      <c r="Y48" s="37">
        <v>5000</v>
      </c>
      <c r="Z48" s="37">
        <v>10000</v>
      </c>
      <c r="AA48" s="37">
        <v>800</v>
      </c>
      <c r="AB48" s="37">
        <v>800</v>
      </c>
      <c r="AC48" s="37">
        <v>3661400</v>
      </c>
      <c r="AD48" s="37">
        <v>10000</v>
      </c>
      <c r="AE48" s="39">
        <f t="shared" ref="AE48:AE57" si="23">SUM(S48:AD48)</f>
        <v>34816697</v>
      </c>
      <c r="AF48" s="40" t="s">
        <v>59</v>
      </c>
      <c r="AG48" s="37" t="e">
        <f>'Diario 2015 (a)'!C2+#REF!</f>
        <v>#REF!</v>
      </c>
      <c r="AH48" s="37"/>
      <c r="AI48" s="37" t="e">
        <f t="shared" ref="AI48:AI57" si="24">AE48-AG48+AH48</f>
        <v>#REF!</v>
      </c>
      <c r="AJ48" s="37" t="e">
        <f t="shared" si="17"/>
        <v>#REF!</v>
      </c>
      <c r="AK48" s="37">
        <v>23879352</v>
      </c>
      <c r="AL48" s="15" t="e">
        <f t="shared" ref="AL48:AL53" si="25">+S48-AI48</f>
        <v>#REF!</v>
      </c>
    </row>
    <row r="49" spans="1:43" ht="15.75" customHeight="1">
      <c r="A49" s="36" t="s">
        <v>88</v>
      </c>
      <c r="B49" s="37">
        <v>705936</v>
      </c>
      <c r="C49" s="38">
        <f t="shared" si="20"/>
        <v>0</v>
      </c>
      <c r="D49" s="37">
        <v>705936</v>
      </c>
      <c r="E49" s="51">
        <v>37184314</v>
      </c>
      <c r="F49" s="51">
        <f>1000000+260413.02</f>
        <v>1260413.02</v>
      </c>
      <c r="G49" s="51">
        <v>0</v>
      </c>
      <c r="H49" s="37">
        <v>49015</v>
      </c>
      <c r="I49" s="37">
        <v>330450</v>
      </c>
      <c r="J49" s="37">
        <v>0</v>
      </c>
      <c r="K49" s="37">
        <v>0</v>
      </c>
      <c r="L49" s="37">
        <v>0</v>
      </c>
      <c r="M49" s="37">
        <v>0</v>
      </c>
      <c r="N49" s="39">
        <f t="shared" si="21"/>
        <v>39530128.020000003</v>
      </c>
      <c r="O49" s="40" t="s">
        <v>89</v>
      </c>
      <c r="P49" s="37">
        <f>+'Asientos - para Consolidado'!D16+'Asientos - para Consolidado'!D25+'Asientos - para Consolidado'!D62</f>
        <v>38824192</v>
      </c>
      <c r="Q49" s="37"/>
      <c r="R49" s="37">
        <f t="shared" si="22"/>
        <v>705936.02000000328</v>
      </c>
      <c r="S49" s="37">
        <v>920</v>
      </c>
      <c r="T49" s="51">
        <v>42340052</v>
      </c>
      <c r="U49" s="51">
        <v>877313</v>
      </c>
      <c r="V49" s="37">
        <v>0</v>
      </c>
      <c r="W49" s="37">
        <v>49015</v>
      </c>
      <c r="X49" s="37">
        <v>330450</v>
      </c>
      <c r="Y49" s="37">
        <v>0</v>
      </c>
      <c r="Z49" s="37">
        <v>0</v>
      </c>
      <c r="AA49" s="37">
        <v>0</v>
      </c>
      <c r="AB49" s="37">
        <v>1833417</v>
      </c>
      <c r="AC49" s="37">
        <v>406800</v>
      </c>
      <c r="AD49" s="37">
        <v>0</v>
      </c>
      <c r="AE49" s="39">
        <f t="shared" si="23"/>
        <v>45837967</v>
      </c>
      <c r="AF49" s="40" t="s">
        <v>59</v>
      </c>
      <c r="AG49" s="37" t="e">
        <f>'Diario 2015 (a)'!C3+#REF!</f>
        <v>#REF!</v>
      </c>
      <c r="AH49" s="37"/>
      <c r="AI49" s="37" t="e">
        <f t="shared" si="24"/>
        <v>#REF!</v>
      </c>
      <c r="AJ49" s="37" t="e">
        <f t="shared" si="17"/>
        <v>#REF!</v>
      </c>
      <c r="AK49" s="37">
        <v>705936</v>
      </c>
      <c r="AL49" s="15" t="e">
        <f t="shared" si="25"/>
        <v>#REF!</v>
      </c>
      <c r="AO49" s="52">
        <f>AK26-AK47-AK58</f>
        <v>0</v>
      </c>
    </row>
    <row r="50" spans="1:43" ht="15.75" customHeight="1">
      <c r="A50" s="36" t="s">
        <v>90</v>
      </c>
      <c r="B50" s="37">
        <v>2640253</v>
      </c>
      <c r="C50" s="38">
        <f t="shared" si="20"/>
        <v>0</v>
      </c>
      <c r="D50" s="37">
        <v>2640253</v>
      </c>
      <c r="E50" s="51">
        <v>0</v>
      </c>
      <c r="F50" s="51">
        <v>0</v>
      </c>
      <c r="G50" s="51">
        <v>74426.570000000007</v>
      </c>
      <c r="H50" s="37">
        <v>500</v>
      </c>
      <c r="I50" s="37">
        <v>109633.48</v>
      </c>
      <c r="J50" s="37">
        <v>0</v>
      </c>
      <c r="K50" s="37">
        <v>0</v>
      </c>
      <c r="L50" s="37">
        <v>0</v>
      </c>
      <c r="M50" s="37">
        <v>0</v>
      </c>
      <c r="N50" s="39">
        <f t="shared" si="21"/>
        <v>2824813.05</v>
      </c>
      <c r="O50" s="40" t="s">
        <v>51</v>
      </c>
      <c r="P50" s="37">
        <f>+'Asientos - para Consolidado'!D26</f>
        <v>184560.05</v>
      </c>
      <c r="Q50" s="37"/>
      <c r="R50" s="37">
        <f t="shared" si="22"/>
        <v>2640253</v>
      </c>
      <c r="S50" s="37">
        <v>4662954</v>
      </c>
      <c r="T50" s="37">
        <v>0</v>
      </c>
      <c r="U50" s="37">
        <v>0</v>
      </c>
      <c r="V50" s="51">
        <v>74426</v>
      </c>
      <c r="W50" s="37">
        <v>500</v>
      </c>
      <c r="X50" s="37">
        <v>109633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9">
        <f t="shared" si="23"/>
        <v>4847513</v>
      </c>
      <c r="AF50" s="40" t="s">
        <v>52</v>
      </c>
      <c r="AG50" s="37">
        <f>'Diario 2015 (a)'!C4</f>
        <v>184560.05</v>
      </c>
      <c r="AH50" s="37"/>
      <c r="AI50" s="37">
        <f t="shared" si="24"/>
        <v>4662952.95</v>
      </c>
      <c r="AJ50" s="37">
        <f t="shared" si="17"/>
        <v>2022699.9500000002</v>
      </c>
      <c r="AK50" s="37">
        <v>2640253</v>
      </c>
      <c r="AL50" s="15">
        <f t="shared" si="25"/>
        <v>1.0499999998137355</v>
      </c>
    </row>
    <row r="51" spans="1:43" ht="15.75" customHeight="1">
      <c r="A51" s="36" t="s">
        <v>91</v>
      </c>
      <c r="B51" s="37">
        <v>34797</v>
      </c>
      <c r="C51" s="38">
        <f t="shared" si="20"/>
        <v>0</v>
      </c>
      <c r="D51" s="37">
        <v>34797</v>
      </c>
      <c r="E51" s="51">
        <v>0</v>
      </c>
      <c r="F51" s="51">
        <v>0</v>
      </c>
      <c r="G51" s="51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9">
        <f t="shared" si="21"/>
        <v>34797</v>
      </c>
      <c r="O51" s="40"/>
      <c r="P51" s="37"/>
      <c r="Q51" s="37"/>
      <c r="R51" s="37">
        <f t="shared" si="22"/>
        <v>34797</v>
      </c>
      <c r="S51" s="37">
        <v>34797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9">
        <f t="shared" si="23"/>
        <v>34797</v>
      </c>
      <c r="AF51" s="40"/>
      <c r="AG51" s="37"/>
      <c r="AH51" s="37"/>
      <c r="AI51" s="37">
        <f t="shared" si="24"/>
        <v>34797</v>
      </c>
      <c r="AJ51" s="37">
        <f t="shared" si="17"/>
        <v>0</v>
      </c>
      <c r="AK51" s="37">
        <v>34797</v>
      </c>
      <c r="AL51" s="15">
        <f t="shared" si="25"/>
        <v>0</v>
      </c>
    </row>
    <row r="52" spans="1:43" ht="15.75" customHeight="1">
      <c r="A52" s="36" t="s">
        <v>92</v>
      </c>
      <c r="B52" s="37">
        <v>227072</v>
      </c>
      <c r="C52" s="38">
        <f t="shared" si="20"/>
        <v>0</v>
      </c>
      <c r="D52" s="37">
        <v>227072</v>
      </c>
      <c r="E52" s="51">
        <v>0</v>
      </c>
      <c r="F52" s="51">
        <v>0</v>
      </c>
      <c r="G52" s="51">
        <v>0</v>
      </c>
      <c r="H52" s="37">
        <v>0</v>
      </c>
      <c r="I52" s="37">
        <v>0</v>
      </c>
      <c r="J52" s="37">
        <v>1226.1199999999999</v>
      </c>
      <c r="K52" s="37">
        <v>0</v>
      </c>
      <c r="L52" s="37">
        <v>340.17</v>
      </c>
      <c r="M52" s="37">
        <v>0</v>
      </c>
      <c r="N52" s="39">
        <f t="shared" si="21"/>
        <v>228638.29</v>
      </c>
      <c r="O52" s="40" t="s">
        <v>51</v>
      </c>
      <c r="P52" s="37">
        <f>+'Asientos - para Consolidado'!D27</f>
        <v>1566.29</v>
      </c>
      <c r="Q52" s="37"/>
      <c r="R52" s="37">
        <f t="shared" si="22"/>
        <v>227072</v>
      </c>
      <c r="S52" s="37">
        <v>227072</v>
      </c>
      <c r="T52" s="37">
        <v>0</v>
      </c>
      <c r="U52" s="37">
        <v>0</v>
      </c>
      <c r="V52" s="51">
        <v>0</v>
      </c>
      <c r="W52" s="37">
        <v>0</v>
      </c>
      <c r="X52" s="37">
        <v>0</v>
      </c>
      <c r="Y52" s="37">
        <v>1226</v>
      </c>
      <c r="Z52" s="37">
        <v>0</v>
      </c>
      <c r="AA52" s="37">
        <v>340</v>
      </c>
      <c r="AB52" s="37">
        <v>0</v>
      </c>
      <c r="AC52" s="37">
        <v>274690</v>
      </c>
      <c r="AD52" s="37">
        <v>0</v>
      </c>
      <c r="AE52" s="39">
        <f t="shared" si="23"/>
        <v>503328</v>
      </c>
      <c r="AF52" s="40" t="s">
        <v>52</v>
      </c>
      <c r="AG52" s="37" t="e">
        <f>'Diario 2015 (a)'!C5+#REF!</f>
        <v>#REF!</v>
      </c>
      <c r="AH52" s="37"/>
      <c r="AI52" s="37" t="e">
        <f t="shared" si="24"/>
        <v>#REF!</v>
      </c>
      <c r="AJ52" s="37" t="e">
        <f t="shared" si="17"/>
        <v>#REF!</v>
      </c>
      <c r="AK52" s="37">
        <v>227072</v>
      </c>
      <c r="AL52" s="15" t="e">
        <f t="shared" si="25"/>
        <v>#REF!</v>
      </c>
      <c r="AO52" s="15">
        <f>SUM(AK52:AK56)</f>
        <v>31964783</v>
      </c>
    </row>
    <row r="53" spans="1:43" ht="15.75" customHeight="1">
      <c r="A53" s="36" t="s">
        <v>93</v>
      </c>
      <c r="B53" s="37">
        <v>-3202431</v>
      </c>
      <c r="C53" s="38">
        <f t="shared" si="20"/>
        <v>0</v>
      </c>
      <c r="D53" s="37">
        <v>-3202431</v>
      </c>
      <c r="E53" s="51">
        <v>0</v>
      </c>
      <c r="F53" s="51">
        <v>0</v>
      </c>
      <c r="G53" s="51">
        <v>0</v>
      </c>
      <c r="H53" s="37">
        <v>82150.45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9">
        <f t="shared" si="21"/>
        <v>-3120280.55</v>
      </c>
      <c r="O53" s="40" t="s">
        <v>51</v>
      </c>
      <c r="P53" s="37">
        <f>+'Asientos - para Consolidado'!D28</f>
        <v>82150.45</v>
      </c>
      <c r="Q53" s="37"/>
      <c r="R53" s="37">
        <f t="shared" si="22"/>
        <v>-3202431</v>
      </c>
      <c r="S53" s="37">
        <v>-3202431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-56932</v>
      </c>
      <c r="AD53" s="37">
        <v>0</v>
      </c>
      <c r="AE53" s="39">
        <f t="shared" si="23"/>
        <v>-3259363</v>
      </c>
      <c r="AF53" s="40" t="s">
        <v>59</v>
      </c>
      <c r="AG53" s="37">
        <f>'Diario 2015 (a)'!C6</f>
        <v>82150.45</v>
      </c>
      <c r="AH53" s="37" t="e">
        <f>#REF!</f>
        <v>#REF!</v>
      </c>
      <c r="AI53" s="37" t="e">
        <f t="shared" si="24"/>
        <v>#REF!</v>
      </c>
      <c r="AJ53" s="37" t="e">
        <f t="shared" si="17"/>
        <v>#REF!</v>
      </c>
      <c r="AK53" s="37">
        <v>-3202431</v>
      </c>
      <c r="AL53" s="15" t="e">
        <f t="shared" si="25"/>
        <v>#REF!</v>
      </c>
      <c r="AP53" s="17"/>
    </row>
    <row r="54" spans="1:43" ht="15.75" customHeight="1">
      <c r="A54" s="36" t="s">
        <v>94</v>
      </c>
      <c r="B54" s="37"/>
      <c r="C54" s="38"/>
      <c r="D54" s="37"/>
      <c r="E54" s="51"/>
      <c r="F54" s="51"/>
      <c r="G54" s="51"/>
      <c r="H54" s="37"/>
      <c r="I54" s="37"/>
      <c r="J54" s="37"/>
      <c r="K54" s="37"/>
      <c r="L54" s="37"/>
      <c r="M54" s="37"/>
      <c r="N54" s="39"/>
      <c r="O54" s="40"/>
      <c r="P54" s="37"/>
      <c r="Q54" s="37"/>
      <c r="R54" s="37"/>
      <c r="S54" s="37">
        <f>1849659-495802</f>
        <v>1353857</v>
      </c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9">
        <f t="shared" si="23"/>
        <v>1353857</v>
      </c>
      <c r="AF54" s="40"/>
      <c r="AG54" s="37"/>
      <c r="AH54" s="37"/>
      <c r="AI54" s="37">
        <f t="shared" si="24"/>
        <v>1353857</v>
      </c>
      <c r="AJ54" s="37"/>
      <c r="AK54" s="37"/>
      <c r="AL54" s="15"/>
      <c r="AP54" s="17"/>
    </row>
    <row r="55" spans="1:43" ht="15.75" customHeight="1">
      <c r="A55" s="36" t="s">
        <v>95</v>
      </c>
      <c r="B55" s="37">
        <f>41559897-13418852</f>
        <v>28141045</v>
      </c>
      <c r="C55" s="38">
        <f>D55-B55</f>
        <v>-5585599</v>
      </c>
      <c r="D55" s="37">
        <v>22555446</v>
      </c>
      <c r="E55" s="51">
        <v>0</v>
      </c>
      <c r="F55" s="51">
        <v>-41629.31</v>
      </c>
      <c r="G55" s="51">
        <v>895753.95</v>
      </c>
      <c r="H55" s="37">
        <f>387853.68-258715.33</f>
        <v>129138.35</v>
      </c>
      <c r="I55" s="37">
        <v>-26948.34</v>
      </c>
      <c r="J55" s="37">
        <v>968.87</v>
      </c>
      <c r="K55" s="37">
        <v>0</v>
      </c>
      <c r="L55" s="37">
        <v>0</v>
      </c>
      <c r="M55" s="37">
        <v>0</v>
      </c>
      <c r="N55" s="39">
        <f>SUM(D55:M55)</f>
        <v>23512729.520000003</v>
      </c>
      <c r="O55" s="40" t="s">
        <v>96</v>
      </c>
      <c r="P55" s="37">
        <f>+'Asientos - para Consolidado'!D29+'Asientos - para Consolidado'!D32</f>
        <v>1785831.8836487459</v>
      </c>
      <c r="Q55" s="37">
        <f>+'Asientos - para Consolidado'!E34</f>
        <v>1044878.7099375</v>
      </c>
      <c r="R55" s="37">
        <f>N55-P55+Q55</f>
        <v>22771776.346288759</v>
      </c>
      <c r="S55" s="28">
        <f>31666289+495802-200</f>
        <v>32161891</v>
      </c>
      <c r="T55" s="51">
        <v>2254833</v>
      </c>
      <c r="U55" s="51">
        <v>-16937</v>
      </c>
      <c r="V55" s="51">
        <v>911628</v>
      </c>
      <c r="W55" s="37">
        <v>-488265</v>
      </c>
      <c r="X55" s="37">
        <v>-53896</v>
      </c>
      <c r="Y55" s="37">
        <v>1763</v>
      </c>
      <c r="Z55" s="37">
        <v>0</v>
      </c>
      <c r="AA55" s="37">
        <v>0</v>
      </c>
      <c r="AB55" s="37">
        <v>-15422</v>
      </c>
      <c r="AC55" s="37">
        <v>-3886526</v>
      </c>
      <c r="AD55" s="37">
        <v>-144335</v>
      </c>
      <c r="AE55" s="39">
        <f t="shared" si="23"/>
        <v>30724734</v>
      </c>
      <c r="AF55" s="40" t="s">
        <v>97</v>
      </c>
      <c r="AG55" s="37" t="e">
        <f>'Diario 2015 (a)'!C7+'Diario 2015 (a)'!C9+#REF!</f>
        <v>#REF!</v>
      </c>
      <c r="AH55" s="37" t="e">
        <f>'Diario 2015 (a)'!D11+#REF!+'Diarios Cxc Cxp relac (c)'!E37</f>
        <v>#REF!</v>
      </c>
      <c r="AI55" s="37" t="e">
        <f t="shared" si="24"/>
        <v>#REF!</v>
      </c>
      <c r="AJ55" s="37" t="e">
        <f>AI55-AK55</f>
        <v>#REF!</v>
      </c>
      <c r="AK55" s="37">
        <v>22771776</v>
      </c>
      <c r="AL55" s="15" t="e">
        <f>S55-AI55</f>
        <v>#REF!</v>
      </c>
      <c r="AM55" s="15"/>
      <c r="AO55" s="15"/>
      <c r="AP55" s="17"/>
    </row>
    <row r="56" spans="1:43" ht="15.75" customHeight="1">
      <c r="A56" s="36" t="s">
        <v>98</v>
      </c>
      <c r="B56" s="42">
        <v>13418852</v>
      </c>
      <c r="C56" s="38">
        <f>D56-B56</f>
        <v>19335</v>
      </c>
      <c r="D56" s="42">
        <f>D76</f>
        <v>13438187</v>
      </c>
      <c r="E56" s="53">
        <v>-428382</v>
      </c>
      <c r="F56" s="53">
        <v>-42247.24</v>
      </c>
      <c r="G56" s="53">
        <v>-71048.58</v>
      </c>
      <c r="H56" s="42">
        <v>-489726.71993750002</v>
      </c>
      <c r="I56" s="42">
        <v>-13474.17</v>
      </c>
      <c r="J56" s="42">
        <v>0</v>
      </c>
      <c r="K56" s="42">
        <v>0</v>
      </c>
      <c r="L56" s="42">
        <v>0</v>
      </c>
      <c r="M56" s="42">
        <v>0</v>
      </c>
      <c r="N56" s="39">
        <f>SUM(D56:M56)</f>
        <v>12393308.2900625</v>
      </c>
      <c r="O56" s="40" t="s">
        <v>69</v>
      </c>
      <c r="P56" s="37">
        <f>+'Asientos - para Consolidado'!D43+'Asientos - para Consolidado'!D79</f>
        <v>669524.34</v>
      </c>
      <c r="Q56" s="37">
        <f>+'Asientos - para Consolidado'!E44</f>
        <v>444582</v>
      </c>
      <c r="R56" s="37">
        <f>N56-P56+Q56</f>
        <v>12168365.9500625</v>
      </c>
      <c r="S56" s="54">
        <v>5595545</v>
      </c>
      <c r="T56" s="53">
        <v>-1077724</v>
      </c>
      <c r="U56" s="53">
        <v>19337</v>
      </c>
      <c r="V56" s="53">
        <v>-15891</v>
      </c>
      <c r="W56" s="42">
        <v>-493384</v>
      </c>
      <c r="X56" s="42">
        <v>-13474</v>
      </c>
      <c r="Y56" s="37">
        <v>0</v>
      </c>
      <c r="Z56" s="37">
        <v>0</v>
      </c>
      <c r="AA56" s="37">
        <v>0</v>
      </c>
      <c r="AB56" s="42">
        <v>-344143</v>
      </c>
      <c r="AC56" s="37">
        <v>-502401</v>
      </c>
      <c r="AD56" s="37">
        <f>AD76</f>
        <v>-395559</v>
      </c>
      <c r="AE56" s="39">
        <f t="shared" si="23"/>
        <v>2772306</v>
      </c>
      <c r="AF56" s="40" t="s">
        <v>51</v>
      </c>
      <c r="AG56" s="55" t="e">
        <f>#REF!+#REF!+(AG60-AH61-AH64-AH65)</f>
        <v>#REF!</v>
      </c>
      <c r="AH56" s="37" t="e">
        <f>#REF!</f>
        <v>#REF!</v>
      </c>
      <c r="AI56" s="37" t="e">
        <f t="shared" si="24"/>
        <v>#REF!</v>
      </c>
      <c r="AJ56" s="37" t="e">
        <f>AI56-AK56</f>
        <v>#REF!</v>
      </c>
      <c r="AK56" s="37">
        <v>12168366</v>
      </c>
      <c r="AL56" s="15" t="e">
        <f>AI56-S56</f>
        <v>#REF!</v>
      </c>
      <c r="AM56" s="56" t="e">
        <f>+AI56-AI81</f>
        <v>#REF!</v>
      </c>
      <c r="AP56" s="17"/>
      <c r="AQ56" s="15"/>
    </row>
    <row r="57" spans="1:43" ht="15.75" customHeight="1">
      <c r="A57" s="36" t="s">
        <v>99</v>
      </c>
      <c r="B57" s="43">
        <v>0</v>
      </c>
      <c r="C57" s="38">
        <f>D57-B57</f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4">
        <f>SUM(D57:M57)</f>
        <v>0</v>
      </c>
      <c r="O57" s="40" t="s">
        <v>51</v>
      </c>
      <c r="P57" s="37"/>
      <c r="Q57" s="37">
        <f>+'Asientos - para Consolidado'!E36</f>
        <v>9357519.0706554651</v>
      </c>
      <c r="R57" s="43">
        <f>N57-P57+Q57</f>
        <v>9357519.0706554651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4">
        <f t="shared" si="23"/>
        <v>0</v>
      </c>
      <c r="AF57" s="40" t="s">
        <v>59</v>
      </c>
      <c r="AG57" s="37" t="e">
        <f>#REF!</f>
        <v>#REF!</v>
      </c>
      <c r="AH57" s="37" t="e">
        <f>'Diario 2015 (a)'!D13+#REF!</f>
        <v>#REF!</v>
      </c>
      <c r="AI57" s="43" t="e">
        <f t="shared" si="24"/>
        <v>#REF!</v>
      </c>
      <c r="AJ57" s="43" t="e">
        <f>AI57-AK57</f>
        <v>#REF!</v>
      </c>
      <c r="AK57" s="43">
        <v>9357519</v>
      </c>
      <c r="AL57" s="15" t="e">
        <f>AL55-AL56</f>
        <v>#REF!</v>
      </c>
    </row>
    <row r="58" spans="1:43" ht="15.75" customHeight="1">
      <c r="A58" s="45" t="s">
        <v>100</v>
      </c>
      <c r="B58" s="57">
        <f>SUM(B48:B57)</f>
        <v>65844876</v>
      </c>
      <c r="C58" s="50"/>
      <c r="D58" s="57">
        <f t="shared" ref="D58:N58" si="26">SUM(D48:D57)</f>
        <v>60278612</v>
      </c>
      <c r="E58" s="57">
        <f t="shared" si="26"/>
        <v>36760932</v>
      </c>
      <c r="F58" s="57">
        <f t="shared" si="26"/>
        <v>1281536.47</v>
      </c>
      <c r="G58" s="57">
        <f t="shared" si="26"/>
        <v>909131.94000000006</v>
      </c>
      <c r="H58" s="57">
        <f t="shared" si="26"/>
        <v>-227922.9199375</v>
      </c>
      <c r="I58" s="57">
        <f t="shared" si="26"/>
        <v>400660.97</v>
      </c>
      <c r="J58" s="57">
        <f t="shared" si="26"/>
        <v>7194.99</v>
      </c>
      <c r="K58" s="57">
        <f t="shared" si="26"/>
        <v>10000</v>
      </c>
      <c r="L58" s="57">
        <f t="shared" si="26"/>
        <v>1140.17</v>
      </c>
      <c r="M58" s="57">
        <f t="shared" si="26"/>
        <v>800</v>
      </c>
      <c r="N58" s="57">
        <f t="shared" si="26"/>
        <v>99422085.620062515</v>
      </c>
      <c r="O58" s="58"/>
      <c r="P58" s="57"/>
      <c r="Q58" s="57"/>
      <c r="R58" s="57">
        <f t="shared" ref="R58:AE58" si="27">SUM(R48:R57)</f>
        <v>68582640.38700673</v>
      </c>
      <c r="S58" s="57">
        <f t="shared" si="27"/>
        <v>70841302</v>
      </c>
      <c r="T58" s="57">
        <f t="shared" si="27"/>
        <v>43522161</v>
      </c>
      <c r="U58" s="57">
        <f t="shared" si="27"/>
        <v>1984713</v>
      </c>
      <c r="V58" s="57">
        <f t="shared" si="27"/>
        <v>980163</v>
      </c>
      <c r="W58" s="57">
        <f t="shared" si="27"/>
        <v>-931134</v>
      </c>
      <c r="X58" s="57">
        <f t="shared" si="27"/>
        <v>373713</v>
      </c>
      <c r="Y58" s="57">
        <f t="shared" si="27"/>
        <v>7989</v>
      </c>
      <c r="Z58" s="57">
        <f t="shared" si="27"/>
        <v>10000</v>
      </c>
      <c r="AA58" s="57">
        <f t="shared" si="27"/>
        <v>1140</v>
      </c>
      <c r="AB58" s="57">
        <f t="shared" si="27"/>
        <v>1474652</v>
      </c>
      <c r="AC58" s="57">
        <f t="shared" si="27"/>
        <v>-102969</v>
      </c>
      <c r="AD58" s="57">
        <f t="shared" si="27"/>
        <v>-529894</v>
      </c>
      <c r="AE58" s="57">
        <f t="shared" si="27"/>
        <v>117631836</v>
      </c>
      <c r="AF58" s="58"/>
      <c r="AG58" s="57"/>
      <c r="AH58" s="57"/>
      <c r="AI58" s="57" t="e">
        <f>SUM(AI48:AI57)</f>
        <v>#REF!</v>
      </c>
      <c r="AJ58" s="57" t="e">
        <f>AI58-AK58</f>
        <v>#REF!</v>
      </c>
      <c r="AK58" s="57">
        <f>SUM(AK48:AK57)</f>
        <v>68582640</v>
      </c>
    </row>
    <row r="59" spans="1:43" ht="15.75" customHeight="1">
      <c r="A59" s="45"/>
      <c r="B59" s="57"/>
      <c r="C59" s="50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8"/>
      <c r="P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8"/>
      <c r="AG59" s="57"/>
      <c r="AI59" s="57"/>
      <c r="AJ59" s="57"/>
      <c r="AK59" s="57"/>
      <c r="AL59" s="15" t="e">
        <f>+AI58+AI47</f>
        <v>#REF!</v>
      </c>
      <c r="AM59" s="15" t="e">
        <f>+AL59-AI26</f>
        <v>#REF!</v>
      </c>
    </row>
    <row r="60" spans="1:43" ht="15.75" customHeight="1">
      <c r="A60" s="36" t="s">
        <v>101</v>
      </c>
      <c r="B60" s="59">
        <v>124607414</v>
      </c>
      <c r="C60" s="38">
        <f>D60-B60</f>
        <v>0</v>
      </c>
      <c r="D60" s="59">
        <v>124607414</v>
      </c>
      <c r="E60" s="59">
        <v>0</v>
      </c>
      <c r="F60" s="59">
        <v>0</v>
      </c>
      <c r="G60" s="59">
        <v>0</v>
      </c>
      <c r="H60" s="59">
        <v>60885.43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39">
        <f>SUM(D60:M60)</f>
        <v>124668299.43000001</v>
      </c>
      <c r="O60" s="60" t="s">
        <v>69</v>
      </c>
      <c r="P60" s="59">
        <f>+'Asientos - para Consolidado'!D43+'Asientos - para Consolidado'!D46</f>
        <v>455612</v>
      </c>
      <c r="Q60" s="59"/>
      <c r="R60" s="37">
        <f>N60-P60+Q60</f>
        <v>124212687.43000001</v>
      </c>
      <c r="S60" s="59">
        <v>152924768</v>
      </c>
      <c r="T60" s="59">
        <v>1907995</v>
      </c>
      <c r="U60" s="59">
        <v>636407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59">
        <v>0</v>
      </c>
      <c r="AB60" s="59">
        <v>120923</v>
      </c>
      <c r="AC60" s="59">
        <v>280002</v>
      </c>
      <c r="AD60" s="59">
        <v>162445</v>
      </c>
      <c r="AE60" s="39">
        <f>SUM(S60:AD60)</f>
        <v>156032540</v>
      </c>
      <c r="AF60" s="60" t="s">
        <v>41</v>
      </c>
      <c r="AG60" s="59">
        <f>'Ventas-Compras (d)'!D26</f>
        <v>376468.58</v>
      </c>
      <c r="AH60" s="59"/>
      <c r="AI60" s="37">
        <f>AE60-AG60+AH60</f>
        <v>155656071.41999999</v>
      </c>
      <c r="AJ60" s="37">
        <f>AI60-AK60</f>
        <v>31443384.419999987</v>
      </c>
      <c r="AK60" s="37">
        <v>124212687</v>
      </c>
    </row>
    <row r="61" spans="1:43" ht="15.75" customHeight="1">
      <c r="A61" s="36" t="s">
        <v>102</v>
      </c>
      <c r="B61" s="61">
        <v>-89506183</v>
      </c>
      <c r="C61" s="38">
        <f>D61-B61</f>
        <v>0</v>
      </c>
      <c r="D61" s="61">
        <v>-89506183</v>
      </c>
      <c r="E61" s="61">
        <v>0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  <c r="L61" s="61">
        <v>0</v>
      </c>
      <c r="M61" s="61">
        <v>0</v>
      </c>
      <c r="N61" s="44">
        <f>SUM(D61:M61)</f>
        <v>-89506183</v>
      </c>
      <c r="O61" s="60" t="s">
        <v>69</v>
      </c>
      <c r="P61" s="59"/>
      <c r="Q61" s="59">
        <f>+'Asientos - para Consolidado'!E44</f>
        <v>444582</v>
      </c>
      <c r="R61" s="43">
        <f>N61-P61+Q61</f>
        <v>-89061601</v>
      </c>
      <c r="S61" s="61">
        <v>-71809934</v>
      </c>
      <c r="T61" s="61">
        <v>-2677882</v>
      </c>
      <c r="U61" s="61">
        <v>-187557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61">
        <v>0</v>
      </c>
      <c r="AB61" s="61">
        <v>-299751</v>
      </c>
      <c r="AC61" s="61">
        <v>-199020</v>
      </c>
      <c r="AD61" s="61">
        <v>-118573</v>
      </c>
      <c r="AE61" s="44">
        <f>SUM(S61:AD61)</f>
        <v>-75292717</v>
      </c>
      <c r="AF61" s="60" t="s">
        <v>41</v>
      </c>
      <c r="AG61" s="59"/>
      <c r="AH61" s="59">
        <f>'Ventas-Compras (d)'!E27</f>
        <v>357344</v>
      </c>
      <c r="AI61" s="43">
        <f>AE61-AG61+AH61</f>
        <v>-74935373</v>
      </c>
      <c r="AJ61" s="43">
        <f>AI61-AK61</f>
        <v>14126228</v>
      </c>
      <c r="AK61" s="43">
        <v>-89061601</v>
      </c>
    </row>
    <row r="62" spans="1:43" ht="15.75" customHeight="1">
      <c r="A62" s="36" t="s">
        <v>103</v>
      </c>
      <c r="B62" s="62">
        <f>SUM(B60:B61)</f>
        <v>35101231</v>
      </c>
      <c r="C62" s="63"/>
      <c r="D62" s="62">
        <f t="shared" ref="D62:N62" si="28">SUM(D60:D61)</f>
        <v>35101231</v>
      </c>
      <c r="E62" s="62">
        <f t="shared" si="28"/>
        <v>0</v>
      </c>
      <c r="F62" s="62">
        <f t="shared" si="28"/>
        <v>0</v>
      </c>
      <c r="G62" s="62">
        <f t="shared" si="28"/>
        <v>0</v>
      </c>
      <c r="H62" s="62">
        <f t="shared" si="28"/>
        <v>60885.43</v>
      </c>
      <c r="I62" s="62">
        <f t="shared" si="28"/>
        <v>0</v>
      </c>
      <c r="J62" s="62">
        <f t="shared" si="28"/>
        <v>0</v>
      </c>
      <c r="K62" s="62">
        <f t="shared" si="28"/>
        <v>0</v>
      </c>
      <c r="L62" s="62">
        <f t="shared" si="28"/>
        <v>0</v>
      </c>
      <c r="M62" s="62">
        <f t="shared" si="28"/>
        <v>0</v>
      </c>
      <c r="N62" s="62">
        <f t="shared" si="28"/>
        <v>35162116.430000007</v>
      </c>
      <c r="O62" s="60"/>
      <c r="P62" s="62"/>
      <c r="Q62" s="62"/>
      <c r="R62" s="62">
        <f t="shared" ref="R62:AE62" si="29">SUM(R60:R61)</f>
        <v>35151086.430000007</v>
      </c>
      <c r="S62" s="62">
        <f t="shared" si="29"/>
        <v>81114834</v>
      </c>
      <c r="T62" s="62">
        <f t="shared" si="29"/>
        <v>-769887</v>
      </c>
      <c r="U62" s="62">
        <f t="shared" si="29"/>
        <v>448850</v>
      </c>
      <c r="V62" s="62">
        <f t="shared" si="29"/>
        <v>0</v>
      </c>
      <c r="W62" s="62">
        <f t="shared" si="29"/>
        <v>0</v>
      </c>
      <c r="X62" s="62">
        <f t="shared" si="29"/>
        <v>0</v>
      </c>
      <c r="Y62" s="62">
        <f t="shared" si="29"/>
        <v>0</v>
      </c>
      <c r="Z62" s="62">
        <f t="shared" si="29"/>
        <v>0</v>
      </c>
      <c r="AA62" s="62">
        <f t="shared" si="29"/>
        <v>0</v>
      </c>
      <c r="AB62" s="62">
        <f t="shared" si="29"/>
        <v>-178828</v>
      </c>
      <c r="AC62" s="62">
        <f t="shared" si="29"/>
        <v>80982</v>
      </c>
      <c r="AD62" s="62">
        <f t="shared" si="29"/>
        <v>43872</v>
      </c>
      <c r="AE62" s="62">
        <f t="shared" si="29"/>
        <v>80739823</v>
      </c>
      <c r="AF62" s="60"/>
      <c r="AG62" s="62" t="s">
        <v>44</v>
      </c>
      <c r="AH62" s="62"/>
      <c r="AI62" s="62">
        <f>SUM(AI60:AI61)</f>
        <v>80720698.419999987</v>
      </c>
      <c r="AJ62" s="62">
        <f>AI62-AK62</f>
        <v>45569612.419999987</v>
      </c>
      <c r="AK62" s="62">
        <f>SUM(AK60:AK61)</f>
        <v>35151086</v>
      </c>
    </row>
    <row r="63" spans="1:43" ht="15.75" customHeight="1">
      <c r="A63" s="64"/>
      <c r="B63" s="59"/>
      <c r="C63" s="64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39"/>
      <c r="O63" s="60"/>
      <c r="P63" s="59"/>
      <c r="Q63" s="59"/>
      <c r="R63" s="37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39"/>
      <c r="AF63" s="60"/>
      <c r="AG63" s="59"/>
      <c r="AH63" s="59"/>
      <c r="AI63" s="37"/>
      <c r="AJ63" s="37"/>
      <c r="AK63" s="37"/>
    </row>
    <row r="64" spans="1:43" ht="15.75" customHeight="1">
      <c r="A64" s="36" t="s">
        <v>104</v>
      </c>
      <c r="B64" s="59">
        <v>-30987428</v>
      </c>
      <c r="C64" s="38">
        <f>D64-B64</f>
        <v>4945</v>
      </c>
      <c r="D64" s="59">
        <v>-30982483</v>
      </c>
      <c r="E64" s="59">
        <f>-95542-332969</f>
        <v>-428511</v>
      </c>
      <c r="F64" s="59">
        <f>-27248.97-F68-24590.05</f>
        <v>-51169.020000000004</v>
      </c>
      <c r="G64" s="59">
        <v>-40032</v>
      </c>
      <c r="H64" s="59">
        <f>-550678.35-H68</f>
        <v>-535525.16999999993</v>
      </c>
      <c r="I64" s="59">
        <v>-13474.17</v>
      </c>
      <c r="J64" s="59">
        <v>0</v>
      </c>
      <c r="K64" s="59">
        <v>0</v>
      </c>
      <c r="L64" s="59">
        <v>0</v>
      </c>
      <c r="M64" s="59">
        <v>0</v>
      </c>
      <c r="N64" s="39">
        <f>SUM(D64:M64)</f>
        <v>-32051194.359999999</v>
      </c>
      <c r="O64" s="60" t="s">
        <v>69</v>
      </c>
      <c r="P64" s="59"/>
      <c r="Q64" s="59">
        <f>+'Asientos - para Consolidado'!E47</f>
        <v>11030</v>
      </c>
      <c r="R64" s="37">
        <f>N64-P64+Q64</f>
        <v>-32040164.359999999</v>
      </c>
      <c r="S64" s="59">
        <v>-61700666</v>
      </c>
      <c r="T64" s="59">
        <v>-306890</v>
      </c>
      <c r="U64" s="59">
        <v>-429513</v>
      </c>
      <c r="V64" s="59">
        <v>-15891</v>
      </c>
      <c r="W64" s="59">
        <v>-493384</v>
      </c>
      <c r="X64" s="59">
        <v>-13474</v>
      </c>
      <c r="Y64" s="59">
        <v>0</v>
      </c>
      <c r="Z64" s="59">
        <v>0</v>
      </c>
      <c r="AA64" s="59">
        <v>0</v>
      </c>
      <c r="AB64" s="59">
        <f>-165338+23</f>
        <v>-165315</v>
      </c>
      <c r="AC64" s="59">
        <v>-586188</v>
      </c>
      <c r="AD64" s="59">
        <v>-444288</v>
      </c>
      <c r="AE64" s="39">
        <f>SUM(S64:AD64)</f>
        <v>-64155609</v>
      </c>
      <c r="AF64" s="60"/>
      <c r="AG64" s="59"/>
      <c r="AH64" s="59">
        <f>'Ventas-Compras (d)'!E28</f>
        <v>7818.58</v>
      </c>
      <c r="AI64" s="37">
        <f>AE64-AG64+AH64</f>
        <v>-64147790.420000002</v>
      </c>
      <c r="AJ64" s="37">
        <f>AI64-AK64</f>
        <v>-32107626.420000002</v>
      </c>
      <c r="AK64" s="37">
        <v>-32040164</v>
      </c>
    </row>
    <row r="65" spans="1:39" ht="15.75" customHeight="1">
      <c r="A65" s="65" t="s">
        <v>105</v>
      </c>
      <c r="B65" s="61">
        <v>14857424</v>
      </c>
      <c r="C65" s="38">
        <f>D65-B65</f>
        <v>0</v>
      </c>
      <c r="D65" s="61">
        <v>14857424</v>
      </c>
      <c r="E65" s="61">
        <v>129</v>
      </c>
      <c r="F65" s="61">
        <v>9591.7800000000007</v>
      </c>
      <c r="G65" s="61">
        <v>-31016.58</v>
      </c>
      <c r="H65" s="61">
        <v>4334.3500000000004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44">
        <f>SUM(D65:M65)</f>
        <v>14840462.549999999</v>
      </c>
      <c r="O65" s="60" t="s">
        <v>106</v>
      </c>
      <c r="P65" s="59">
        <f>+'Asientos - para Consolidado'!D79</f>
        <v>224942.34</v>
      </c>
      <c r="Q65" s="59"/>
      <c r="R65" s="43">
        <f>N65-P65+Q65</f>
        <v>14615520.209999999</v>
      </c>
      <c r="S65" s="61">
        <v>-3618624</v>
      </c>
      <c r="T65" s="61">
        <v>-947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17690</v>
      </c>
      <c r="AD65" s="61">
        <v>4857</v>
      </c>
      <c r="AE65" s="44">
        <f>SUM(S65:AD65)</f>
        <v>-3597024</v>
      </c>
      <c r="AF65" s="60" t="s">
        <v>51</v>
      </c>
      <c r="AG65" s="59" t="e">
        <f>#REF!</f>
        <v>#REF!</v>
      </c>
      <c r="AH65" s="59" t="e">
        <f>#REF!</f>
        <v>#REF!</v>
      </c>
      <c r="AI65" s="43" t="e">
        <f>AE65-AG65+AH65</f>
        <v>#REF!</v>
      </c>
      <c r="AJ65" s="43" t="e">
        <f>AI65-AK65</f>
        <v>#REF!</v>
      </c>
      <c r="AK65" s="43">
        <v>14615520</v>
      </c>
    </row>
    <row r="66" spans="1:39" ht="15.75" customHeight="1">
      <c r="A66" s="65" t="s">
        <v>107</v>
      </c>
      <c r="B66" s="62">
        <f>SUM(B62:B65)</f>
        <v>18971227</v>
      </c>
      <c r="C66" s="66"/>
      <c r="D66" s="62">
        <f t="shared" ref="D66:N66" si="30">SUM(D62:D65)</f>
        <v>18976172</v>
      </c>
      <c r="E66" s="62">
        <f t="shared" si="30"/>
        <v>-428382</v>
      </c>
      <c r="F66" s="62">
        <f t="shared" si="30"/>
        <v>-41577.240000000005</v>
      </c>
      <c r="G66" s="62">
        <f t="shared" si="30"/>
        <v>-71048.58</v>
      </c>
      <c r="H66" s="62">
        <f t="shared" si="30"/>
        <v>-470305.38999999996</v>
      </c>
      <c r="I66" s="62">
        <f t="shared" si="30"/>
        <v>-13474.17</v>
      </c>
      <c r="J66" s="62">
        <f t="shared" si="30"/>
        <v>0</v>
      </c>
      <c r="K66" s="62">
        <f t="shared" si="30"/>
        <v>0</v>
      </c>
      <c r="L66" s="62">
        <f t="shared" si="30"/>
        <v>0</v>
      </c>
      <c r="M66" s="62">
        <f t="shared" si="30"/>
        <v>0</v>
      </c>
      <c r="N66" s="62">
        <f t="shared" si="30"/>
        <v>17951384.620000005</v>
      </c>
      <c r="O66" s="60"/>
      <c r="P66" s="62"/>
      <c r="Q66" s="62"/>
      <c r="R66" s="62">
        <f t="shared" ref="R66:AE66" si="31">SUM(R62:R65)</f>
        <v>17726442.280000009</v>
      </c>
      <c r="S66" s="62">
        <f t="shared" si="31"/>
        <v>15795544</v>
      </c>
      <c r="T66" s="62">
        <f t="shared" si="31"/>
        <v>-1077724</v>
      </c>
      <c r="U66" s="62">
        <f t="shared" si="31"/>
        <v>19337</v>
      </c>
      <c r="V66" s="62">
        <f t="shared" si="31"/>
        <v>-15891</v>
      </c>
      <c r="W66" s="62">
        <f t="shared" si="31"/>
        <v>-493384</v>
      </c>
      <c r="X66" s="62">
        <f t="shared" si="31"/>
        <v>-13474</v>
      </c>
      <c r="Y66" s="62">
        <f t="shared" si="31"/>
        <v>0</v>
      </c>
      <c r="Z66" s="62">
        <f t="shared" si="31"/>
        <v>0</v>
      </c>
      <c r="AA66" s="62">
        <f t="shared" si="31"/>
        <v>0</v>
      </c>
      <c r="AB66" s="62">
        <f t="shared" si="31"/>
        <v>-344143</v>
      </c>
      <c r="AC66" s="62">
        <f t="shared" si="31"/>
        <v>-487516</v>
      </c>
      <c r="AD66" s="62">
        <f t="shared" si="31"/>
        <v>-395559</v>
      </c>
      <c r="AE66" s="62">
        <f t="shared" si="31"/>
        <v>12987190</v>
      </c>
      <c r="AF66" s="60"/>
      <c r="AG66" s="62"/>
      <c r="AH66" s="62"/>
      <c r="AI66" s="62" t="e">
        <f>SUM(AI62:AI65)</f>
        <v>#REF!</v>
      </c>
      <c r="AJ66" s="62" t="e">
        <f>AI66-AK66</f>
        <v>#REF!</v>
      </c>
      <c r="AK66" s="62">
        <f>SUM(AK62:AK65)</f>
        <v>17726442</v>
      </c>
    </row>
    <row r="67" spans="1:39" ht="15.75" customHeight="1">
      <c r="A67" s="65"/>
      <c r="B67" s="59"/>
      <c r="C67" s="65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39"/>
      <c r="O67" s="60"/>
      <c r="P67" s="59"/>
      <c r="Q67" s="59"/>
      <c r="R67" s="37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39"/>
      <c r="AF67" s="60"/>
      <c r="AG67" s="59"/>
      <c r="AH67" s="59"/>
      <c r="AI67" s="37"/>
      <c r="AJ67" s="37"/>
      <c r="AK67" s="37"/>
      <c r="AL67" s="15" t="e">
        <f>AH65+AH64+AH61</f>
        <v>#REF!</v>
      </c>
    </row>
    <row r="68" spans="1:39" ht="15.75" customHeight="1">
      <c r="A68" s="65" t="s">
        <v>108</v>
      </c>
      <c r="B68" s="61">
        <v>-3983540</v>
      </c>
      <c r="C68" s="38">
        <f>D68-B68</f>
        <v>0</v>
      </c>
      <c r="D68" s="61">
        <v>-3983540</v>
      </c>
      <c r="E68" s="61">
        <v>0</v>
      </c>
      <c r="F68" s="61">
        <v>-670</v>
      </c>
      <c r="G68" s="61">
        <v>0</v>
      </c>
      <c r="H68" s="61">
        <v>-15153.18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44">
        <f>SUM(D68:M68)</f>
        <v>-3999363.18</v>
      </c>
      <c r="O68" s="60"/>
      <c r="P68" s="59"/>
      <c r="Q68" s="59"/>
      <c r="R68" s="43">
        <f>N68-P68+Q68</f>
        <v>-3999363.18</v>
      </c>
      <c r="S68" s="61">
        <f>-5186848</f>
        <v>-5186848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-14885</v>
      </c>
      <c r="AD68" s="61">
        <v>0</v>
      </c>
      <c r="AE68" s="44">
        <f>SUM(S68:AD68)</f>
        <v>-5201733</v>
      </c>
      <c r="AF68" s="60"/>
      <c r="AG68" s="59"/>
      <c r="AH68" s="59"/>
      <c r="AI68" s="43">
        <f>AE68-AG68+AH68</f>
        <v>-5201733</v>
      </c>
      <c r="AJ68" s="43">
        <f>AI68-AK68</f>
        <v>-1202370</v>
      </c>
      <c r="AK68" s="43">
        <v>-3999363</v>
      </c>
      <c r="AL68" s="15">
        <f>AG60</f>
        <v>376468.58</v>
      </c>
    </row>
    <row r="69" spans="1:39" ht="15.75" customHeight="1">
      <c r="A69" s="65" t="s">
        <v>109</v>
      </c>
      <c r="B69" s="62">
        <f>+B66+B68</f>
        <v>14987687</v>
      </c>
      <c r="C69" s="66"/>
      <c r="D69" s="62">
        <f t="shared" ref="D69:N69" si="32">+D66+D68</f>
        <v>14992632</v>
      </c>
      <c r="E69" s="62">
        <f t="shared" si="32"/>
        <v>-428382</v>
      </c>
      <c r="F69" s="62">
        <f t="shared" si="32"/>
        <v>-42247.240000000005</v>
      </c>
      <c r="G69" s="62">
        <f t="shared" si="32"/>
        <v>-71048.58</v>
      </c>
      <c r="H69" s="62">
        <f t="shared" si="32"/>
        <v>-485458.56999999995</v>
      </c>
      <c r="I69" s="62">
        <f t="shared" si="32"/>
        <v>-13474.17</v>
      </c>
      <c r="J69" s="62">
        <f t="shared" si="32"/>
        <v>0</v>
      </c>
      <c r="K69" s="62">
        <f t="shared" si="32"/>
        <v>0</v>
      </c>
      <c r="L69" s="62">
        <f t="shared" si="32"/>
        <v>0</v>
      </c>
      <c r="M69" s="62">
        <f t="shared" si="32"/>
        <v>0</v>
      </c>
      <c r="N69" s="62">
        <f t="shared" si="32"/>
        <v>13952021.440000005</v>
      </c>
      <c r="O69" s="60"/>
      <c r="P69" s="59"/>
      <c r="Q69" s="59"/>
      <c r="R69" s="62">
        <f t="shared" ref="R69:AE69" si="33">+R66+R68</f>
        <v>13727079.100000009</v>
      </c>
      <c r="S69" s="62">
        <f t="shared" si="33"/>
        <v>10608696</v>
      </c>
      <c r="T69" s="62">
        <f t="shared" si="33"/>
        <v>-1077724</v>
      </c>
      <c r="U69" s="62">
        <f t="shared" si="33"/>
        <v>19337</v>
      </c>
      <c r="V69" s="62">
        <f t="shared" si="33"/>
        <v>-15891</v>
      </c>
      <c r="W69" s="62">
        <f t="shared" si="33"/>
        <v>-493384</v>
      </c>
      <c r="X69" s="62">
        <f t="shared" si="33"/>
        <v>-13474</v>
      </c>
      <c r="Y69" s="62">
        <f t="shared" si="33"/>
        <v>0</v>
      </c>
      <c r="Z69" s="62">
        <f t="shared" si="33"/>
        <v>0</v>
      </c>
      <c r="AA69" s="62">
        <f t="shared" si="33"/>
        <v>0</v>
      </c>
      <c r="AB69" s="62">
        <f t="shared" si="33"/>
        <v>-344143</v>
      </c>
      <c r="AC69" s="62">
        <f t="shared" si="33"/>
        <v>-502401</v>
      </c>
      <c r="AD69" s="62">
        <f t="shared" si="33"/>
        <v>-395559</v>
      </c>
      <c r="AE69" s="62">
        <f t="shared" si="33"/>
        <v>7785457</v>
      </c>
      <c r="AF69" s="60"/>
      <c r="AG69" s="59"/>
      <c r="AH69" s="59"/>
      <c r="AI69" s="62" t="e">
        <f>+AI66+AI68</f>
        <v>#REF!</v>
      </c>
      <c r="AJ69" s="62" t="e">
        <f>AI69-AK69</f>
        <v>#REF!</v>
      </c>
      <c r="AK69" s="62">
        <f>SUM(AK66:AK68)</f>
        <v>13727079</v>
      </c>
      <c r="AL69" s="15" t="e">
        <f>AL68-AL67</f>
        <v>#REF!</v>
      </c>
    </row>
    <row r="70" spans="1:39" ht="15.75" customHeight="1">
      <c r="A70" s="65"/>
      <c r="B70" s="62"/>
      <c r="C70" s="66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0"/>
      <c r="P70" s="59"/>
      <c r="Q70" s="59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0"/>
      <c r="AG70" s="59"/>
      <c r="AH70" s="59"/>
      <c r="AI70" s="62"/>
      <c r="AJ70" s="62"/>
      <c r="AK70" s="62"/>
    </row>
    <row r="71" spans="1:39" ht="15.75" customHeight="1">
      <c r="A71" s="65" t="s">
        <v>110</v>
      </c>
      <c r="B71" s="59"/>
      <c r="C71" s="65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39"/>
      <c r="O71" s="60"/>
      <c r="P71" s="59"/>
      <c r="Q71" s="59"/>
      <c r="R71" s="37"/>
      <c r="S71" s="59">
        <v>-1591304</v>
      </c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39"/>
      <c r="AF71" s="60"/>
      <c r="AG71" s="59"/>
      <c r="AH71" s="59"/>
      <c r="AI71" s="37"/>
      <c r="AJ71" s="37"/>
      <c r="AK71" s="37"/>
    </row>
    <row r="72" spans="1:39" ht="15.75" customHeight="1">
      <c r="A72" s="36" t="s">
        <v>111</v>
      </c>
      <c r="B72" s="37">
        <v>-1568835</v>
      </c>
      <c r="C72" s="38">
        <f>D72-B72</f>
        <v>0</v>
      </c>
      <c r="D72" s="37">
        <v>-1568835</v>
      </c>
      <c r="E72" s="37">
        <v>0</v>
      </c>
      <c r="F72" s="37">
        <v>0</v>
      </c>
      <c r="G72" s="37">
        <v>0</v>
      </c>
      <c r="H72" s="37">
        <v>-4268.1499999999996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9">
        <f>SUM(D72:M72)</f>
        <v>-1573103.15</v>
      </c>
      <c r="O72" s="40"/>
      <c r="P72" s="37"/>
      <c r="Q72" s="59"/>
      <c r="R72" s="37">
        <f>N72-P72+Q72</f>
        <v>-1573103.15</v>
      </c>
      <c r="S72" s="37">
        <v>-3550763</v>
      </c>
      <c r="T72" s="37">
        <v>0</v>
      </c>
      <c r="U72" s="37">
        <v>0</v>
      </c>
      <c r="V72" s="37"/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9">
        <f>SUM(S72:AD72)</f>
        <v>-3550763</v>
      </c>
      <c r="AF72" s="40"/>
      <c r="AG72" s="37"/>
      <c r="AH72" s="59"/>
      <c r="AI72" s="37">
        <f>AE72-AG72+AH72</f>
        <v>-3550763</v>
      </c>
      <c r="AJ72" s="37">
        <f>AI72-AK72</f>
        <v>-1977660</v>
      </c>
      <c r="AK72" s="37">
        <v>-1573103</v>
      </c>
    </row>
    <row r="73" spans="1:39">
      <c r="A73" s="67" t="s">
        <v>112</v>
      </c>
      <c r="B73" s="68">
        <f>+B69+B72</f>
        <v>13418852</v>
      </c>
      <c r="C73" s="67"/>
      <c r="D73" s="68">
        <f t="shared" ref="D73:N73" si="34">+D69+D72</f>
        <v>13423797</v>
      </c>
      <c r="E73" s="68">
        <f t="shared" si="34"/>
        <v>-428382</v>
      </c>
      <c r="F73" s="68">
        <f t="shared" si="34"/>
        <v>-42247.240000000005</v>
      </c>
      <c r="G73" s="68">
        <f t="shared" si="34"/>
        <v>-71048.58</v>
      </c>
      <c r="H73" s="68">
        <f t="shared" si="34"/>
        <v>-489726.71999999997</v>
      </c>
      <c r="I73" s="68">
        <f t="shared" si="34"/>
        <v>-13474.17</v>
      </c>
      <c r="J73" s="68">
        <f t="shared" si="34"/>
        <v>0</v>
      </c>
      <c r="K73" s="68">
        <f t="shared" si="34"/>
        <v>0</v>
      </c>
      <c r="L73" s="68">
        <f t="shared" si="34"/>
        <v>0</v>
      </c>
      <c r="M73" s="68">
        <f t="shared" si="34"/>
        <v>0</v>
      </c>
      <c r="N73" s="68">
        <f t="shared" si="34"/>
        <v>12378918.290000005</v>
      </c>
      <c r="O73" s="40"/>
      <c r="P73" s="68"/>
      <c r="Q73" s="68"/>
      <c r="R73" s="68">
        <f>+R69+R72</f>
        <v>12153975.950000009</v>
      </c>
      <c r="S73" s="68">
        <f>+S69+S71+S72</f>
        <v>5466629</v>
      </c>
      <c r="T73" s="68">
        <f t="shared" ref="T73:AE73" si="35">+T69+T72</f>
        <v>-1077724</v>
      </c>
      <c r="U73" s="68">
        <f t="shared" si="35"/>
        <v>19337</v>
      </c>
      <c r="V73" s="68">
        <f t="shared" si="35"/>
        <v>-15891</v>
      </c>
      <c r="W73" s="68">
        <f t="shared" si="35"/>
        <v>-493384</v>
      </c>
      <c r="X73" s="68">
        <f t="shared" si="35"/>
        <v>-13474</v>
      </c>
      <c r="Y73" s="68">
        <f t="shared" si="35"/>
        <v>0</v>
      </c>
      <c r="Z73" s="68">
        <f t="shared" si="35"/>
        <v>0</v>
      </c>
      <c r="AA73" s="68">
        <f t="shared" si="35"/>
        <v>0</v>
      </c>
      <c r="AB73" s="68">
        <f t="shared" si="35"/>
        <v>-344143</v>
      </c>
      <c r="AC73" s="68">
        <f t="shared" si="35"/>
        <v>-502401</v>
      </c>
      <c r="AD73" s="68">
        <f t="shared" si="35"/>
        <v>-395559</v>
      </c>
      <c r="AE73" s="68">
        <f t="shared" si="35"/>
        <v>4234694</v>
      </c>
      <c r="AF73" s="40"/>
      <c r="AG73" s="68"/>
      <c r="AH73" s="68"/>
      <c r="AI73" s="68" t="e">
        <f>+AI69+AI72</f>
        <v>#REF!</v>
      </c>
      <c r="AJ73" s="68" t="e">
        <f>AI73-AK73</f>
        <v>#REF!</v>
      </c>
      <c r="AK73" s="68">
        <f>AK69+AK72</f>
        <v>12153976</v>
      </c>
    </row>
    <row r="74" spans="1:39">
      <c r="A74" s="67"/>
      <c r="B74" s="68"/>
      <c r="C74" s="67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40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40"/>
      <c r="AG74" s="68"/>
      <c r="AH74" s="68"/>
      <c r="AI74" s="68"/>
      <c r="AJ74" s="68"/>
      <c r="AK74" s="68"/>
    </row>
    <row r="75" spans="1:39">
      <c r="A75" s="69" t="s">
        <v>113</v>
      </c>
      <c r="B75" s="68">
        <v>0</v>
      </c>
      <c r="C75" s="69"/>
      <c r="D75" s="70">
        <v>14390</v>
      </c>
      <c r="E75" s="68"/>
      <c r="F75" s="68"/>
      <c r="G75" s="68"/>
      <c r="H75" s="68"/>
      <c r="I75" s="68"/>
      <c r="J75" s="68"/>
      <c r="K75" s="68"/>
      <c r="L75" s="68"/>
      <c r="M75" s="68"/>
      <c r="N75" s="39">
        <f>SUM(D75:M75)</f>
        <v>14390</v>
      </c>
      <c r="O75" s="40"/>
      <c r="P75" s="68"/>
      <c r="Q75" s="68"/>
      <c r="R75" s="37">
        <f>N75-P75+Q75</f>
        <v>14390</v>
      </c>
      <c r="S75" s="70">
        <v>1849659</v>
      </c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39">
        <f>SUM(S75:AD75)</f>
        <v>1849659</v>
      </c>
      <c r="AF75" s="40"/>
      <c r="AG75" s="68"/>
      <c r="AH75" s="68"/>
      <c r="AI75" s="37">
        <f>AE75-AG75+AH75</f>
        <v>1849659</v>
      </c>
      <c r="AJ75" s="37">
        <f>AI75-AK75</f>
        <v>1835269</v>
      </c>
      <c r="AK75" s="68">
        <v>14390</v>
      </c>
    </row>
    <row r="76" spans="1:39">
      <c r="A76" s="67" t="s">
        <v>98</v>
      </c>
      <c r="B76" s="68">
        <f>B73+B75</f>
        <v>13418852</v>
      </c>
      <c r="C76" s="38"/>
      <c r="D76" s="68">
        <f t="shared" ref="D76:N76" si="36">D73+D75</f>
        <v>13438187</v>
      </c>
      <c r="E76" s="68">
        <f t="shared" si="36"/>
        <v>-428382</v>
      </c>
      <c r="F76" s="68">
        <f t="shared" si="36"/>
        <v>-42247.240000000005</v>
      </c>
      <c r="G76" s="68">
        <f t="shared" si="36"/>
        <v>-71048.58</v>
      </c>
      <c r="H76" s="68">
        <f t="shared" si="36"/>
        <v>-489726.71999999997</v>
      </c>
      <c r="I76" s="68">
        <f t="shared" si="36"/>
        <v>-13474.17</v>
      </c>
      <c r="J76" s="68">
        <f t="shared" si="36"/>
        <v>0</v>
      </c>
      <c r="K76" s="68">
        <f t="shared" si="36"/>
        <v>0</v>
      </c>
      <c r="L76" s="68">
        <f t="shared" si="36"/>
        <v>0</v>
      </c>
      <c r="M76" s="68">
        <f t="shared" si="36"/>
        <v>0</v>
      </c>
      <c r="N76" s="68">
        <f t="shared" si="36"/>
        <v>12393308.290000005</v>
      </c>
      <c r="O76" s="40"/>
      <c r="P76" s="68"/>
      <c r="Q76" s="68"/>
      <c r="R76" s="68">
        <f t="shared" ref="R76:AE76" si="37">R73+R75</f>
        <v>12168365.950000009</v>
      </c>
      <c r="S76" s="68">
        <f t="shared" si="37"/>
        <v>7316288</v>
      </c>
      <c r="T76" s="68">
        <f t="shared" si="37"/>
        <v>-1077724</v>
      </c>
      <c r="U76" s="68">
        <f t="shared" si="37"/>
        <v>19337</v>
      </c>
      <c r="V76" s="68">
        <f t="shared" si="37"/>
        <v>-15891</v>
      </c>
      <c r="W76" s="68">
        <f t="shared" si="37"/>
        <v>-493384</v>
      </c>
      <c r="X76" s="68">
        <f t="shared" si="37"/>
        <v>-13474</v>
      </c>
      <c r="Y76" s="68">
        <f t="shared" si="37"/>
        <v>0</v>
      </c>
      <c r="Z76" s="68">
        <f t="shared" si="37"/>
        <v>0</v>
      </c>
      <c r="AA76" s="68">
        <f t="shared" si="37"/>
        <v>0</v>
      </c>
      <c r="AB76" s="68">
        <f t="shared" si="37"/>
        <v>-344143</v>
      </c>
      <c r="AC76" s="68">
        <f t="shared" si="37"/>
        <v>-502401</v>
      </c>
      <c r="AD76" s="68">
        <f t="shared" si="37"/>
        <v>-395559</v>
      </c>
      <c r="AE76" s="68">
        <f t="shared" si="37"/>
        <v>6084353</v>
      </c>
      <c r="AF76" s="40"/>
      <c r="AG76" s="68"/>
      <c r="AH76" s="68"/>
      <c r="AI76" s="68" t="e">
        <f>AI73+AI75</f>
        <v>#REF!</v>
      </c>
      <c r="AJ76" s="68" t="e">
        <f>AJ73+AJ75</f>
        <v>#REF!</v>
      </c>
      <c r="AK76" s="68">
        <f>SUM(AK73:AK75)</f>
        <v>12168366</v>
      </c>
    </row>
    <row r="77" spans="1:39">
      <c r="A77" s="71"/>
      <c r="B77" s="72"/>
      <c r="C77" s="71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3"/>
      <c r="P77" s="72"/>
      <c r="Q77" s="72"/>
      <c r="R77" s="72"/>
      <c r="S77" s="72"/>
      <c r="T77" s="72"/>
      <c r="U77" s="72"/>
      <c r="V77" s="74"/>
      <c r="W77" s="72"/>
      <c r="X77" s="72"/>
      <c r="Y77" s="72"/>
      <c r="Z77" s="72"/>
      <c r="AA77" s="72"/>
      <c r="AB77" s="72"/>
      <c r="AC77" s="72"/>
      <c r="AD77" s="72"/>
      <c r="AE77" s="72"/>
      <c r="AF77" s="73"/>
      <c r="AG77" s="72"/>
      <c r="AH77" s="72"/>
      <c r="AI77" s="72"/>
      <c r="AJ77" s="72"/>
      <c r="AK77" s="72"/>
    </row>
    <row r="78" spans="1:39" s="77" customFormat="1" ht="21.75" customHeight="1">
      <c r="A78" s="75"/>
      <c r="B78" s="76"/>
      <c r="C78" s="75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P78" s="78">
        <f>SUM(P5:P73)</f>
        <v>51071713.540592968</v>
      </c>
      <c r="Q78" s="78">
        <f>SUM(Q5:Q73)</f>
        <v>50846771.270592958</v>
      </c>
      <c r="R78" s="76"/>
      <c r="S78" s="79"/>
      <c r="AJ78" s="76"/>
      <c r="AK78" s="76"/>
    </row>
    <row r="79" spans="1:39" s="77" customFormat="1" ht="21.75" customHeight="1">
      <c r="A79" s="80"/>
      <c r="B79" s="81">
        <f>+B58+B47-B26</f>
        <v>0</v>
      </c>
      <c r="C79" s="80"/>
      <c r="D79" s="81">
        <f t="shared" ref="D79:N79" si="38">+D58+D47-D26</f>
        <v>0</v>
      </c>
      <c r="E79" s="81">
        <f t="shared" si="38"/>
        <v>0</v>
      </c>
      <c r="F79" s="81">
        <f t="shared" si="38"/>
        <v>0</v>
      </c>
      <c r="G79" s="81">
        <f t="shared" si="38"/>
        <v>-0.48999999975785613</v>
      </c>
      <c r="H79" s="81">
        <f t="shared" si="38"/>
        <v>6.249983562156558E-5</v>
      </c>
      <c r="I79" s="81">
        <f t="shared" si="38"/>
        <v>0</v>
      </c>
      <c r="J79" s="81">
        <f t="shared" si="38"/>
        <v>0</v>
      </c>
      <c r="K79" s="81">
        <f t="shared" si="38"/>
        <v>0</v>
      </c>
      <c r="L79" s="81">
        <f t="shared" si="38"/>
        <v>0</v>
      </c>
      <c r="M79" s="81">
        <f t="shared" si="38"/>
        <v>0</v>
      </c>
      <c r="N79" s="81">
        <f t="shared" si="38"/>
        <v>-0.48993751406669617</v>
      </c>
      <c r="P79" s="10">
        <f>P78-Q78</f>
        <v>224942.27000001073</v>
      </c>
      <c r="Q79" s="10"/>
      <c r="R79" s="82" t="s">
        <v>114</v>
      </c>
      <c r="S79" s="81">
        <f t="shared" ref="S79:AE79" si="39">+S58+S47-S26</f>
        <v>0</v>
      </c>
      <c r="T79" s="81">
        <f t="shared" si="39"/>
        <v>0</v>
      </c>
      <c r="U79" s="81">
        <f t="shared" si="39"/>
        <v>0</v>
      </c>
      <c r="V79" s="81">
        <f t="shared" si="39"/>
        <v>0</v>
      </c>
      <c r="W79" s="81">
        <f t="shared" si="39"/>
        <v>0</v>
      </c>
      <c r="X79" s="81">
        <f t="shared" si="39"/>
        <v>0</v>
      </c>
      <c r="Y79" s="81">
        <f t="shared" si="39"/>
        <v>0</v>
      </c>
      <c r="Z79" s="81">
        <f t="shared" si="39"/>
        <v>0</v>
      </c>
      <c r="AA79" s="81">
        <f t="shared" si="39"/>
        <v>0</v>
      </c>
      <c r="AB79" s="81">
        <f t="shared" si="39"/>
        <v>0</v>
      </c>
      <c r="AC79" s="81">
        <f t="shared" si="39"/>
        <v>0</v>
      </c>
      <c r="AD79" s="81">
        <f t="shared" si="39"/>
        <v>0</v>
      </c>
      <c r="AE79" s="81">
        <f t="shared" si="39"/>
        <v>0</v>
      </c>
      <c r="AG79" s="79" t="e">
        <f>SUM(AG5:AG78)</f>
        <v>#REF!</v>
      </c>
      <c r="AH79" s="79" t="e">
        <f>SUM(AH5:AH78)</f>
        <v>#REF!</v>
      </c>
      <c r="AI79" s="81" t="e">
        <f>+AI58+AI47-AI26</f>
        <v>#REF!</v>
      </c>
      <c r="AJ79" s="83" t="e">
        <f>AI79*2</f>
        <v>#REF!</v>
      </c>
      <c r="AK79" s="82"/>
    </row>
    <row r="80" spans="1:39">
      <c r="H80" s="15">
        <f>+H73-H56</f>
        <v>-6.2499952036887407E-5</v>
      </c>
      <c r="N80" s="15"/>
      <c r="S80" s="15">
        <f>S56-S76</f>
        <v>-1720743</v>
      </c>
      <c r="T80" s="15">
        <f t="shared" ref="T80:AC80" si="40">T56-T73</f>
        <v>0</v>
      </c>
      <c r="U80" s="15">
        <f t="shared" si="40"/>
        <v>0</v>
      </c>
      <c r="V80" s="15">
        <f t="shared" si="40"/>
        <v>0</v>
      </c>
      <c r="W80" s="15">
        <f t="shared" si="40"/>
        <v>0</v>
      </c>
      <c r="X80" s="15">
        <f t="shared" si="40"/>
        <v>0</v>
      </c>
      <c r="Y80" s="15">
        <f t="shared" si="40"/>
        <v>0</v>
      </c>
      <c r="Z80" s="15">
        <f t="shared" si="40"/>
        <v>0</v>
      </c>
      <c r="AA80" s="15">
        <f t="shared" si="40"/>
        <v>0</v>
      </c>
      <c r="AB80" s="15">
        <f t="shared" si="40"/>
        <v>0</v>
      </c>
      <c r="AC80" s="15">
        <f t="shared" si="40"/>
        <v>0</v>
      </c>
      <c r="AD80" s="15"/>
      <c r="AH80" s="15" t="e">
        <f>AG79-AH79</f>
        <v>#REF!</v>
      </c>
      <c r="AM80" s="15"/>
    </row>
    <row r="81" spans="1:41" ht="15.75">
      <c r="A81" s="84" t="s">
        <v>115</v>
      </c>
      <c r="C81" s="84"/>
      <c r="M81" s="85"/>
      <c r="P81" s="86" t="s">
        <v>114</v>
      </c>
      <c r="Q81" s="87">
        <f>+'Asientos - para Consolidado'!D79</f>
        <v>224942.34</v>
      </c>
      <c r="R81" t="s">
        <v>116</v>
      </c>
      <c r="S81" s="17">
        <f>+S76*100%</f>
        <v>7316288</v>
      </c>
      <c r="T81" s="17">
        <f>+T76*'Variación Patrimonio 2017-2016'!L4</f>
        <v>-808508.54480000003</v>
      </c>
      <c r="U81" s="17">
        <f>+U76*'Variación Patrimonio 2017-2016'!L21</f>
        <v>19336.125022624434</v>
      </c>
      <c r="V81" s="15">
        <f>+V76*'Variación Patrimonio 2017-2016'!L40</f>
        <v>-10805.880000000001</v>
      </c>
      <c r="W81" s="15">
        <f>+W76*'Variación Patrimonio 2017-2016'!L56</f>
        <v>-246692</v>
      </c>
      <c r="X81" s="15">
        <f>+X76*'Variación Patrimonio 2017-2016'!L74</f>
        <v>-10105.5</v>
      </c>
      <c r="Y81" s="17">
        <v>0</v>
      </c>
      <c r="Z81" s="17">
        <v>0</v>
      </c>
      <c r="AA81" s="17">
        <v>0</v>
      </c>
      <c r="AB81" s="17">
        <f>+AB76*'Variación Patrimonio 2017-2016'!L143</f>
        <v>-318332.27500000002</v>
      </c>
      <c r="AC81" s="17">
        <f>+AC76*'Variación Patrimonio 2017-2016'!L160</f>
        <v>-492352.98</v>
      </c>
      <c r="AD81" s="17">
        <f>+AD76*'Variación Patrimonio 2017-2016'!L185</f>
        <v>-395559</v>
      </c>
      <c r="AE81" s="19">
        <f>SUM(S81:AD81)</f>
        <v>5053267.9452226236</v>
      </c>
      <c r="AG81" s="15" t="e">
        <f>+AG65+AG60</f>
        <v>#REF!</v>
      </c>
      <c r="AH81" s="19" t="e">
        <f>AH61+AH65+AH64</f>
        <v>#REF!</v>
      </c>
      <c r="AI81" s="19" t="e">
        <f>+AE81-AG81+AH81</f>
        <v>#REF!</v>
      </c>
      <c r="AJ81" s="83" t="e">
        <f>AI79/2</f>
        <v>#REF!</v>
      </c>
      <c r="AL81" s="56" t="e">
        <f>+AI56-AI81</f>
        <v>#REF!</v>
      </c>
    </row>
    <row r="82" spans="1:41">
      <c r="A82" s="84" t="s">
        <v>117</v>
      </c>
      <c r="C82" s="84"/>
      <c r="S82" s="17">
        <f t="shared" ref="S82:AD82" si="41">+S76-S81</f>
        <v>0</v>
      </c>
      <c r="T82" s="52">
        <f t="shared" si="41"/>
        <v>-269215.45519999997</v>
      </c>
      <c r="U82" s="52">
        <f t="shared" si="41"/>
        <v>0.87497737556623179</v>
      </c>
      <c r="V82" s="17">
        <f t="shared" si="41"/>
        <v>-5085.119999999999</v>
      </c>
      <c r="W82" s="17">
        <f t="shared" si="41"/>
        <v>-246692</v>
      </c>
      <c r="X82" s="17">
        <f t="shared" si="41"/>
        <v>-3368.5</v>
      </c>
      <c r="Y82" s="17">
        <f t="shared" si="41"/>
        <v>0</v>
      </c>
      <c r="Z82" s="17">
        <f t="shared" si="41"/>
        <v>0</v>
      </c>
      <c r="AA82" s="17">
        <f t="shared" si="41"/>
        <v>0</v>
      </c>
      <c r="AB82" s="52">
        <f t="shared" si="41"/>
        <v>-25810.724999999977</v>
      </c>
      <c r="AC82" s="52">
        <f t="shared" si="41"/>
        <v>-10048.020000000019</v>
      </c>
      <c r="AD82" s="17">
        <f t="shared" si="41"/>
        <v>0</v>
      </c>
      <c r="AE82" s="19">
        <f>SUM(S82:AD82)</f>
        <v>-560218.94522262446</v>
      </c>
      <c r="AH82" s="19"/>
      <c r="AI82" s="19">
        <f>+AE82-AG82+AH82</f>
        <v>-560218.94522262446</v>
      </c>
      <c r="AN82" s="17"/>
      <c r="AO82" s="19"/>
    </row>
    <row r="85" spans="1:41">
      <c r="AH85" s="52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307"/>
    <col min="2" max="2" width="25.7109375" style="307" customWidth="1"/>
    <col min="3" max="1024" width="11.42578125" style="307"/>
  </cols>
  <sheetData>
    <row r="1" spans="2:5">
      <c r="C1" s="4" t="s">
        <v>340</v>
      </c>
      <c r="D1" s="4"/>
    </row>
    <row r="2" spans="2:5">
      <c r="C2" s="308" t="s">
        <v>341</v>
      </c>
      <c r="D2" s="308">
        <v>101</v>
      </c>
    </row>
    <row r="3" spans="2:5">
      <c r="B3" s="309" t="s">
        <v>342</v>
      </c>
      <c r="C3" s="310">
        <v>77</v>
      </c>
      <c r="D3" s="310">
        <v>70.5</v>
      </c>
    </row>
    <row r="4" spans="2:5">
      <c r="B4" s="311" t="s">
        <v>343</v>
      </c>
      <c r="C4" s="310">
        <v>113.8</v>
      </c>
      <c r="D4" s="310">
        <v>137.05000000000001</v>
      </c>
    </row>
    <row r="5" spans="2:5">
      <c r="B5" s="311" t="s">
        <v>344</v>
      </c>
      <c r="C5" s="310">
        <v>72</v>
      </c>
      <c r="D5" s="310">
        <v>67.55</v>
      </c>
    </row>
    <row r="6" spans="2:5">
      <c r="B6" s="311" t="s">
        <v>345</v>
      </c>
      <c r="C6" s="310">
        <v>52.9</v>
      </c>
      <c r="D6" s="310">
        <v>53.3</v>
      </c>
    </row>
    <row r="7" spans="2:5">
      <c r="B7" s="311" t="s">
        <v>100</v>
      </c>
      <c r="C7" s="310">
        <v>65.8</v>
      </c>
      <c r="D7" s="310">
        <v>76.98</v>
      </c>
    </row>
    <row r="8" spans="2:5">
      <c r="B8" s="311" t="s">
        <v>346</v>
      </c>
      <c r="C8" s="310">
        <v>124.6</v>
      </c>
      <c r="D8" s="310">
        <v>140.44</v>
      </c>
    </row>
    <row r="9" spans="2:5">
      <c r="B9" s="311" t="s">
        <v>347</v>
      </c>
      <c r="C9" s="310">
        <f>-(+C8+C10+C11-C12)</f>
        <v>-106.96</v>
      </c>
      <c r="D9" s="310">
        <f>-(+D8+D10+D11-D12)</f>
        <v>-116.58</v>
      </c>
    </row>
    <row r="10" spans="2:5">
      <c r="B10" s="311" t="s">
        <v>110</v>
      </c>
      <c r="C10" s="310">
        <v>-2.64</v>
      </c>
      <c r="D10" s="310">
        <v>-2.9</v>
      </c>
    </row>
    <row r="11" spans="2:5">
      <c r="B11" s="311" t="s">
        <v>111</v>
      </c>
      <c r="C11" s="310">
        <v>-1.6</v>
      </c>
      <c r="D11" s="310">
        <v>-1.6</v>
      </c>
    </row>
    <row r="12" spans="2:5">
      <c r="B12" s="312" t="s">
        <v>348</v>
      </c>
      <c r="C12" s="313">
        <v>13.4</v>
      </c>
      <c r="D12" s="313">
        <v>19.36</v>
      </c>
    </row>
    <row r="14" spans="2:5">
      <c r="C14" s="4" t="s">
        <v>349</v>
      </c>
      <c r="D14" s="4"/>
      <c r="E14" s="4"/>
    </row>
    <row r="15" spans="2:5" ht="26.25">
      <c r="C15" s="314" t="s">
        <v>350</v>
      </c>
      <c r="D15" s="315">
        <v>101</v>
      </c>
      <c r="E15" s="314" t="s">
        <v>351</v>
      </c>
    </row>
    <row r="16" spans="2:5">
      <c r="B16" s="309" t="s">
        <v>342</v>
      </c>
      <c r="C16" s="310"/>
      <c r="D16" s="310"/>
      <c r="E16" s="310">
        <v>82.6</v>
      </c>
    </row>
    <row r="17" spans="2:5">
      <c r="B17" s="311" t="s">
        <v>343</v>
      </c>
      <c r="C17" s="310"/>
      <c r="D17" s="310"/>
      <c r="E17" s="310">
        <v>118.2</v>
      </c>
    </row>
    <row r="18" spans="2:5">
      <c r="B18" s="311" t="s">
        <v>344</v>
      </c>
      <c r="C18" s="310"/>
      <c r="D18" s="310"/>
      <c r="E18" s="310">
        <v>85.8</v>
      </c>
    </row>
    <row r="19" spans="2:5">
      <c r="B19" s="311" t="s">
        <v>345</v>
      </c>
      <c r="C19" s="310"/>
      <c r="D19" s="310"/>
      <c r="E19" s="310">
        <v>59.5</v>
      </c>
    </row>
    <row r="20" spans="2:5">
      <c r="B20" s="311" t="s">
        <v>100</v>
      </c>
      <c r="C20" s="310"/>
      <c r="D20" s="310"/>
      <c r="E20" s="310">
        <v>55.5</v>
      </c>
    </row>
    <row r="21" spans="2:5">
      <c r="B21" s="311" t="s">
        <v>346</v>
      </c>
      <c r="C21" s="310"/>
      <c r="D21" s="310"/>
      <c r="E21" s="310">
        <v>104.1</v>
      </c>
    </row>
    <row r="22" spans="2:5">
      <c r="B22" s="311" t="s">
        <v>347</v>
      </c>
      <c r="C22" s="310"/>
      <c r="D22" s="310"/>
      <c r="E22" s="310">
        <f>-(+E21+E23+E24-E25)</f>
        <v>-74.099999999999994</v>
      </c>
    </row>
    <row r="23" spans="2:5">
      <c r="B23" s="311" t="s">
        <v>110</v>
      </c>
      <c r="C23" s="310"/>
      <c r="D23" s="310"/>
      <c r="E23" s="310">
        <v>-3.4</v>
      </c>
    </row>
    <row r="24" spans="2:5">
      <c r="B24" s="311" t="s">
        <v>111</v>
      </c>
      <c r="C24" s="310"/>
      <c r="D24" s="310"/>
      <c r="E24" s="310">
        <v>-1.8</v>
      </c>
    </row>
    <row r="25" spans="2:5">
      <c r="B25" s="312" t="s">
        <v>348</v>
      </c>
      <c r="C25" s="313"/>
      <c r="D25" s="313"/>
      <c r="E25" s="313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16"/>
    <col min="2" max="2" width="37.42578125" style="316" customWidth="1"/>
    <col min="3" max="3" width="13.7109375" style="276" customWidth="1"/>
    <col min="4" max="4" width="21.28515625" style="276" customWidth="1"/>
    <col min="5" max="5" width="13.7109375" style="276" customWidth="1"/>
    <col min="6" max="6" width="17.42578125" style="276" customWidth="1"/>
    <col min="7" max="7" width="19.140625" style="276" customWidth="1"/>
    <col min="8" max="8" width="13.7109375" style="276" customWidth="1"/>
    <col min="9" max="9" width="14.7109375" style="276" customWidth="1"/>
    <col min="10" max="10" width="17.5703125" style="276" customWidth="1"/>
    <col min="11" max="11" width="15.140625" style="276" customWidth="1"/>
    <col min="12" max="12" width="13.42578125" style="316" customWidth="1"/>
    <col min="13" max="13" width="15.140625" style="316" customWidth="1"/>
    <col min="14" max="14" width="13.42578125" style="316" customWidth="1"/>
    <col min="15" max="15" width="14.28515625" style="316" customWidth="1"/>
    <col min="16" max="16" width="10.28515625" style="316" customWidth="1"/>
    <col min="17" max="17" width="11.42578125" style="316"/>
    <col min="18" max="18" width="19.42578125" style="316" customWidth="1"/>
    <col min="19" max="19" width="16.28515625" style="316" customWidth="1"/>
    <col min="20" max="1024" width="11.42578125" style="316"/>
  </cols>
  <sheetData>
    <row r="1" spans="2:19">
      <c r="F1" s="317" t="s">
        <v>352</v>
      </c>
      <c r="G1" s="317" t="s">
        <v>353</v>
      </c>
    </row>
    <row r="2" spans="2:19">
      <c r="B2" s="318" t="s">
        <v>354</v>
      </c>
      <c r="C2" s="319" t="s">
        <v>355</v>
      </c>
      <c r="D2" s="319" t="s">
        <v>356</v>
      </c>
      <c r="E2" s="319" t="s">
        <v>5</v>
      </c>
      <c r="F2" s="320">
        <f>+L4</f>
        <v>0.75019999999999998</v>
      </c>
      <c r="G2" s="321">
        <f>+L5</f>
        <v>0.24979999999999999</v>
      </c>
      <c r="H2" s="319"/>
    </row>
    <row r="3" spans="2:19">
      <c r="B3" s="316" t="s">
        <v>87</v>
      </c>
      <c r="C3" s="276">
        <v>5000</v>
      </c>
      <c r="D3" s="276">
        <v>5000</v>
      </c>
      <c r="E3" s="276">
        <f t="shared" ref="E3:E11" si="0">+C3-D3</f>
        <v>0</v>
      </c>
      <c r="F3" s="276">
        <f t="shared" ref="F3:F11" si="1">+E3*$F$2</f>
        <v>0</v>
      </c>
      <c r="G3" s="276">
        <f t="shared" ref="G3:G11" si="2">+E3*$G$2</f>
        <v>0</v>
      </c>
      <c r="K3" s="3">
        <v>2017</v>
      </c>
      <c r="L3" s="3"/>
      <c r="M3" s="3">
        <v>2016</v>
      </c>
      <c r="N3" s="3"/>
      <c r="O3" s="3" t="s">
        <v>5</v>
      </c>
      <c r="P3" s="3"/>
    </row>
    <row r="4" spans="2:19">
      <c r="B4" s="316" t="s">
        <v>88</v>
      </c>
      <c r="C4" s="276">
        <f>'ESF - ERI'!T49</f>
        <v>42340052</v>
      </c>
      <c r="D4" s="276">
        <v>42837231</v>
      </c>
      <c r="E4" s="276">
        <f t="shared" si="0"/>
        <v>-497179</v>
      </c>
      <c r="F4" s="276">
        <f t="shared" si="1"/>
        <v>-372983.68579999998</v>
      </c>
      <c r="G4" s="276">
        <f t="shared" si="2"/>
        <v>-124195.31419999999</v>
      </c>
      <c r="J4" s="276" t="s">
        <v>293</v>
      </c>
      <c r="K4" s="286">
        <v>3751</v>
      </c>
      <c r="L4" s="287">
        <f>+K4/$K$6</f>
        <v>0.75019999999999998</v>
      </c>
      <c r="M4" s="286">
        <v>3751</v>
      </c>
      <c r="N4" s="287">
        <f>+M4/$M$6</f>
        <v>0.75019999999999998</v>
      </c>
      <c r="O4" s="286">
        <f>+K4-M4</f>
        <v>0</v>
      </c>
      <c r="P4" s="287">
        <f>+L4-N4</f>
        <v>0</v>
      </c>
    </row>
    <row r="5" spans="2:19">
      <c r="B5" s="316" t="s">
        <v>90</v>
      </c>
      <c r="E5" s="276">
        <f t="shared" si="0"/>
        <v>0</v>
      </c>
      <c r="F5" s="276">
        <f t="shared" si="1"/>
        <v>0</v>
      </c>
      <c r="G5" s="276">
        <f t="shared" si="2"/>
        <v>0</v>
      </c>
      <c r="J5" s="276" t="s">
        <v>296</v>
      </c>
      <c r="K5" s="291">
        <v>1249</v>
      </c>
      <c r="L5" s="287">
        <f>+K5/$K$6</f>
        <v>0.24979999999999999</v>
      </c>
      <c r="M5" s="291">
        <v>1249</v>
      </c>
      <c r="N5" s="287">
        <f>+M5/$M$6</f>
        <v>0.24979999999999999</v>
      </c>
      <c r="O5" s="286">
        <f>+K5-M5</f>
        <v>0</v>
      </c>
      <c r="P5" s="287">
        <f>+L5-N5</f>
        <v>0</v>
      </c>
    </row>
    <row r="6" spans="2:19">
      <c r="B6" s="316" t="s">
        <v>91</v>
      </c>
      <c r="E6" s="276">
        <f t="shared" si="0"/>
        <v>0</v>
      </c>
      <c r="F6" s="276">
        <f t="shared" si="1"/>
        <v>0</v>
      </c>
      <c r="G6" s="276">
        <f t="shared" si="2"/>
        <v>0</v>
      </c>
      <c r="K6" s="286">
        <f>SUM(K4:K5)</f>
        <v>5000</v>
      </c>
      <c r="L6" s="294"/>
      <c r="M6" s="286">
        <f>SUM(M4:M5)</f>
        <v>5000</v>
      </c>
      <c r="N6" s="294"/>
      <c r="O6" s="286">
        <f>SUM(O4:O5)</f>
        <v>0</v>
      </c>
      <c r="P6" s="294"/>
      <c r="R6" s="322"/>
    </row>
    <row r="7" spans="2:19">
      <c r="B7" s="316" t="s">
        <v>92</v>
      </c>
      <c r="E7" s="276">
        <f t="shared" si="0"/>
        <v>0</v>
      </c>
      <c r="F7" s="276">
        <f t="shared" si="1"/>
        <v>0</v>
      </c>
      <c r="G7" s="276">
        <f t="shared" si="2"/>
        <v>0</v>
      </c>
      <c r="R7" s="322"/>
    </row>
    <row r="8" spans="2:19">
      <c r="B8" s="316" t="s">
        <v>93</v>
      </c>
      <c r="E8" s="276">
        <f t="shared" si="0"/>
        <v>0</v>
      </c>
      <c r="F8" s="276">
        <f t="shared" si="1"/>
        <v>0</v>
      </c>
      <c r="G8" s="276">
        <f t="shared" si="2"/>
        <v>0</v>
      </c>
      <c r="J8" s="317" t="s">
        <v>357</v>
      </c>
      <c r="K8" s="3">
        <v>2017</v>
      </c>
      <c r="L8" s="3"/>
      <c r="M8" s="3">
        <v>2016</v>
      </c>
      <c r="N8" s="3"/>
      <c r="O8" s="3" t="s">
        <v>5</v>
      </c>
      <c r="P8" s="3"/>
    </row>
    <row r="9" spans="2:19">
      <c r="B9" s="316" t="s">
        <v>95</v>
      </c>
      <c r="C9" s="276">
        <v>0</v>
      </c>
      <c r="D9" s="276">
        <v>0</v>
      </c>
      <c r="E9" s="276">
        <f t="shared" si="0"/>
        <v>0</v>
      </c>
      <c r="F9" s="276">
        <f t="shared" si="1"/>
        <v>0</v>
      </c>
      <c r="G9" s="276">
        <f t="shared" si="2"/>
        <v>0</v>
      </c>
      <c r="J9" s="317"/>
      <c r="K9" s="323"/>
      <c r="L9" s="323"/>
      <c r="M9" s="323"/>
      <c r="N9" s="323"/>
      <c r="O9" s="323"/>
      <c r="P9" s="323"/>
    </row>
    <row r="10" spans="2:19">
      <c r="B10" s="316" t="s">
        <v>95</v>
      </c>
      <c r="C10" s="276">
        <f>'ESF - ERI'!T55</f>
        <v>2254833</v>
      </c>
      <c r="D10" s="276">
        <v>-392726</v>
      </c>
      <c r="E10" s="324">
        <f t="shared" si="0"/>
        <v>2647559</v>
      </c>
      <c r="F10" s="276">
        <f t="shared" si="1"/>
        <v>1986198.7618</v>
      </c>
      <c r="G10" s="276">
        <f t="shared" si="2"/>
        <v>661360.23820000002</v>
      </c>
      <c r="J10" s="276" t="s">
        <v>293</v>
      </c>
      <c r="K10" s="276">
        <f>32414459-497179</f>
        <v>31917280</v>
      </c>
      <c r="L10" s="325">
        <f>+K10/K12</f>
        <v>0.75383185641812622</v>
      </c>
      <c r="M10" s="276">
        <v>32414459</v>
      </c>
      <c r="N10" s="325">
        <f>+M10/M12</f>
        <v>0.75668894191597025</v>
      </c>
      <c r="O10" s="286">
        <f>+K10-M10</f>
        <v>-497179</v>
      </c>
      <c r="P10" s="287">
        <f>+L10-N10</f>
        <v>-2.8570854978440252E-3</v>
      </c>
      <c r="R10" s="282">
        <f>D4*N5</f>
        <v>10700740.3038</v>
      </c>
      <c r="S10" s="322"/>
    </row>
    <row r="11" spans="2:19">
      <c r="B11" s="316" t="s">
        <v>358</v>
      </c>
      <c r="C11" s="326">
        <f>'ESF - ERI'!T56</f>
        <v>-1077724</v>
      </c>
      <c r="D11" s="326">
        <v>1823983</v>
      </c>
      <c r="E11" s="326">
        <f t="shared" si="0"/>
        <v>-2901707</v>
      </c>
      <c r="F11" s="326">
        <f t="shared" si="1"/>
        <v>-2176860.5913999998</v>
      </c>
      <c r="G11" s="326">
        <f t="shared" si="2"/>
        <v>-724846.40859999997</v>
      </c>
      <c r="J11" s="276" t="s">
        <v>296</v>
      </c>
      <c r="K11" s="326">
        <v>10422772</v>
      </c>
      <c r="L11" s="325">
        <f>+K11/K12</f>
        <v>0.24616814358187372</v>
      </c>
      <c r="M11" s="326">
        <v>10422772</v>
      </c>
      <c r="N11" s="325">
        <f>+M11/M12</f>
        <v>0.24331105808402975</v>
      </c>
      <c r="O11" s="327">
        <f>+K11-M11</f>
        <v>0</v>
      </c>
      <c r="P11" s="287">
        <f>+L11-N11</f>
        <v>2.8570854978439697E-3</v>
      </c>
      <c r="R11" s="322"/>
    </row>
    <row r="12" spans="2:19">
      <c r="K12" s="317">
        <f>SUM(K10:K11)</f>
        <v>42340052</v>
      </c>
      <c r="M12" s="317">
        <f>SUM(M10:M11)</f>
        <v>42837231</v>
      </c>
      <c r="O12" s="286">
        <f>SUM(O10:O11)</f>
        <v>-497179</v>
      </c>
      <c r="P12" s="294"/>
    </row>
    <row r="13" spans="2:19">
      <c r="B13" s="318" t="s">
        <v>359</v>
      </c>
      <c r="C13" s="317">
        <f>SUM(C3:C12)</f>
        <v>43522161</v>
      </c>
      <c r="D13" s="317">
        <f>SUM(D3:D12)</f>
        <v>44273488</v>
      </c>
      <c r="E13" s="317">
        <f>SUM(E3:E11)</f>
        <v>-751327</v>
      </c>
      <c r="F13" s="317">
        <f>SUM(F3:F11)</f>
        <v>-563645.51539999992</v>
      </c>
      <c r="G13" s="317">
        <f>SUM(G3:G11)</f>
        <v>-187681.48459999997</v>
      </c>
      <c r="H13" s="317"/>
    </row>
    <row r="14" spans="2:19">
      <c r="B14" s="328" t="s">
        <v>360</v>
      </c>
      <c r="C14" s="317">
        <f>+(C13)*$F$2</f>
        <v>32650325.1822</v>
      </c>
      <c r="D14" s="317">
        <f>+(D13)*$F$2</f>
        <v>33213970.6976</v>
      </c>
      <c r="E14" s="317">
        <f>+C14-D14</f>
        <v>-563645.51539999992</v>
      </c>
      <c r="F14" s="317"/>
      <c r="G14" s="317"/>
      <c r="H14" s="317"/>
    </row>
    <row r="15" spans="2:19">
      <c r="B15" s="328" t="s">
        <v>361</v>
      </c>
      <c r="C15" s="317">
        <f>+(C13)*$G$2</f>
        <v>10871835.8178</v>
      </c>
      <c r="D15" s="317">
        <f>+(D13)*$G$2</f>
        <v>11059517.3024</v>
      </c>
      <c r="E15" s="317">
        <f>+C15-D15</f>
        <v>-187681.48460000008</v>
      </c>
      <c r="F15" s="317"/>
      <c r="G15" s="317"/>
      <c r="H15" s="317"/>
      <c r="L15" s="329"/>
      <c r="M15" s="276"/>
      <c r="N15" s="330"/>
      <c r="R15" s="322"/>
    </row>
    <row r="16" spans="2:19">
      <c r="B16" s="328" t="s">
        <v>259</v>
      </c>
      <c r="C16" s="317">
        <f>SUM(C14:C15)</f>
        <v>43522161</v>
      </c>
      <c r="D16" s="317">
        <f>SUM(D14:D15)</f>
        <v>44273488</v>
      </c>
      <c r="E16" s="317">
        <f>+C16-D16</f>
        <v>-751327</v>
      </c>
      <c r="F16" s="317"/>
      <c r="G16" s="317"/>
      <c r="H16" s="317"/>
      <c r="M16" s="276"/>
      <c r="N16" s="330"/>
    </row>
    <row r="17" spans="2:16">
      <c r="B17" s="328"/>
      <c r="C17" s="276">
        <f>C13-C16</f>
        <v>0</v>
      </c>
      <c r="D17" s="276">
        <f>D13-D16</f>
        <v>0</v>
      </c>
      <c r="E17" s="317">
        <f>+C17-D17</f>
        <v>0</v>
      </c>
      <c r="F17" s="317"/>
      <c r="G17" s="317"/>
      <c r="H17" s="317"/>
      <c r="M17" s="276"/>
      <c r="N17" s="330"/>
    </row>
    <row r="18" spans="2:16">
      <c r="C18" s="316"/>
      <c r="F18" s="317" t="s">
        <v>352</v>
      </c>
      <c r="G18" s="317" t="s">
        <v>353</v>
      </c>
      <c r="M18" s="276"/>
    </row>
    <row r="19" spans="2:16">
      <c r="B19" s="318" t="s">
        <v>362</v>
      </c>
      <c r="C19" s="319" t="s">
        <v>355</v>
      </c>
      <c r="D19" s="319" t="s">
        <v>356</v>
      </c>
      <c r="E19" s="319" t="s">
        <v>5</v>
      </c>
      <c r="F19" s="320">
        <f>+L21</f>
        <v>0.99995475113122168</v>
      </c>
      <c r="G19" s="321">
        <f>+L22</f>
        <v>4.5248868778280542E-5</v>
      </c>
      <c r="H19" s="319"/>
    </row>
    <row r="20" spans="2:16">
      <c r="B20" s="316" t="s">
        <v>87</v>
      </c>
      <c r="C20" s="276">
        <v>1105000</v>
      </c>
      <c r="D20" s="276">
        <v>1105000</v>
      </c>
      <c r="E20" s="276">
        <f t="shared" ref="E20:E27" si="3">+C20-D20</f>
        <v>0</v>
      </c>
      <c r="F20" s="276">
        <v>0</v>
      </c>
      <c r="G20" s="276">
        <v>0</v>
      </c>
      <c r="H20" s="319"/>
      <c r="K20" s="3">
        <v>2017</v>
      </c>
      <c r="L20" s="3"/>
      <c r="M20" s="3">
        <v>2016</v>
      </c>
      <c r="N20" s="3"/>
      <c r="O20" s="3" t="s">
        <v>5</v>
      </c>
      <c r="P20" s="3"/>
    </row>
    <row r="21" spans="2:16">
      <c r="B21" s="316" t="s">
        <v>88</v>
      </c>
      <c r="C21" s="276">
        <v>877313</v>
      </c>
      <c r="D21" s="276">
        <v>646013</v>
      </c>
      <c r="E21" s="276">
        <f t="shared" si="3"/>
        <v>231300</v>
      </c>
      <c r="F21" s="276">
        <v>0</v>
      </c>
      <c r="G21" s="276">
        <v>0</v>
      </c>
      <c r="H21" s="319"/>
      <c r="J21" s="276" t="s">
        <v>293</v>
      </c>
      <c r="K21" s="286">
        <v>1104950</v>
      </c>
      <c r="L21" s="287">
        <f>+K21/$K$23</f>
        <v>0.99995475113122168</v>
      </c>
      <c r="M21" s="286">
        <v>1104950</v>
      </c>
      <c r="N21" s="287">
        <f>+M21/$M$23</f>
        <v>0.99995475113122168</v>
      </c>
      <c r="O21" s="286">
        <f>+K21-M21</f>
        <v>0</v>
      </c>
      <c r="P21" s="287">
        <f>+L21-N21</f>
        <v>0</v>
      </c>
    </row>
    <row r="22" spans="2:16">
      <c r="B22" s="316" t="s">
        <v>90</v>
      </c>
      <c r="E22" s="276">
        <f t="shared" si="3"/>
        <v>0</v>
      </c>
      <c r="F22" s="276">
        <f t="shared" ref="F22:F27" si="4">+E22*$F$19</f>
        <v>0</v>
      </c>
      <c r="G22" s="276">
        <f t="shared" ref="G22:G27" si="5">+E22*$G$19</f>
        <v>0</v>
      </c>
      <c r="J22" s="276" t="s">
        <v>296</v>
      </c>
      <c r="K22" s="291">
        <v>50</v>
      </c>
      <c r="L22" s="287">
        <f>+K22/$K$23</f>
        <v>4.5248868778280542E-5</v>
      </c>
      <c r="M22" s="291">
        <v>50</v>
      </c>
      <c r="N22" s="287">
        <f>+M22/$M$23</f>
        <v>4.5248868778280542E-5</v>
      </c>
      <c r="O22" s="286">
        <f>+K22-M22</f>
        <v>0</v>
      </c>
      <c r="P22" s="287">
        <f>+L22-N22</f>
        <v>0</v>
      </c>
    </row>
    <row r="23" spans="2:16">
      <c r="B23" s="316" t="s">
        <v>91</v>
      </c>
      <c r="E23" s="276">
        <f t="shared" si="3"/>
        <v>0</v>
      </c>
      <c r="F23" s="276">
        <f t="shared" si="4"/>
        <v>0</v>
      </c>
      <c r="G23" s="276">
        <f t="shared" si="5"/>
        <v>0</v>
      </c>
      <c r="K23" s="286">
        <f>SUM(K21:K22)</f>
        <v>1105000</v>
      </c>
      <c r="L23" s="294"/>
      <c r="M23" s="286">
        <f>SUM(M21:M22)</f>
        <v>1105000</v>
      </c>
      <c r="N23" s="294"/>
      <c r="O23" s="286">
        <f>SUM(O21:O22)</f>
        <v>0</v>
      </c>
      <c r="P23" s="294"/>
    </row>
    <row r="24" spans="2:16">
      <c r="B24" s="316" t="s">
        <v>92</v>
      </c>
      <c r="E24" s="276">
        <f t="shared" si="3"/>
        <v>0</v>
      </c>
      <c r="F24" s="276">
        <f t="shared" si="4"/>
        <v>0</v>
      </c>
      <c r="G24" s="276">
        <f t="shared" si="5"/>
        <v>0</v>
      </c>
    </row>
    <row r="25" spans="2:16">
      <c r="B25" s="316" t="s">
        <v>93</v>
      </c>
      <c r="E25" s="276">
        <f t="shared" si="3"/>
        <v>0</v>
      </c>
      <c r="F25" s="276">
        <f t="shared" si="4"/>
        <v>0</v>
      </c>
      <c r="G25" s="276">
        <f t="shared" si="5"/>
        <v>0</v>
      </c>
    </row>
    <row r="26" spans="2:16">
      <c r="B26" s="316" t="s">
        <v>95</v>
      </c>
      <c r="C26" s="276">
        <f>'ESF - ERI'!U55</f>
        <v>-16937</v>
      </c>
      <c r="D26" s="276">
        <v>-85803</v>
      </c>
      <c r="E26" s="276">
        <f t="shared" si="3"/>
        <v>68866</v>
      </c>
      <c r="F26" s="276">
        <f t="shared" si="4"/>
        <v>68862.883891402715</v>
      </c>
      <c r="G26" s="276">
        <f t="shared" si="5"/>
        <v>3.1161085972850677</v>
      </c>
      <c r="I26" s="331" t="s">
        <v>363</v>
      </c>
    </row>
    <row r="27" spans="2:16">
      <c r="B27" s="316" t="s">
        <v>358</v>
      </c>
      <c r="C27" s="326">
        <f>'ESF - ERI'!U56</f>
        <v>19337</v>
      </c>
      <c r="D27" s="326">
        <v>-113288</v>
      </c>
      <c r="E27" s="326">
        <f t="shared" si="3"/>
        <v>132625</v>
      </c>
      <c r="F27" s="276">
        <f t="shared" si="4"/>
        <v>132618.99886877826</v>
      </c>
      <c r="G27" s="276">
        <f t="shared" si="5"/>
        <v>6.001131221719457</v>
      </c>
    </row>
    <row r="29" spans="2:16">
      <c r="B29" s="318" t="s">
        <v>359</v>
      </c>
      <c r="C29" s="317">
        <f>SUM(C20:C28)</f>
        <v>1984713</v>
      </c>
      <c r="D29" s="317">
        <f>SUM(D20:D28)</f>
        <v>1551922</v>
      </c>
      <c r="E29" s="317">
        <f>SUM(E20:E27)</f>
        <v>432791</v>
      </c>
      <c r="F29" s="317"/>
      <c r="G29" s="317"/>
      <c r="H29" s="317"/>
    </row>
    <row r="30" spans="2:16">
      <c r="B30" s="316" t="s">
        <v>364</v>
      </c>
      <c r="C30" s="317">
        <v>0</v>
      </c>
      <c r="D30" s="317">
        <v>0</v>
      </c>
      <c r="E30" s="317"/>
      <c r="F30" s="317"/>
      <c r="G30" s="317"/>
      <c r="H30" s="317"/>
      <c r="J30" s="276" t="s">
        <v>365</v>
      </c>
    </row>
    <row r="31" spans="2:16">
      <c r="B31" s="316" t="s">
        <v>366</v>
      </c>
      <c r="C31" s="332">
        <f>-C21</f>
        <v>-877313</v>
      </c>
      <c r="D31" s="332">
        <f>-D21</f>
        <v>-646013</v>
      </c>
      <c r="F31" s="317"/>
      <c r="G31" s="317"/>
      <c r="H31" s="317"/>
    </row>
    <row r="32" spans="2:16">
      <c r="B32" s="318" t="s">
        <v>367</v>
      </c>
      <c r="C32" s="317">
        <f>SUM(C29:C31)</f>
        <v>1107400</v>
      </c>
      <c r="D32" s="317">
        <f>SUM(D29:D31)</f>
        <v>905909</v>
      </c>
      <c r="E32" s="276">
        <f>+C32-D32</f>
        <v>201491</v>
      </c>
      <c r="F32" s="317"/>
      <c r="G32" s="317"/>
      <c r="H32" s="317"/>
    </row>
    <row r="33" spans="2:16">
      <c r="B33" s="328" t="s">
        <v>360</v>
      </c>
      <c r="C33" s="317">
        <f>+(C32)*$F$19</f>
        <v>1107349.8914027149</v>
      </c>
      <c r="D33" s="317">
        <f>+(D32)*$F$19</f>
        <v>905868.00864253391</v>
      </c>
      <c r="E33" s="276">
        <f>+C33-D33</f>
        <v>201481.88276018098</v>
      </c>
      <c r="F33" s="317"/>
      <c r="G33" s="317"/>
      <c r="H33" s="317"/>
    </row>
    <row r="34" spans="2:16">
      <c r="B34" s="328" t="s">
        <v>361</v>
      </c>
      <c r="C34" s="317">
        <f>+C32*$G$19</f>
        <v>50.108597285067873</v>
      </c>
      <c r="D34" s="317">
        <f>+D32*$G$19</f>
        <v>40.991357466063349</v>
      </c>
      <c r="E34" s="317">
        <f>+C34-D34</f>
        <v>9.1172398190045243</v>
      </c>
    </row>
    <row r="35" spans="2:16">
      <c r="B35" s="328" t="s">
        <v>259</v>
      </c>
      <c r="C35" s="317">
        <f>SUM(C33:C34)</f>
        <v>1107400</v>
      </c>
      <c r="D35" s="317">
        <f>SUM(D33:D34)</f>
        <v>905909</v>
      </c>
    </row>
    <row r="36" spans="2:16">
      <c r="C36" s="276">
        <f>C32-C35</f>
        <v>0</v>
      </c>
      <c r="D36" s="276">
        <f>D32-D35</f>
        <v>0</v>
      </c>
    </row>
    <row r="37" spans="2:16">
      <c r="F37" s="317" t="s">
        <v>352</v>
      </c>
      <c r="G37" s="317" t="s">
        <v>353</v>
      </c>
    </row>
    <row r="38" spans="2:16">
      <c r="B38" s="318" t="s">
        <v>368</v>
      </c>
      <c r="C38" s="319" t="s">
        <v>355</v>
      </c>
      <c r="D38" s="319" t="s">
        <v>356</v>
      </c>
      <c r="E38" s="319" t="s">
        <v>5</v>
      </c>
      <c r="F38" s="320">
        <f>+L40</f>
        <v>0.68</v>
      </c>
      <c r="G38" s="321">
        <f>+L41</f>
        <v>0.32</v>
      </c>
      <c r="H38" s="319"/>
    </row>
    <row r="39" spans="2:16">
      <c r="B39" s="316" t="s">
        <v>87</v>
      </c>
      <c r="C39" s="276">
        <v>10000</v>
      </c>
      <c r="D39" s="276">
        <v>10000</v>
      </c>
      <c r="E39" s="276">
        <f t="shared" ref="E39:E46" si="6">+C39-D39</f>
        <v>0</v>
      </c>
      <c r="F39" s="276">
        <f t="shared" ref="F39:F46" si="7">+E39*$F$38</f>
        <v>0</v>
      </c>
      <c r="G39" s="276">
        <f t="shared" ref="G39:G46" si="8">+E39*$G$38</f>
        <v>0</v>
      </c>
      <c r="K39" s="3">
        <v>2017</v>
      </c>
      <c r="L39" s="3"/>
      <c r="M39" s="3">
        <v>2016</v>
      </c>
      <c r="N39" s="3"/>
      <c r="O39" s="3" t="s">
        <v>5</v>
      </c>
      <c r="P39" s="3"/>
    </row>
    <row r="40" spans="2:16">
      <c r="B40" s="316" t="s">
        <v>88</v>
      </c>
      <c r="C40" s="276">
        <v>0</v>
      </c>
      <c r="D40" s="276">
        <v>0</v>
      </c>
      <c r="E40" s="276">
        <f t="shared" si="6"/>
        <v>0</v>
      </c>
      <c r="F40" s="276">
        <f t="shared" si="7"/>
        <v>0</v>
      </c>
      <c r="G40" s="276">
        <f t="shared" si="8"/>
        <v>0</v>
      </c>
      <c r="J40" s="276" t="s">
        <v>293</v>
      </c>
      <c r="K40" s="286">
        <v>6800</v>
      </c>
      <c r="L40" s="287">
        <f>+K40/$K$42</f>
        <v>0.68</v>
      </c>
      <c r="M40" s="286">
        <v>6800</v>
      </c>
      <c r="N40" s="287">
        <f>+M40/$M$42</f>
        <v>0.68</v>
      </c>
      <c r="O40" s="286">
        <f>+K40-M40</f>
        <v>0</v>
      </c>
      <c r="P40" s="287">
        <f>+L40-N40</f>
        <v>0</v>
      </c>
    </row>
    <row r="41" spans="2:16">
      <c r="B41" s="316" t="s">
        <v>90</v>
      </c>
      <c r="C41" s="276">
        <f>'ESF - ERI'!V50</f>
        <v>74426</v>
      </c>
      <c r="D41" s="276">
        <v>74426.570000000007</v>
      </c>
      <c r="E41" s="276">
        <f t="shared" si="6"/>
        <v>-0.57000000000698492</v>
      </c>
      <c r="F41" s="276">
        <f t="shared" si="7"/>
        <v>-0.38760000000474976</v>
      </c>
      <c r="G41" s="276">
        <f t="shared" si="8"/>
        <v>-0.18240000000223519</v>
      </c>
      <c r="J41" s="276" t="s">
        <v>296</v>
      </c>
      <c r="K41" s="291">
        <v>3200</v>
      </c>
      <c r="L41" s="287">
        <f>+K41/$K$42</f>
        <v>0.32</v>
      </c>
      <c r="M41" s="291">
        <v>3200</v>
      </c>
      <c r="N41" s="287">
        <f>+M41/$M$42</f>
        <v>0.32</v>
      </c>
      <c r="O41" s="286">
        <f>+K41-M41</f>
        <v>0</v>
      </c>
      <c r="P41" s="287">
        <f>+L41-N41</f>
        <v>0</v>
      </c>
    </row>
    <row r="42" spans="2:16">
      <c r="B42" s="316" t="s">
        <v>91</v>
      </c>
      <c r="E42" s="276">
        <f t="shared" si="6"/>
        <v>0</v>
      </c>
      <c r="F42" s="276">
        <f t="shared" si="7"/>
        <v>0</v>
      </c>
      <c r="G42" s="276">
        <f t="shared" si="8"/>
        <v>0</v>
      </c>
      <c r="K42" s="286">
        <f>SUM(K40:K41)</f>
        <v>10000</v>
      </c>
      <c r="L42" s="294"/>
      <c r="M42" s="286">
        <f>SUM(M40:M41)</f>
        <v>10000</v>
      </c>
      <c r="N42" s="294"/>
      <c r="O42" s="286">
        <f>SUM(O40:O41)</f>
        <v>0</v>
      </c>
      <c r="P42" s="294"/>
    </row>
    <row r="43" spans="2:16">
      <c r="B43" s="316" t="s">
        <v>92</v>
      </c>
      <c r="E43" s="276">
        <f t="shared" si="6"/>
        <v>0</v>
      </c>
      <c r="F43" s="276">
        <f t="shared" si="7"/>
        <v>0</v>
      </c>
      <c r="G43" s="276">
        <f t="shared" si="8"/>
        <v>0</v>
      </c>
    </row>
    <row r="44" spans="2:16">
      <c r="B44" s="316" t="s">
        <v>93</v>
      </c>
      <c r="E44" s="276">
        <f t="shared" si="6"/>
        <v>0</v>
      </c>
      <c r="F44" s="276">
        <f t="shared" si="7"/>
        <v>0</v>
      </c>
      <c r="G44" s="276">
        <f t="shared" si="8"/>
        <v>0</v>
      </c>
    </row>
    <row r="45" spans="2:16">
      <c r="B45" s="316" t="s">
        <v>95</v>
      </c>
      <c r="C45" s="276">
        <f>'ESF - ERI'!V55</f>
        <v>911628</v>
      </c>
      <c r="D45" s="276">
        <v>989917</v>
      </c>
      <c r="E45" s="276">
        <f t="shared" si="6"/>
        <v>-78289</v>
      </c>
      <c r="F45" s="276">
        <f t="shared" si="7"/>
        <v>-53236.520000000004</v>
      </c>
      <c r="G45" s="276">
        <f t="shared" si="8"/>
        <v>-25052.48</v>
      </c>
      <c r="I45" s="331" t="s">
        <v>369</v>
      </c>
      <c r="L45" s="276">
        <f>228012-128950-6829+71048+1931</f>
        <v>165212</v>
      </c>
    </row>
    <row r="46" spans="2:16">
      <c r="B46" s="316" t="s">
        <v>358</v>
      </c>
      <c r="C46" s="326">
        <f>'ESF - ERI'!V56</f>
        <v>-15891</v>
      </c>
      <c r="D46" s="326">
        <v>-56384</v>
      </c>
      <c r="E46" s="326">
        <f t="shared" si="6"/>
        <v>40493</v>
      </c>
      <c r="F46" s="276">
        <f t="shared" si="7"/>
        <v>27535.24</v>
      </c>
      <c r="G46" s="276">
        <f t="shared" si="8"/>
        <v>12957.76</v>
      </c>
    </row>
    <row r="48" spans="2:16">
      <c r="B48" s="318" t="s">
        <v>359</v>
      </c>
      <c r="C48" s="317">
        <f>SUM(C39:C47)</f>
        <v>980163</v>
      </c>
      <c r="D48" s="317">
        <f>SUM(D39:D47)</f>
        <v>1017959.5700000001</v>
      </c>
      <c r="E48" s="317">
        <f>SUM(E39:E46)</f>
        <v>-37796.570000000007</v>
      </c>
      <c r="F48" s="317"/>
      <c r="G48" s="317"/>
      <c r="H48" s="317"/>
    </row>
    <row r="49" spans="2:16">
      <c r="B49" s="328" t="s">
        <v>360</v>
      </c>
      <c r="C49" s="317">
        <f>+(C48)*$F$38</f>
        <v>666510.84000000008</v>
      </c>
      <c r="D49" s="317">
        <f>+(D48)*$F$38</f>
        <v>692212.50760000013</v>
      </c>
      <c r="E49" s="317">
        <f>+C49-D49</f>
        <v>-25701.667600000044</v>
      </c>
      <c r="F49" s="317"/>
      <c r="G49" s="317"/>
      <c r="H49" s="317"/>
    </row>
    <row r="50" spans="2:16">
      <c r="B50" s="328" t="s">
        <v>361</v>
      </c>
      <c r="C50" s="317">
        <f>+C48*$G$38</f>
        <v>313652.16000000003</v>
      </c>
      <c r="D50" s="317">
        <f>+D48*$G$38</f>
        <v>325747.06240000005</v>
      </c>
      <c r="E50" s="317">
        <f>+C50-D50</f>
        <v>-12094.902400000021</v>
      </c>
    </row>
    <row r="51" spans="2:16">
      <c r="B51" s="328" t="s">
        <v>259</v>
      </c>
      <c r="C51" s="317">
        <f>SUM(C49:C50)</f>
        <v>980163.00000000012</v>
      </c>
      <c r="D51" s="317">
        <f>SUM(D49:D50)</f>
        <v>1017959.5700000002</v>
      </c>
      <c r="E51" s="317">
        <f>+C51-D51</f>
        <v>-37796.570000000065</v>
      </c>
    </row>
    <row r="52" spans="2:16">
      <c r="B52" s="328"/>
      <c r="C52" s="276">
        <f>C48-C51</f>
        <v>0</v>
      </c>
      <c r="D52" s="276">
        <f>D48-D51</f>
        <v>0</v>
      </c>
      <c r="E52" s="317"/>
    </row>
    <row r="53" spans="2:16">
      <c r="C53" s="316"/>
      <c r="D53" s="316"/>
      <c r="F53" s="317" t="s">
        <v>352</v>
      </c>
      <c r="G53" s="317" t="s">
        <v>353</v>
      </c>
    </row>
    <row r="54" spans="2:16">
      <c r="B54" s="318" t="s">
        <v>370</v>
      </c>
      <c r="C54" s="319" t="s">
        <v>355</v>
      </c>
      <c r="D54" s="319" t="s">
        <v>356</v>
      </c>
      <c r="E54" s="319" t="s">
        <v>5</v>
      </c>
      <c r="F54" s="320">
        <f>+L56</f>
        <v>0.5</v>
      </c>
      <c r="G54" s="321">
        <f>+L57</f>
        <v>0.5</v>
      </c>
      <c r="H54" s="319"/>
    </row>
    <row r="55" spans="2:16">
      <c r="B55" s="316" t="s">
        <v>87</v>
      </c>
      <c r="C55" s="276">
        <v>1000</v>
      </c>
      <c r="D55" s="276">
        <v>1000</v>
      </c>
      <c r="E55" s="276">
        <f t="shared" ref="E55:E62" si="9">+C55-D55</f>
        <v>0</v>
      </c>
      <c r="F55" s="276">
        <f t="shared" ref="F55:F62" si="10">+E55*$F$54</f>
        <v>0</v>
      </c>
      <c r="G55" s="276">
        <f t="shared" ref="G55:G62" si="11">+E55*$G$54</f>
        <v>0</v>
      </c>
      <c r="K55" s="3">
        <v>2017</v>
      </c>
      <c r="L55" s="3"/>
      <c r="M55" s="3">
        <v>2016</v>
      </c>
      <c r="N55" s="3"/>
      <c r="O55" s="3" t="s">
        <v>5</v>
      </c>
      <c r="P55" s="3"/>
    </row>
    <row r="56" spans="2:16">
      <c r="B56" s="316" t="s">
        <v>88</v>
      </c>
      <c r="C56" s="276">
        <v>49015</v>
      </c>
      <c r="D56" s="276">
        <v>49015</v>
      </c>
      <c r="E56" s="276">
        <f t="shared" si="9"/>
        <v>0</v>
      </c>
      <c r="F56" s="276">
        <f t="shared" si="10"/>
        <v>0</v>
      </c>
      <c r="G56" s="276">
        <f t="shared" si="11"/>
        <v>0</v>
      </c>
      <c r="J56" s="276" t="s">
        <v>293</v>
      </c>
      <c r="K56" s="286">
        <v>500</v>
      </c>
      <c r="L56" s="287">
        <f>+K56/$K$58</f>
        <v>0.5</v>
      </c>
      <c r="M56" s="286">
        <v>500</v>
      </c>
      <c r="N56" s="287">
        <f>+M56/$M$58</f>
        <v>0.5</v>
      </c>
      <c r="O56" s="286">
        <f>+K56-M56</f>
        <v>0</v>
      </c>
      <c r="P56" s="287">
        <f>+L56-N56</f>
        <v>0</v>
      </c>
    </row>
    <row r="57" spans="2:16">
      <c r="B57" s="316" t="s">
        <v>90</v>
      </c>
      <c r="C57" s="276">
        <v>500</v>
      </c>
      <c r="D57" s="276">
        <v>500</v>
      </c>
      <c r="E57" s="276">
        <f t="shared" si="9"/>
        <v>0</v>
      </c>
      <c r="F57" s="276">
        <f t="shared" si="10"/>
        <v>0</v>
      </c>
      <c r="G57" s="276">
        <f t="shared" si="11"/>
        <v>0</v>
      </c>
      <c r="J57" s="276" t="s">
        <v>296</v>
      </c>
      <c r="K57" s="291">
        <v>500</v>
      </c>
      <c r="L57" s="287">
        <f>+K57/$K$58</f>
        <v>0.5</v>
      </c>
      <c r="M57" s="291">
        <v>500</v>
      </c>
      <c r="N57" s="287">
        <f>+M57/$M$58</f>
        <v>0.5</v>
      </c>
      <c r="O57" s="286">
        <f>+K57-M57</f>
        <v>0</v>
      </c>
      <c r="P57" s="287">
        <f>+L57-N57</f>
        <v>0</v>
      </c>
    </row>
    <row r="58" spans="2:16">
      <c r="B58" s="316" t="s">
        <v>91</v>
      </c>
      <c r="C58" s="276">
        <v>0</v>
      </c>
      <c r="D58" s="276">
        <v>0</v>
      </c>
      <c r="E58" s="276">
        <f t="shared" si="9"/>
        <v>0</v>
      </c>
      <c r="F58" s="276">
        <f t="shared" si="10"/>
        <v>0</v>
      </c>
      <c r="G58" s="276">
        <f t="shared" si="11"/>
        <v>0</v>
      </c>
      <c r="K58" s="286">
        <f>SUM(K56:K57)</f>
        <v>1000</v>
      </c>
      <c r="L58" s="294"/>
      <c r="M58" s="286">
        <f>SUM(M56:M57)</f>
        <v>1000</v>
      </c>
      <c r="N58" s="294"/>
      <c r="O58" s="286">
        <f>SUM(O56:O57)</f>
        <v>0</v>
      </c>
      <c r="P58" s="294"/>
    </row>
    <row r="59" spans="2:16">
      <c r="B59" s="316" t="s">
        <v>92</v>
      </c>
      <c r="C59" s="276">
        <v>0</v>
      </c>
      <c r="D59" s="276">
        <v>0</v>
      </c>
      <c r="E59" s="276">
        <f t="shared" si="9"/>
        <v>0</v>
      </c>
      <c r="F59" s="276">
        <f t="shared" si="10"/>
        <v>0</v>
      </c>
      <c r="G59" s="276">
        <f t="shared" si="11"/>
        <v>0</v>
      </c>
    </row>
    <row r="60" spans="2:16">
      <c r="B60" s="316" t="s">
        <v>93</v>
      </c>
      <c r="C60" s="276">
        <v>0</v>
      </c>
      <c r="D60" s="276">
        <v>82150.45</v>
      </c>
      <c r="E60" s="276">
        <f t="shared" si="9"/>
        <v>-82150.45</v>
      </c>
      <c r="F60" s="276">
        <f t="shared" si="10"/>
        <v>-41075.224999999999</v>
      </c>
      <c r="G60" s="276">
        <f t="shared" si="11"/>
        <v>-41075.224999999999</v>
      </c>
    </row>
    <row r="61" spans="2:16">
      <c r="B61" s="316" t="s">
        <v>95</v>
      </c>
      <c r="C61" s="276">
        <f>'ESF - ERI'!W55</f>
        <v>-488265</v>
      </c>
      <c r="D61" s="276">
        <f>129138.35-489726.7199375</f>
        <v>-360588.36993749999</v>
      </c>
      <c r="E61" s="276">
        <f t="shared" si="9"/>
        <v>-127676.63006250001</v>
      </c>
      <c r="F61" s="276">
        <f t="shared" si="10"/>
        <v>-63838.315031250007</v>
      </c>
      <c r="G61" s="276">
        <f t="shared" si="11"/>
        <v>-63838.315031250007</v>
      </c>
    </row>
    <row r="62" spans="2:16">
      <c r="B62" s="316" t="s">
        <v>358</v>
      </c>
      <c r="C62" s="326">
        <f>'ESF - ERI'!W56</f>
        <v>-493384</v>
      </c>
      <c r="D62" s="326">
        <v>-209826.66</v>
      </c>
      <c r="E62" s="326">
        <f t="shared" si="9"/>
        <v>-283557.33999999997</v>
      </c>
      <c r="F62" s="276">
        <f t="shared" si="10"/>
        <v>-141778.66999999998</v>
      </c>
      <c r="G62" s="276">
        <f t="shared" si="11"/>
        <v>-141778.66999999998</v>
      </c>
    </row>
    <row r="64" spans="2:16">
      <c r="B64" s="318" t="s">
        <v>359</v>
      </c>
      <c r="C64" s="317">
        <f>SUM(C55:C63)</f>
        <v>-931134</v>
      </c>
      <c r="D64" s="317">
        <f>SUM(D55:D63)</f>
        <v>-437749.57993749995</v>
      </c>
      <c r="E64" s="317">
        <f>SUM(E55:E62)</f>
        <v>-493384.42006249999</v>
      </c>
      <c r="F64" s="317"/>
      <c r="G64" s="317"/>
      <c r="H64" s="317"/>
    </row>
    <row r="65" spans="2:16">
      <c r="B65" s="316" t="s">
        <v>366</v>
      </c>
      <c r="C65" s="332">
        <f>-C56</f>
        <v>-49015</v>
      </c>
      <c r="D65" s="332">
        <f>-D56</f>
        <v>-49015</v>
      </c>
      <c r="F65" s="317"/>
      <c r="G65" s="317"/>
      <c r="H65" s="317"/>
    </row>
    <row r="66" spans="2:16">
      <c r="B66" s="318" t="s">
        <v>367</v>
      </c>
      <c r="C66" s="317">
        <f>SUM(C63:C65)</f>
        <v>-980149</v>
      </c>
      <c r="D66" s="317">
        <f>SUM(D63:D65)</f>
        <v>-486764.57993749995</v>
      </c>
      <c r="E66" s="276">
        <f>+C66-D66</f>
        <v>-493384.42006250005</v>
      </c>
      <c r="F66" s="317"/>
      <c r="G66" s="317"/>
      <c r="H66" s="317"/>
    </row>
    <row r="67" spans="2:16">
      <c r="B67" s="328" t="s">
        <v>360</v>
      </c>
      <c r="C67" s="317">
        <f>+(C66)*$F$54</f>
        <v>-490074.5</v>
      </c>
      <c r="D67" s="317">
        <f>+(D66)*$F$54</f>
        <v>-243382.28996874997</v>
      </c>
      <c r="E67" s="317">
        <f>+C67-D67</f>
        <v>-246692.21003125003</v>
      </c>
      <c r="F67" s="317"/>
      <c r="G67" s="317"/>
      <c r="H67" s="317"/>
    </row>
    <row r="68" spans="2:16">
      <c r="B68" s="328" t="s">
        <v>361</v>
      </c>
      <c r="C68" s="317">
        <f>+C66*$G$54</f>
        <v>-490074.5</v>
      </c>
      <c r="D68" s="317">
        <f>+D66*$G$54</f>
        <v>-243382.28996874997</v>
      </c>
      <c r="E68" s="317">
        <f>+C68-D68</f>
        <v>-246692.21003125003</v>
      </c>
    </row>
    <row r="69" spans="2:16">
      <c r="B69" s="328" t="s">
        <v>259</v>
      </c>
      <c r="C69" s="317">
        <f>SUM(C67:C68)</f>
        <v>-980149</v>
      </c>
      <c r="D69" s="317">
        <f>SUM(D67:D68)</f>
        <v>-486764.57993749995</v>
      </c>
      <c r="E69" s="317">
        <f>+C69-D69</f>
        <v>-493384.42006250005</v>
      </c>
    </row>
    <row r="70" spans="2:16">
      <c r="B70" s="328"/>
      <c r="C70" s="276">
        <f>C66-C69</f>
        <v>0</v>
      </c>
      <c r="D70" s="276">
        <f>D66-D69</f>
        <v>0</v>
      </c>
      <c r="E70" s="317"/>
    </row>
    <row r="71" spans="2:16">
      <c r="F71" s="317" t="s">
        <v>352</v>
      </c>
      <c r="G71" s="317" t="s">
        <v>353</v>
      </c>
    </row>
    <row r="72" spans="2:16">
      <c r="B72" s="318" t="s">
        <v>371</v>
      </c>
      <c r="C72" s="319" t="s">
        <v>355</v>
      </c>
      <c r="D72" s="319" t="s">
        <v>356</v>
      </c>
      <c r="E72" s="319" t="s">
        <v>5</v>
      </c>
      <c r="F72" s="320">
        <f>+L74</f>
        <v>0.75</v>
      </c>
      <c r="G72" s="321">
        <f>+L75</f>
        <v>0.25</v>
      </c>
      <c r="H72" s="319"/>
    </row>
    <row r="73" spans="2:16">
      <c r="B73" s="316" t="s">
        <v>87</v>
      </c>
      <c r="C73" s="276">
        <v>1000</v>
      </c>
      <c r="D73" s="276">
        <v>1000</v>
      </c>
      <c r="E73" s="276">
        <f t="shared" ref="E73:E80" si="12">+C73-D73</f>
        <v>0</v>
      </c>
      <c r="F73" s="276">
        <f t="shared" ref="F73:F80" si="13">+E73*$F$72</f>
        <v>0</v>
      </c>
      <c r="G73" s="276">
        <f t="shared" ref="G73:G80" si="14">+E73*$G$72</f>
        <v>0</v>
      </c>
      <c r="K73" s="3">
        <v>2017</v>
      </c>
      <c r="L73" s="3"/>
      <c r="M73" s="3">
        <v>2016</v>
      </c>
      <c r="N73" s="3"/>
      <c r="O73" s="3" t="s">
        <v>5</v>
      </c>
      <c r="P73" s="3"/>
    </row>
    <row r="74" spans="2:16">
      <c r="B74" s="316" t="s">
        <v>88</v>
      </c>
      <c r="C74" s="276">
        <v>330450</v>
      </c>
      <c r="D74" s="276">
        <v>330450</v>
      </c>
      <c r="E74" s="276">
        <f t="shared" si="12"/>
        <v>0</v>
      </c>
      <c r="F74" s="276">
        <f t="shared" si="13"/>
        <v>0</v>
      </c>
      <c r="G74" s="276">
        <f t="shared" si="14"/>
        <v>0</v>
      </c>
      <c r="J74" s="276" t="s">
        <v>293</v>
      </c>
      <c r="K74" s="286">
        <v>750</v>
      </c>
      <c r="L74" s="287">
        <f>+K74/$K$76</f>
        <v>0.75</v>
      </c>
      <c r="M74" s="286">
        <v>750</v>
      </c>
      <c r="N74" s="287">
        <f>+M74/$M$76</f>
        <v>0.75</v>
      </c>
      <c r="O74" s="286">
        <f>+K74-M74</f>
        <v>0</v>
      </c>
      <c r="P74" s="287">
        <f>+L74-N74</f>
        <v>0</v>
      </c>
    </row>
    <row r="75" spans="2:16">
      <c r="B75" s="316" t="s">
        <v>90</v>
      </c>
      <c r="C75" s="276">
        <v>109633</v>
      </c>
      <c r="D75" s="276">
        <v>109633.48</v>
      </c>
      <c r="E75" s="276">
        <f t="shared" si="12"/>
        <v>-0.47999999999592546</v>
      </c>
      <c r="F75" s="276">
        <f t="shared" si="13"/>
        <v>-0.3599999999969441</v>
      </c>
      <c r="G75" s="276">
        <f t="shared" si="14"/>
        <v>-0.11999999999898137</v>
      </c>
      <c r="J75" s="276" t="s">
        <v>296</v>
      </c>
      <c r="K75" s="291">
        <v>250</v>
      </c>
      <c r="L75" s="287">
        <f>+K75/$K$76</f>
        <v>0.25</v>
      </c>
      <c r="M75" s="291">
        <v>250</v>
      </c>
      <c r="N75" s="287">
        <f>+M75/$M$76</f>
        <v>0.25</v>
      </c>
      <c r="O75" s="286">
        <f>+K75-M75</f>
        <v>0</v>
      </c>
      <c r="P75" s="287">
        <f>+L75-N75</f>
        <v>0</v>
      </c>
    </row>
    <row r="76" spans="2:16">
      <c r="B76" s="316" t="s">
        <v>91</v>
      </c>
      <c r="C76" s="276">
        <v>0</v>
      </c>
      <c r="D76" s="276">
        <v>0</v>
      </c>
      <c r="E76" s="276">
        <f t="shared" si="12"/>
        <v>0</v>
      </c>
      <c r="F76" s="276">
        <f t="shared" si="13"/>
        <v>0</v>
      </c>
      <c r="G76" s="276">
        <f t="shared" si="14"/>
        <v>0</v>
      </c>
      <c r="K76" s="286">
        <f>SUM(K74:K75)</f>
        <v>1000</v>
      </c>
      <c r="L76" s="294"/>
      <c r="M76" s="286">
        <f>SUM(M74:M75)</f>
        <v>1000</v>
      </c>
      <c r="N76" s="294"/>
      <c r="O76" s="286">
        <f>SUM(O74:O75)</f>
        <v>0</v>
      </c>
      <c r="P76" s="294"/>
    </row>
    <row r="77" spans="2:16">
      <c r="B77" s="316" t="s">
        <v>92</v>
      </c>
      <c r="C77" s="276">
        <v>0</v>
      </c>
      <c r="D77" s="276">
        <v>0</v>
      </c>
      <c r="E77" s="276">
        <f t="shared" si="12"/>
        <v>0</v>
      </c>
      <c r="F77" s="276">
        <f t="shared" si="13"/>
        <v>0</v>
      </c>
      <c r="G77" s="276">
        <f t="shared" si="14"/>
        <v>0</v>
      </c>
    </row>
    <row r="78" spans="2:16">
      <c r="B78" s="316" t="s">
        <v>93</v>
      </c>
      <c r="C78" s="276">
        <v>0</v>
      </c>
      <c r="D78" s="276">
        <v>0</v>
      </c>
      <c r="E78" s="276">
        <f t="shared" si="12"/>
        <v>0</v>
      </c>
      <c r="F78" s="276">
        <f t="shared" si="13"/>
        <v>0</v>
      </c>
      <c r="G78" s="276">
        <f t="shared" si="14"/>
        <v>0</v>
      </c>
    </row>
    <row r="79" spans="2:16">
      <c r="B79" s="316" t="s">
        <v>95</v>
      </c>
      <c r="C79" s="276">
        <f>'ESF - ERI'!X55</f>
        <v>-53896</v>
      </c>
      <c r="D79" s="276">
        <f>-26948.34-13474.17</f>
        <v>-40422.51</v>
      </c>
      <c r="E79" s="276">
        <f t="shared" si="12"/>
        <v>-13473.489999999998</v>
      </c>
      <c r="F79" s="276">
        <f t="shared" si="13"/>
        <v>-10105.117499999998</v>
      </c>
      <c r="G79" s="276">
        <f t="shared" si="14"/>
        <v>-3368.3724999999995</v>
      </c>
    </row>
    <row r="80" spans="2:16">
      <c r="B80" s="316" t="s">
        <v>358</v>
      </c>
      <c r="C80" s="326">
        <f>'ESF - ERI'!X56</f>
        <v>-13474</v>
      </c>
      <c r="D80" s="326">
        <v>-13474</v>
      </c>
      <c r="E80" s="326">
        <f t="shared" si="12"/>
        <v>0</v>
      </c>
      <c r="F80" s="276">
        <f t="shared" si="13"/>
        <v>0</v>
      </c>
      <c r="G80" s="276">
        <f t="shared" si="14"/>
        <v>0</v>
      </c>
    </row>
    <row r="82" spans="2:16">
      <c r="B82" s="318" t="s">
        <v>359</v>
      </c>
      <c r="C82" s="317">
        <f>SUM(C73:C81)</f>
        <v>373713</v>
      </c>
      <c r="D82" s="317">
        <f>SUM(D73:D81)</f>
        <v>387186.97</v>
      </c>
      <c r="E82" s="317">
        <f>SUM(E73:E80)</f>
        <v>-13473.969999999994</v>
      </c>
      <c r="F82" s="317"/>
      <c r="G82" s="317"/>
      <c r="H82" s="317"/>
    </row>
    <row r="83" spans="2:16">
      <c r="B83" s="316" t="s">
        <v>366</v>
      </c>
      <c r="C83" s="332">
        <f>-C74</f>
        <v>-330450</v>
      </c>
      <c r="D83" s="332">
        <f>-D74</f>
        <v>-330450</v>
      </c>
      <c r="F83" s="317"/>
      <c r="G83" s="317"/>
      <c r="H83" s="317"/>
    </row>
    <row r="84" spans="2:16">
      <c r="B84" s="318" t="s">
        <v>367</v>
      </c>
      <c r="C84" s="317">
        <f>SUM(C81:C83)</f>
        <v>43263</v>
      </c>
      <c r="D84" s="317">
        <f>SUM(D81:D83)</f>
        <v>56736.969999999972</v>
      </c>
      <c r="E84" s="276">
        <f>+C84-D84</f>
        <v>-13473.969999999972</v>
      </c>
      <c r="F84" s="317"/>
      <c r="G84" s="317"/>
      <c r="H84" s="317"/>
    </row>
    <row r="85" spans="2:16">
      <c r="B85" s="328" t="s">
        <v>360</v>
      </c>
      <c r="C85" s="317">
        <f>+(C84)*$F$72</f>
        <v>32447.25</v>
      </c>
      <c r="D85" s="317">
        <f>+(D84)*$F$72</f>
        <v>42552.727499999979</v>
      </c>
      <c r="E85" s="317">
        <f>+C85-D85</f>
        <v>-10105.477499999979</v>
      </c>
      <c r="F85" s="317"/>
      <c r="G85" s="317"/>
      <c r="H85" s="317"/>
    </row>
    <row r="86" spans="2:16">
      <c r="B86" s="328" t="s">
        <v>361</v>
      </c>
      <c r="C86" s="317">
        <f>+C84*$G$72</f>
        <v>10815.75</v>
      </c>
      <c r="D86" s="317">
        <f>+D84*$G$72</f>
        <v>14184.242499999993</v>
      </c>
      <c r="E86" s="317">
        <f>+C86-D86</f>
        <v>-3368.492499999993</v>
      </c>
    </row>
    <row r="87" spans="2:16">
      <c r="B87" s="328" t="s">
        <v>259</v>
      </c>
      <c r="C87" s="317">
        <f>SUM(C85:C86)</f>
        <v>43263</v>
      </c>
      <c r="D87" s="317">
        <f>SUM(D85:D86)</f>
        <v>56736.969999999972</v>
      </c>
      <c r="E87" s="317">
        <f>+C87-D87</f>
        <v>-13473.969999999972</v>
      </c>
    </row>
    <row r="88" spans="2:16">
      <c r="B88" s="328"/>
      <c r="C88" s="276">
        <f>C84-C87</f>
        <v>0</v>
      </c>
      <c r="D88" s="276">
        <f>D84-D87</f>
        <v>0</v>
      </c>
    </row>
    <row r="89" spans="2:16">
      <c r="B89" s="328"/>
    </row>
    <row r="90" spans="2:16">
      <c r="F90" s="317" t="s">
        <v>352</v>
      </c>
      <c r="G90" s="317" t="s">
        <v>353</v>
      </c>
    </row>
    <row r="91" spans="2:16">
      <c r="B91" s="318" t="s">
        <v>372</v>
      </c>
      <c r="C91" s="319" t="s">
        <v>355</v>
      </c>
      <c r="D91" s="319" t="s">
        <v>356</v>
      </c>
      <c r="E91" s="319" t="s">
        <v>5</v>
      </c>
      <c r="F91" s="320">
        <f>+L93</f>
        <v>0.92800000000000005</v>
      </c>
      <c r="G91" s="321">
        <f>+L94</f>
        <v>7.1999999999999995E-2</v>
      </c>
      <c r="H91" s="319"/>
    </row>
    <row r="92" spans="2:16">
      <c r="B92" s="316" t="s">
        <v>87</v>
      </c>
      <c r="C92" s="276">
        <v>5000</v>
      </c>
      <c r="D92" s="276">
        <v>5000</v>
      </c>
      <c r="E92" s="276">
        <f t="shared" ref="E92:E99" si="15">+C92-D92</f>
        <v>0</v>
      </c>
      <c r="F92" s="276">
        <f t="shared" ref="F92:F99" si="16">+E92*$F$91</f>
        <v>0</v>
      </c>
      <c r="G92" s="276">
        <f t="shared" ref="G92:G99" si="17">+E92*$G$91</f>
        <v>0</v>
      </c>
      <c r="K92" s="3">
        <v>2017</v>
      </c>
      <c r="L92" s="3"/>
      <c r="M92" s="3">
        <v>2016</v>
      </c>
      <c r="N92" s="3"/>
      <c r="O92" s="3" t="s">
        <v>5</v>
      </c>
      <c r="P92" s="3"/>
    </row>
    <row r="93" spans="2:16">
      <c r="B93" s="316" t="s">
        <v>88</v>
      </c>
      <c r="C93" s="276">
        <v>0</v>
      </c>
      <c r="D93" s="276">
        <v>0</v>
      </c>
      <c r="E93" s="276">
        <f t="shared" si="15"/>
        <v>0</v>
      </c>
      <c r="F93" s="276">
        <f t="shared" si="16"/>
        <v>0</v>
      </c>
      <c r="G93" s="276">
        <f t="shared" si="17"/>
        <v>0</v>
      </c>
      <c r="J93" s="276" t="s">
        <v>293</v>
      </c>
      <c r="K93" s="286">
        <v>4640</v>
      </c>
      <c r="L93" s="287">
        <f>+K93/$K$95</f>
        <v>0.92800000000000005</v>
      </c>
      <c r="M93" s="286">
        <v>4640</v>
      </c>
      <c r="N93" s="287">
        <f>+M93/$M$95</f>
        <v>0.92800000000000005</v>
      </c>
      <c r="O93" s="286">
        <f>+K93-M93</f>
        <v>0</v>
      </c>
      <c r="P93" s="287">
        <f>+L93-N93</f>
        <v>0</v>
      </c>
    </row>
    <row r="94" spans="2:16">
      <c r="B94" s="316" t="s">
        <v>90</v>
      </c>
      <c r="C94" s="276">
        <v>0</v>
      </c>
      <c r="D94" s="276">
        <v>0</v>
      </c>
      <c r="E94" s="276">
        <f t="shared" si="15"/>
        <v>0</v>
      </c>
      <c r="F94" s="276">
        <f t="shared" si="16"/>
        <v>0</v>
      </c>
      <c r="G94" s="276">
        <f t="shared" si="17"/>
        <v>0</v>
      </c>
      <c r="J94" s="276" t="s">
        <v>296</v>
      </c>
      <c r="K94" s="291">
        <v>360</v>
      </c>
      <c r="L94" s="287">
        <f>+K94/$K$95</f>
        <v>7.1999999999999995E-2</v>
      </c>
      <c r="M94" s="291">
        <v>360</v>
      </c>
      <c r="N94" s="287">
        <f>+M94/$M$95</f>
        <v>7.1999999999999995E-2</v>
      </c>
      <c r="O94" s="286">
        <f>+K94-M94</f>
        <v>0</v>
      </c>
      <c r="P94" s="287">
        <f>+L94-N94</f>
        <v>0</v>
      </c>
    </row>
    <row r="95" spans="2:16">
      <c r="B95" s="316" t="s">
        <v>91</v>
      </c>
      <c r="C95" s="276">
        <v>0</v>
      </c>
      <c r="D95" s="276">
        <v>0</v>
      </c>
      <c r="E95" s="276">
        <f t="shared" si="15"/>
        <v>0</v>
      </c>
      <c r="F95" s="276">
        <f t="shared" si="16"/>
        <v>0</v>
      </c>
      <c r="G95" s="276">
        <f t="shared" si="17"/>
        <v>0</v>
      </c>
      <c r="K95" s="286">
        <f>SUM(K93:K94)</f>
        <v>5000</v>
      </c>
      <c r="L95" s="294"/>
      <c r="M95" s="286">
        <f>SUM(M93:M94)</f>
        <v>5000</v>
      </c>
      <c r="N95" s="294"/>
      <c r="O95" s="286">
        <f>SUM(O93:O94)</f>
        <v>0</v>
      </c>
      <c r="P95" s="294"/>
    </row>
    <row r="96" spans="2:16">
      <c r="B96" s="316" t="s">
        <v>92</v>
      </c>
      <c r="C96" s="276">
        <v>1226</v>
      </c>
      <c r="D96" s="276">
        <v>1226.1199999999999</v>
      </c>
      <c r="E96" s="276">
        <f t="shared" si="15"/>
        <v>-0.11999999999989086</v>
      </c>
      <c r="F96" s="276">
        <f t="shared" si="16"/>
        <v>-0.11135999999989872</v>
      </c>
      <c r="G96" s="276">
        <f t="shared" si="17"/>
        <v>-8.6399999999921418E-3</v>
      </c>
    </row>
    <row r="97" spans="2:16">
      <c r="B97" s="316" t="s">
        <v>93</v>
      </c>
      <c r="C97" s="276">
        <v>0</v>
      </c>
      <c r="D97" s="276">
        <v>0</v>
      </c>
      <c r="E97" s="276">
        <f t="shared" si="15"/>
        <v>0</v>
      </c>
      <c r="F97" s="276">
        <f t="shared" si="16"/>
        <v>0</v>
      </c>
      <c r="G97" s="276">
        <f t="shared" si="17"/>
        <v>0</v>
      </c>
    </row>
    <row r="98" spans="2:16">
      <c r="B98" s="316" t="s">
        <v>95</v>
      </c>
      <c r="C98" s="276">
        <v>1763</v>
      </c>
      <c r="D98" s="276">
        <v>1763</v>
      </c>
      <c r="E98" s="276">
        <f t="shared" si="15"/>
        <v>0</v>
      </c>
      <c r="F98" s="276">
        <f t="shared" si="16"/>
        <v>0</v>
      </c>
      <c r="G98" s="276">
        <f t="shared" si="17"/>
        <v>0</v>
      </c>
      <c r="I98" s="331" t="s">
        <v>373</v>
      </c>
    </row>
    <row r="99" spans="2:16">
      <c r="B99" s="316" t="s">
        <v>358</v>
      </c>
      <c r="C99" s="326">
        <v>0</v>
      </c>
      <c r="D99" s="326">
        <v>0</v>
      </c>
      <c r="E99" s="326">
        <f t="shared" si="15"/>
        <v>0</v>
      </c>
      <c r="F99" s="276">
        <f t="shared" si="16"/>
        <v>0</v>
      </c>
      <c r="G99" s="276">
        <f t="shared" si="17"/>
        <v>0</v>
      </c>
    </row>
    <row r="101" spans="2:16">
      <c r="B101" s="318" t="s">
        <v>374</v>
      </c>
      <c r="C101" s="317">
        <f>SUM(C92:C100)</f>
        <v>7989</v>
      </c>
      <c r="D101" s="317">
        <f>SUM(D92:D100)</f>
        <v>7989.12</v>
      </c>
      <c r="E101" s="317">
        <f>SUM(E92:E99)</f>
        <v>-0.11999999999989086</v>
      </c>
      <c r="F101" s="317"/>
      <c r="G101" s="317"/>
      <c r="H101" s="317"/>
    </row>
    <row r="102" spans="2:16">
      <c r="B102" s="328" t="s">
        <v>360</v>
      </c>
      <c r="C102" s="317">
        <f>+(C101)*$F$91</f>
        <v>7413.7920000000004</v>
      </c>
      <c r="D102" s="317">
        <f>+(D101)*$F$91</f>
        <v>7413.9033600000002</v>
      </c>
      <c r="E102" s="317">
        <f>+C102-D102</f>
        <v>-0.11135999999987689</v>
      </c>
      <c r="F102" s="317"/>
      <c r="G102" s="317"/>
      <c r="H102" s="317"/>
    </row>
    <row r="103" spans="2:16">
      <c r="B103" s="328" t="s">
        <v>361</v>
      </c>
      <c r="C103" s="317">
        <f>+C101*$G$91</f>
        <v>575.20799999999997</v>
      </c>
      <c r="D103" s="317">
        <f>+D101*$G$91</f>
        <v>575.21663999999998</v>
      </c>
      <c r="E103" s="317">
        <f>+C103-D103</f>
        <v>-8.6400000000139698E-3</v>
      </c>
      <c r="F103" s="317"/>
      <c r="G103" s="317"/>
      <c r="H103" s="317"/>
    </row>
    <row r="104" spans="2:16">
      <c r="B104" s="328" t="s">
        <v>259</v>
      </c>
      <c r="C104" s="317">
        <f>SUM(C102:C103)</f>
        <v>7989</v>
      </c>
      <c r="D104" s="317">
        <f>SUM(D102:D103)</f>
        <v>7989.12</v>
      </c>
      <c r="E104" s="317">
        <f>+C104-D104</f>
        <v>-0.11999999999989086</v>
      </c>
    </row>
    <row r="105" spans="2:16">
      <c r="B105" s="328"/>
      <c r="C105" s="276">
        <f>C101-C104</f>
        <v>0</v>
      </c>
      <c r="D105" s="276">
        <f>D101-D104</f>
        <v>0</v>
      </c>
    </row>
    <row r="107" spans="2:16">
      <c r="F107" s="317" t="s">
        <v>352</v>
      </c>
      <c r="G107" s="317" t="s">
        <v>353</v>
      </c>
    </row>
    <row r="108" spans="2:16">
      <c r="B108" s="318" t="s">
        <v>375</v>
      </c>
      <c r="C108" s="319" t="s">
        <v>355</v>
      </c>
      <c r="D108" s="319" t="s">
        <v>356</v>
      </c>
      <c r="E108" s="319" t="s">
        <v>5</v>
      </c>
      <c r="F108" s="320">
        <f>+L110</f>
        <v>0.6</v>
      </c>
      <c r="G108" s="321">
        <f>+L111</f>
        <v>0.4</v>
      </c>
      <c r="H108" s="319"/>
    </row>
    <row r="109" spans="2:16">
      <c r="B109" s="316" t="s">
        <v>87</v>
      </c>
      <c r="C109" s="276">
        <v>10000</v>
      </c>
      <c r="D109" s="276">
        <v>10000</v>
      </c>
      <c r="E109" s="276">
        <f t="shared" ref="E109:E116" si="18">+C109-D109</f>
        <v>0</v>
      </c>
      <c r="F109" s="276">
        <f t="shared" ref="F109:F116" si="19">+E109*$F$108</f>
        <v>0</v>
      </c>
      <c r="G109" s="276">
        <f t="shared" ref="G109:G116" si="20">+E109*$G$108</f>
        <v>0</v>
      </c>
      <c r="K109" s="3">
        <v>2017</v>
      </c>
      <c r="L109" s="3"/>
      <c r="M109" s="3">
        <v>2016</v>
      </c>
      <c r="N109" s="3"/>
      <c r="O109" s="3" t="s">
        <v>5</v>
      </c>
      <c r="P109" s="3"/>
    </row>
    <row r="110" spans="2:16">
      <c r="B110" s="316" t="s">
        <v>88</v>
      </c>
      <c r="C110" s="276">
        <v>0</v>
      </c>
      <c r="D110" s="276">
        <v>0</v>
      </c>
      <c r="E110" s="276">
        <f t="shared" si="18"/>
        <v>0</v>
      </c>
      <c r="F110" s="276">
        <f t="shared" si="19"/>
        <v>0</v>
      </c>
      <c r="G110" s="276">
        <f t="shared" si="20"/>
        <v>0</v>
      </c>
      <c r="J110" s="276" t="s">
        <v>293</v>
      </c>
      <c r="K110" s="286">
        <v>6000</v>
      </c>
      <c r="L110" s="287">
        <f>+K110/$K$112</f>
        <v>0.6</v>
      </c>
      <c r="M110" s="286">
        <v>6000</v>
      </c>
      <c r="N110" s="287">
        <f>+M110/$M$112</f>
        <v>0.6</v>
      </c>
      <c r="O110" s="286">
        <f>+K110-M110</f>
        <v>0</v>
      </c>
      <c r="P110" s="287">
        <f>+L110-N110</f>
        <v>0</v>
      </c>
    </row>
    <row r="111" spans="2:16">
      <c r="B111" s="316" t="s">
        <v>90</v>
      </c>
      <c r="C111" s="276">
        <v>0</v>
      </c>
      <c r="D111" s="276">
        <v>0</v>
      </c>
      <c r="E111" s="276">
        <f t="shared" si="18"/>
        <v>0</v>
      </c>
      <c r="F111" s="276">
        <f t="shared" si="19"/>
        <v>0</v>
      </c>
      <c r="G111" s="276">
        <f t="shared" si="20"/>
        <v>0</v>
      </c>
      <c r="J111" s="276" t="s">
        <v>296</v>
      </c>
      <c r="K111" s="291">
        <v>4000</v>
      </c>
      <c r="L111" s="287">
        <f>+K111/$K$112</f>
        <v>0.4</v>
      </c>
      <c r="M111" s="291">
        <v>4000</v>
      </c>
      <c r="N111" s="287">
        <f>+M111/$M$112</f>
        <v>0.4</v>
      </c>
      <c r="O111" s="286">
        <f>+K111-M111</f>
        <v>0</v>
      </c>
      <c r="P111" s="287">
        <f>+L111-N111</f>
        <v>0</v>
      </c>
    </row>
    <row r="112" spans="2:16">
      <c r="B112" s="316" t="s">
        <v>91</v>
      </c>
      <c r="C112" s="276">
        <v>0</v>
      </c>
      <c r="D112" s="276">
        <v>0</v>
      </c>
      <c r="E112" s="276">
        <f t="shared" si="18"/>
        <v>0</v>
      </c>
      <c r="F112" s="276">
        <f t="shared" si="19"/>
        <v>0</v>
      </c>
      <c r="G112" s="276">
        <f t="shared" si="20"/>
        <v>0</v>
      </c>
      <c r="K112" s="286">
        <f>SUM(K110:K111)</f>
        <v>10000</v>
      </c>
      <c r="L112" s="294"/>
      <c r="M112" s="286">
        <f>SUM(M110:M111)</f>
        <v>10000</v>
      </c>
      <c r="N112" s="294"/>
      <c r="O112" s="286">
        <f>SUM(O110:O111)</f>
        <v>0</v>
      </c>
      <c r="P112" s="294"/>
    </row>
    <row r="113" spans="2:16">
      <c r="B113" s="316" t="s">
        <v>92</v>
      </c>
      <c r="C113" s="276">
        <v>0</v>
      </c>
      <c r="D113" s="276">
        <v>0</v>
      </c>
      <c r="E113" s="276">
        <f t="shared" si="18"/>
        <v>0</v>
      </c>
      <c r="F113" s="276">
        <f t="shared" si="19"/>
        <v>0</v>
      </c>
      <c r="G113" s="276">
        <f t="shared" si="20"/>
        <v>0</v>
      </c>
    </row>
    <row r="114" spans="2:16">
      <c r="B114" s="316" t="s">
        <v>93</v>
      </c>
      <c r="C114" s="276">
        <v>0</v>
      </c>
      <c r="D114" s="276">
        <v>0</v>
      </c>
      <c r="E114" s="276">
        <f t="shared" si="18"/>
        <v>0</v>
      </c>
      <c r="F114" s="276">
        <f t="shared" si="19"/>
        <v>0</v>
      </c>
      <c r="G114" s="276">
        <f t="shared" si="20"/>
        <v>0</v>
      </c>
    </row>
    <row r="115" spans="2:16">
      <c r="B115" s="316" t="s">
        <v>95</v>
      </c>
      <c r="C115" s="276">
        <v>0</v>
      </c>
      <c r="D115" s="276">
        <v>0</v>
      </c>
      <c r="E115" s="276">
        <f t="shared" si="18"/>
        <v>0</v>
      </c>
      <c r="F115" s="276">
        <f t="shared" si="19"/>
        <v>0</v>
      </c>
      <c r="G115" s="276">
        <f t="shared" si="20"/>
        <v>0</v>
      </c>
    </row>
    <row r="116" spans="2:16">
      <c r="B116" s="316" t="s">
        <v>358</v>
      </c>
      <c r="C116" s="326">
        <v>0</v>
      </c>
      <c r="D116" s="326">
        <v>0</v>
      </c>
      <c r="E116" s="326">
        <f t="shared" si="18"/>
        <v>0</v>
      </c>
      <c r="F116" s="276">
        <f t="shared" si="19"/>
        <v>0</v>
      </c>
      <c r="G116" s="276">
        <f t="shared" si="20"/>
        <v>0</v>
      </c>
    </row>
    <row r="118" spans="2:16">
      <c r="B118" s="318" t="s">
        <v>374</v>
      </c>
      <c r="C118" s="317">
        <f>SUM(C109:C117)</f>
        <v>10000</v>
      </c>
      <c r="D118" s="317">
        <f>SUM(D109:D117)</f>
        <v>10000</v>
      </c>
      <c r="E118" s="317">
        <f>SUM(E109:E116)</f>
        <v>0</v>
      </c>
      <c r="F118" s="317"/>
      <c r="G118" s="317"/>
      <c r="H118" s="317"/>
    </row>
    <row r="119" spans="2:16">
      <c r="B119" s="328" t="s">
        <v>360</v>
      </c>
      <c r="C119" s="317">
        <f>+(C118)*$F$108</f>
        <v>6000</v>
      </c>
      <c r="D119" s="317">
        <f>+(D118)*$F$108</f>
        <v>6000</v>
      </c>
      <c r="E119" s="317">
        <f>+C119-D119</f>
        <v>0</v>
      </c>
      <c r="F119" s="317"/>
      <c r="G119" s="317"/>
      <c r="H119" s="317"/>
    </row>
    <row r="120" spans="2:16">
      <c r="B120" s="328" t="s">
        <v>361</v>
      </c>
      <c r="C120" s="317">
        <f>+C118*$G$108</f>
        <v>4000</v>
      </c>
      <c r="D120" s="317">
        <f>+D118*$G$108</f>
        <v>4000</v>
      </c>
      <c r="E120" s="317">
        <f>+C120-D120</f>
        <v>0</v>
      </c>
    </row>
    <row r="121" spans="2:16">
      <c r="B121" s="328" t="s">
        <v>259</v>
      </c>
      <c r="C121" s="317">
        <f>SUM(C119:C120)</f>
        <v>10000</v>
      </c>
      <c r="D121" s="317">
        <f>SUM(D119:D120)</f>
        <v>10000</v>
      </c>
      <c r="E121" s="317">
        <f>+C121-D121</f>
        <v>0</v>
      </c>
    </row>
    <row r="122" spans="2:16">
      <c r="B122" s="328"/>
      <c r="C122" s="276">
        <f>C118-C121</f>
        <v>0</v>
      </c>
      <c r="D122" s="276">
        <f>D118-D121</f>
        <v>0</v>
      </c>
    </row>
    <row r="123" spans="2:16">
      <c r="B123" s="328"/>
      <c r="C123" s="317"/>
      <c r="D123" s="317"/>
      <c r="E123" s="317"/>
    </row>
    <row r="124" spans="2:16">
      <c r="F124" s="317" t="s">
        <v>352</v>
      </c>
      <c r="G124" s="317" t="s">
        <v>353</v>
      </c>
    </row>
    <row r="125" spans="2:16">
      <c r="B125" s="318" t="s">
        <v>376</v>
      </c>
      <c r="C125" s="319" t="s">
        <v>355</v>
      </c>
      <c r="D125" s="319" t="s">
        <v>356</v>
      </c>
      <c r="E125" s="319" t="s">
        <v>5</v>
      </c>
      <c r="F125" s="320">
        <f>+L127</f>
        <v>0.99995000000000001</v>
      </c>
      <c r="G125" s="321">
        <f>+L128</f>
        <v>5.0000000000000002E-5</v>
      </c>
      <c r="H125" s="319"/>
    </row>
    <row r="126" spans="2:16">
      <c r="B126" s="316" t="s">
        <v>87</v>
      </c>
      <c r="C126" s="276">
        <v>800</v>
      </c>
      <c r="D126" s="276">
        <v>800</v>
      </c>
      <c r="E126" s="276">
        <f t="shared" ref="E126:E133" si="21">+C126-D126</f>
        <v>0</v>
      </c>
      <c r="F126" s="276">
        <f t="shared" ref="F126:F133" si="22">+E126*$F$125</f>
        <v>0</v>
      </c>
      <c r="G126" s="276">
        <f t="shared" ref="G126:G133" si="23">+E126*$G$125</f>
        <v>0</v>
      </c>
      <c r="K126" s="3">
        <v>2017</v>
      </c>
      <c r="L126" s="3"/>
      <c r="M126" s="3">
        <v>2016</v>
      </c>
      <c r="N126" s="3"/>
      <c r="O126" s="3" t="s">
        <v>5</v>
      </c>
      <c r="P126" s="3"/>
    </row>
    <row r="127" spans="2:16">
      <c r="B127" s="316" t="s">
        <v>88</v>
      </c>
      <c r="C127" s="276">
        <v>0</v>
      </c>
      <c r="D127" s="276">
        <v>0</v>
      </c>
      <c r="E127" s="276">
        <f t="shared" si="21"/>
        <v>0</v>
      </c>
      <c r="F127" s="276">
        <f t="shared" si="22"/>
        <v>0</v>
      </c>
      <c r="G127" s="276">
        <f t="shared" si="23"/>
        <v>0</v>
      </c>
      <c r="J127" s="276" t="s">
        <v>293</v>
      </c>
      <c r="K127" s="286">
        <v>799.96</v>
      </c>
      <c r="L127" s="287">
        <f>+K127/$K$129</f>
        <v>0.99995000000000001</v>
      </c>
      <c r="M127" s="286">
        <v>799.96</v>
      </c>
      <c r="N127" s="287">
        <f>+M127/$M$129</f>
        <v>0.99995000000000001</v>
      </c>
      <c r="O127" s="286">
        <f>+K127-M127</f>
        <v>0</v>
      </c>
      <c r="P127" s="287">
        <f>+L127-N127</f>
        <v>0</v>
      </c>
    </row>
    <row r="128" spans="2:16">
      <c r="B128" s="316" t="s">
        <v>90</v>
      </c>
      <c r="C128" s="276">
        <v>0</v>
      </c>
      <c r="D128" s="276">
        <v>0</v>
      </c>
      <c r="E128" s="276">
        <f t="shared" si="21"/>
        <v>0</v>
      </c>
      <c r="F128" s="276">
        <f t="shared" si="22"/>
        <v>0</v>
      </c>
      <c r="G128" s="276">
        <f t="shared" si="23"/>
        <v>0</v>
      </c>
      <c r="J128" s="276" t="s">
        <v>296</v>
      </c>
      <c r="K128" s="291">
        <v>0.04</v>
      </c>
      <c r="L128" s="287">
        <f>+K128/$K$129</f>
        <v>5.0000000000000002E-5</v>
      </c>
      <c r="M128" s="291">
        <v>0.04</v>
      </c>
      <c r="N128" s="287">
        <f>+M128/$M$129</f>
        <v>5.0000000000000002E-5</v>
      </c>
      <c r="O128" s="286">
        <f>+K128-M128</f>
        <v>0</v>
      </c>
      <c r="P128" s="287">
        <f>+L128-N128</f>
        <v>0</v>
      </c>
    </row>
    <row r="129" spans="2:16">
      <c r="B129" s="316" t="s">
        <v>91</v>
      </c>
      <c r="C129" s="276">
        <v>0</v>
      </c>
      <c r="D129" s="276">
        <v>0</v>
      </c>
      <c r="E129" s="276">
        <f t="shared" si="21"/>
        <v>0</v>
      </c>
      <c r="F129" s="276">
        <f t="shared" si="22"/>
        <v>0</v>
      </c>
      <c r="G129" s="276">
        <f t="shared" si="23"/>
        <v>0</v>
      </c>
      <c r="K129" s="286">
        <f>SUM(K127:K128)</f>
        <v>800</v>
      </c>
      <c r="L129" s="294"/>
      <c r="M129" s="286">
        <f>SUM(M127:M128)</f>
        <v>800</v>
      </c>
      <c r="N129" s="294"/>
      <c r="O129" s="286">
        <f>SUM(O127:O128)</f>
        <v>0</v>
      </c>
      <c r="P129" s="294"/>
    </row>
    <row r="130" spans="2:16">
      <c r="B130" s="316" t="s">
        <v>92</v>
      </c>
      <c r="C130" s="276">
        <v>340.17</v>
      </c>
      <c r="D130" s="276">
        <v>340.17</v>
      </c>
      <c r="E130" s="276">
        <f t="shared" si="21"/>
        <v>0</v>
      </c>
      <c r="F130" s="276">
        <f t="shared" si="22"/>
        <v>0</v>
      </c>
      <c r="G130" s="276">
        <f t="shared" si="23"/>
        <v>0</v>
      </c>
    </row>
    <row r="131" spans="2:16">
      <c r="B131" s="316" t="s">
        <v>93</v>
      </c>
      <c r="C131" s="276">
        <v>0</v>
      </c>
      <c r="D131" s="276">
        <v>0</v>
      </c>
      <c r="E131" s="276">
        <f t="shared" si="21"/>
        <v>0</v>
      </c>
      <c r="F131" s="276">
        <f t="shared" si="22"/>
        <v>0</v>
      </c>
      <c r="G131" s="276">
        <f t="shared" si="23"/>
        <v>0</v>
      </c>
    </row>
    <row r="132" spans="2:16">
      <c r="B132" s="316" t="s">
        <v>95</v>
      </c>
      <c r="C132" s="276">
        <v>0</v>
      </c>
      <c r="D132" s="276">
        <v>0</v>
      </c>
      <c r="E132" s="276">
        <f t="shared" si="21"/>
        <v>0</v>
      </c>
      <c r="F132" s="276">
        <f t="shared" si="22"/>
        <v>0</v>
      </c>
      <c r="G132" s="276">
        <f t="shared" si="23"/>
        <v>0</v>
      </c>
    </row>
    <row r="133" spans="2:16">
      <c r="B133" s="316" t="s">
        <v>358</v>
      </c>
      <c r="C133" s="326">
        <v>0</v>
      </c>
      <c r="D133" s="326">
        <v>0</v>
      </c>
      <c r="E133" s="326">
        <f t="shared" si="21"/>
        <v>0</v>
      </c>
      <c r="F133" s="276">
        <f t="shared" si="22"/>
        <v>0</v>
      </c>
      <c r="G133" s="276">
        <f t="shared" si="23"/>
        <v>0</v>
      </c>
    </row>
    <row r="135" spans="2:16">
      <c r="B135" s="318" t="s">
        <v>374</v>
      </c>
      <c r="C135" s="317">
        <f>SUM(C126:C134)</f>
        <v>1140.17</v>
      </c>
      <c r="D135" s="317">
        <f>SUM(D126:D134)</f>
        <v>1140.17</v>
      </c>
      <c r="E135" s="317">
        <f>SUM(E126:E133)</f>
        <v>0</v>
      </c>
      <c r="F135" s="317"/>
      <c r="G135" s="317"/>
      <c r="H135" s="317"/>
    </row>
    <row r="136" spans="2:16">
      <c r="B136" s="328" t="s">
        <v>360</v>
      </c>
      <c r="C136" s="317">
        <f>+(C135)*$F$125</f>
        <v>1140.1129915000001</v>
      </c>
      <c r="D136" s="317">
        <f>+(D135)*$F$125</f>
        <v>1140.1129915000001</v>
      </c>
      <c r="E136" s="317"/>
      <c r="F136" s="317"/>
      <c r="G136" s="317"/>
      <c r="H136" s="317"/>
    </row>
    <row r="137" spans="2:16">
      <c r="B137" s="328" t="s">
        <v>361</v>
      </c>
      <c r="C137" s="333">
        <f>+C135*$G$125</f>
        <v>5.7008500000000004E-2</v>
      </c>
      <c r="D137" s="333">
        <f>+D135*$G$125</f>
        <v>5.7008500000000004E-2</v>
      </c>
      <c r="E137" s="317">
        <f>+C137-D137</f>
        <v>0</v>
      </c>
    </row>
    <row r="138" spans="2:16">
      <c r="B138" s="328" t="s">
        <v>259</v>
      </c>
      <c r="C138" s="317">
        <f>SUM(C136:C137)</f>
        <v>1140.17</v>
      </c>
      <c r="D138" s="317">
        <f>SUM(D136:D137)</f>
        <v>1140.17</v>
      </c>
      <c r="E138" s="317">
        <f>+C138-D138</f>
        <v>0</v>
      </c>
    </row>
    <row r="139" spans="2:16">
      <c r="B139" s="328"/>
      <c r="C139" s="276">
        <f>C135-C138</f>
        <v>0</v>
      </c>
      <c r="D139" s="276">
        <f>D135-D138</f>
        <v>0</v>
      </c>
    </row>
    <row r="140" spans="2:16">
      <c r="F140" s="317" t="s">
        <v>352</v>
      </c>
      <c r="G140" s="317" t="s">
        <v>353</v>
      </c>
    </row>
    <row r="141" spans="2:16">
      <c r="B141" s="318" t="s">
        <v>377</v>
      </c>
      <c r="C141" s="319" t="s">
        <v>355</v>
      </c>
      <c r="D141" s="319" t="s">
        <v>356</v>
      </c>
      <c r="E141" s="319" t="s">
        <v>5</v>
      </c>
      <c r="F141" s="320">
        <f>+L143</f>
        <v>0.92500000000000004</v>
      </c>
      <c r="G141" s="321">
        <f>+L144</f>
        <v>7.4999999999999997E-2</v>
      </c>
      <c r="H141" s="319"/>
    </row>
    <row r="142" spans="2:16">
      <c r="B142" s="316" t="s">
        <v>87</v>
      </c>
      <c r="C142" s="276">
        <v>800</v>
      </c>
      <c r="D142" s="276">
        <v>800</v>
      </c>
      <c r="E142" s="276">
        <f t="shared" ref="E142:E149" si="24">+C142-D142</f>
        <v>0</v>
      </c>
      <c r="F142" s="276">
        <f t="shared" ref="F142:F149" si="25">+E142*$F$141</f>
        <v>0</v>
      </c>
      <c r="G142" s="276">
        <f t="shared" ref="G142:G149" si="26">+E142*$G$141</f>
        <v>0</v>
      </c>
      <c r="K142" s="3">
        <v>2017</v>
      </c>
      <c r="L142" s="3"/>
      <c r="M142" s="3">
        <v>2016</v>
      </c>
      <c r="N142" s="3"/>
      <c r="O142" s="3" t="s">
        <v>5</v>
      </c>
      <c r="P142" s="3"/>
    </row>
    <row r="143" spans="2:16">
      <c r="B143" s="316" t="s">
        <v>88</v>
      </c>
      <c r="C143" s="276">
        <f>'ESF - ERI'!AB49</f>
        <v>1833417</v>
      </c>
      <c r="D143" s="276">
        <v>0</v>
      </c>
      <c r="E143" s="276">
        <f t="shared" si="24"/>
        <v>1833417</v>
      </c>
      <c r="F143" s="276">
        <f t="shared" si="25"/>
        <v>1695910.7250000001</v>
      </c>
      <c r="G143" s="276">
        <f t="shared" si="26"/>
        <v>137506.27499999999</v>
      </c>
      <c r="J143" s="276" t="s">
        <v>293</v>
      </c>
      <c r="K143" s="286">
        <v>740</v>
      </c>
      <c r="L143" s="287">
        <f>+K143/$K$145</f>
        <v>0.92500000000000004</v>
      </c>
      <c r="M143" s="286">
        <v>740</v>
      </c>
      <c r="N143" s="287">
        <f>+M143/$M$145</f>
        <v>0.92500000000000004</v>
      </c>
      <c r="O143" s="286">
        <f>+K143-M143</f>
        <v>0</v>
      </c>
      <c r="P143" s="287">
        <f>+L143-N143</f>
        <v>0</v>
      </c>
    </row>
    <row r="144" spans="2:16">
      <c r="B144" s="316" t="s">
        <v>90</v>
      </c>
      <c r="C144" s="276">
        <v>0</v>
      </c>
      <c r="D144" s="276">
        <v>0</v>
      </c>
      <c r="E144" s="276">
        <f t="shared" si="24"/>
        <v>0</v>
      </c>
      <c r="F144" s="276">
        <f t="shared" si="25"/>
        <v>0</v>
      </c>
      <c r="G144" s="276">
        <f t="shared" si="26"/>
        <v>0</v>
      </c>
      <c r="J144" s="276" t="s">
        <v>296</v>
      </c>
      <c r="K144" s="291">
        <v>60</v>
      </c>
      <c r="L144" s="287">
        <f>+K144/$K$145</f>
        <v>7.4999999999999997E-2</v>
      </c>
      <c r="M144" s="291">
        <v>60</v>
      </c>
      <c r="N144" s="287">
        <f>+M144/$M$145</f>
        <v>7.4999999999999997E-2</v>
      </c>
      <c r="O144" s="286">
        <f>+K144-M144</f>
        <v>0</v>
      </c>
      <c r="P144" s="287">
        <f>+L144-N144</f>
        <v>0</v>
      </c>
    </row>
    <row r="145" spans="2:16">
      <c r="B145" s="316" t="s">
        <v>91</v>
      </c>
      <c r="C145" s="276">
        <v>0</v>
      </c>
      <c r="D145" s="276">
        <v>0</v>
      </c>
      <c r="E145" s="276">
        <f t="shared" si="24"/>
        <v>0</v>
      </c>
      <c r="F145" s="276">
        <f t="shared" si="25"/>
        <v>0</v>
      </c>
      <c r="G145" s="276">
        <f t="shared" si="26"/>
        <v>0</v>
      </c>
      <c r="K145" s="286">
        <f>SUM(K143:K144)</f>
        <v>800</v>
      </c>
      <c r="L145" s="294"/>
      <c r="M145" s="286">
        <f>SUM(M143:M144)</f>
        <v>800</v>
      </c>
      <c r="N145" s="294"/>
      <c r="O145" s="286">
        <f>SUM(O143:O144)</f>
        <v>0</v>
      </c>
      <c r="P145" s="294"/>
    </row>
    <row r="146" spans="2:16">
      <c r="B146" s="316" t="s">
        <v>92</v>
      </c>
      <c r="C146" s="276">
        <v>0</v>
      </c>
      <c r="D146" s="276">
        <v>0</v>
      </c>
      <c r="E146" s="276">
        <f t="shared" si="24"/>
        <v>0</v>
      </c>
      <c r="F146" s="276">
        <f t="shared" si="25"/>
        <v>0</v>
      </c>
      <c r="G146" s="276">
        <f t="shared" si="26"/>
        <v>0</v>
      </c>
    </row>
    <row r="147" spans="2:16">
      <c r="B147" s="316" t="s">
        <v>93</v>
      </c>
      <c r="C147" s="276">
        <v>0</v>
      </c>
      <c r="D147" s="276">
        <v>0</v>
      </c>
      <c r="E147" s="276">
        <f t="shared" si="24"/>
        <v>0</v>
      </c>
      <c r="F147" s="276">
        <f t="shared" si="25"/>
        <v>0</v>
      </c>
      <c r="G147" s="276">
        <f t="shared" si="26"/>
        <v>0</v>
      </c>
    </row>
    <row r="148" spans="2:16">
      <c r="B148" s="316" t="s">
        <v>95</v>
      </c>
      <c r="C148" s="276">
        <f>'ESF - ERI'!AB55</f>
        <v>-15422</v>
      </c>
      <c r="D148" s="276">
        <v>0</v>
      </c>
      <c r="E148" s="276">
        <f t="shared" si="24"/>
        <v>-15422</v>
      </c>
      <c r="F148" s="276">
        <f t="shared" si="25"/>
        <v>-14265.35</v>
      </c>
      <c r="G148" s="276">
        <f t="shared" si="26"/>
        <v>-1156.6499999999999</v>
      </c>
    </row>
    <row r="149" spans="2:16">
      <c r="B149" s="316" t="s">
        <v>358</v>
      </c>
      <c r="C149" s="326">
        <f>'ESF - ERI'!AB56</f>
        <v>-344143</v>
      </c>
      <c r="D149" s="326">
        <v>-15422</v>
      </c>
      <c r="E149" s="326">
        <f t="shared" si="24"/>
        <v>-328721</v>
      </c>
      <c r="F149" s="276">
        <f t="shared" si="25"/>
        <v>-304066.92499999999</v>
      </c>
      <c r="G149" s="276">
        <f t="shared" si="26"/>
        <v>-24654.075000000001</v>
      </c>
    </row>
    <row r="151" spans="2:16">
      <c r="B151" s="318" t="s">
        <v>374</v>
      </c>
      <c r="C151" s="317">
        <f>SUM(C142:C150)</f>
        <v>1474652</v>
      </c>
      <c r="D151" s="317">
        <f>SUM(D142:D150)</f>
        <v>-14622</v>
      </c>
      <c r="E151" s="317">
        <f>SUM(E142:E149)</f>
        <v>1489274</v>
      </c>
      <c r="F151" s="317"/>
      <c r="G151" s="317"/>
      <c r="H151" s="317"/>
    </row>
    <row r="152" spans="2:16">
      <c r="B152" s="328" t="s">
        <v>360</v>
      </c>
      <c r="C152" s="317">
        <f>+(C151)*$F$141</f>
        <v>1364053.1</v>
      </c>
      <c r="D152" s="317">
        <f>+(D151)*$F$141</f>
        <v>-13525.35</v>
      </c>
      <c r="E152" s="317">
        <f>+C152-D152</f>
        <v>1377578.4500000002</v>
      </c>
      <c r="F152" s="317"/>
      <c r="G152" s="317"/>
      <c r="H152" s="317"/>
    </row>
    <row r="153" spans="2:16">
      <c r="B153" s="328" t="s">
        <v>361</v>
      </c>
      <c r="C153" s="317">
        <f>+C151*$G$141</f>
        <v>110598.9</v>
      </c>
      <c r="D153" s="317">
        <f>+D151*$G$141</f>
        <v>-1096.6499999999999</v>
      </c>
      <c r="E153" s="317">
        <f>+C153-D153</f>
        <v>111695.54999999999</v>
      </c>
    </row>
    <row r="154" spans="2:16">
      <c r="B154" s="328" t="s">
        <v>259</v>
      </c>
      <c r="C154" s="317">
        <f>SUM(C152:C153)</f>
        <v>1474652</v>
      </c>
      <c r="D154" s="317">
        <f>SUM(D152:D153)</f>
        <v>-14622</v>
      </c>
      <c r="E154" s="317">
        <f>+C154-D154</f>
        <v>1489274</v>
      </c>
    </row>
    <row r="155" spans="2:16">
      <c r="B155" s="328"/>
      <c r="C155" s="276">
        <f>C151-C154</f>
        <v>0</v>
      </c>
      <c r="D155" s="276">
        <f>D151-D154</f>
        <v>0</v>
      </c>
    </row>
    <row r="157" spans="2:16">
      <c r="F157" s="317" t="s">
        <v>352</v>
      </c>
      <c r="G157" s="317" t="s">
        <v>353</v>
      </c>
    </row>
    <row r="158" spans="2:16">
      <c r="B158" s="318" t="s">
        <v>378</v>
      </c>
      <c r="C158" s="319" t="s">
        <v>355</v>
      </c>
      <c r="D158" s="319" t="s">
        <v>356</v>
      </c>
      <c r="E158" s="319" t="s">
        <v>5</v>
      </c>
      <c r="F158" s="320">
        <f>+L160</f>
        <v>0.98</v>
      </c>
      <c r="G158" s="321">
        <f>+L161</f>
        <v>0.02</v>
      </c>
      <c r="H158" s="319"/>
    </row>
    <row r="159" spans="2:16">
      <c r="B159" s="316" t="s">
        <v>87</v>
      </c>
      <c r="C159" s="276">
        <v>3661400</v>
      </c>
      <c r="D159" s="276">
        <v>3661400</v>
      </c>
      <c r="E159" s="276">
        <f t="shared" ref="E159:E166" si="27">+C159-D159</f>
        <v>0</v>
      </c>
      <c r="F159" s="276">
        <f t="shared" ref="F159:F166" si="28">+E159*$F$158</f>
        <v>0</v>
      </c>
      <c r="G159" s="276">
        <f t="shared" ref="G159:G166" si="29">+E159*$G$158</f>
        <v>0</v>
      </c>
      <c r="K159" s="3">
        <v>2017</v>
      </c>
      <c r="L159" s="3"/>
      <c r="M159" s="3">
        <v>2016</v>
      </c>
      <c r="N159" s="3"/>
    </row>
    <row r="160" spans="2:16">
      <c r="B160" s="316" t="s">
        <v>88</v>
      </c>
      <c r="C160" s="276">
        <v>406800</v>
      </c>
      <c r="D160" s="276">
        <v>112799</v>
      </c>
      <c r="E160" s="276">
        <f t="shared" si="27"/>
        <v>294001</v>
      </c>
      <c r="F160" s="276">
        <f t="shared" si="28"/>
        <v>288120.98</v>
      </c>
      <c r="G160" s="276">
        <f t="shared" si="29"/>
        <v>5880.02</v>
      </c>
      <c r="J160" s="276" t="s">
        <v>293</v>
      </c>
      <c r="K160" s="334">
        <v>3588172</v>
      </c>
      <c r="L160" s="287">
        <f>K160/K162</f>
        <v>0.98</v>
      </c>
      <c r="M160" s="334">
        <v>3588172</v>
      </c>
      <c r="N160" s="287">
        <f>M160/M162</f>
        <v>0.98</v>
      </c>
    </row>
    <row r="161" spans="2:14">
      <c r="B161" s="316" t="s">
        <v>90</v>
      </c>
      <c r="C161" s="276">
        <v>0</v>
      </c>
      <c r="D161" s="276">
        <v>0</v>
      </c>
      <c r="E161" s="276">
        <f t="shared" si="27"/>
        <v>0</v>
      </c>
      <c r="F161" s="276">
        <f t="shared" si="28"/>
        <v>0</v>
      </c>
      <c r="G161" s="276">
        <f t="shared" si="29"/>
        <v>0</v>
      </c>
      <c r="J161" s="276" t="s">
        <v>296</v>
      </c>
      <c r="K161" s="327">
        <f>3661400-K160</f>
        <v>73228</v>
      </c>
      <c r="L161" s="287">
        <f>K161/K162</f>
        <v>0.02</v>
      </c>
      <c r="M161" s="327">
        <f>3661400-M160</f>
        <v>73228</v>
      </c>
      <c r="N161" s="287">
        <f>M161/M162</f>
        <v>0.02</v>
      </c>
    </row>
    <row r="162" spans="2:14">
      <c r="B162" s="316" t="s">
        <v>91</v>
      </c>
      <c r="C162" s="276">
        <v>0</v>
      </c>
      <c r="D162" s="276">
        <v>0</v>
      </c>
      <c r="E162" s="276">
        <f t="shared" si="27"/>
        <v>0</v>
      </c>
      <c r="F162" s="276">
        <f t="shared" si="28"/>
        <v>0</v>
      </c>
      <c r="G162" s="276">
        <f t="shared" si="29"/>
        <v>0</v>
      </c>
      <c r="K162" s="334">
        <f>SUM(K160:K161)</f>
        <v>3661400</v>
      </c>
      <c r="L162" s="294"/>
      <c r="M162" s="334">
        <f>SUM(M160:M161)</f>
        <v>3661400</v>
      </c>
      <c r="N162" s="294"/>
    </row>
    <row r="163" spans="2:14">
      <c r="B163" s="316" t="s">
        <v>92</v>
      </c>
      <c r="C163" s="276">
        <v>274690</v>
      </c>
      <c r="D163" s="276">
        <v>0</v>
      </c>
      <c r="E163" s="276">
        <f t="shared" si="27"/>
        <v>274690</v>
      </c>
      <c r="F163" s="276">
        <f t="shared" si="28"/>
        <v>269196.2</v>
      </c>
      <c r="G163" s="276">
        <f t="shared" si="29"/>
        <v>5493.8</v>
      </c>
    </row>
    <row r="164" spans="2:14">
      <c r="B164" s="316" t="s">
        <v>93</v>
      </c>
      <c r="C164" s="276">
        <v>-56932</v>
      </c>
      <c r="D164" s="276">
        <v>-56932</v>
      </c>
      <c r="E164" s="276">
        <f t="shared" si="27"/>
        <v>0</v>
      </c>
      <c r="F164" s="276">
        <f t="shared" si="28"/>
        <v>0</v>
      </c>
      <c r="G164" s="276">
        <f t="shared" si="29"/>
        <v>0</v>
      </c>
    </row>
    <row r="165" spans="2:14">
      <c r="B165" s="316" t="s">
        <v>95</v>
      </c>
      <c r="C165" s="276">
        <v>-3886526</v>
      </c>
      <c r="D165" s="276">
        <v>-3026105</v>
      </c>
      <c r="E165" s="276">
        <f t="shared" si="27"/>
        <v>-860421</v>
      </c>
      <c r="F165" s="276">
        <f t="shared" si="28"/>
        <v>-843212.58</v>
      </c>
      <c r="G165" s="276">
        <f t="shared" si="29"/>
        <v>-17208.420000000002</v>
      </c>
    </row>
    <row r="166" spans="2:14">
      <c r="B166" s="316" t="s">
        <v>358</v>
      </c>
      <c r="C166" s="326">
        <v>-502401</v>
      </c>
      <c r="D166" s="326">
        <v>-494302</v>
      </c>
      <c r="E166" s="326">
        <f t="shared" si="27"/>
        <v>-8099</v>
      </c>
      <c r="F166" s="276">
        <f t="shared" si="28"/>
        <v>-7937.0199999999995</v>
      </c>
      <c r="G166" s="276">
        <f t="shared" si="29"/>
        <v>-161.97999999999999</v>
      </c>
    </row>
    <row r="168" spans="2:14">
      <c r="B168" s="318" t="s">
        <v>374</v>
      </c>
      <c r="C168" s="317">
        <f>SUM(C159:C167)</f>
        <v>-102969</v>
      </c>
      <c r="D168" s="317">
        <f>SUM(D159:D167)</f>
        <v>196860</v>
      </c>
      <c r="E168" s="317">
        <f>SUM(E159:E166)</f>
        <v>-299829</v>
      </c>
      <c r="F168" s="317"/>
      <c r="G168" s="317"/>
      <c r="H168" s="317"/>
    </row>
    <row r="169" spans="2:14">
      <c r="B169" s="328"/>
      <c r="C169" s="317"/>
      <c r="D169" s="317"/>
      <c r="E169" s="317"/>
    </row>
    <row r="170" spans="2:14">
      <c r="B170" s="328"/>
      <c r="C170" s="317"/>
      <c r="D170" s="317"/>
      <c r="E170" s="317"/>
    </row>
    <row r="173" spans="2:14">
      <c r="B173" s="335" t="s">
        <v>379</v>
      </c>
      <c r="C173" s="276">
        <f>C168-C160</f>
        <v>-509769</v>
      </c>
      <c r="D173" s="276">
        <f>D168-D160</f>
        <v>84061</v>
      </c>
      <c r="E173" s="276" t="s">
        <v>380</v>
      </c>
    </row>
    <row r="174" spans="2:14">
      <c r="B174" s="276"/>
    </row>
    <row r="175" spans="2:14">
      <c r="B175" s="335" t="s">
        <v>297</v>
      </c>
      <c r="C175" s="276" t="e">
        <f>#REF!</f>
        <v>#REF!</v>
      </c>
      <c r="D175" s="276" t="e">
        <f>#REF!</f>
        <v>#REF!</v>
      </c>
      <c r="G175" s="276">
        <f>D173-D176</f>
        <v>82379.78</v>
      </c>
    </row>
    <row r="176" spans="2:14">
      <c r="B176" s="335" t="s">
        <v>381</v>
      </c>
      <c r="C176" s="326">
        <f>C173*$G$158</f>
        <v>-10195.380000000001</v>
      </c>
      <c r="D176" s="326">
        <f>D173*$G$158</f>
        <v>1681.22</v>
      </c>
      <c r="E176" s="336">
        <f>D176*2</f>
        <v>3362.44</v>
      </c>
      <c r="G176" s="276" t="e">
        <f>D175-G175</f>
        <v>#REF!</v>
      </c>
      <c r="H176" s="335"/>
    </row>
    <row r="177" spans="2:12">
      <c r="B177" s="335" t="s">
        <v>259</v>
      </c>
      <c r="C177" s="276" t="e">
        <f>SUM(C175:C176)</f>
        <v>#REF!</v>
      </c>
      <c r="D177" s="276" t="e">
        <f>SUM(D175:D176)</f>
        <v>#REF!</v>
      </c>
    </row>
    <row r="178" spans="2:12">
      <c r="B178" s="335" t="s">
        <v>382</v>
      </c>
      <c r="C178" s="326">
        <f>C173</f>
        <v>-509769</v>
      </c>
      <c r="D178" s="326">
        <f>D173</f>
        <v>84061</v>
      </c>
    </row>
    <row r="179" spans="2:12">
      <c r="B179" s="276" t="s">
        <v>62</v>
      </c>
      <c r="C179" s="276" t="e">
        <f>C177-C178</f>
        <v>#REF!</v>
      </c>
      <c r="D179" s="276" t="e">
        <f>D177-D178</f>
        <v>#REF!</v>
      </c>
      <c r="E179" s="317" t="s">
        <v>149</v>
      </c>
      <c r="G179" s="316"/>
    </row>
    <row r="182" spans="2:12">
      <c r="F182" s="317" t="s">
        <v>352</v>
      </c>
      <c r="G182" s="317" t="s">
        <v>353</v>
      </c>
    </row>
    <row r="183" spans="2:12">
      <c r="B183" s="318" t="s">
        <v>383</v>
      </c>
      <c r="C183" s="319" t="s">
        <v>355</v>
      </c>
      <c r="D183" s="319" t="s">
        <v>356</v>
      </c>
      <c r="E183" s="319" t="s">
        <v>5</v>
      </c>
      <c r="F183" s="320">
        <f>+L185</f>
        <v>1</v>
      </c>
      <c r="G183" s="321">
        <f>+L186</f>
        <v>0</v>
      </c>
      <c r="H183" s="319"/>
    </row>
    <row r="184" spans="2:12">
      <c r="B184" s="316" t="s">
        <v>87</v>
      </c>
      <c r="C184" s="276">
        <v>10000</v>
      </c>
      <c r="D184" s="276">
        <v>10000</v>
      </c>
      <c r="E184" s="276">
        <f t="shared" ref="E184:E191" si="30">+C184-D184</f>
        <v>0</v>
      </c>
      <c r="F184" s="276">
        <f t="shared" ref="F184:F191" si="31">+E184*$F$183</f>
        <v>0</v>
      </c>
      <c r="G184" s="276">
        <f t="shared" ref="G184:G191" si="32">+E184*$G$183</f>
        <v>0</v>
      </c>
      <c r="K184" s="3">
        <v>2017</v>
      </c>
      <c r="L184" s="3"/>
    </row>
    <row r="185" spans="2:12">
      <c r="B185" s="316" t="s">
        <v>88</v>
      </c>
      <c r="C185" s="276">
        <v>0</v>
      </c>
      <c r="D185" s="276">
        <v>0</v>
      </c>
      <c r="E185" s="276">
        <f t="shared" si="30"/>
        <v>0</v>
      </c>
      <c r="F185" s="276">
        <f t="shared" si="31"/>
        <v>0</v>
      </c>
      <c r="G185" s="276">
        <f t="shared" si="32"/>
        <v>0</v>
      </c>
      <c r="J185" s="276" t="s">
        <v>293</v>
      </c>
      <c r="K185" s="334">
        <v>10000</v>
      </c>
      <c r="L185" s="287">
        <f>K185/K187</f>
        <v>1</v>
      </c>
    </row>
    <row r="186" spans="2:12">
      <c r="B186" s="316" t="s">
        <v>90</v>
      </c>
      <c r="C186" s="276">
        <v>0</v>
      </c>
      <c r="D186" s="276">
        <v>0</v>
      </c>
      <c r="E186" s="276">
        <f t="shared" si="30"/>
        <v>0</v>
      </c>
      <c r="F186" s="276">
        <f t="shared" si="31"/>
        <v>0</v>
      </c>
      <c r="G186" s="276">
        <f t="shared" si="32"/>
        <v>0</v>
      </c>
      <c r="J186" s="276" t="s">
        <v>296</v>
      </c>
      <c r="K186" s="327">
        <v>0</v>
      </c>
      <c r="L186" s="287">
        <f>K186/K187</f>
        <v>0</v>
      </c>
    </row>
    <row r="187" spans="2:12">
      <c r="B187" s="316" t="s">
        <v>91</v>
      </c>
      <c r="C187" s="276">
        <v>0</v>
      </c>
      <c r="D187" s="276">
        <v>0</v>
      </c>
      <c r="E187" s="276">
        <f t="shared" si="30"/>
        <v>0</v>
      </c>
      <c r="F187" s="276">
        <f t="shared" si="31"/>
        <v>0</v>
      </c>
      <c r="G187" s="276">
        <f t="shared" si="32"/>
        <v>0</v>
      </c>
      <c r="K187" s="334">
        <v>10000</v>
      </c>
      <c r="L187" s="294"/>
    </row>
    <row r="188" spans="2:12">
      <c r="B188" s="316" t="s">
        <v>92</v>
      </c>
      <c r="C188" s="276">
        <v>0</v>
      </c>
      <c r="D188" s="276">
        <v>0</v>
      </c>
      <c r="E188" s="276">
        <f t="shared" si="30"/>
        <v>0</v>
      </c>
      <c r="F188" s="276">
        <f t="shared" si="31"/>
        <v>0</v>
      </c>
      <c r="G188" s="276">
        <f t="shared" si="32"/>
        <v>0</v>
      </c>
    </row>
    <row r="189" spans="2:12">
      <c r="B189" s="316" t="s">
        <v>93</v>
      </c>
      <c r="C189" s="276">
        <v>0</v>
      </c>
      <c r="D189" s="276">
        <v>0</v>
      </c>
      <c r="E189" s="276">
        <f t="shared" si="30"/>
        <v>0</v>
      </c>
      <c r="F189" s="276">
        <f t="shared" si="31"/>
        <v>0</v>
      </c>
      <c r="G189" s="276">
        <f t="shared" si="32"/>
        <v>0</v>
      </c>
    </row>
    <row r="190" spans="2:12">
      <c r="B190" s="316" t="s">
        <v>95</v>
      </c>
      <c r="C190" s="276">
        <f>'ESF - ERI'!AD55</f>
        <v>-144335</v>
      </c>
      <c r="D190" s="276">
        <v>0</v>
      </c>
      <c r="E190" s="276">
        <f t="shared" si="30"/>
        <v>-144335</v>
      </c>
      <c r="F190" s="276">
        <f t="shared" si="31"/>
        <v>-144335</v>
      </c>
      <c r="G190" s="276">
        <f t="shared" si="32"/>
        <v>0</v>
      </c>
    </row>
    <row r="191" spans="2:12">
      <c r="B191" s="316" t="s">
        <v>358</v>
      </c>
      <c r="C191" s="326">
        <f>'ESF - ERI'!AD56</f>
        <v>-395559</v>
      </c>
      <c r="D191" s="326">
        <v>-126652</v>
      </c>
      <c r="E191" s="326">
        <f t="shared" si="30"/>
        <v>-268907</v>
      </c>
      <c r="F191" s="276">
        <f t="shared" si="31"/>
        <v>-268907</v>
      </c>
      <c r="G191" s="276">
        <f t="shared" si="32"/>
        <v>0</v>
      </c>
    </row>
    <row r="193" spans="2:13">
      <c r="B193" s="318" t="s">
        <v>374</v>
      </c>
      <c r="C193" s="317">
        <f>SUM(C184:C192)</f>
        <v>-529894</v>
      </c>
      <c r="D193" s="317">
        <f>SUM(D184:D192)</f>
        <v>-116652</v>
      </c>
      <c r="E193" s="317">
        <f>SUM(E184:E191)</f>
        <v>-413242</v>
      </c>
      <c r="F193" s="317"/>
      <c r="G193" s="317"/>
      <c r="H193" s="317"/>
    </row>
    <row r="194" spans="2:13">
      <c r="B194" s="328" t="s">
        <v>360</v>
      </c>
      <c r="C194" s="317">
        <f>+(C193)*$F$141</f>
        <v>-490151.95</v>
      </c>
      <c r="D194" s="317">
        <f>+(D193)*$F$141</f>
        <v>-107903.1</v>
      </c>
      <c r="E194" s="317">
        <f>+C194-D194</f>
        <v>-382248.85</v>
      </c>
    </row>
    <row r="195" spans="2:13">
      <c r="B195" s="328" t="s">
        <v>361</v>
      </c>
      <c r="C195" s="317">
        <f>+C193*$G$141</f>
        <v>-39742.049999999996</v>
      </c>
      <c r="D195" s="317">
        <f>+D193*$G$141</f>
        <v>-8748.9</v>
      </c>
      <c r="E195" s="317">
        <f>+C195-D195</f>
        <v>-30993.149999999994</v>
      </c>
    </row>
    <row r="196" spans="2:13">
      <c r="B196" s="328" t="s">
        <v>259</v>
      </c>
      <c r="C196" s="317">
        <f>SUM(C194:C195)</f>
        <v>-529894</v>
      </c>
      <c r="D196" s="317">
        <f>SUM(D194:D195)</f>
        <v>-116652</v>
      </c>
      <c r="E196" s="317">
        <f>+C196-D196</f>
        <v>-413242</v>
      </c>
    </row>
    <row r="197" spans="2:13">
      <c r="B197" s="328"/>
      <c r="C197" s="276">
        <f>C193-C196</f>
        <v>0</v>
      </c>
      <c r="D197" s="276">
        <f>D193-D196</f>
        <v>0</v>
      </c>
    </row>
    <row r="201" spans="2:13">
      <c r="B201" s="318" t="s">
        <v>384</v>
      </c>
      <c r="C201" s="317" t="e">
        <f>+C14+C33+C49+C67+C85+C102+C119+C136+C152+D175+C194</f>
        <v>#REF!</v>
      </c>
      <c r="D201" s="317" t="e">
        <f>+D14+D33+D49+D67+D85+D102+D119+D136+D152+D175+D194</f>
        <v>#REF!</v>
      </c>
      <c r="E201" s="276" t="e">
        <f>+C201-D201</f>
        <v>#REF!</v>
      </c>
      <c r="J201" s="276" t="s">
        <v>293</v>
      </c>
      <c r="K201" s="317">
        <f>+K4+K10+K21+K40+K56+K74+K93+K110+K127+K143+K160+K185</f>
        <v>36644382.960000001</v>
      </c>
      <c r="M201" s="317">
        <f>+M4+M10+M21+M40+M56+M74+M93+M110+M127+M143+M160+M185</f>
        <v>37131561.960000001</v>
      </c>
    </row>
    <row r="202" spans="2:13">
      <c r="B202" s="318" t="s">
        <v>385</v>
      </c>
      <c r="C202" s="317">
        <f>+C15+C34+C50+C68+C86+C103+C120+C137+C153+D176+C195</f>
        <v>10783392.671405785</v>
      </c>
      <c r="D202" s="317">
        <f>+D15+D34+D50+D68+D86+D103+D120+D137+D153+D176+D195</f>
        <v>11152518.252337215</v>
      </c>
      <c r="E202" s="276">
        <f>+C202-D202</f>
        <v>-369125.58093143068</v>
      </c>
      <c r="J202" s="276" t="s">
        <v>296</v>
      </c>
      <c r="K202" s="317">
        <f>+K5+K11+K22+K41+K57+K75+K94+K111+K128+K144+K161+K186</f>
        <v>10505669.039999999</v>
      </c>
      <c r="M202" s="317">
        <f>+M5+M11+M22+M41+M57+M75+M94+M111+M128+M144+M161+M186</f>
        <v>10505669.039999999</v>
      </c>
    </row>
    <row r="203" spans="2:13">
      <c r="B203" s="318" t="s">
        <v>386</v>
      </c>
      <c r="C203" s="317" t="e">
        <f>+C16+C35+C51+C69+C87+C104+C121+C138+C154+D177+C196</f>
        <v>#REF!</v>
      </c>
      <c r="D203" s="317" t="e">
        <f>+D16+D35+D51+D69+D87+D104+D121+D138+D154+D177+D196</f>
        <v>#REF!</v>
      </c>
      <c r="E203" s="276" t="e">
        <f>+C203-D203</f>
        <v>#REF!</v>
      </c>
      <c r="K203" s="276">
        <f>SUM(K201:K202)</f>
        <v>47150052</v>
      </c>
      <c r="M203" s="276">
        <f>SUM(M201:M202)</f>
        <v>47637231</v>
      </c>
    </row>
    <row r="204" spans="2:13">
      <c r="B204" s="318" t="s">
        <v>387</v>
      </c>
      <c r="C204" s="337" t="e">
        <f>C201+C202-C203</f>
        <v>#REF!</v>
      </c>
      <c r="D204" s="337" t="e">
        <f>D201+D202-D203</f>
        <v>#REF!</v>
      </c>
      <c r="E204" s="276" t="e">
        <f>+C204-D204</f>
        <v>#REF!</v>
      </c>
    </row>
    <row r="205" spans="2:13">
      <c r="C205" s="276" t="e">
        <f>+C202-'ESF - ERI'!AI57</f>
        <v>#REF!</v>
      </c>
      <c r="K205" s="338">
        <v>44513438</v>
      </c>
    </row>
    <row r="206" spans="2:13">
      <c r="K206" s="339">
        <v>6468792</v>
      </c>
    </row>
    <row r="207" spans="2:13">
      <c r="C207" s="316">
        <v>38835024.049999997</v>
      </c>
      <c r="K207" s="276">
        <f>K205-K206</f>
        <v>38044646</v>
      </c>
      <c r="L207" s="316">
        <v>38835024.049999997</v>
      </c>
      <c r="M207" s="330">
        <f>L207-K207</f>
        <v>790378.04999999702</v>
      </c>
    </row>
    <row r="208" spans="2:13">
      <c r="C208" s="276" t="e">
        <f>C207-C201</f>
        <v>#REF!</v>
      </c>
      <c r="K208" s="276">
        <f>K201-K207</f>
        <v>-1400263.0399999991</v>
      </c>
    </row>
  </sheetData>
  <mergeCells count="33">
    <mergeCell ref="K159:L159"/>
    <mergeCell ref="M159:N159"/>
    <mergeCell ref="K184:L184"/>
    <mergeCell ref="K126:L126"/>
    <mergeCell ref="M126:N126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55:L55"/>
    <mergeCell ref="M55:N55"/>
    <mergeCell ref="O55:P55"/>
    <mergeCell ref="K73:L73"/>
    <mergeCell ref="M73:N73"/>
    <mergeCell ref="O73:P73"/>
    <mergeCell ref="K20:L20"/>
    <mergeCell ref="M20:N20"/>
    <mergeCell ref="O20:P20"/>
    <mergeCell ref="K39:L39"/>
    <mergeCell ref="M39:N39"/>
    <mergeCell ref="O39:P39"/>
    <mergeCell ref="K3:L3"/>
    <mergeCell ref="M3:N3"/>
    <mergeCell ref="O3:P3"/>
    <mergeCell ref="K8:L8"/>
    <mergeCell ref="M8:N8"/>
    <mergeCell ref="O8:P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16"/>
    <col min="2" max="2" width="37.42578125" style="316" customWidth="1"/>
    <col min="3" max="3" width="15.7109375" style="316" customWidth="1"/>
    <col min="4" max="4" width="13.7109375" style="276" customWidth="1"/>
    <col min="5" max="5" width="14.42578125" style="276" customWidth="1"/>
    <col min="6" max="6" width="17.140625" style="276" customWidth="1"/>
    <col min="7" max="7" width="20.5703125" style="276" customWidth="1"/>
    <col min="8" max="8" width="21.28515625" style="276" customWidth="1"/>
    <col min="9" max="9" width="13.7109375" style="276" customWidth="1"/>
    <col min="10" max="10" width="17.42578125" style="276" customWidth="1"/>
    <col min="11" max="11" width="19.140625" style="276" customWidth="1"/>
    <col min="12" max="12" width="13.7109375" style="276" customWidth="1"/>
    <col min="13" max="13" width="14.7109375" style="276" customWidth="1"/>
    <col min="14" max="16" width="17.5703125" style="276" customWidth="1"/>
    <col min="17" max="17" width="15.140625" style="276" customWidth="1"/>
    <col min="18" max="18" width="13.42578125" style="316" customWidth="1"/>
    <col min="19" max="19" width="15.140625" style="316" customWidth="1"/>
    <col min="20" max="20" width="13.42578125" style="316" customWidth="1"/>
    <col min="21" max="21" width="14.28515625" style="316" customWidth="1"/>
    <col min="22" max="22" width="10.28515625" style="316" customWidth="1"/>
    <col min="23" max="23" width="11.42578125" style="316"/>
    <col min="24" max="24" width="19.42578125" style="316" customWidth="1"/>
    <col min="25" max="25" width="16.28515625" style="316" customWidth="1"/>
    <col min="26" max="1024" width="11.42578125" style="316"/>
  </cols>
  <sheetData>
    <row r="2" spans="2:8">
      <c r="F2" s="317" t="s">
        <v>352</v>
      </c>
      <c r="G2" s="317" t="s">
        <v>353</v>
      </c>
    </row>
    <row r="3" spans="2:8">
      <c r="B3" s="318" t="s">
        <v>388</v>
      </c>
      <c r="C3" s="319" t="s">
        <v>389</v>
      </c>
      <c r="D3" s="319" t="s">
        <v>355</v>
      </c>
      <c r="E3" s="319" t="s">
        <v>5</v>
      </c>
      <c r="F3" s="319"/>
      <c r="G3" s="319"/>
    </row>
    <row r="4" spans="2:8">
      <c r="B4" s="316" t="s">
        <v>87</v>
      </c>
      <c r="C4" s="276">
        <v>35042687</v>
      </c>
      <c r="D4" s="276">
        <v>30006697</v>
      </c>
      <c r="E4" s="276">
        <f t="shared" ref="E4:E10" si="0">C4-D4</f>
        <v>5035990</v>
      </c>
      <c r="F4" s="276">
        <v>35572466.869999997</v>
      </c>
      <c r="G4" s="276">
        <f t="shared" ref="G4:G11" si="1">C4-F4</f>
        <v>-529779.86999999732</v>
      </c>
    </row>
    <row r="5" spans="2:8">
      <c r="B5" s="316" t="s">
        <v>88</v>
      </c>
      <c r="C5" s="276">
        <v>921</v>
      </c>
      <c r="D5" s="276">
        <v>920</v>
      </c>
      <c r="E5" s="276">
        <f t="shared" si="0"/>
        <v>1</v>
      </c>
      <c r="F5" s="276">
        <v>921</v>
      </c>
      <c r="G5" s="276">
        <f t="shared" si="1"/>
        <v>0</v>
      </c>
    </row>
    <row r="6" spans="2:8">
      <c r="B6" s="316" t="s">
        <v>90</v>
      </c>
      <c r="C6" s="276">
        <v>5222508.5599999996</v>
      </c>
      <c r="D6" s="276">
        <v>4662954</v>
      </c>
      <c r="E6" s="276">
        <f t="shared" si="0"/>
        <v>559554.55999999959</v>
      </c>
      <c r="F6" s="276">
        <v>5222508.5599999996</v>
      </c>
      <c r="G6" s="276">
        <f t="shared" si="1"/>
        <v>0</v>
      </c>
    </row>
    <row r="7" spans="2:8">
      <c r="B7" s="316" t="s">
        <v>91</v>
      </c>
      <c r="C7" s="276">
        <v>34797</v>
      </c>
      <c r="D7" s="276">
        <v>34797</v>
      </c>
      <c r="E7" s="276">
        <f t="shared" si="0"/>
        <v>0</v>
      </c>
      <c r="F7" s="276">
        <v>34797</v>
      </c>
      <c r="G7" s="276">
        <f t="shared" si="1"/>
        <v>0</v>
      </c>
    </row>
    <row r="8" spans="2:8">
      <c r="B8" s="316" t="s">
        <v>92</v>
      </c>
      <c r="C8" s="276">
        <v>227072</v>
      </c>
      <c r="D8" s="276">
        <v>227072</v>
      </c>
      <c r="E8" s="276">
        <f t="shared" si="0"/>
        <v>0</v>
      </c>
      <c r="F8" s="276">
        <v>227072</v>
      </c>
      <c r="G8" s="276">
        <f t="shared" si="1"/>
        <v>0</v>
      </c>
    </row>
    <row r="9" spans="2:8">
      <c r="B9" s="316" t="s">
        <v>93</v>
      </c>
      <c r="C9" s="276">
        <v>-3202431</v>
      </c>
      <c r="D9" s="276">
        <v>-3202431</v>
      </c>
      <c r="E9" s="276">
        <f t="shared" si="0"/>
        <v>0</v>
      </c>
      <c r="F9" s="276">
        <v>-3202431</v>
      </c>
      <c r="G9" s="276">
        <f t="shared" si="1"/>
        <v>0</v>
      </c>
    </row>
    <row r="10" spans="2:8">
      <c r="B10" s="316" t="s">
        <v>94</v>
      </c>
      <c r="C10" s="276">
        <v>1919745</v>
      </c>
      <c r="D10" s="276">
        <v>1353857</v>
      </c>
      <c r="E10" s="276">
        <f t="shared" si="0"/>
        <v>565888</v>
      </c>
      <c r="F10" s="276">
        <v>1919745</v>
      </c>
      <c r="G10" s="276">
        <f t="shared" si="1"/>
        <v>0</v>
      </c>
    </row>
    <row r="11" spans="2:8">
      <c r="B11" s="316" t="s">
        <v>95</v>
      </c>
      <c r="C11" s="276">
        <v>32771651.620000001</v>
      </c>
      <c r="D11" s="276">
        <v>32161891</v>
      </c>
      <c r="E11" s="276">
        <f>C11-D11-D12</f>
        <v>-4985784.379999999</v>
      </c>
      <c r="F11" s="276">
        <v>34136487.083122998</v>
      </c>
      <c r="G11" s="276">
        <f t="shared" si="1"/>
        <v>-1364835.4631229974</v>
      </c>
      <c r="H11" s="276">
        <f>C11-D11</f>
        <v>609760.62000000104</v>
      </c>
    </row>
    <row r="12" spans="2:8">
      <c r="B12" s="316" t="s">
        <v>358</v>
      </c>
      <c r="C12" s="276">
        <v>9337751.4399999995</v>
      </c>
      <c r="D12" s="276">
        <v>5595545</v>
      </c>
      <c r="E12" s="276">
        <f>C12</f>
        <v>9337751.4399999995</v>
      </c>
      <c r="F12" s="276">
        <v>6158394.4975135997</v>
      </c>
      <c r="G12" s="276">
        <f>C12-F12-F13</f>
        <v>4205080.9000000199</v>
      </c>
    </row>
    <row r="13" spans="2:8">
      <c r="C13" s="276"/>
      <c r="F13" s="276">
        <v>-1025723.95751362</v>
      </c>
    </row>
    <row r="14" spans="2:8">
      <c r="B14" s="318" t="s">
        <v>359</v>
      </c>
      <c r="C14" s="340">
        <f>SUM(C4:C12)</f>
        <v>81354702.620000005</v>
      </c>
      <c r="D14" s="317">
        <f>SUM(D4:D12)</f>
        <v>70841302</v>
      </c>
      <c r="E14" s="317">
        <f>SUM(E4:E12)</f>
        <v>10513400.620000001</v>
      </c>
    </row>
    <row r="20" spans="2:25">
      <c r="F20" s="317" t="s">
        <v>352</v>
      </c>
      <c r="G20" s="317" t="s">
        <v>353</v>
      </c>
      <c r="J20" s="317" t="s">
        <v>352</v>
      </c>
      <c r="K20" s="317" t="s">
        <v>353</v>
      </c>
    </row>
    <row r="21" spans="2:25">
      <c r="B21" s="318" t="s">
        <v>354</v>
      </c>
      <c r="C21" s="319" t="s">
        <v>389</v>
      </c>
      <c r="D21" s="319" t="s">
        <v>355</v>
      </c>
      <c r="E21" s="319" t="s">
        <v>5</v>
      </c>
      <c r="F21" s="319"/>
      <c r="G21" s="319"/>
      <c r="H21" s="319" t="s">
        <v>356</v>
      </c>
      <c r="I21" s="319" t="s">
        <v>5</v>
      </c>
      <c r="J21" s="320">
        <f>+R23</f>
        <v>0.75019999999999998</v>
      </c>
      <c r="K21" s="321">
        <f>+R24</f>
        <v>0.24979999999999999</v>
      </c>
      <c r="L21" s="319"/>
    </row>
    <row r="22" spans="2:25">
      <c r="B22" s="316" t="s">
        <v>87</v>
      </c>
      <c r="C22" s="276">
        <f>Participaciones!E3</f>
        <v>0</v>
      </c>
      <c r="D22" s="276">
        <v>5000</v>
      </c>
      <c r="E22" s="276">
        <f t="shared" ref="E22:E29" si="2">C22-D22</f>
        <v>-5000</v>
      </c>
      <c r="H22" s="276">
        <v>5000</v>
      </c>
      <c r="I22" s="276">
        <f t="shared" ref="I22:I29" si="3">+D22-H22</f>
        <v>0</v>
      </c>
      <c r="J22" s="276">
        <f t="shared" ref="J22:J29" si="4">+I22*$J$21</f>
        <v>0</v>
      </c>
      <c r="K22" s="276">
        <f t="shared" ref="K22:K29" si="5">+I22*$K$21</f>
        <v>0</v>
      </c>
      <c r="O22" s="3">
        <v>2018</v>
      </c>
      <c r="P22" s="3"/>
      <c r="Q22" s="3">
        <v>2017</v>
      </c>
      <c r="R22" s="3"/>
      <c r="S22" s="3">
        <v>2016</v>
      </c>
      <c r="T22" s="3"/>
      <c r="U22" s="3" t="s">
        <v>5</v>
      </c>
      <c r="V22" s="3"/>
    </row>
    <row r="23" spans="2:25">
      <c r="B23" s="316" t="s">
        <v>88</v>
      </c>
      <c r="C23" s="276">
        <f>Participaciones!E4</f>
        <v>0</v>
      </c>
      <c r="D23" s="276">
        <f>'ESF - ERI'!T49</f>
        <v>42340052</v>
      </c>
      <c r="E23" s="276">
        <f t="shared" si="2"/>
        <v>-42340052</v>
      </c>
      <c r="H23" s="276">
        <v>42837231</v>
      </c>
      <c r="I23" s="276">
        <f t="shared" si="3"/>
        <v>-497179</v>
      </c>
      <c r="J23" s="276">
        <f t="shared" si="4"/>
        <v>-372983.68579999998</v>
      </c>
      <c r="K23" s="276">
        <f t="shared" si="5"/>
        <v>-124195.31419999999</v>
      </c>
      <c r="N23" s="276" t="s">
        <v>293</v>
      </c>
      <c r="O23" s="286">
        <v>3751</v>
      </c>
      <c r="P23" s="287">
        <f>+O23/$O$25</f>
        <v>0.75019999999999998</v>
      </c>
      <c r="Q23" s="286">
        <v>3751</v>
      </c>
      <c r="R23" s="287">
        <f>+Q23/$Q$25</f>
        <v>0.75019999999999998</v>
      </c>
      <c r="S23" s="286">
        <v>3751</v>
      </c>
      <c r="T23" s="287">
        <f>+S23/$S$25</f>
        <v>0.75019999999999998</v>
      </c>
      <c r="U23" s="286">
        <f>+Q23-S23</f>
        <v>0</v>
      </c>
      <c r="V23" s="287">
        <f>+R23-T23</f>
        <v>0</v>
      </c>
    </row>
    <row r="24" spans="2:25">
      <c r="B24" s="316" t="s">
        <v>90</v>
      </c>
      <c r="C24" s="276">
        <f>Participaciones!E5</f>
        <v>0</v>
      </c>
      <c r="D24" s="276">
        <v>0</v>
      </c>
      <c r="E24" s="276">
        <f t="shared" si="2"/>
        <v>0</v>
      </c>
      <c r="I24" s="276">
        <f t="shared" si="3"/>
        <v>0</v>
      </c>
      <c r="J24" s="276">
        <f t="shared" si="4"/>
        <v>0</v>
      </c>
      <c r="K24" s="276">
        <f t="shared" si="5"/>
        <v>0</v>
      </c>
      <c r="N24" s="276" t="s">
        <v>296</v>
      </c>
      <c r="O24" s="291">
        <v>1249</v>
      </c>
      <c r="P24" s="287">
        <f>+O24/$O$25</f>
        <v>0.24979999999999999</v>
      </c>
      <c r="Q24" s="291">
        <v>1249</v>
      </c>
      <c r="R24" s="287">
        <f>+Q24/$Q$25</f>
        <v>0.24979999999999999</v>
      </c>
      <c r="S24" s="291">
        <v>1249</v>
      </c>
      <c r="T24" s="287">
        <f>+S24/$S$25</f>
        <v>0.24979999999999999</v>
      </c>
      <c r="U24" s="286">
        <f>+Q24-S24</f>
        <v>0</v>
      </c>
      <c r="V24" s="287">
        <f>+R24-T24</f>
        <v>0</v>
      </c>
    </row>
    <row r="25" spans="2:25">
      <c r="B25" s="316" t="s">
        <v>91</v>
      </c>
      <c r="C25" s="276">
        <f>Participaciones!E6</f>
        <v>0</v>
      </c>
      <c r="D25" s="276">
        <v>0</v>
      </c>
      <c r="E25" s="276">
        <f t="shared" si="2"/>
        <v>0</v>
      </c>
      <c r="I25" s="276">
        <f t="shared" si="3"/>
        <v>0</v>
      </c>
      <c r="J25" s="276">
        <f t="shared" si="4"/>
        <v>0</v>
      </c>
      <c r="K25" s="276">
        <f t="shared" si="5"/>
        <v>0</v>
      </c>
      <c r="O25" s="286">
        <f>SUM(O23:O24)</f>
        <v>5000</v>
      </c>
      <c r="P25" s="294"/>
      <c r="Q25" s="286">
        <f>SUM(Q23:Q24)</f>
        <v>5000</v>
      </c>
      <c r="R25" s="294"/>
      <c r="S25" s="286">
        <f>SUM(S23:S24)</f>
        <v>5000</v>
      </c>
      <c r="T25" s="294"/>
      <c r="U25" s="286">
        <f>SUM(U23:U24)</f>
        <v>0</v>
      </c>
      <c r="V25" s="294"/>
      <c r="X25" s="322"/>
    </row>
    <row r="26" spans="2:25">
      <c r="B26" s="316" t="s">
        <v>92</v>
      </c>
      <c r="C26" s="276">
        <f>Participaciones!E7</f>
        <v>0</v>
      </c>
      <c r="D26" s="276">
        <v>0</v>
      </c>
      <c r="E26" s="276">
        <f t="shared" si="2"/>
        <v>0</v>
      </c>
      <c r="I26" s="276">
        <f t="shared" si="3"/>
        <v>0</v>
      </c>
      <c r="J26" s="276">
        <f t="shared" si="4"/>
        <v>0</v>
      </c>
      <c r="K26" s="276">
        <f t="shared" si="5"/>
        <v>0</v>
      </c>
      <c r="X26" s="322"/>
    </row>
    <row r="27" spans="2:25">
      <c r="B27" s="316" t="s">
        <v>94</v>
      </c>
      <c r="C27" s="276">
        <f>Participaciones!E8</f>
        <v>0</v>
      </c>
      <c r="D27" s="276">
        <v>0</v>
      </c>
      <c r="E27" s="276">
        <f t="shared" si="2"/>
        <v>0</v>
      </c>
      <c r="I27" s="276">
        <f t="shared" si="3"/>
        <v>0</v>
      </c>
      <c r="J27" s="276">
        <f t="shared" si="4"/>
        <v>0</v>
      </c>
      <c r="K27" s="276">
        <f t="shared" si="5"/>
        <v>0</v>
      </c>
      <c r="N27" s="317" t="s">
        <v>357</v>
      </c>
      <c r="O27" s="317"/>
      <c r="P27" s="317"/>
      <c r="Q27" s="3">
        <v>2017</v>
      </c>
      <c r="R27" s="3"/>
      <c r="S27" s="3">
        <v>2016</v>
      </c>
      <c r="T27" s="3"/>
      <c r="U27" s="3" t="s">
        <v>5</v>
      </c>
      <c r="V27" s="3"/>
    </row>
    <row r="28" spans="2:25">
      <c r="B28" s="316" t="s">
        <v>95</v>
      </c>
      <c r="C28" s="276">
        <v>0</v>
      </c>
      <c r="D28" s="276">
        <f>'ESF - ERI'!T55</f>
        <v>2254833</v>
      </c>
      <c r="E28" s="276">
        <f t="shared" si="2"/>
        <v>-2254833</v>
      </c>
      <c r="H28" s="276">
        <v>-392726</v>
      </c>
      <c r="I28" s="324">
        <f t="shared" si="3"/>
        <v>2647559</v>
      </c>
      <c r="J28" s="276">
        <f t="shared" si="4"/>
        <v>1986198.7618</v>
      </c>
      <c r="K28" s="276">
        <f t="shared" si="5"/>
        <v>661360.23820000002</v>
      </c>
      <c r="N28" s="276" t="s">
        <v>293</v>
      </c>
      <c r="Q28" s="276">
        <f>32414459-497179</f>
        <v>31917280</v>
      </c>
      <c r="R28" s="325">
        <f>+Q28/Q30</f>
        <v>0.75383185641812622</v>
      </c>
      <c r="S28" s="276">
        <v>32414459</v>
      </c>
      <c r="T28" s="325">
        <f>+S28/S30</f>
        <v>0.75668894191597025</v>
      </c>
      <c r="U28" s="286">
        <f>+Q28-S28</f>
        <v>-497179</v>
      </c>
      <c r="V28" s="287">
        <f>+R28-T28</f>
        <v>-2.8570854978440252E-3</v>
      </c>
      <c r="X28" s="282">
        <f>H23*T24</f>
        <v>10700740.3038</v>
      </c>
      <c r="Y28" s="322"/>
    </row>
    <row r="29" spans="2:25">
      <c r="B29" s="316" t="s">
        <v>358</v>
      </c>
      <c r="C29" s="341">
        <f>Participaciones!E11</f>
        <v>0</v>
      </c>
      <c r="D29" s="326">
        <f>'ESF - ERI'!T56</f>
        <v>-1077724</v>
      </c>
      <c r="E29" s="326">
        <f t="shared" si="2"/>
        <v>1077724</v>
      </c>
      <c r="F29" s="326"/>
      <c r="G29" s="326"/>
      <c r="H29" s="326">
        <v>1823983</v>
      </c>
      <c r="I29" s="326">
        <f t="shared" si="3"/>
        <v>-2901707</v>
      </c>
      <c r="J29" s="326">
        <f t="shared" si="4"/>
        <v>-2176860.5913999998</v>
      </c>
      <c r="K29" s="326">
        <f t="shared" si="5"/>
        <v>-724846.40859999997</v>
      </c>
      <c r="N29" s="276" t="s">
        <v>296</v>
      </c>
      <c r="Q29" s="326">
        <v>10422772</v>
      </c>
      <c r="R29" s="325">
        <f>+Q29/Q30</f>
        <v>0.24616814358187372</v>
      </c>
      <c r="S29" s="326">
        <v>10422772</v>
      </c>
      <c r="T29" s="325">
        <f>+S29/S30</f>
        <v>0.24331105808402975</v>
      </c>
      <c r="U29" s="327">
        <f>+Q29-S29</f>
        <v>0</v>
      </c>
      <c r="V29" s="287">
        <f>+R29-T29</f>
        <v>2.8570854978439697E-3</v>
      </c>
      <c r="X29" s="322"/>
    </row>
    <row r="30" spans="2:25">
      <c r="C30" s="276"/>
      <c r="Q30" s="317">
        <f>SUM(Q28:Q29)</f>
        <v>42340052</v>
      </c>
      <c r="S30" s="317">
        <f>SUM(S28:S29)</f>
        <v>42837231</v>
      </c>
      <c r="U30" s="286">
        <f>SUM(U28:U29)</f>
        <v>-497179</v>
      </c>
      <c r="V30" s="294"/>
    </row>
    <row r="31" spans="2:25">
      <c r="B31" s="318" t="s">
        <v>359</v>
      </c>
      <c r="C31" s="317">
        <f>SUM(C22:C29)</f>
        <v>0</v>
      </c>
      <c r="D31" s="317">
        <f>SUM(D22:D29)</f>
        <v>43522161</v>
      </c>
      <c r="E31" s="317">
        <f>SUM(E22:E29)</f>
        <v>-43522161</v>
      </c>
      <c r="F31" s="317">
        <f>SUM(F22:F29)</f>
        <v>0</v>
      </c>
      <c r="G31" s="317">
        <f>SUM(G22:G29)</f>
        <v>0</v>
      </c>
      <c r="H31" s="317">
        <f>SUM(H22:H30)</f>
        <v>44273488</v>
      </c>
      <c r="I31" s="317">
        <f>SUM(I22:I29)</f>
        <v>-751327</v>
      </c>
      <c r="J31" s="317">
        <f>SUM(J22:J29)</f>
        <v>-563645.51539999992</v>
      </c>
      <c r="K31" s="317">
        <f>SUM(K22:K29)</f>
        <v>-187681.48459999997</v>
      </c>
      <c r="L31" s="317"/>
    </row>
    <row r="32" spans="2:25">
      <c r="B32" s="328" t="s">
        <v>360</v>
      </c>
      <c r="C32" s="317">
        <f>+(C31)*$F$21</f>
        <v>0</v>
      </c>
      <c r="D32" s="317">
        <f>+(D31)*$J$21</f>
        <v>32650325.1822</v>
      </c>
      <c r="E32" s="317">
        <f>C32-D32</f>
        <v>-32650325.1822</v>
      </c>
      <c r="F32" s="317"/>
      <c r="G32" s="317"/>
      <c r="H32" s="317">
        <f>+(H31)*$J$21</f>
        <v>33213970.6976</v>
      </c>
      <c r="I32" s="317">
        <f>+D32-H32</f>
        <v>-563645.51539999992</v>
      </c>
      <c r="J32" s="317"/>
      <c r="K32" s="317"/>
      <c r="L32" s="317"/>
    </row>
    <row r="33" spans="2:24">
      <c r="B33" s="328" t="s">
        <v>361</v>
      </c>
      <c r="C33" s="317">
        <f>+(C31)*$G$21</f>
        <v>0</v>
      </c>
      <c r="D33" s="317">
        <f>+(D31)*$K$21</f>
        <v>10871835.8178</v>
      </c>
      <c r="E33" s="317">
        <f>C33-D33</f>
        <v>-10871835.8178</v>
      </c>
      <c r="F33" s="317"/>
      <c r="G33" s="317"/>
      <c r="H33" s="317">
        <f>+(H31)*$K$21</f>
        <v>11059517.3024</v>
      </c>
      <c r="I33" s="317">
        <f>+D33-H33</f>
        <v>-187681.48460000008</v>
      </c>
      <c r="J33" s="317"/>
      <c r="K33" s="317"/>
      <c r="L33" s="317"/>
      <c r="R33" s="329"/>
      <c r="S33" s="276"/>
      <c r="T33" s="330"/>
      <c r="X33" s="322"/>
    </row>
    <row r="34" spans="2:24">
      <c r="B34" s="328" t="s">
        <v>259</v>
      </c>
      <c r="C34" s="317">
        <f>SUM(C32:C33)</f>
        <v>0</v>
      </c>
      <c r="D34" s="317">
        <f>SUM(D32:D33)</f>
        <v>43522161</v>
      </c>
      <c r="E34" s="317">
        <f>C34-D34</f>
        <v>-43522161</v>
      </c>
      <c r="F34" s="317"/>
      <c r="G34" s="317"/>
      <c r="H34" s="317">
        <f>SUM(H32:H33)</f>
        <v>44273488</v>
      </c>
      <c r="I34" s="317">
        <f>+D34-H34</f>
        <v>-751327</v>
      </c>
      <c r="J34" s="317"/>
      <c r="K34" s="317"/>
      <c r="L34" s="317"/>
      <c r="S34" s="276"/>
      <c r="T34" s="330"/>
    </row>
    <row r="35" spans="2:24">
      <c r="B35" s="328"/>
      <c r="C35" s="276">
        <f>C31-C34</f>
        <v>0</v>
      </c>
      <c r="D35" s="276">
        <f>D31-D34</f>
        <v>0</v>
      </c>
      <c r="E35" s="317">
        <f>C35-D35</f>
        <v>0</v>
      </c>
      <c r="H35" s="276">
        <f>H31-H34</f>
        <v>0</v>
      </c>
      <c r="I35" s="317">
        <f>+D35-H35</f>
        <v>0</v>
      </c>
      <c r="J35" s="317"/>
      <c r="K35" s="317"/>
      <c r="L35" s="317"/>
      <c r="S35" s="276"/>
      <c r="T35" s="330"/>
    </row>
    <row r="36" spans="2:24">
      <c r="B36" s="328"/>
      <c r="C36" s="276"/>
      <c r="E36" s="317"/>
      <c r="I36" s="317"/>
      <c r="J36" s="317"/>
      <c r="K36" s="317"/>
      <c r="L36" s="317"/>
      <c r="S36" s="276"/>
      <c r="T36" s="330"/>
    </row>
    <row r="37" spans="2:24">
      <c r="F37" s="317" t="s">
        <v>352</v>
      </c>
      <c r="G37" s="317" t="s">
        <v>353</v>
      </c>
      <c r="J37" s="317" t="s">
        <v>352</v>
      </c>
      <c r="K37" s="317" t="s">
        <v>353</v>
      </c>
      <c r="S37" s="276"/>
    </row>
    <row r="38" spans="2:24">
      <c r="B38" s="318" t="s">
        <v>362</v>
      </c>
      <c r="C38" s="319" t="s">
        <v>389</v>
      </c>
      <c r="D38" s="319" t="s">
        <v>355</v>
      </c>
      <c r="E38" s="319" t="s">
        <v>5</v>
      </c>
      <c r="F38" s="319"/>
      <c r="G38" s="319"/>
      <c r="H38" s="319" t="s">
        <v>356</v>
      </c>
      <c r="I38" s="319" t="s">
        <v>5</v>
      </c>
      <c r="J38" s="320">
        <f>+R40</f>
        <v>0.99995475113122168</v>
      </c>
      <c r="K38" s="321">
        <f>+R41</f>
        <v>4.5248868778280542E-5</v>
      </c>
      <c r="L38" s="319"/>
    </row>
    <row r="39" spans="2:24">
      <c r="B39" s="316" t="s">
        <v>87</v>
      </c>
      <c r="C39" s="276">
        <f>Participaciones!G3</f>
        <v>1105000</v>
      </c>
      <c r="D39" s="276">
        <v>1105000</v>
      </c>
      <c r="E39" s="276">
        <f t="shared" ref="E39:E46" si="6">C39-D39</f>
        <v>0</v>
      </c>
      <c r="H39" s="276">
        <v>1105000</v>
      </c>
      <c r="I39" s="276">
        <f t="shared" ref="I39:I46" si="7">+D39-H39</f>
        <v>0</v>
      </c>
      <c r="J39" s="276">
        <v>0</v>
      </c>
      <c r="K39" s="276">
        <v>0</v>
      </c>
      <c r="L39" s="319"/>
      <c r="Q39" s="3">
        <v>2017</v>
      </c>
      <c r="R39" s="3"/>
      <c r="S39" s="3">
        <v>2016</v>
      </c>
      <c r="T39" s="3"/>
      <c r="U39" s="3" t="s">
        <v>5</v>
      </c>
      <c r="V39" s="3"/>
    </row>
    <row r="40" spans="2:24">
      <c r="B40" s="316" t="s">
        <v>88</v>
      </c>
      <c r="C40" s="276">
        <f>Participaciones!G4</f>
        <v>877313.05</v>
      </c>
      <c r="D40" s="276">
        <v>877313</v>
      </c>
      <c r="E40" s="276">
        <f t="shared" si="6"/>
        <v>5.0000000046566129E-2</v>
      </c>
      <c r="H40" s="276">
        <v>646013</v>
      </c>
      <c r="I40" s="276">
        <f t="shared" si="7"/>
        <v>231300</v>
      </c>
      <c r="J40" s="276">
        <v>0</v>
      </c>
      <c r="K40" s="276">
        <v>0</v>
      </c>
      <c r="L40" s="319"/>
      <c r="N40" s="276" t="s">
        <v>293</v>
      </c>
      <c r="Q40" s="286">
        <v>1104950</v>
      </c>
      <c r="R40" s="287">
        <f>+Q40/$Q$42</f>
        <v>0.99995475113122168</v>
      </c>
      <c r="S40" s="286">
        <v>1104950</v>
      </c>
      <c r="T40" s="287">
        <f>+S40/$S$42</f>
        <v>0.99995475113122168</v>
      </c>
      <c r="U40" s="286">
        <f>+Q40-S40</f>
        <v>0</v>
      </c>
      <c r="V40" s="287">
        <f>+R40-T40</f>
        <v>0</v>
      </c>
    </row>
    <row r="41" spans="2:24">
      <c r="B41" s="316" t="s">
        <v>90</v>
      </c>
      <c r="C41" s="276">
        <f>Participaciones!G5</f>
        <v>0</v>
      </c>
      <c r="D41" s="276">
        <v>0</v>
      </c>
      <c r="E41" s="276">
        <f t="shared" si="6"/>
        <v>0</v>
      </c>
      <c r="I41" s="276">
        <f t="shared" si="7"/>
        <v>0</v>
      </c>
      <c r="J41" s="276">
        <f t="shared" ref="J41:J46" si="8">+I41*$J$38</f>
        <v>0</v>
      </c>
      <c r="K41" s="276">
        <f t="shared" ref="K41:K46" si="9">+I41*$K$38</f>
        <v>0</v>
      </c>
      <c r="N41" s="276" t="s">
        <v>296</v>
      </c>
      <c r="Q41" s="291">
        <v>50</v>
      </c>
      <c r="R41" s="287">
        <f>+Q41/$Q$42</f>
        <v>4.5248868778280542E-5</v>
      </c>
      <c r="S41" s="291">
        <v>50</v>
      </c>
      <c r="T41" s="287">
        <f>+S41/$S$42</f>
        <v>4.5248868778280542E-5</v>
      </c>
      <c r="U41" s="286">
        <f>+Q41-S41</f>
        <v>0</v>
      </c>
      <c r="V41" s="287">
        <f>+R41-T41</f>
        <v>0</v>
      </c>
    </row>
    <row r="42" spans="2:24">
      <c r="B42" s="316" t="s">
        <v>91</v>
      </c>
      <c r="C42" s="276">
        <f>Participaciones!G6</f>
        <v>0</v>
      </c>
      <c r="D42" s="276">
        <v>0</v>
      </c>
      <c r="E42" s="276">
        <f t="shared" si="6"/>
        <v>0</v>
      </c>
      <c r="I42" s="276">
        <f t="shared" si="7"/>
        <v>0</v>
      </c>
      <c r="J42" s="276">
        <f t="shared" si="8"/>
        <v>0</v>
      </c>
      <c r="K42" s="276">
        <f t="shared" si="9"/>
        <v>0</v>
      </c>
      <c r="Q42" s="286">
        <f>SUM(Q40:Q41)</f>
        <v>1105000</v>
      </c>
      <c r="R42" s="294"/>
      <c r="S42" s="286">
        <f>SUM(S40:S41)</f>
        <v>1105000</v>
      </c>
      <c r="T42" s="294"/>
      <c r="U42" s="286">
        <f>SUM(U40:U41)</f>
        <v>0</v>
      </c>
      <c r="V42" s="294"/>
    </row>
    <row r="43" spans="2:24">
      <c r="B43" s="316" t="s">
        <v>92</v>
      </c>
      <c r="C43" s="276">
        <f>Participaciones!G7</f>
        <v>0</v>
      </c>
      <c r="D43" s="276">
        <v>0</v>
      </c>
      <c r="E43" s="276">
        <f t="shared" si="6"/>
        <v>0</v>
      </c>
      <c r="I43" s="276">
        <f t="shared" si="7"/>
        <v>0</v>
      </c>
      <c r="J43" s="276">
        <f t="shared" si="8"/>
        <v>0</v>
      </c>
      <c r="K43" s="276">
        <f t="shared" si="9"/>
        <v>0</v>
      </c>
    </row>
    <row r="44" spans="2:24">
      <c r="B44" s="316" t="s">
        <v>94</v>
      </c>
      <c r="C44" s="276">
        <f>Participaciones!G8</f>
        <v>399181.98</v>
      </c>
      <c r="D44" s="276">
        <v>0</v>
      </c>
      <c r="E44" s="276">
        <f t="shared" si="6"/>
        <v>399181.98</v>
      </c>
      <c r="I44" s="276">
        <f t="shared" si="7"/>
        <v>0</v>
      </c>
      <c r="J44" s="276">
        <f t="shared" si="8"/>
        <v>0</v>
      </c>
      <c r="K44" s="276">
        <f t="shared" si="9"/>
        <v>0</v>
      </c>
    </row>
    <row r="45" spans="2:24">
      <c r="B45" s="316" t="s">
        <v>95</v>
      </c>
      <c r="C45" s="276">
        <f>Participaciones!G11-C46</f>
        <v>2249492.8199999998</v>
      </c>
      <c r="D45" s="276">
        <f>'ESF - ERI'!U55</f>
        <v>-16937</v>
      </c>
      <c r="E45" s="276">
        <f t="shared" si="6"/>
        <v>2266429.8199999998</v>
      </c>
      <c r="H45" s="276">
        <v>-85803</v>
      </c>
      <c r="I45" s="276">
        <f t="shared" si="7"/>
        <v>68866</v>
      </c>
      <c r="J45" s="276">
        <f t="shared" si="8"/>
        <v>68862.883891402715</v>
      </c>
      <c r="K45" s="276">
        <f t="shared" si="9"/>
        <v>3.1161085972850677</v>
      </c>
      <c r="M45" s="331" t="s">
        <v>363</v>
      </c>
    </row>
    <row r="46" spans="2:24">
      <c r="B46" s="316" t="s">
        <v>358</v>
      </c>
      <c r="C46" s="326">
        <f>'Planilla final'!D73</f>
        <v>399181.97999999992</v>
      </c>
      <c r="D46" s="326">
        <f>'ESF - ERI'!U56</f>
        <v>19337</v>
      </c>
      <c r="E46" s="326">
        <f t="shared" si="6"/>
        <v>379844.97999999992</v>
      </c>
      <c r="F46" s="326"/>
      <c r="G46" s="326"/>
      <c r="H46" s="326">
        <v>-113288</v>
      </c>
      <c r="I46" s="326">
        <f t="shared" si="7"/>
        <v>132625</v>
      </c>
      <c r="J46" s="276">
        <f t="shared" si="8"/>
        <v>132618.99886877826</v>
      </c>
      <c r="K46" s="276">
        <f t="shared" si="9"/>
        <v>6.001131221719457</v>
      </c>
    </row>
    <row r="48" spans="2:24">
      <c r="B48" s="318" t="s">
        <v>359</v>
      </c>
      <c r="C48" s="317">
        <f>SUM(C39:C46)</f>
        <v>5030169.8299999991</v>
      </c>
      <c r="D48" s="317">
        <f>SUM(D39:D46)</f>
        <v>1984713</v>
      </c>
      <c r="E48" s="317">
        <f>C48-D48</f>
        <v>3045456.8299999991</v>
      </c>
      <c r="F48" s="317"/>
      <c r="G48" s="317"/>
      <c r="H48" s="317">
        <f>SUM(H39:H47)</f>
        <v>1551922</v>
      </c>
      <c r="I48" s="317">
        <f>SUM(I39:I46)</f>
        <v>432791</v>
      </c>
      <c r="J48" s="317"/>
      <c r="K48" s="317"/>
      <c r="L48" s="317"/>
    </row>
    <row r="49" spans="2:22">
      <c r="B49" s="316" t="s">
        <v>364</v>
      </c>
      <c r="D49" s="317">
        <v>0</v>
      </c>
      <c r="E49" s="317">
        <f>C49-D49</f>
        <v>0</v>
      </c>
      <c r="F49" s="317"/>
      <c r="G49" s="317"/>
      <c r="H49" s="317">
        <v>0</v>
      </c>
      <c r="I49" s="317"/>
      <c r="J49" s="317"/>
      <c r="K49" s="317"/>
      <c r="L49" s="317"/>
      <c r="N49" s="276" t="s">
        <v>365</v>
      </c>
    </row>
    <row r="50" spans="2:22">
      <c r="B50" s="316" t="s">
        <v>366</v>
      </c>
      <c r="C50" s="332">
        <f>-C40</f>
        <v>-877313.05</v>
      </c>
      <c r="D50" s="332">
        <f>-D40</f>
        <v>-877313</v>
      </c>
      <c r="E50" s="332">
        <f>C50-D50</f>
        <v>-5.0000000046566129E-2</v>
      </c>
      <c r="F50" s="332"/>
      <c r="G50" s="332"/>
      <c r="H50" s="332">
        <f>-H40</f>
        <v>-646013</v>
      </c>
      <c r="J50" s="317"/>
      <c r="K50" s="317"/>
      <c r="L50" s="317"/>
    </row>
    <row r="51" spans="2:22">
      <c r="C51" s="317"/>
      <c r="D51" s="317"/>
      <c r="E51" s="317"/>
      <c r="F51" s="317"/>
      <c r="G51" s="317"/>
      <c r="H51" s="317"/>
      <c r="J51" s="317"/>
      <c r="K51" s="317"/>
      <c r="L51" s="317"/>
    </row>
    <row r="52" spans="2:22">
      <c r="B52" s="318" t="s">
        <v>367</v>
      </c>
      <c r="C52" s="317">
        <f>SUM(C48:C50)</f>
        <v>4152856.7799999993</v>
      </c>
      <c r="D52" s="317">
        <f>SUM(D48:D50)</f>
        <v>1107400</v>
      </c>
      <c r="E52" s="317">
        <f>SUM(E42:E49)</f>
        <v>6090913.6099999994</v>
      </c>
      <c r="F52" s="317"/>
      <c r="G52" s="317"/>
      <c r="H52" s="317">
        <f>SUM(H48:H50)</f>
        <v>905909</v>
      </c>
      <c r="I52" s="276">
        <f>+D52-H52</f>
        <v>201491</v>
      </c>
      <c r="J52" s="317"/>
      <c r="K52" s="317"/>
      <c r="L52" s="317"/>
    </row>
    <row r="53" spans="2:22">
      <c r="B53" s="328" t="s">
        <v>360</v>
      </c>
      <c r="C53" s="317">
        <f>+(C52)*$F$38</f>
        <v>0</v>
      </c>
      <c r="D53" s="317">
        <f>+(D52)*$J$38</f>
        <v>1107349.8914027149</v>
      </c>
      <c r="E53" s="317">
        <f>C53-D53</f>
        <v>-1107349.8914027149</v>
      </c>
      <c r="F53" s="317"/>
      <c r="G53" s="317"/>
      <c r="H53" s="317">
        <f>+(H52)*$J$38</f>
        <v>905868.00864253391</v>
      </c>
      <c r="I53" s="276">
        <f>+D53-H53</f>
        <v>201481.88276018098</v>
      </c>
      <c r="J53" s="317"/>
      <c r="K53" s="317"/>
      <c r="L53" s="317"/>
    </row>
    <row r="54" spans="2:22">
      <c r="B54" s="328" t="s">
        <v>361</v>
      </c>
      <c r="C54" s="317">
        <f>+C52*$G$38</f>
        <v>0</v>
      </c>
      <c r="D54" s="317">
        <f>+D52*$K$38</f>
        <v>50.108597285067873</v>
      </c>
      <c r="E54" s="317">
        <f>C54-D54</f>
        <v>-50.108597285067873</v>
      </c>
      <c r="F54" s="317"/>
      <c r="G54" s="317"/>
      <c r="H54" s="317">
        <f>+H52*$K$38</f>
        <v>40.991357466063349</v>
      </c>
      <c r="I54" s="317">
        <f>+D54-H54</f>
        <v>9.1172398190045243</v>
      </c>
    </row>
    <row r="55" spans="2:22">
      <c r="B55" s="328" t="s">
        <v>259</v>
      </c>
      <c r="C55" s="317">
        <f>SUM(C53:C54)</f>
        <v>0</v>
      </c>
      <c r="D55" s="317">
        <f>SUM(D53:D54)</f>
        <v>1107400</v>
      </c>
      <c r="E55" s="317">
        <f>C55-D55</f>
        <v>-1107400</v>
      </c>
      <c r="F55" s="317"/>
      <c r="G55" s="317"/>
      <c r="H55" s="317">
        <f>SUM(H53:H54)</f>
        <v>905909</v>
      </c>
    </row>
    <row r="56" spans="2:22">
      <c r="C56" s="276">
        <f>C52-C55</f>
        <v>4152856.7799999993</v>
      </c>
      <c r="D56" s="276">
        <f>D52-D55</f>
        <v>0</v>
      </c>
      <c r="E56" s="317">
        <f>C56-D56</f>
        <v>4152856.7799999993</v>
      </c>
      <c r="H56" s="276">
        <f>H52-H55</f>
        <v>0</v>
      </c>
    </row>
    <row r="57" spans="2:22">
      <c r="C57" s="276"/>
      <c r="E57" s="317"/>
    </row>
    <row r="58" spans="2:22">
      <c r="F58" s="317" t="s">
        <v>352</v>
      </c>
      <c r="G58" s="317" t="s">
        <v>353</v>
      </c>
      <c r="J58" s="317" t="s">
        <v>352</v>
      </c>
      <c r="K58" s="317" t="s">
        <v>353</v>
      </c>
    </row>
    <row r="59" spans="2:22">
      <c r="B59" s="318" t="s">
        <v>368</v>
      </c>
      <c r="C59" s="319" t="s">
        <v>389</v>
      </c>
      <c r="D59" s="319" t="s">
        <v>355</v>
      </c>
      <c r="E59" s="319" t="s">
        <v>5</v>
      </c>
      <c r="F59" s="319"/>
      <c r="G59" s="319"/>
      <c r="H59" s="319" t="s">
        <v>356</v>
      </c>
      <c r="I59" s="319" t="s">
        <v>5</v>
      </c>
      <c r="J59" s="320">
        <f>+R61</f>
        <v>0.68</v>
      </c>
      <c r="K59" s="321">
        <f>+R62</f>
        <v>0.32</v>
      </c>
      <c r="L59" s="319"/>
    </row>
    <row r="60" spans="2:22">
      <c r="B60" s="316" t="s">
        <v>87</v>
      </c>
      <c r="C60" s="276">
        <f>Participaciones!I3</f>
        <v>0</v>
      </c>
      <c r="D60" s="276">
        <v>10000</v>
      </c>
      <c r="E60" s="276">
        <f t="shared" ref="E60:E67" si="10">C60-D60</f>
        <v>-10000</v>
      </c>
      <c r="H60" s="276">
        <v>10000</v>
      </c>
      <c r="I60" s="276">
        <f t="shared" ref="I60:I67" si="11">+D60-H60</f>
        <v>0</v>
      </c>
      <c r="J60" s="276">
        <f t="shared" ref="J60:J67" si="12">+I60*$J$59</f>
        <v>0</v>
      </c>
      <c r="K60" s="276">
        <f t="shared" ref="K60:K67" si="13">+I60*$K$59</f>
        <v>0</v>
      </c>
      <c r="Q60" s="3">
        <v>2017</v>
      </c>
      <c r="R60" s="3"/>
      <c r="S60" s="3">
        <v>2016</v>
      </c>
      <c r="T60" s="3"/>
      <c r="U60" s="3" t="s">
        <v>5</v>
      </c>
      <c r="V60" s="3"/>
    </row>
    <row r="61" spans="2:22">
      <c r="B61" s="316" t="s">
        <v>88</v>
      </c>
      <c r="C61" s="276">
        <f>Participaciones!I4</f>
        <v>0</v>
      </c>
      <c r="D61" s="276">
        <v>0</v>
      </c>
      <c r="E61" s="276">
        <f t="shared" si="10"/>
        <v>0</v>
      </c>
      <c r="H61" s="276">
        <v>0</v>
      </c>
      <c r="I61" s="276">
        <f t="shared" si="11"/>
        <v>0</v>
      </c>
      <c r="J61" s="276">
        <f t="shared" si="12"/>
        <v>0</v>
      </c>
      <c r="K61" s="276">
        <f t="shared" si="13"/>
        <v>0</v>
      </c>
      <c r="N61" s="276" t="s">
        <v>293</v>
      </c>
      <c r="Q61" s="286">
        <v>6800</v>
      </c>
      <c r="R61" s="287">
        <f>+Q61/$Q$63</f>
        <v>0.68</v>
      </c>
      <c r="S61" s="286">
        <v>6800</v>
      </c>
      <c r="T61" s="287">
        <f>+S61/$S$63</f>
        <v>0.68</v>
      </c>
      <c r="U61" s="286">
        <f>+Q61-S61</f>
        <v>0</v>
      </c>
      <c r="V61" s="287">
        <f>+R61-T61</f>
        <v>0</v>
      </c>
    </row>
    <row r="62" spans="2:22">
      <c r="B62" s="316" t="s">
        <v>90</v>
      </c>
      <c r="C62" s="276">
        <f>Participaciones!I5</f>
        <v>0</v>
      </c>
      <c r="D62" s="276">
        <f>'ESF - ERI'!V50</f>
        <v>74426</v>
      </c>
      <c r="E62" s="276">
        <f t="shared" si="10"/>
        <v>-74426</v>
      </c>
      <c r="H62" s="276">
        <v>74426.570000000007</v>
      </c>
      <c r="I62" s="276">
        <f t="shared" si="11"/>
        <v>-0.57000000000698492</v>
      </c>
      <c r="J62" s="276">
        <f t="shared" si="12"/>
        <v>-0.38760000000474976</v>
      </c>
      <c r="K62" s="276">
        <f t="shared" si="13"/>
        <v>-0.18240000000223519</v>
      </c>
      <c r="N62" s="276" t="s">
        <v>296</v>
      </c>
      <c r="Q62" s="291">
        <v>3200</v>
      </c>
      <c r="R62" s="287">
        <f>+Q62/$Q$63</f>
        <v>0.32</v>
      </c>
      <c r="S62" s="291">
        <v>3200</v>
      </c>
      <c r="T62" s="287">
        <f>+S62/$S$63</f>
        <v>0.32</v>
      </c>
      <c r="U62" s="286">
        <f>+Q62-S62</f>
        <v>0</v>
      </c>
      <c r="V62" s="287">
        <f>+R62-T62</f>
        <v>0</v>
      </c>
    </row>
    <row r="63" spans="2:22">
      <c r="B63" s="316" t="s">
        <v>91</v>
      </c>
      <c r="C63" s="276">
        <f>Participaciones!I6</f>
        <v>0</v>
      </c>
      <c r="D63" s="276">
        <v>0</v>
      </c>
      <c r="E63" s="276">
        <f t="shared" si="10"/>
        <v>0</v>
      </c>
      <c r="I63" s="276">
        <f t="shared" si="11"/>
        <v>0</v>
      </c>
      <c r="J63" s="276">
        <f t="shared" si="12"/>
        <v>0</v>
      </c>
      <c r="K63" s="276">
        <f t="shared" si="13"/>
        <v>0</v>
      </c>
      <c r="Q63" s="286">
        <f>SUM(Q61:Q62)</f>
        <v>10000</v>
      </c>
      <c r="R63" s="294"/>
      <c r="S63" s="286">
        <f>SUM(S61:S62)</f>
        <v>10000</v>
      </c>
      <c r="T63" s="294"/>
      <c r="U63" s="286">
        <f>SUM(U61:U62)</f>
        <v>0</v>
      </c>
      <c r="V63" s="294"/>
    </row>
    <row r="64" spans="2:22">
      <c r="B64" s="316" t="s">
        <v>92</v>
      </c>
      <c r="C64" s="276">
        <f>Participaciones!I7</f>
        <v>0</v>
      </c>
      <c r="D64" s="276">
        <v>0</v>
      </c>
      <c r="E64" s="276">
        <f t="shared" si="10"/>
        <v>0</v>
      </c>
      <c r="I64" s="276">
        <f t="shared" si="11"/>
        <v>0</v>
      </c>
      <c r="J64" s="276">
        <f t="shared" si="12"/>
        <v>0</v>
      </c>
      <c r="K64" s="276">
        <f t="shared" si="13"/>
        <v>0</v>
      </c>
    </row>
    <row r="65" spans="2:22">
      <c r="B65" s="316" t="s">
        <v>94</v>
      </c>
      <c r="C65" s="276">
        <f>Participaciones!I8</f>
        <v>0</v>
      </c>
      <c r="D65" s="276">
        <v>0</v>
      </c>
      <c r="E65" s="276">
        <f t="shared" si="10"/>
        <v>0</v>
      </c>
      <c r="I65" s="276">
        <f t="shared" si="11"/>
        <v>0</v>
      </c>
      <c r="J65" s="276">
        <f t="shared" si="12"/>
        <v>0</v>
      </c>
      <c r="K65" s="276">
        <f t="shared" si="13"/>
        <v>0</v>
      </c>
    </row>
    <row r="66" spans="2:22">
      <c r="B66" s="316" t="s">
        <v>95</v>
      </c>
      <c r="C66" s="276">
        <f>Participaciones!I11</f>
        <v>0</v>
      </c>
      <c r="D66" s="276">
        <f>'ESF - ERI'!V55</f>
        <v>911628</v>
      </c>
      <c r="E66" s="276">
        <f t="shared" si="10"/>
        <v>-911628</v>
      </c>
      <c r="H66" s="276">
        <v>989917</v>
      </c>
      <c r="I66" s="276">
        <f t="shared" si="11"/>
        <v>-78289</v>
      </c>
      <c r="J66" s="276">
        <f t="shared" si="12"/>
        <v>-53236.520000000004</v>
      </c>
      <c r="K66" s="276">
        <f t="shared" si="13"/>
        <v>-25052.48</v>
      </c>
      <c r="M66" s="331" t="s">
        <v>369</v>
      </c>
      <c r="R66" s="276">
        <f>228012-128950-6829+71048+1931</f>
        <v>165212</v>
      </c>
    </row>
    <row r="67" spans="2:22">
      <c r="B67" s="316" t="s">
        <v>358</v>
      </c>
      <c r="C67" s="341">
        <f>'Planilla final'!E73</f>
        <v>0</v>
      </c>
      <c r="D67" s="326">
        <f>'ESF - ERI'!V56</f>
        <v>-15891</v>
      </c>
      <c r="E67" s="326">
        <f t="shared" si="10"/>
        <v>15891</v>
      </c>
      <c r="F67" s="326"/>
      <c r="G67" s="326"/>
      <c r="H67" s="326">
        <v>-56384</v>
      </c>
      <c r="I67" s="326">
        <f t="shared" si="11"/>
        <v>40493</v>
      </c>
      <c r="J67" s="276">
        <f t="shared" si="12"/>
        <v>27535.24</v>
      </c>
      <c r="K67" s="276">
        <f t="shared" si="13"/>
        <v>12957.76</v>
      </c>
    </row>
    <row r="69" spans="2:22">
      <c r="B69" s="318" t="s">
        <v>359</v>
      </c>
      <c r="C69" s="317">
        <f>SUM(C60:C68)</f>
        <v>0</v>
      </c>
      <c r="D69" s="317">
        <f>SUM(D60:D68)</f>
        <v>980163</v>
      </c>
      <c r="E69" s="317">
        <f>SUM(E59:E66)</f>
        <v>-996054</v>
      </c>
      <c r="F69" s="317"/>
      <c r="G69" s="317"/>
      <c r="H69" s="317">
        <f>SUM(H60:H68)</f>
        <v>1017959.5700000001</v>
      </c>
      <c r="I69" s="317">
        <f>SUM(I60:I67)</f>
        <v>-37796.570000000007</v>
      </c>
      <c r="J69" s="317"/>
      <c r="K69" s="317"/>
      <c r="L69" s="317"/>
    </row>
    <row r="70" spans="2:22">
      <c r="B70" s="328" t="s">
        <v>360</v>
      </c>
      <c r="C70" s="317">
        <f>+(C69)*$F$59</f>
        <v>0</v>
      </c>
      <c r="D70" s="317">
        <f>+(D69)*$J$59</f>
        <v>666510.84000000008</v>
      </c>
      <c r="E70" s="317">
        <f>C70-D70</f>
        <v>-666510.84000000008</v>
      </c>
      <c r="F70" s="317"/>
      <c r="G70" s="317"/>
      <c r="H70" s="317">
        <f>+(H69)*$J$59</f>
        <v>692212.50760000013</v>
      </c>
      <c r="I70" s="317">
        <f>+D70-H70</f>
        <v>-25701.667600000044</v>
      </c>
      <c r="J70" s="317"/>
      <c r="K70" s="317"/>
      <c r="L70" s="317"/>
    </row>
    <row r="71" spans="2:22">
      <c r="B71" s="328" t="s">
        <v>361</v>
      </c>
      <c r="C71" s="317">
        <f>+C69*$G$59</f>
        <v>0</v>
      </c>
      <c r="D71" s="317">
        <f>+D69*$K$59</f>
        <v>313652.16000000003</v>
      </c>
      <c r="E71" s="317">
        <f>C71-D71</f>
        <v>-313652.16000000003</v>
      </c>
      <c r="F71" s="317"/>
      <c r="G71" s="317"/>
      <c r="H71" s="317">
        <f>+H69*$K$59</f>
        <v>325747.06240000005</v>
      </c>
      <c r="I71" s="317">
        <f>+D71-H71</f>
        <v>-12094.902400000021</v>
      </c>
    </row>
    <row r="72" spans="2:22">
      <c r="B72" s="328" t="s">
        <v>259</v>
      </c>
      <c r="C72" s="317">
        <f>SUM(C70:C71)</f>
        <v>0</v>
      </c>
      <c r="D72" s="317">
        <f>SUM(D70:D71)</f>
        <v>980163.00000000012</v>
      </c>
      <c r="E72" s="317">
        <f>C72-D72</f>
        <v>-980163.00000000012</v>
      </c>
      <c r="F72" s="317"/>
      <c r="G72" s="317"/>
      <c r="H72" s="317">
        <f>SUM(H70:H71)</f>
        <v>1017959.5700000002</v>
      </c>
      <c r="I72" s="317">
        <f>+D72-H72</f>
        <v>-37796.570000000065</v>
      </c>
    </row>
    <row r="73" spans="2:22">
      <c r="B73" s="328"/>
      <c r="C73" s="276">
        <f>C69-C72</f>
        <v>0</v>
      </c>
      <c r="D73" s="276">
        <f>D69-D72</f>
        <v>0</v>
      </c>
      <c r="E73" s="317">
        <f>C73-D73</f>
        <v>0</v>
      </c>
      <c r="H73" s="276">
        <f>H69-H72</f>
        <v>0</v>
      </c>
      <c r="I73" s="317"/>
    </row>
    <row r="74" spans="2:22">
      <c r="B74" s="328"/>
      <c r="C74" s="276"/>
      <c r="E74" s="317"/>
      <c r="I74" s="317"/>
    </row>
    <row r="75" spans="2:22">
      <c r="F75" s="317" t="s">
        <v>352</v>
      </c>
      <c r="G75" s="317" t="s">
        <v>353</v>
      </c>
      <c r="H75" s="316"/>
      <c r="J75" s="317" t="s">
        <v>352</v>
      </c>
      <c r="K75" s="317" t="s">
        <v>353</v>
      </c>
    </row>
    <row r="76" spans="2:22">
      <c r="B76" s="318" t="s">
        <v>370</v>
      </c>
      <c r="C76" s="319" t="s">
        <v>389</v>
      </c>
      <c r="D76" s="319" t="s">
        <v>355</v>
      </c>
      <c r="E76" s="319" t="s">
        <v>5</v>
      </c>
      <c r="F76" s="319"/>
      <c r="G76" s="319"/>
      <c r="H76" s="319" t="s">
        <v>356</v>
      </c>
      <c r="I76" s="319" t="s">
        <v>5</v>
      </c>
      <c r="J76" s="320">
        <f>+R78</f>
        <v>0.5</v>
      </c>
      <c r="K76" s="321">
        <f>+R79</f>
        <v>0.5</v>
      </c>
      <c r="L76" s="319"/>
    </row>
    <row r="77" spans="2:22">
      <c r="B77" s="316" t="s">
        <v>87</v>
      </c>
      <c r="C77" s="276">
        <f>Participaciones!K3</f>
        <v>7500000</v>
      </c>
      <c r="D77" s="276">
        <v>1000</v>
      </c>
      <c r="E77" s="276">
        <f t="shared" ref="E77:E84" si="14">C77-D77</f>
        <v>7499000</v>
      </c>
      <c r="H77" s="276">
        <v>1000</v>
      </c>
      <c r="I77" s="276">
        <f t="shared" ref="I77:I84" si="15">+D77-H77</f>
        <v>0</v>
      </c>
      <c r="J77" s="276">
        <f t="shared" ref="J77:J84" si="16">+I77*$J$76</f>
        <v>0</v>
      </c>
      <c r="K77" s="276">
        <f t="shared" ref="K77:K84" si="17">+I77*$K$76</f>
        <v>0</v>
      </c>
      <c r="Q77" s="3">
        <v>2017</v>
      </c>
      <c r="R77" s="3"/>
      <c r="S77" s="3">
        <v>2016</v>
      </c>
      <c r="T77" s="3"/>
      <c r="U77" s="3" t="s">
        <v>5</v>
      </c>
      <c r="V77" s="3"/>
    </row>
    <row r="78" spans="2:22">
      <c r="B78" s="316" t="s">
        <v>88</v>
      </c>
      <c r="C78" s="276">
        <f>Participaciones!K4</f>
        <v>0</v>
      </c>
      <c r="D78" s="276">
        <v>49015</v>
      </c>
      <c r="E78" s="276">
        <f t="shared" si="14"/>
        <v>-49015</v>
      </c>
      <c r="H78" s="276">
        <v>49015</v>
      </c>
      <c r="I78" s="276">
        <f t="shared" si="15"/>
        <v>0</v>
      </c>
      <c r="J78" s="276">
        <f t="shared" si="16"/>
        <v>0</v>
      </c>
      <c r="K78" s="276">
        <f t="shared" si="17"/>
        <v>0</v>
      </c>
      <c r="N78" s="276" t="s">
        <v>293</v>
      </c>
      <c r="Q78" s="286">
        <v>500</v>
      </c>
      <c r="R78" s="287">
        <f>+Q78/$Q$80</f>
        <v>0.5</v>
      </c>
      <c r="S78" s="286">
        <v>500</v>
      </c>
      <c r="T78" s="287">
        <f>+S78/$S$80</f>
        <v>0.5</v>
      </c>
      <c r="U78" s="286">
        <f>+Q78-S78</f>
        <v>0</v>
      </c>
      <c r="V78" s="287">
        <f>+R78-T78</f>
        <v>0</v>
      </c>
    </row>
    <row r="79" spans="2:22">
      <c r="B79" s="316" t="s">
        <v>90</v>
      </c>
      <c r="C79" s="276">
        <f>Participaciones!K5</f>
        <v>0</v>
      </c>
      <c r="D79" s="276">
        <v>500</v>
      </c>
      <c r="E79" s="276">
        <f t="shared" si="14"/>
        <v>-500</v>
      </c>
      <c r="H79" s="276">
        <v>500</v>
      </c>
      <c r="I79" s="276">
        <f t="shared" si="15"/>
        <v>0</v>
      </c>
      <c r="J79" s="276">
        <f t="shared" si="16"/>
        <v>0</v>
      </c>
      <c r="K79" s="276">
        <f t="shared" si="17"/>
        <v>0</v>
      </c>
      <c r="N79" s="276" t="s">
        <v>296</v>
      </c>
      <c r="Q79" s="291">
        <v>500</v>
      </c>
      <c r="R79" s="287">
        <f>+Q79/$Q$80</f>
        <v>0.5</v>
      </c>
      <c r="S79" s="291">
        <v>500</v>
      </c>
      <c r="T79" s="287">
        <f>+S79/$S$80</f>
        <v>0.5</v>
      </c>
      <c r="U79" s="286">
        <f>+Q79-S79</f>
        <v>0</v>
      </c>
      <c r="V79" s="287">
        <f>+R79-T79</f>
        <v>0</v>
      </c>
    </row>
    <row r="80" spans="2:22">
      <c r="B80" s="316" t="s">
        <v>91</v>
      </c>
      <c r="C80" s="276">
        <f>Participaciones!K6</f>
        <v>0</v>
      </c>
      <c r="D80" s="276">
        <v>0</v>
      </c>
      <c r="E80" s="276">
        <f t="shared" si="14"/>
        <v>0</v>
      </c>
      <c r="H80" s="276">
        <v>0</v>
      </c>
      <c r="I80" s="276">
        <f t="shared" si="15"/>
        <v>0</v>
      </c>
      <c r="J80" s="276">
        <f t="shared" si="16"/>
        <v>0</v>
      </c>
      <c r="K80" s="276">
        <f t="shared" si="17"/>
        <v>0</v>
      </c>
      <c r="Q80" s="286">
        <f>SUM(Q78:Q79)</f>
        <v>1000</v>
      </c>
      <c r="R80" s="294"/>
      <c r="S80" s="286">
        <f>SUM(S78:S79)</f>
        <v>1000</v>
      </c>
      <c r="T80" s="294"/>
      <c r="U80" s="286">
        <f>SUM(U78:U79)</f>
        <v>0</v>
      </c>
      <c r="V80" s="294"/>
    </row>
    <row r="81" spans="2:12">
      <c r="B81" s="316" t="s">
        <v>92</v>
      </c>
      <c r="C81" s="276">
        <f>Participaciones!K7</f>
        <v>0</v>
      </c>
      <c r="D81" s="276">
        <v>0</v>
      </c>
      <c r="E81" s="276">
        <f t="shared" si="14"/>
        <v>0</v>
      </c>
      <c r="H81" s="276">
        <v>0</v>
      </c>
      <c r="I81" s="276">
        <f t="shared" si="15"/>
        <v>0</v>
      </c>
      <c r="J81" s="276">
        <f t="shared" si="16"/>
        <v>0</v>
      </c>
      <c r="K81" s="276">
        <f t="shared" si="17"/>
        <v>0</v>
      </c>
    </row>
    <row r="82" spans="2:12">
      <c r="B82" s="316" t="s">
        <v>94</v>
      </c>
      <c r="C82" s="276">
        <f>Participaciones!K8</f>
        <v>955363.77</v>
      </c>
      <c r="D82" s="276">
        <v>0</v>
      </c>
      <c r="E82" s="276">
        <f t="shared" si="14"/>
        <v>955363.77</v>
      </c>
      <c r="H82" s="276">
        <v>82150.45</v>
      </c>
      <c r="I82" s="276">
        <f t="shared" si="15"/>
        <v>-82150.45</v>
      </c>
      <c r="J82" s="276">
        <f t="shared" si="16"/>
        <v>-41075.224999999999</v>
      </c>
      <c r="K82" s="276">
        <f t="shared" si="17"/>
        <v>-41075.224999999999</v>
      </c>
    </row>
    <row r="83" spans="2:12">
      <c r="B83" s="316" t="s">
        <v>95</v>
      </c>
      <c r="C83" s="276">
        <f>Participaciones!K11-C84</f>
        <v>2558470.7700000009</v>
      </c>
      <c r="D83" s="276">
        <f>'ESF - ERI'!W55</f>
        <v>-488265</v>
      </c>
      <c r="E83" s="276">
        <f t="shared" si="14"/>
        <v>3046735.7700000009</v>
      </c>
      <c r="H83" s="276">
        <f>129138.35-489726.7199375</f>
        <v>-360588.36993749999</v>
      </c>
      <c r="I83" s="276">
        <f t="shared" si="15"/>
        <v>-127676.63006250001</v>
      </c>
      <c r="J83" s="276">
        <f t="shared" si="16"/>
        <v>-63838.315031250007</v>
      </c>
      <c r="K83" s="276">
        <f t="shared" si="17"/>
        <v>-63838.315031250007</v>
      </c>
    </row>
    <row r="84" spans="2:12">
      <c r="B84" s="316" t="s">
        <v>358</v>
      </c>
      <c r="C84" s="326">
        <f>'Planilla final'!F73</f>
        <v>955363.76999999909</v>
      </c>
      <c r="D84" s="326">
        <f>'ESF - ERI'!W56</f>
        <v>-493384</v>
      </c>
      <c r="E84" s="326">
        <f t="shared" si="14"/>
        <v>1448747.7699999991</v>
      </c>
      <c r="F84" s="326"/>
      <c r="G84" s="326"/>
      <c r="H84" s="326">
        <v>-209826.66</v>
      </c>
      <c r="I84" s="326">
        <f t="shared" si="15"/>
        <v>-283557.33999999997</v>
      </c>
      <c r="J84" s="276">
        <f t="shared" si="16"/>
        <v>-141778.66999999998</v>
      </c>
      <c r="K84" s="276">
        <f t="shared" si="17"/>
        <v>-141778.66999999998</v>
      </c>
    </row>
    <row r="86" spans="2:12">
      <c r="B86" s="318" t="s">
        <v>359</v>
      </c>
      <c r="C86" s="317">
        <f>SUM(C77:C85)</f>
        <v>11969198.310000001</v>
      </c>
      <c r="D86" s="317">
        <f>SUM(D77:D85)</f>
        <v>-931134</v>
      </c>
      <c r="E86" s="317">
        <f>C86-D86</f>
        <v>12900332.310000001</v>
      </c>
      <c r="F86" s="317"/>
      <c r="G86" s="317"/>
      <c r="H86" s="317">
        <f>SUM(H77:H85)</f>
        <v>-437749.57993749995</v>
      </c>
      <c r="I86" s="317">
        <f>SUM(I77:I84)</f>
        <v>-493384.42006249999</v>
      </c>
      <c r="J86" s="317"/>
      <c r="K86" s="317"/>
      <c r="L86" s="317"/>
    </row>
    <row r="87" spans="2:12">
      <c r="B87" s="316" t="s">
        <v>366</v>
      </c>
      <c r="C87" s="332">
        <f>-C78</f>
        <v>0</v>
      </c>
      <c r="D87" s="332">
        <f>-D78</f>
        <v>-49015</v>
      </c>
      <c r="E87" s="332">
        <f>C87-D87</f>
        <v>49015</v>
      </c>
      <c r="F87" s="332"/>
      <c r="G87" s="332"/>
      <c r="H87" s="332">
        <f>-H78</f>
        <v>-49015</v>
      </c>
      <c r="J87" s="317"/>
      <c r="K87" s="317"/>
      <c r="L87" s="317"/>
    </row>
    <row r="88" spans="2:12">
      <c r="C88" s="317"/>
      <c r="D88" s="317"/>
      <c r="E88" s="317"/>
      <c r="F88" s="317"/>
      <c r="G88" s="317"/>
      <c r="H88" s="317"/>
      <c r="J88" s="317"/>
      <c r="K88" s="317"/>
      <c r="L88" s="317"/>
    </row>
    <row r="89" spans="2:12">
      <c r="B89" s="318" t="s">
        <v>367</v>
      </c>
      <c r="C89" s="317">
        <f>SUM(C85:C87)</f>
        <v>11969198.310000001</v>
      </c>
      <c r="D89" s="317">
        <f>SUM(D85:D87)</f>
        <v>-980149</v>
      </c>
      <c r="E89" s="317">
        <f>SUM(E79:E86)</f>
        <v>18350679.620000001</v>
      </c>
      <c r="F89" s="317"/>
      <c r="G89" s="317"/>
      <c r="H89" s="317">
        <f>SUM(H85:H87)</f>
        <v>-486764.57993749995</v>
      </c>
      <c r="I89" s="276">
        <f>+D89-H89</f>
        <v>-493384.42006250005</v>
      </c>
      <c r="J89" s="317"/>
      <c r="K89" s="317"/>
      <c r="L89" s="317"/>
    </row>
    <row r="90" spans="2:12">
      <c r="B90" s="328" t="s">
        <v>360</v>
      </c>
      <c r="C90" s="317">
        <f>+(C89)*$F$76</f>
        <v>0</v>
      </c>
      <c r="D90" s="317">
        <f>+(D89)*$J$76</f>
        <v>-490074.5</v>
      </c>
      <c r="E90" s="317">
        <f>C90-D90</f>
        <v>490074.5</v>
      </c>
      <c r="F90" s="317"/>
      <c r="G90" s="317"/>
      <c r="H90" s="317">
        <f>+(H89)*$J$76</f>
        <v>-243382.28996874997</v>
      </c>
      <c r="I90" s="317">
        <f>+D90-H90</f>
        <v>-246692.21003125003</v>
      </c>
      <c r="J90" s="317"/>
      <c r="K90" s="317"/>
      <c r="L90" s="317"/>
    </row>
    <row r="91" spans="2:12">
      <c r="B91" s="328" t="s">
        <v>361</v>
      </c>
      <c r="C91" s="317">
        <f>+C89*$G$76</f>
        <v>0</v>
      </c>
      <c r="D91" s="317">
        <f>+D89*$K$76</f>
        <v>-490074.5</v>
      </c>
      <c r="E91" s="317">
        <f>C91-D91</f>
        <v>490074.5</v>
      </c>
      <c r="F91" s="317"/>
      <c r="G91" s="317"/>
      <c r="H91" s="317">
        <f>+H89*$K$76</f>
        <v>-243382.28996874997</v>
      </c>
      <c r="I91" s="317">
        <f>+D91-H91</f>
        <v>-246692.21003125003</v>
      </c>
    </row>
    <row r="92" spans="2:12">
      <c r="B92" s="328" t="s">
        <v>259</v>
      </c>
      <c r="C92" s="317">
        <f>SUM(C90:C91)</f>
        <v>0</v>
      </c>
      <c r="D92" s="317">
        <f>SUM(D90:D91)</f>
        <v>-980149</v>
      </c>
      <c r="E92" s="317">
        <f>C92-D92</f>
        <v>980149</v>
      </c>
      <c r="F92" s="317"/>
      <c r="G92" s="317"/>
      <c r="H92" s="317">
        <f>SUM(H90:H91)</f>
        <v>-486764.57993749995</v>
      </c>
      <c r="I92" s="317">
        <f>+D92-H92</f>
        <v>-493384.42006250005</v>
      </c>
    </row>
    <row r="93" spans="2:12">
      <c r="B93" s="328"/>
      <c r="C93" s="276">
        <f>C89-C92</f>
        <v>11969198.310000001</v>
      </c>
      <c r="D93" s="276">
        <f>D89-D92</f>
        <v>0</v>
      </c>
      <c r="E93" s="317">
        <f>C93-D93</f>
        <v>11969198.310000001</v>
      </c>
      <c r="H93" s="276">
        <f>H89-H92</f>
        <v>0</v>
      </c>
      <c r="I93" s="317"/>
    </row>
    <row r="94" spans="2:12">
      <c r="B94" s="328"/>
      <c r="C94" s="276"/>
      <c r="E94" s="317"/>
      <c r="I94" s="317"/>
    </row>
    <row r="95" spans="2:12">
      <c r="F95" s="317" t="s">
        <v>352</v>
      </c>
      <c r="G95" s="317" t="s">
        <v>353</v>
      </c>
      <c r="J95" s="317" t="s">
        <v>352</v>
      </c>
      <c r="K95" s="317" t="s">
        <v>353</v>
      </c>
    </row>
    <row r="96" spans="2:12">
      <c r="B96" s="318" t="s">
        <v>371</v>
      </c>
      <c r="C96" s="319" t="s">
        <v>389</v>
      </c>
      <c r="D96" s="319" t="s">
        <v>355</v>
      </c>
      <c r="E96" s="319" t="s">
        <v>5</v>
      </c>
      <c r="F96" s="319"/>
      <c r="G96" s="319"/>
      <c r="H96" s="319" t="s">
        <v>356</v>
      </c>
      <c r="I96" s="319" t="s">
        <v>5</v>
      </c>
      <c r="J96" s="320">
        <f>+R98</f>
        <v>0.75</v>
      </c>
      <c r="K96" s="321">
        <f>+R99</f>
        <v>0.25</v>
      </c>
      <c r="L96" s="319"/>
    </row>
    <row r="97" spans="2:22">
      <c r="B97" s="316" t="s">
        <v>87</v>
      </c>
      <c r="C97" s="276">
        <f>Participaciones!M3</f>
        <v>1000</v>
      </c>
      <c r="D97" s="276">
        <v>1000</v>
      </c>
      <c r="E97" s="276">
        <f t="shared" ref="E97:E104" si="18">C97-D97</f>
        <v>0</v>
      </c>
      <c r="H97" s="276">
        <v>1000</v>
      </c>
      <c r="I97" s="276">
        <f t="shared" ref="I97:I104" si="19">+D97-H97</f>
        <v>0</v>
      </c>
      <c r="J97" s="276">
        <f t="shared" ref="J97:J104" si="20">+I97*$J$96</f>
        <v>0</v>
      </c>
      <c r="K97" s="276">
        <f t="shared" ref="K97:K104" si="21">+I97*$K$96</f>
        <v>0</v>
      </c>
      <c r="Q97" s="3">
        <v>2017</v>
      </c>
      <c r="R97" s="3"/>
      <c r="S97" s="3">
        <v>2016</v>
      </c>
      <c r="T97" s="3"/>
      <c r="U97" s="3" t="s">
        <v>5</v>
      </c>
      <c r="V97" s="3"/>
    </row>
    <row r="98" spans="2:22">
      <c r="B98" s="316" t="s">
        <v>88</v>
      </c>
      <c r="C98" s="276">
        <f>Participaciones!M4</f>
        <v>330450</v>
      </c>
      <c r="D98" s="276">
        <v>330450</v>
      </c>
      <c r="E98" s="276">
        <f t="shared" si="18"/>
        <v>0</v>
      </c>
      <c r="H98" s="276">
        <v>330450</v>
      </c>
      <c r="I98" s="276">
        <f t="shared" si="19"/>
        <v>0</v>
      </c>
      <c r="J98" s="276">
        <f t="shared" si="20"/>
        <v>0</v>
      </c>
      <c r="K98" s="276">
        <f t="shared" si="21"/>
        <v>0</v>
      </c>
      <c r="N98" s="276" t="s">
        <v>293</v>
      </c>
      <c r="Q98" s="286">
        <v>750</v>
      </c>
      <c r="R98" s="287">
        <f>+Q98/$Q$100</f>
        <v>0.75</v>
      </c>
      <c r="S98" s="286">
        <v>750</v>
      </c>
      <c r="T98" s="287">
        <f>+S98/$S$100</f>
        <v>0.75</v>
      </c>
      <c r="U98" s="286">
        <f>+Q98-S98</f>
        <v>0</v>
      </c>
      <c r="V98" s="287">
        <f>+R98-T98</f>
        <v>0</v>
      </c>
    </row>
    <row r="99" spans="2:22">
      <c r="B99" s="316" t="s">
        <v>90</v>
      </c>
      <c r="C99" s="276">
        <f>Participaciones!M5</f>
        <v>109633.48</v>
      </c>
      <c r="D99" s="276">
        <v>109633</v>
      </c>
      <c r="E99" s="276">
        <f t="shared" si="18"/>
        <v>0.47999999999592546</v>
      </c>
      <c r="H99" s="276">
        <v>109633.48</v>
      </c>
      <c r="I99" s="276">
        <f t="shared" si="19"/>
        <v>-0.47999999999592546</v>
      </c>
      <c r="J99" s="276">
        <f t="shared" si="20"/>
        <v>-0.3599999999969441</v>
      </c>
      <c r="K99" s="276">
        <f t="shared" si="21"/>
        <v>-0.11999999999898137</v>
      </c>
      <c r="N99" s="276" t="s">
        <v>296</v>
      </c>
      <c r="Q99" s="291">
        <v>250</v>
      </c>
      <c r="R99" s="287">
        <f>+Q99/$Q$100</f>
        <v>0.25</v>
      </c>
      <c r="S99" s="291">
        <v>250</v>
      </c>
      <c r="T99" s="287">
        <f>+S99/$S$100</f>
        <v>0.25</v>
      </c>
      <c r="U99" s="286">
        <f>+Q99-S99</f>
        <v>0</v>
      </c>
      <c r="V99" s="287">
        <f>+R99-T99</f>
        <v>0</v>
      </c>
    </row>
    <row r="100" spans="2:22">
      <c r="B100" s="316" t="s">
        <v>91</v>
      </c>
      <c r="C100" s="276">
        <f>Participaciones!M6</f>
        <v>0</v>
      </c>
      <c r="D100" s="276">
        <v>0</v>
      </c>
      <c r="E100" s="276">
        <f t="shared" si="18"/>
        <v>0</v>
      </c>
      <c r="H100" s="276">
        <v>0</v>
      </c>
      <c r="I100" s="276">
        <f t="shared" si="19"/>
        <v>0</v>
      </c>
      <c r="J100" s="276">
        <f t="shared" si="20"/>
        <v>0</v>
      </c>
      <c r="K100" s="276">
        <f t="shared" si="21"/>
        <v>0</v>
      </c>
      <c r="Q100" s="286">
        <f>SUM(Q98:Q99)</f>
        <v>1000</v>
      </c>
      <c r="R100" s="294"/>
      <c r="S100" s="286">
        <f>SUM(S98:S99)</f>
        <v>1000</v>
      </c>
      <c r="T100" s="294"/>
      <c r="U100" s="286">
        <f>SUM(U98:U99)</f>
        <v>0</v>
      </c>
      <c r="V100" s="294"/>
    </row>
    <row r="101" spans="2:22">
      <c r="B101" s="316" t="s">
        <v>92</v>
      </c>
      <c r="C101" s="276">
        <f>Participaciones!M7</f>
        <v>0</v>
      </c>
      <c r="D101" s="276">
        <v>0</v>
      </c>
      <c r="E101" s="276">
        <f t="shared" si="18"/>
        <v>0</v>
      </c>
      <c r="H101" s="276">
        <v>0</v>
      </c>
      <c r="I101" s="276">
        <f t="shared" si="19"/>
        <v>0</v>
      </c>
      <c r="J101" s="276">
        <f t="shared" si="20"/>
        <v>0</v>
      </c>
      <c r="K101" s="276">
        <f t="shared" si="21"/>
        <v>0</v>
      </c>
    </row>
    <row r="102" spans="2:22">
      <c r="B102" s="316" t="s">
        <v>94</v>
      </c>
      <c r="C102" s="276">
        <f>Participaciones!M8</f>
        <v>331439.17</v>
      </c>
      <c r="D102" s="276">
        <v>0</v>
      </c>
      <c r="E102" s="276">
        <f t="shared" si="18"/>
        <v>331439.17</v>
      </c>
      <c r="H102" s="276">
        <v>0</v>
      </c>
      <c r="I102" s="276">
        <f t="shared" si="19"/>
        <v>0</v>
      </c>
      <c r="J102" s="276">
        <f t="shared" si="20"/>
        <v>0</v>
      </c>
      <c r="K102" s="276">
        <f t="shared" si="21"/>
        <v>0</v>
      </c>
    </row>
    <row r="103" spans="2:22">
      <c r="B103" s="316" t="s">
        <v>95</v>
      </c>
      <c r="C103" s="336">
        <f>Participaciones!M11</f>
        <v>-94319.19</v>
      </c>
      <c r="D103" s="276">
        <f>'ESF - ERI'!X55</f>
        <v>-53896</v>
      </c>
      <c r="E103" s="276">
        <f t="shared" si="18"/>
        <v>-40423.19</v>
      </c>
      <c r="H103" s="276">
        <f>-26948.34-13474.17</f>
        <v>-40422.51</v>
      </c>
      <c r="I103" s="276">
        <f t="shared" si="19"/>
        <v>-13473.489999999998</v>
      </c>
      <c r="J103" s="276">
        <f t="shared" si="20"/>
        <v>-10105.117499999998</v>
      </c>
      <c r="K103" s="276">
        <f t="shared" si="21"/>
        <v>-3368.3724999999995</v>
      </c>
    </row>
    <row r="104" spans="2:22">
      <c r="B104" s="316" t="s">
        <v>358</v>
      </c>
      <c r="C104" s="326">
        <f>'Planilla final'!G73</f>
        <v>331439.17</v>
      </c>
      <c r="D104" s="326">
        <f>'ESF - ERI'!X56</f>
        <v>-13474</v>
      </c>
      <c r="E104" s="326">
        <f t="shared" si="18"/>
        <v>344913.17</v>
      </c>
      <c r="F104" s="326"/>
      <c r="G104" s="326"/>
      <c r="H104" s="326">
        <v>-13474</v>
      </c>
      <c r="I104" s="326">
        <f t="shared" si="19"/>
        <v>0</v>
      </c>
      <c r="J104" s="276">
        <f t="shared" si="20"/>
        <v>0</v>
      </c>
      <c r="K104" s="276">
        <f t="shared" si="21"/>
        <v>0</v>
      </c>
    </row>
    <row r="106" spans="2:22">
      <c r="B106" s="318" t="s">
        <v>359</v>
      </c>
      <c r="C106" s="317">
        <f>SUM(C97:C105)</f>
        <v>1009642.6299999999</v>
      </c>
      <c r="D106" s="317">
        <f>SUM(D97:D105)</f>
        <v>373713</v>
      </c>
      <c r="E106" s="317">
        <f>C106-D106</f>
        <v>635929.62999999989</v>
      </c>
      <c r="F106" s="317"/>
      <c r="G106" s="317"/>
      <c r="H106" s="317">
        <f>SUM(H97:H105)</f>
        <v>387186.97</v>
      </c>
      <c r="I106" s="317">
        <f>SUM(I97:I104)</f>
        <v>-13473.969999999994</v>
      </c>
      <c r="J106" s="317"/>
      <c r="K106" s="317"/>
      <c r="L106" s="317"/>
    </row>
    <row r="107" spans="2:22">
      <c r="B107" s="316" t="s">
        <v>366</v>
      </c>
      <c r="C107" s="332">
        <f>-C98</f>
        <v>-330450</v>
      </c>
      <c r="D107" s="332">
        <f>-D98</f>
        <v>-330450</v>
      </c>
      <c r="E107" s="332">
        <f>C107-D107</f>
        <v>0</v>
      </c>
      <c r="F107" s="332"/>
      <c r="G107" s="332"/>
      <c r="H107" s="332">
        <f>-H98</f>
        <v>-330450</v>
      </c>
      <c r="J107" s="317"/>
      <c r="K107" s="317"/>
      <c r="L107" s="317"/>
    </row>
    <row r="108" spans="2:22">
      <c r="C108" s="317"/>
      <c r="D108" s="317"/>
      <c r="E108" s="317"/>
      <c r="F108" s="317"/>
      <c r="G108" s="317"/>
      <c r="H108" s="317"/>
      <c r="J108" s="317"/>
      <c r="K108" s="317"/>
      <c r="L108" s="317"/>
    </row>
    <row r="109" spans="2:22">
      <c r="B109" s="318" t="s">
        <v>367</v>
      </c>
      <c r="C109" s="317">
        <f>SUM(C105:C107)</f>
        <v>679192.62999999989</v>
      </c>
      <c r="D109" s="317">
        <f>SUM(D105:D107)</f>
        <v>43263</v>
      </c>
      <c r="E109" s="317">
        <f>SUM(E98:E105)</f>
        <v>635929.62999999989</v>
      </c>
      <c r="F109" s="317"/>
      <c r="G109" s="317"/>
      <c r="H109" s="317">
        <f>SUM(H105:H107)</f>
        <v>56736.969999999972</v>
      </c>
      <c r="I109" s="276">
        <f>+D109-H109</f>
        <v>-13473.969999999972</v>
      </c>
      <c r="J109" s="317"/>
      <c r="K109" s="317"/>
      <c r="L109" s="317"/>
    </row>
    <row r="110" spans="2:22">
      <c r="B110" s="328" t="s">
        <v>360</v>
      </c>
      <c r="C110" s="317">
        <f>+(C109)*$J$96</f>
        <v>509394.47249999992</v>
      </c>
      <c r="D110" s="317">
        <f>+(D109)*$J$96</f>
        <v>32447.25</v>
      </c>
      <c r="E110" s="317">
        <f>C110-D110</f>
        <v>476947.22249999992</v>
      </c>
      <c r="F110" s="317"/>
      <c r="G110" s="317"/>
      <c r="H110" s="317">
        <f>+(H109)*$J$96</f>
        <v>42552.727499999979</v>
      </c>
      <c r="I110" s="317">
        <f>+D110-H110</f>
        <v>-10105.477499999979</v>
      </c>
      <c r="J110" s="317"/>
      <c r="K110" s="317"/>
      <c r="L110" s="317"/>
    </row>
    <row r="111" spans="2:22">
      <c r="B111" s="328" t="s">
        <v>361</v>
      </c>
      <c r="C111" s="317">
        <f>+C109*$K$96</f>
        <v>169798.15749999997</v>
      </c>
      <c r="D111" s="317">
        <f>+D109*$K$96</f>
        <v>10815.75</v>
      </c>
      <c r="E111" s="317">
        <f>C111-D111</f>
        <v>158982.40749999997</v>
      </c>
      <c r="F111" s="317"/>
      <c r="G111" s="317"/>
      <c r="H111" s="317">
        <f>+H109*$K$96</f>
        <v>14184.242499999993</v>
      </c>
      <c r="I111" s="317">
        <f>+D111-H111</f>
        <v>-3368.492499999993</v>
      </c>
    </row>
    <row r="112" spans="2:22">
      <c r="B112" s="328" t="s">
        <v>259</v>
      </c>
      <c r="C112" s="317">
        <f>SUM(C110:C111)</f>
        <v>679192.62999999989</v>
      </c>
      <c r="D112" s="317">
        <f>SUM(D110:D111)</f>
        <v>43263</v>
      </c>
      <c r="E112" s="317">
        <f>C112-D112</f>
        <v>635929.62999999989</v>
      </c>
      <c r="F112" s="317"/>
      <c r="G112" s="317"/>
      <c r="H112" s="317">
        <f>SUM(H110:H111)</f>
        <v>56736.969999999972</v>
      </c>
      <c r="I112" s="317">
        <f>+D112-H112</f>
        <v>-13473.969999999972</v>
      </c>
    </row>
    <row r="113" spans="2:22">
      <c r="B113" s="328"/>
      <c r="C113" s="276">
        <f>C109-C112</f>
        <v>0</v>
      </c>
      <c r="D113" s="276">
        <f>D109-D112</f>
        <v>0</v>
      </c>
      <c r="E113" s="317">
        <f>C113-D113</f>
        <v>0</v>
      </c>
      <c r="H113" s="276">
        <f>H109-H112</f>
        <v>0</v>
      </c>
    </row>
    <row r="114" spans="2:22">
      <c r="B114" s="328"/>
      <c r="C114" s="328"/>
    </row>
    <row r="115" spans="2:22">
      <c r="F115" s="317" t="s">
        <v>352</v>
      </c>
      <c r="G115" s="317" t="s">
        <v>353</v>
      </c>
      <c r="J115" s="317" t="s">
        <v>352</v>
      </c>
      <c r="K115" s="317" t="s">
        <v>353</v>
      </c>
    </row>
    <row r="116" spans="2:22">
      <c r="B116" s="318" t="s">
        <v>372</v>
      </c>
      <c r="C116" s="319" t="s">
        <v>389</v>
      </c>
      <c r="D116" s="319" t="s">
        <v>355</v>
      </c>
      <c r="E116" s="319" t="s">
        <v>5</v>
      </c>
      <c r="F116" s="319"/>
      <c r="G116" s="319"/>
      <c r="H116" s="319" t="s">
        <v>356</v>
      </c>
      <c r="I116" s="319" t="s">
        <v>5</v>
      </c>
      <c r="J116" s="320">
        <f>+R118</f>
        <v>0.92800000000000005</v>
      </c>
      <c r="K116" s="321">
        <f>+R119</f>
        <v>7.1999999999999995E-2</v>
      </c>
      <c r="L116" s="319"/>
    </row>
    <row r="117" spans="2:22">
      <c r="B117" s="316" t="s">
        <v>87</v>
      </c>
      <c r="C117" s="276">
        <v>5000</v>
      </c>
      <c r="D117" s="276">
        <v>5000</v>
      </c>
      <c r="E117" s="276">
        <f t="shared" ref="E117:E124" si="22">C117-D117</f>
        <v>0</v>
      </c>
      <c r="H117" s="276">
        <v>5000</v>
      </c>
      <c r="I117" s="276">
        <f t="shared" ref="I117:I124" si="23">+D117-H117</f>
        <v>0</v>
      </c>
      <c r="J117" s="276">
        <f t="shared" ref="J117:J124" si="24">+I117*$J$116</f>
        <v>0</v>
      </c>
      <c r="K117" s="276">
        <f t="shared" ref="K117:K124" si="25">+I117*$K$116</f>
        <v>0</v>
      </c>
      <c r="Q117" s="3">
        <v>2017</v>
      </c>
      <c r="R117" s="3"/>
      <c r="S117" s="3">
        <v>2016</v>
      </c>
      <c r="T117" s="3"/>
      <c r="U117" s="3" t="s">
        <v>5</v>
      </c>
      <c r="V117" s="3"/>
    </row>
    <row r="118" spans="2:22">
      <c r="B118" s="316" t="s">
        <v>88</v>
      </c>
      <c r="C118" s="276">
        <v>0</v>
      </c>
      <c r="D118" s="276">
        <v>0</v>
      </c>
      <c r="E118" s="276">
        <f t="shared" si="22"/>
        <v>0</v>
      </c>
      <c r="H118" s="276">
        <v>0</v>
      </c>
      <c r="I118" s="276">
        <f t="shared" si="23"/>
        <v>0</v>
      </c>
      <c r="J118" s="276">
        <f t="shared" si="24"/>
        <v>0</v>
      </c>
      <c r="K118" s="276">
        <f t="shared" si="25"/>
        <v>0</v>
      </c>
      <c r="N118" s="276" t="s">
        <v>293</v>
      </c>
      <c r="Q118" s="286">
        <v>4640</v>
      </c>
      <c r="R118" s="287">
        <f>+Q118/$Q$120</f>
        <v>0.92800000000000005</v>
      </c>
      <c r="S118" s="286">
        <v>4640</v>
      </c>
      <c r="T118" s="287">
        <f>+S118/$S$120</f>
        <v>0.92800000000000005</v>
      </c>
      <c r="U118" s="286">
        <f>+Q118-S118</f>
        <v>0</v>
      </c>
      <c r="V118" s="287">
        <f>+R118-T118</f>
        <v>0</v>
      </c>
    </row>
    <row r="119" spans="2:22">
      <c r="B119" s="316" t="s">
        <v>90</v>
      </c>
      <c r="C119" s="276">
        <v>0</v>
      </c>
      <c r="D119" s="276">
        <v>0</v>
      </c>
      <c r="E119" s="276">
        <f t="shared" si="22"/>
        <v>0</v>
      </c>
      <c r="H119" s="276">
        <v>0</v>
      </c>
      <c r="I119" s="276">
        <f t="shared" si="23"/>
        <v>0</v>
      </c>
      <c r="J119" s="276">
        <f t="shared" si="24"/>
        <v>0</v>
      </c>
      <c r="K119" s="276">
        <f t="shared" si="25"/>
        <v>0</v>
      </c>
      <c r="N119" s="276" t="s">
        <v>296</v>
      </c>
      <c r="Q119" s="291">
        <v>360</v>
      </c>
      <c r="R119" s="287">
        <f>+Q119/$Q$120</f>
        <v>7.1999999999999995E-2</v>
      </c>
      <c r="S119" s="291">
        <v>360</v>
      </c>
      <c r="T119" s="287">
        <f>+S119/$S$120</f>
        <v>7.1999999999999995E-2</v>
      </c>
      <c r="U119" s="286">
        <f>+Q119-S119</f>
        <v>0</v>
      </c>
      <c r="V119" s="287">
        <f>+R119-T119</f>
        <v>0</v>
      </c>
    </row>
    <row r="120" spans="2:22">
      <c r="B120" s="316" t="s">
        <v>91</v>
      </c>
      <c r="C120" s="276">
        <v>0</v>
      </c>
      <c r="D120" s="276">
        <v>0</v>
      </c>
      <c r="E120" s="276">
        <f t="shared" si="22"/>
        <v>0</v>
      </c>
      <c r="H120" s="276">
        <v>0</v>
      </c>
      <c r="I120" s="276">
        <f t="shared" si="23"/>
        <v>0</v>
      </c>
      <c r="J120" s="276">
        <f t="shared" si="24"/>
        <v>0</v>
      </c>
      <c r="K120" s="276">
        <f t="shared" si="25"/>
        <v>0</v>
      </c>
      <c r="Q120" s="286">
        <f>SUM(Q118:Q119)</f>
        <v>5000</v>
      </c>
      <c r="R120" s="294"/>
      <c r="S120" s="286">
        <f>SUM(S118:S119)</f>
        <v>5000</v>
      </c>
      <c r="T120" s="294"/>
      <c r="U120" s="286">
        <f>SUM(U118:U119)</f>
        <v>0</v>
      </c>
      <c r="V120" s="294"/>
    </row>
    <row r="121" spans="2:22">
      <c r="B121" s="316" t="s">
        <v>92</v>
      </c>
      <c r="C121" s="276">
        <v>1226</v>
      </c>
      <c r="D121" s="276">
        <v>1226</v>
      </c>
      <c r="E121" s="276">
        <f t="shared" si="22"/>
        <v>0</v>
      </c>
      <c r="H121" s="276">
        <v>1226.1199999999999</v>
      </c>
      <c r="I121" s="276">
        <f t="shared" si="23"/>
        <v>-0.11999999999989086</v>
      </c>
      <c r="J121" s="276">
        <f t="shared" si="24"/>
        <v>-0.11135999999989872</v>
      </c>
      <c r="K121" s="276">
        <f t="shared" si="25"/>
        <v>-8.6399999999921418E-3</v>
      </c>
    </row>
    <row r="122" spans="2:22">
      <c r="B122" s="316" t="s">
        <v>94</v>
      </c>
      <c r="C122" s="276">
        <v>0</v>
      </c>
      <c r="D122" s="276">
        <v>0</v>
      </c>
      <c r="E122" s="276">
        <f t="shared" si="22"/>
        <v>0</v>
      </c>
      <c r="H122" s="276">
        <v>0</v>
      </c>
      <c r="I122" s="276">
        <f t="shared" si="23"/>
        <v>0</v>
      </c>
      <c r="J122" s="276">
        <f t="shared" si="24"/>
        <v>0</v>
      </c>
      <c r="K122" s="276">
        <f t="shared" si="25"/>
        <v>0</v>
      </c>
    </row>
    <row r="123" spans="2:22">
      <c r="B123" s="316" t="s">
        <v>95</v>
      </c>
      <c r="C123" s="276">
        <v>1763</v>
      </c>
      <c r="D123" s="276">
        <v>1763</v>
      </c>
      <c r="E123" s="276">
        <f t="shared" si="22"/>
        <v>0</v>
      </c>
      <c r="H123" s="276">
        <v>1763</v>
      </c>
      <c r="I123" s="276">
        <f t="shared" si="23"/>
        <v>0</v>
      </c>
      <c r="J123" s="276">
        <f t="shared" si="24"/>
        <v>0</v>
      </c>
      <c r="K123" s="276">
        <f t="shared" si="25"/>
        <v>0</v>
      </c>
      <c r="M123" s="331" t="s">
        <v>373</v>
      </c>
    </row>
    <row r="124" spans="2:22">
      <c r="B124" s="316" t="s">
        <v>358</v>
      </c>
      <c r="C124" s="326">
        <v>0</v>
      </c>
      <c r="D124" s="326">
        <v>0</v>
      </c>
      <c r="E124" s="326">
        <f t="shared" si="22"/>
        <v>0</v>
      </c>
      <c r="F124" s="326"/>
      <c r="G124" s="326"/>
      <c r="H124" s="326">
        <v>0</v>
      </c>
      <c r="I124" s="326">
        <f t="shared" si="23"/>
        <v>0</v>
      </c>
      <c r="J124" s="276">
        <f t="shared" si="24"/>
        <v>0</v>
      </c>
      <c r="K124" s="276">
        <f t="shared" si="25"/>
        <v>0</v>
      </c>
    </row>
    <row r="126" spans="2:22">
      <c r="B126" s="318" t="s">
        <v>374</v>
      </c>
      <c r="C126" s="317">
        <f>SUM(C117:C125)</f>
        <v>7989</v>
      </c>
      <c r="D126" s="317">
        <f>SUM(D117:D125)</f>
        <v>7989</v>
      </c>
      <c r="E126" s="317">
        <f>SUM(E115:E122)</f>
        <v>0</v>
      </c>
      <c r="F126" s="317"/>
      <c r="G126" s="317"/>
      <c r="H126" s="317">
        <f>SUM(H117:H125)</f>
        <v>7989.12</v>
      </c>
      <c r="I126" s="317">
        <f>SUM(I117:I124)</f>
        <v>-0.11999999999989086</v>
      </c>
      <c r="J126" s="317"/>
      <c r="K126" s="317"/>
      <c r="L126" s="317"/>
    </row>
    <row r="127" spans="2:22">
      <c r="B127" s="328" t="s">
        <v>360</v>
      </c>
      <c r="C127" s="317">
        <f>+(C126)*$F$116</f>
        <v>0</v>
      </c>
      <c r="D127" s="317">
        <f>+(D126)*$J$116</f>
        <v>7413.7920000000004</v>
      </c>
      <c r="E127" s="317">
        <f>C127-D127</f>
        <v>-7413.7920000000004</v>
      </c>
      <c r="F127" s="317"/>
      <c r="G127" s="317"/>
      <c r="H127" s="317">
        <f>+(H126)*$J$116</f>
        <v>7413.9033600000002</v>
      </c>
      <c r="I127" s="317">
        <f>+D127-H127</f>
        <v>-0.11135999999987689</v>
      </c>
      <c r="J127" s="317"/>
      <c r="K127" s="317"/>
      <c r="L127" s="317"/>
    </row>
    <row r="128" spans="2:22">
      <c r="B128" s="328" t="s">
        <v>361</v>
      </c>
      <c r="C128" s="317">
        <f>+C126*$G$116</f>
        <v>0</v>
      </c>
      <c r="D128" s="317">
        <f>+D126*$K$116</f>
        <v>575.20799999999997</v>
      </c>
      <c r="E128" s="317">
        <f>C128-D128</f>
        <v>-575.20799999999997</v>
      </c>
      <c r="F128" s="317"/>
      <c r="G128" s="317"/>
      <c r="H128" s="317">
        <f>+H126*$K$116</f>
        <v>575.21663999999998</v>
      </c>
      <c r="I128" s="317">
        <f>+D128-H128</f>
        <v>-8.6400000000139698E-3</v>
      </c>
      <c r="J128" s="317"/>
      <c r="K128" s="317"/>
      <c r="L128" s="317"/>
    </row>
    <row r="129" spans="2:22">
      <c r="B129" s="328" t="s">
        <v>259</v>
      </c>
      <c r="C129" s="317">
        <f>SUM(C127:C128)</f>
        <v>0</v>
      </c>
      <c r="D129" s="317">
        <f>SUM(D127:D128)</f>
        <v>7989</v>
      </c>
      <c r="E129" s="317">
        <f>C129-D129</f>
        <v>-7989</v>
      </c>
      <c r="F129" s="317"/>
      <c r="G129" s="317"/>
      <c r="H129" s="317">
        <f>SUM(H127:H128)</f>
        <v>7989.12</v>
      </c>
      <c r="I129" s="317">
        <f>+D129-H129</f>
        <v>-0.11999999999989086</v>
      </c>
    </row>
    <row r="130" spans="2:22">
      <c r="B130" s="328"/>
      <c r="C130" s="276">
        <f>C126-C129</f>
        <v>7989</v>
      </c>
      <c r="D130" s="276">
        <f>D126-D129</f>
        <v>0</v>
      </c>
      <c r="E130" s="317">
        <f>C130-D130</f>
        <v>7989</v>
      </c>
      <c r="H130" s="276">
        <f>H126-H129</f>
        <v>0</v>
      </c>
    </row>
    <row r="132" spans="2:22">
      <c r="F132" s="317" t="s">
        <v>352</v>
      </c>
      <c r="G132" s="317" t="s">
        <v>353</v>
      </c>
      <c r="J132" s="317" t="s">
        <v>352</v>
      </c>
      <c r="K132" s="317" t="s">
        <v>353</v>
      </c>
    </row>
    <row r="133" spans="2:22">
      <c r="B133" s="318" t="s">
        <v>375</v>
      </c>
      <c r="C133" s="319" t="s">
        <v>389</v>
      </c>
      <c r="D133" s="319" t="s">
        <v>355</v>
      </c>
      <c r="E133" s="319" t="s">
        <v>5</v>
      </c>
      <c r="F133" s="319"/>
      <c r="G133" s="319"/>
      <c r="H133" s="319" t="s">
        <v>356</v>
      </c>
      <c r="I133" s="319" t="s">
        <v>5</v>
      </c>
      <c r="J133" s="320">
        <f>+R135</f>
        <v>0.6</v>
      </c>
      <c r="K133" s="321">
        <f>+R136</f>
        <v>0.4</v>
      </c>
      <c r="L133" s="319"/>
    </row>
    <row r="134" spans="2:22">
      <c r="B134" s="316" t="s">
        <v>87</v>
      </c>
      <c r="C134" s="276">
        <f>Participaciones!Q3</f>
        <v>0</v>
      </c>
      <c r="D134" s="276">
        <v>10000</v>
      </c>
      <c r="E134" s="276">
        <f t="shared" ref="E134:E141" si="26">C134-D134</f>
        <v>-10000</v>
      </c>
      <c r="H134" s="276">
        <v>10000</v>
      </c>
      <c r="I134" s="276">
        <f t="shared" ref="I134:I141" si="27">+D134-H134</f>
        <v>0</v>
      </c>
      <c r="J134" s="276">
        <f t="shared" ref="J134:J141" si="28">+I134*$J$133</f>
        <v>0</v>
      </c>
      <c r="K134" s="276">
        <f t="shared" ref="K134:K141" si="29">+I134*$K$133</f>
        <v>0</v>
      </c>
      <c r="Q134" s="3">
        <v>2017</v>
      </c>
      <c r="R134" s="3"/>
      <c r="S134" s="3">
        <v>2016</v>
      </c>
      <c r="T134" s="3"/>
      <c r="U134" s="3" t="s">
        <v>5</v>
      </c>
      <c r="V134" s="3"/>
    </row>
    <row r="135" spans="2:22">
      <c r="B135" s="316" t="s">
        <v>88</v>
      </c>
      <c r="C135" s="276">
        <f>Participaciones!Q4</f>
        <v>0</v>
      </c>
      <c r="D135" s="276">
        <v>0</v>
      </c>
      <c r="E135" s="276">
        <f t="shared" si="26"/>
        <v>0</v>
      </c>
      <c r="H135" s="276">
        <v>0</v>
      </c>
      <c r="I135" s="276">
        <f t="shared" si="27"/>
        <v>0</v>
      </c>
      <c r="J135" s="276">
        <f t="shared" si="28"/>
        <v>0</v>
      </c>
      <c r="K135" s="276">
        <f t="shared" si="29"/>
        <v>0</v>
      </c>
      <c r="N135" s="276" t="s">
        <v>293</v>
      </c>
      <c r="Q135" s="286">
        <v>6000</v>
      </c>
      <c r="R135" s="287">
        <f>+Q135/$Q$137</f>
        <v>0.6</v>
      </c>
      <c r="S135" s="286">
        <v>6000</v>
      </c>
      <c r="T135" s="287">
        <f>+S135/$S$137</f>
        <v>0.6</v>
      </c>
      <c r="U135" s="286">
        <f>+Q135-S135</f>
        <v>0</v>
      </c>
      <c r="V135" s="287">
        <f>+R135-T135</f>
        <v>0</v>
      </c>
    </row>
    <row r="136" spans="2:22">
      <c r="B136" s="316" t="s">
        <v>90</v>
      </c>
      <c r="C136" s="276">
        <f>Participaciones!Q5</f>
        <v>0</v>
      </c>
      <c r="D136" s="276">
        <v>0</v>
      </c>
      <c r="E136" s="276">
        <f t="shared" si="26"/>
        <v>0</v>
      </c>
      <c r="H136" s="276">
        <v>0</v>
      </c>
      <c r="I136" s="276">
        <f t="shared" si="27"/>
        <v>0</v>
      </c>
      <c r="J136" s="276">
        <f t="shared" si="28"/>
        <v>0</v>
      </c>
      <c r="K136" s="276">
        <f t="shared" si="29"/>
        <v>0</v>
      </c>
      <c r="N136" s="276" t="s">
        <v>296</v>
      </c>
      <c r="Q136" s="291">
        <v>4000</v>
      </c>
      <c r="R136" s="287">
        <f>+Q136/$Q$137</f>
        <v>0.4</v>
      </c>
      <c r="S136" s="291">
        <v>4000</v>
      </c>
      <c r="T136" s="287">
        <f>+S136/$S$137</f>
        <v>0.4</v>
      </c>
      <c r="U136" s="286">
        <f>+Q136-S136</f>
        <v>0</v>
      </c>
      <c r="V136" s="287">
        <f>+R136-T136</f>
        <v>0</v>
      </c>
    </row>
    <row r="137" spans="2:22">
      <c r="B137" s="316" t="s">
        <v>91</v>
      </c>
      <c r="C137" s="276">
        <f>Participaciones!Q6</f>
        <v>0</v>
      </c>
      <c r="D137" s="276">
        <v>0</v>
      </c>
      <c r="E137" s="276">
        <f t="shared" si="26"/>
        <v>0</v>
      </c>
      <c r="H137" s="276">
        <v>0</v>
      </c>
      <c r="I137" s="276">
        <f t="shared" si="27"/>
        <v>0</v>
      </c>
      <c r="J137" s="276">
        <f t="shared" si="28"/>
        <v>0</v>
      </c>
      <c r="K137" s="276">
        <f t="shared" si="29"/>
        <v>0</v>
      </c>
      <c r="Q137" s="286">
        <f>SUM(Q135:Q136)</f>
        <v>10000</v>
      </c>
      <c r="R137" s="294"/>
      <c r="S137" s="286">
        <f>SUM(S135:S136)</f>
        <v>10000</v>
      </c>
      <c r="T137" s="294"/>
      <c r="U137" s="286">
        <f>SUM(U135:U136)</f>
        <v>0</v>
      </c>
      <c r="V137" s="294"/>
    </row>
    <row r="138" spans="2:22">
      <c r="B138" s="316" t="s">
        <v>92</v>
      </c>
      <c r="C138" s="276">
        <f>Participaciones!Q7</f>
        <v>0</v>
      </c>
      <c r="D138" s="276">
        <v>0</v>
      </c>
      <c r="E138" s="276">
        <f t="shared" si="26"/>
        <v>0</v>
      </c>
      <c r="H138" s="276">
        <v>0</v>
      </c>
      <c r="I138" s="276">
        <f t="shared" si="27"/>
        <v>0</v>
      </c>
      <c r="J138" s="276">
        <f t="shared" si="28"/>
        <v>0</v>
      </c>
      <c r="K138" s="276">
        <f t="shared" si="29"/>
        <v>0</v>
      </c>
    </row>
    <row r="139" spans="2:22">
      <c r="B139" s="316" t="s">
        <v>94</v>
      </c>
      <c r="C139" s="276">
        <f>Participaciones!Q8</f>
        <v>0</v>
      </c>
      <c r="D139" s="276">
        <v>0</v>
      </c>
      <c r="E139" s="276">
        <f t="shared" si="26"/>
        <v>0</v>
      </c>
      <c r="H139" s="276">
        <v>0</v>
      </c>
      <c r="I139" s="276">
        <f t="shared" si="27"/>
        <v>0</v>
      </c>
      <c r="J139" s="276">
        <f t="shared" si="28"/>
        <v>0</v>
      </c>
      <c r="K139" s="276">
        <f t="shared" si="29"/>
        <v>0</v>
      </c>
    </row>
    <row r="140" spans="2:22">
      <c r="B140" s="316" t="s">
        <v>95</v>
      </c>
      <c r="C140" s="276">
        <f>Participaciones!Q11</f>
        <v>0</v>
      </c>
      <c r="D140" s="276">
        <v>0</v>
      </c>
      <c r="E140" s="276">
        <f t="shared" si="26"/>
        <v>0</v>
      </c>
      <c r="H140" s="276">
        <v>0</v>
      </c>
      <c r="I140" s="276">
        <f t="shared" si="27"/>
        <v>0</v>
      </c>
      <c r="J140" s="276">
        <f t="shared" si="28"/>
        <v>0</v>
      </c>
      <c r="K140" s="276">
        <f t="shared" si="29"/>
        <v>0</v>
      </c>
    </row>
    <row r="141" spans="2:22">
      <c r="B141" s="316" t="s">
        <v>358</v>
      </c>
      <c r="C141" s="326">
        <f>'Planilla final'!I73</f>
        <v>0</v>
      </c>
      <c r="D141" s="326">
        <v>0</v>
      </c>
      <c r="E141" s="326">
        <f t="shared" si="26"/>
        <v>0</v>
      </c>
      <c r="F141" s="326"/>
      <c r="G141" s="326"/>
      <c r="H141" s="326">
        <v>0</v>
      </c>
      <c r="I141" s="326">
        <f t="shared" si="27"/>
        <v>0</v>
      </c>
      <c r="J141" s="276">
        <f t="shared" si="28"/>
        <v>0</v>
      </c>
      <c r="K141" s="276">
        <f t="shared" si="29"/>
        <v>0</v>
      </c>
    </row>
    <row r="143" spans="2:22">
      <c r="B143" s="318" t="s">
        <v>374</v>
      </c>
      <c r="C143" s="317">
        <f>SUM(C134:C142)</f>
        <v>0</v>
      </c>
      <c r="D143" s="317">
        <f>SUM(D134:D142)</f>
        <v>10000</v>
      </c>
      <c r="E143" s="317">
        <f>SUM(E132:E139)</f>
        <v>-10000</v>
      </c>
      <c r="F143" s="317"/>
      <c r="G143" s="317"/>
      <c r="H143" s="317">
        <f>SUM(H134:H142)</f>
        <v>10000</v>
      </c>
      <c r="I143" s="317">
        <f>SUM(I134:I141)</f>
        <v>0</v>
      </c>
      <c r="J143" s="317"/>
      <c r="K143" s="317"/>
      <c r="L143" s="317"/>
    </row>
    <row r="144" spans="2:22">
      <c r="B144" s="328" t="s">
        <v>360</v>
      </c>
      <c r="C144" s="317">
        <f>+(C143)*$F$133</f>
        <v>0</v>
      </c>
      <c r="D144" s="317">
        <f>+(D143)*$J$133</f>
        <v>6000</v>
      </c>
      <c r="E144" s="317">
        <f>C144-D144</f>
        <v>-6000</v>
      </c>
      <c r="F144" s="317"/>
      <c r="G144" s="317"/>
      <c r="H144" s="317">
        <f>+(H143)*$J$133</f>
        <v>6000</v>
      </c>
      <c r="I144" s="317">
        <f>+D144-H144</f>
        <v>0</v>
      </c>
      <c r="J144" s="317"/>
      <c r="K144" s="317"/>
      <c r="L144" s="317"/>
    </row>
    <row r="145" spans="2:22">
      <c r="B145" s="328" t="s">
        <v>361</v>
      </c>
      <c r="C145" s="317">
        <f>+C143*$G$133</f>
        <v>0</v>
      </c>
      <c r="D145" s="317">
        <f>+D143*$K$133</f>
        <v>4000</v>
      </c>
      <c r="E145" s="317">
        <f>C145-D145</f>
        <v>-4000</v>
      </c>
      <c r="F145" s="317"/>
      <c r="G145" s="317"/>
      <c r="H145" s="317">
        <f>+H143*$K$133</f>
        <v>4000</v>
      </c>
      <c r="I145" s="317">
        <f>+D145-H145</f>
        <v>0</v>
      </c>
    </row>
    <row r="146" spans="2:22">
      <c r="B146" s="328" t="s">
        <v>259</v>
      </c>
      <c r="C146" s="317">
        <f>SUM(C144:C145)</f>
        <v>0</v>
      </c>
      <c r="D146" s="317">
        <f>SUM(D144:D145)</f>
        <v>10000</v>
      </c>
      <c r="E146" s="317">
        <f>C146-D146</f>
        <v>-10000</v>
      </c>
      <c r="F146" s="317"/>
      <c r="G146" s="317"/>
      <c r="H146" s="317">
        <f>SUM(H144:H145)</f>
        <v>10000</v>
      </c>
      <c r="I146" s="317">
        <f>+D146-H146</f>
        <v>0</v>
      </c>
    </row>
    <row r="147" spans="2:22">
      <c r="B147" s="328"/>
      <c r="C147" s="276">
        <f>C143-C146</f>
        <v>0</v>
      </c>
      <c r="D147" s="276">
        <f>D143-D146</f>
        <v>0</v>
      </c>
      <c r="E147" s="317">
        <f>C147-D147</f>
        <v>0</v>
      </c>
      <c r="H147" s="276">
        <f>H143-H146</f>
        <v>0</v>
      </c>
    </row>
    <row r="148" spans="2:22">
      <c r="B148" s="328"/>
      <c r="C148" s="328"/>
      <c r="D148" s="317"/>
      <c r="E148" s="317"/>
      <c r="F148" s="317"/>
      <c r="G148" s="317"/>
      <c r="H148" s="317"/>
      <c r="I148" s="317"/>
    </row>
    <row r="149" spans="2:22">
      <c r="F149" s="317" t="s">
        <v>352</v>
      </c>
      <c r="G149" s="317" t="s">
        <v>353</v>
      </c>
      <c r="J149" s="317" t="s">
        <v>352</v>
      </c>
      <c r="K149" s="317" t="s">
        <v>353</v>
      </c>
    </row>
    <row r="150" spans="2:22">
      <c r="B150" s="318" t="s">
        <v>376</v>
      </c>
      <c r="C150" s="319" t="s">
        <v>389</v>
      </c>
      <c r="D150" s="319" t="s">
        <v>355</v>
      </c>
      <c r="E150" s="319" t="s">
        <v>5</v>
      </c>
      <c r="F150" s="319"/>
      <c r="G150" s="319"/>
      <c r="H150" s="319" t="s">
        <v>356</v>
      </c>
      <c r="I150" s="319" t="s">
        <v>5</v>
      </c>
      <c r="J150" s="320">
        <f>+R152</f>
        <v>0.99995000000000001</v>
      </c>
      <c r="K150" s="321">
        <f>+R153</f>
        <v>5.0000000000000002E-5</v>
      </c>
      <c r="L150" s="319"/>
    </row>
    <row r="151" spans="2:22">
      <c r="B151" s="316" t="s">
        <v>87</v>
      </c>
      <c r="C151" s="276">
        <f>Participaciones!S3</f>
        <v>0</v>
      </c>
      <c r="D151" s="276">
        <v>800</v>
      </c>
      <c r="E151" s="276">
        <f t="shared" ref="E151:E158" si="30">C151-D151</f>
        <v>-800</v>
      </c>
      <c r="H151" s="276">
        <v>800</v>
      </c>
      <c r="I151" s="276">
        <f t="shared" ref="I151:I158" si="31">+D151-H151</f>
        <v>0</v>
      </c>
      <c r="J151" s="276">
        <f t="shared" ref="J151:J158" si="32">+I151*$J$150</f>
        <v>0</v>
      </c>
      <c r="K151" s="276">
        <f t="shared" ref="K151:K158" si="33">+I151*$K$150</f>
        <v>0</v>
      </c>
      <c r="Q151" s="3">
        <v>2017</v>
      </c>
      <c r="R151" s="3"/>
      <c r="S151" s="3">
        <v>2016</v>
      </c>
      <c r="T151" s="3"/>
      <c r="U151" s="3" t="s">
        <v>5</v>
      </c>
      <c r="V151" s="3"/>
    </row>
    <row r="152" spans="2:22">
      <c r="B152" s="316" t="s">
        <v>88</v>
      </c>
      <c r="C152" s="276">
        <f>Participaciones!S4</f>
        <v>0</v>
      </c>
      <c r="D152" s="276">
        <v>0</v>
      </c>
      <c r="E152" s="276">
        <f t="shared" si="30"/>
        <v>0</v>
      </c>
      <c r="H152" s="276">
        <v>0</v>
      </c>
      <c r="I152" s="276">
        <f t="shared" si="31"/>
        <v>0</v>
      </c>
      <c r="J152" s="276">
        <f t="shared" si="32"/>
        <v>0</v>
      </c>
      <c r="K152" s="276">
        <f t="shared" si="33"/>
        <v>0</v>
      </c>
      <c r="N152" s="276" t="s">
        <v>293</v>
      </c>
      <c r="Q152" s="286">
        <v>799.96</v>
      </c>
      <c r="R152" s="287">
        <f>+Q152/$Q$154</f>
        <v>0.99995000000000001</v>
      </c>
      <c r="S152" s="286">
        <v>799.96</v>
      </c>
      <c r="T152" s="287">
        <f>+S152/$S$154</f>
        <v>0.99995000000000001</v>
      </c>
      <c r="U152" s="286">
        <f>+Q152-S152</f>
        <v>0</v>
      </c>
      <c r="V152" s="287">
        <f>+R152-T152</f>
        <v>0</v>
      </c>
    </row>
    <row r="153" spans="2:22">
      <c r="B153" s="316" t="s">
        <v>90</v>
      </c>
      <c r="C153" s="276">
        <f>Participaciones!S5</f>
        <v>0</v>
      </c>
      <c r="D153" s="276">
        <v>0</v>
      </c>
      <c r="E153" s="276">
        <f t="shared" si="30"/>
        <v>0</v>
      </c>
      <c r="H153" s="276">
        <v>0</v>
      </c>
      <c r="I153" s="276">
        <f t="shared" si="31"/>
        <v>0</v>
      </c>
      <c r="J153" s="276">
        <f t="shared" si="32"/>
        <v>0</v>
      </c>
      <c r="K153" s="276">
        <f t="shared" si="33"/>
        <v>0</v>
      </c>
      <c r="N153" s="276" t="s">
        <v>296</v>
      </c>
      <c r="Q153" s="291">
        <v>0.04</v>
      </c>
      <c r="R153" s="287">
        <f>+Q153/$Q$154</f>
        <v>5.0000000000000002E-5</v>
      </c>
      <c r="S153" s="291">
        <v>0.04</v>
      </c>
      <c r="T153" s="287">
        <f>+S153/$S$154</f>
        <v>5.0000000000000002E-5</v>
      </c>
      <c r="U153" s="286">
        <f>+Q153-S153</f>
        <v>0</v>
      </c>
      <c r="V153" s="287">
        <f>+R153-T153</f>
        <v>0</v>
      </c>
    </row>
    <row r="154" spans="2:22">
      <c r="B154" s="316" t="s">
        <v>91</v>
      </c>
      <c r="C154" s="276">
        <f>Participaciones!S6</f>
        <v>0</v>
      </c>
      <c r="D154" s="276">
        <v>0</v>
      </c>
      <c r="E154" s="276">
        <f t="shared" si="30"/>
        <v>0</v>
      </c>
      <c r="H154" s="276">
        <v>0</v>
      </c>
      <c r="I154" s="276">
        <f t="shared" si="31"/>
        <v>0</v>
      </c>
      <c r="J154" s="276">
        <f t="shared" si="32"/>
        <v>0</v>
      </c>
      <c r="K154" s="276">
        <f t="shared" si="33"/>
        <v>0</v>
      </c>
      <c r="Q154" s="286">
        <f>SUM(Q152:Q153)</f>
        <v>800</v>
      </c>
      <c r="R154" s="294"/>
      <c r="S154" s="286">
        <f>SUM(S152:S153)</f>
        <v>800</v>
      </c>
      <c r="T154" s="294"/>
      <c r="U154" s="286">
        <f>SUM(U152:U153)</f>
        <v>0</v>
      </c>
      <c r="V154" s="294"/>
    </row>
    <row r="155" spans="2:22">
      <c r="B155" s="316" t="s">
        <v>92</v>
      </c>
      <c r="C155" s="276">
        <f>Participaciones!S7</f>
        <v>0</v>
      </c>
      <c r="D155" s="276">
        <v>340.17</v>
      </c>
      <c r="E155" s="276">
        <f t="shared" si="30"/>
        <v>-340.17</v>
      </c>
      <c r="H155" s="276">
        <v>340.17</v>
      </c>
      <c r="I155" s="276">
        <f t="shared" si="31"/>
        <v>0</v>
      </c>
      <c r="J155" s="276">
        <f t="shared" si="32"/>
        <v>0</v>
      </c>
      <c r="K155" s="276">
        <f t="shared" si="33"/>
        <v>0</v>
      </c>
    </row>
    <row r="156" spans="2:22">
      <c r="B156" s="316" t="s">
        <v>94</v>
      </c>
      <c r="C156" s="276">
        <f>Participaciones!S8</f>
        <v>0</v>
      </c>
      <c r="D156" s="276">
        <v>0</v>
      </c>
      <c r="E156" s="276">
        <f t="shared" si="30"/>
        <v>0</v>
      </c>
      <c r="H156" s="276">
        <v>0</v>
      </c>
      <c r="I156" s="276">
        <f t="shared" si="31"/>
        <v>0</v>
      </c>
      <c r="J156" s="276">
        <f t="shared" si="32"/>
        <v>0</v>
      </c>
      <c r="K156" s="276">
        <f t="shared" si="33"/>
        <v>0</v>
      </c>
    </row>
    <row r="157" spans="2:22">
      <c r="B157" s="316" t="s">
        <v>95</v>
      </c>
      <c r="C157" s="276">
        <f>Participaciones!S10</f>
        <v>0</v>
      </c>
      <c r="D157" s="276">
        <v>0</v>
      </c>
      <c r="E157" s="276">
        <f t="shared" si="30"/>
        <v>0</v>
      </c>
      <c r="H157" s="276">
        <v>0</v>
      </c>
      <c r="I157" s="276">
        <f t="shared" si="31"/>
        <v>0</v>
      </c>
      <c r="J157" s="276">
        <f t="shared" si="32"/>
        <v>0</v>
      </c>
      <c r="K157" s="276">
        <f t="shared" si="33"/>
        <v>0</v>
      </c>
    </row>
    <row r="158" spans="2:22">
      <c r="B158" s="316" t="s">
        <v>358</v>
      </c>
      <c r="C158" s="326">
        <f>'Planilla final'!K73</f>
        <v>0</v>
      </c>
      <c r="D158" s="326">
        <v>0</v>
      </c>
      <c r="E158" s="326">
        <f t="shared" si="30"/>
        <v>0</v>
      </c>
      <c r="F158" s="326"/>
      <c r="G158" s="326"/>
      <c r="H158" s="326">
        <v>0</v>
      </c>
      <c r="I158" s="326">
        <f t="shared" si="31"/>
        <v>0</v>
      </c>
      <c r="J158" s="276">
        <f t="shared" si="32"/>
        <v>0</v>
      </c>
      <c r="K158" s="276">
        <f t="shared" si="33"/>
        <v>0</v>
      </c>
    </row>
    <row r="160" spans="2:22">
      <c r="B160" s="318" t="s">
        <v>374</v>
      </c>
      <c r="C160" s="317">
        <f>SUM(C151:C159)</f>
        <v>0</v>
      </c>
      <c r="D160" s="317">
        <f>SUM(D151:D159)</f>
        <v>1140.17</v>
      </c>
      <c r="E160" s="317">
        <f>SUM(E149:E156)</f>
        <v>-1140.17</v>
      </c>
      <c r="F160" s="317"/>
      <c r="G160" s="317"/>
      <c r="H160" s="317">
        <f>SUM(H151:H159)</f>
        <v>1140.17</v>
      </c>
      <c r="I160" s="317">
        <f>SUM(I151:I158)</f>
        <v>0</v>
      </c>
      <c r="J160" s="317"/>
      <c r="K160" s="317"/>
      <c r="L160" s="317"/>
    </row>
    <row r="161" spans="2:22">
      <c r="B161" s="328" t="s">
        <v>360</v>
      </c>
      <c r="C161" s="317">
        <f>+(C160)*$F$150</f>
        <v>0</v>
      </c>
      <c r="D161" s="317">
        <f>+(D160)*$J$150</f>
        <v>1140.1129915000001</v>
      </c>
      <c r="E161" s="317">
        <f>C161-D161</f>
        <v>-1140.1129915000001</v>
      </c>
      <c r="F161" s="317"/>
      <c r="G161" s="317"/>
      <c r="H161" s="317">
        <f>+(H160)*$J$150</f>
        <v>1140.1129915000001</v>
      </c>
      <c r="I161" s="317"/>
      <c r="J161" s="317"/>
      <c r="K161" s="317"/>
      <c r="L161" s="317"/>
    </row>
    <row r="162" spans="2:22">
      <c r="B162" s="328" t="s">
        <v>361</v>
      </c>
      <c r="C162" s="333">
        <f>+C160*$G$150</f>
        <v>0</v>
      </c>
      <c r="D162" s="333">
        <f>+D160*$K$150</f>
        <v>5.7008500000000004E-2</v>
      </c>
      <c r="E162" s="317">
        <f>C162-D162</f>
        <v>-5.7008500000000004E-2</v>
      </c>
      <c r="F162" s="333"/>
      <c r="G162" s="333"/>
      <c r="H162" s="333">
        <f>+H160*$K$150</f>
        <v>5.7008500000000004E-2</v>
      </c>
      <c r="I162" s="317">
        <f>+D162-H162</f>
        <v>0</v>
      </c>
    </row>
    <row r="163" spans="2:22">
      <c r="B163" s="328" t="s">
        <v>259</v>
      </c>
      <c r="C163" s="317">
        <f>SUM(C161:C162)</f>
        <v>0</v>
      </c>
      <c r="D163" s="317">
        <f>SUM(D161:D162)</f>
        <v>1140.17</v>
      </c>
      <c r="E163" s="317">
        <f>C163-D163</f>
        <v>-1140.17</v>
      </c>
      <c r="F163" s="317"/>
      <c r="G163" s="317"/>
      <c r="H163" s="317">
        <f>SUM(H161:H162)</f>
        <v>1140.17</v>
      </c>
      <c r="I163" s="317">
        <f>+D163-H163</f>
        <v>0</v>
      </c>
    </row>
    <row r="164" spans="2:22">
      <c r="B164" s="328"/>
      <c r="C164" s="276">
        <f>C160-C163</f>
        <v>0</v>
      </c>
      <c r="D164" s="276">
        <f>D160-D163</f>
        <v>0</v>
      </c>
      <c r="E164" s="317">
        <f>C164-D164</f>
        <v>0</v>
      </c>
      <c r="H164" s="276">
        <f>H160-H163</f>
        <v>0</v>
      </c>
    </row>
    <row r="165" spans="2:22">
      <c r="B165" s="328"/>
      <c r="C165" s="276"/>
      <c r="E165" s="317"/>
    </row>
    <row r="166" spans="2:22">
      <c r="F166" s="317" t="s">
        <v>352</v>
      </c>
      <c r="G166" s="317" t="s">
        <v>353</v>
      </c>
      <c r="J166" s="317" t="s">
        <v>352</v>
      </c>
      <c r="K166" s="317" t="s">
        <v>353</v>
      </c>
    </row>
    <row r="167" spans="2:22">
      <c r="B167" s="318" t="s">
        <v>377</v>
      </c>
      <c r="C167" s="319" t="s">
        <v>389</v>
      </c>
      <c r="D167" s="319" t="s">
        <v>355</v>
      </c>
      <c r="E167" s="319" t="s">
        <v>5</v>
      </c>
      <c r="F167" s="319"/>
      <c r="G167" s="319"/>
      <c r="H167" s="319" t="s">
        <v>356</v>
      </c>
      <c r="I167" s="319" t="s">
        <v>5</v>
      </c>
      <c r="J167" s="320">
        <f>+R169</f>
        <v>0.92500000000000004</v>
      </c>
      <c r="K167" s="321">
        <f>+R170</f>
        <v>7.4999999999999997E-2</v>
      </c>
      <c r="L167" s="319"/>
    </row>
    <row r="168" spans="2:22">
      <c r="B168" s="316" t="s">
        <v>87</v>
      </c>
      <c r="C168" s="276">
        <f>Participaciones!U3</f>
        <v>0</v>
      </c>
      <c r="D168" s="276">
        <v>800</v>
      </c>
      <c r="E168" s="276">
        <f t="shared" ref="E168:E175" si="34">C168-D168</f>
        <v>-800</v>
      </c>
      <c r="H168" s="276">
        <v>800</v>
      </c>
      <c r="I168" s="276">
        <f t="shared" ref="I168:I175" si="35">+D168-H168</f>
        <v>0</v>
      </c>
      <c r="J168" s="276">
        <f t="shared" ref="J168:J175" si="36">+I168*$J$167</f>
        <v>0</v>
      </c>
      <c r="K168" s="276">
        <f t="shared" ref="K168:K175" si="37">+I168*$K$167</f>
        <v>0</v>
      </c>
      <c r="Q168" s="3">
        <v>2017</v>
      </c>
      <c r="R168" s="3"/>
      <c r="S168" s="3">
        <v>2016</v>
      </c>
      <c r="T168" s="3"/>
      <c r="U168" s="3" t="s">
        <v>5</v>
      </c>
      <c r="V168" s="3"/>
    </row>
    <row r="169" spans="2:22">
      <c r="B169" s="316" t="s">
        <v>88</v>
      </c>
      <c r="C169" s="276">
        <f>Participaciones!U4</f>
        <v>0</v>
      </c>
      <c r="D169" s="276">
        <f>'ESF - ERI'!AB49</f>
        <v>1833417</v>
      </c>
      <c r="E169" s="276">
        <f t="shared" si="34"/>
        <v>-1833417</v>
      </c>
      <c r="H169" s="276">
        <v>0</v>
      </c>
      <c r="I169" s="276">
        <f t="shared" si="35"/>
        <v>1833417</v>
      </c>
      <c r="J169" s="276">
        <f t="shared" si="36"/>
        <v>1695910.7250000001</v>
      </c>
      <c r="K169" s="276">
        <f t="shared" si="37"/>
        <v>137506.27499999999</v>
      </c>
      <c r="N169" s="276" t="s">
        <v>293</v>
      </c>
      <c r="Q169" s="286">
        <v>740</v>
      </c>
      <c r="R169" s="287">
        <f>+Q169/$Q$171</f>
        <v>0.92500000000000004</v>
      </c>
      <c r="S169" s="286">
        <v>740</v>
      </c>
      <c r="T169" s="287">
        <f>+S169/$S$171</f>
        <v>0.92500000000000004</v>
      </c>
      <c r="U169" s="286">
        <f>+Q169-S169</f>
        <v>0</v>
      </c>
      <c r="V169" s="287">
        <f>+R169-T169</f>
        <v>0</v>
      </c>
    </row>
    <row r="170" spans="2:22">
      <c r="B170" s="316" t="s">
        <v>90</v>
      </c>
      <c r="C170" s="276">
        <f>Participaciones!U5</f>
        <v>0</v>
      </c>
      <c r="D170" s="276">
        <v>0</v>
      </c>
      <c r="E170" s="276">
        <f t="shared" si="34"/>
        <v>0</v>
      </c>
      <c r="H170" s="276">
        <v>0</v>
      </c>
      <c r="I170" s="276">
        <f t="shared" si="35"/>
        <v>0</v>
      </c>
      <c r="J170" s="276">
        <f t="shared" si="36"/>
        <v>0</v>
      </c>
      <c r="K170" s="276">
        <f t="shared" si="37"/>
        <v>0</v>
      </c>
      <c r="N170" s="276" t="s">
        <v>296</v>
      </c>
      <c r="Q170" s="291">
        <v>60</v>
      </c>
      <c r="R170" s="287">
        <f>+Q170/$Q$171</f>
        <v>7.4999999999999997E-2</v>
      </c>
      <c r="S170" s="291">
        <v>60</v>
      </c>
      <c r="T170" s="287">
        <f>+S170/$S$171</f>
        <v>7.4999999999999997E-2</v>
      </c>
      <c r="U170" s="286">
        <f>+Q170-S170</f>
        <v>0</v>
      </c>
      <c r="V170" s="287">
        <f>+R170-T170</f>
        <v>0</v>
      </c>
    </row>
    <row r="171" spans="2:22">
      <c r="B171" s="316" t="s">
        <v>91</v>
      </c>
      <c r="C171" s="276">
        <f>Participaciones!U6</f>
        <v>0</v>
      </c>
      <c r="D171" s="276">
        <v>0</v>
      </c>
      <c r="E171" s="276">
        <f t="shared" si="34"/>
        <v>0</v>
      </c>
      <c r="H171" s="276">
        <v>0</v>
      </c>
      <c r="I171" s="276">
        <f t="shared" si="35"/>
        <v>0</v>
      </c>
      <c r="J171" s="276">
        <f t="shared" si="36"/>
        <v>0</v>
      </c>
      <c r="K171" s="276">
        <f t="shared" si="37"/>
        <v>0</v>
      </c>
      <c r="Q171" s="286">
        <f>SUM(Q169:Q170)</f>
        <v>800</v>
      </c>
      <c r="R171" s="294"/>
      <c r="S171" s="286">
        <f>SUM(S169:S170)</f>
        <v>800</v>
      </c>
      <c r="T171" s="294"/>
      <c r="U171" s="286">
        <f>SUM(U169:U170)</f>
        <v>0</v>
      </c>
      <c r="V171" s="294"/>
    </row>
    <row r="172" spans="2:22">
      <c r="B172" s="316" t="s">
        <v>92</v>
      </c>
      <c r="C172" s="276">
        <f>Participaciones!U7</f>
        <v>0</v>
      </c>
      <c r="D172" s="276">
        <v>0</v>
      </c>
      <c r="E172" s="276">
        <f t="shared" si="34"/>
        <v>0</v>
      </c>
      <c r="H172" s="276">
        <v>0</v>
      </c>
      <c r="I172" s="276">
        <f t="shared" si="35"/>
        <v>0</v>
      </c>
      <c r="J172" s="276">
        <f t="shared" si="36"/>
        <v>0</v>
      </c>
      <c r="K172" s="276">
        <f t="shared" si="37"/>
        <v>0</v>
      </c>
    </row>
    <row r="173" spans="2:22">
      <c r="B173" s="316" t="s">
        <v>94</v>
      </c>
      <c r="C173" s="276">
        <f>Participaciones!U8</f>
        <v>0</v>
      </c>
      <c r="D173" s="276">
        <v>0</v>
      </c>
      <c r="E173" s="276">
        <f t="shared" si="34"/>
        <v>0</v>
      </c>
      <c r="H173" s="276">
        <v>0</v>
      </c>
      <c r="I173" s="276">
        <f t="shared" si="35"/>
        <v>0</v>
      </c>
      <c r="J173" s="276">
        <f t="shared" si="36"/>
        <v>0</v>
      </c>
      <c r="K173" s="276">
        <f t="shared" si="37"/>
        <v>0</v>
      </c>
    </row>
    <row r="174" spans="2:22">
      <c r="B174" s="316" t="s">
        <v>95</v>
      </c>
      <c r="C174" s="336">
        <f>Participaciones!U11-C175</f>
        <v>0</v>
      </c>
      <c r="D174" s="276">
        <f>'ESF - ERI'!AB55</f>
        <v>-15422</v>
      </c>
      <c r="E174" s="276">
        <f t="shared" si="34"/>
        <v>15422</v>
      </c>
      <c r="H174" s="276">
        <v>0</v>
      </c>
      <c r="I174" s="276">
        <f t="shared" si="35"/>
        <v>-15422</v>
      </c>
      <c r="J174" s="276">
        <f t="shared" si="36"/>
        <v>-14265.35</v>
      </c>
      <c r="K174" s="276">
        <f t="shared" si="37"/>
        <v>-1156.6499999999999</v>
      </c>
    </row>
    <row r="175" spans="2:22">
      <c r="B175" s="316" t="s">
        <v>358</v>
      </c>
      <c r="C175" s="326">
        <f>'Planilla final'!L73</f>
        <v>0</v>
      </c>
      <c r="D175" s="326">
        <f>'ESF - ERI'!AB56</f>
        <v>-344143</v>
      </c>
      <c r="E175" s="326">
        <f t="shared" si="34"/>
        <v>344143</v>
      </c>
      <c r="F175" s="326"/>
      <c r="G175" s="326"/>
      <c r="H175" s="326">
        <v>-15422</v>
      </c>
      <c r="I175" s="326">
        <f t="shared" si="35"/>
        <v>-328721</v>
      </c>
      <c r="J175" s="276">
        <f t="shared" si="36"/>
        <v>-304066.92499999999</v>
      </c>
      <c r="K175" s="276">
        <f t="shared" si="37"/>
        <v>-24654.075000000001</v>
      </c>
    </row>
    <row r="177" spans="2:20">
      <c r="B177" s="318" t="s">
        <v>374</v>
      </c>
      <c r="C177" s="317">
        <f>SUM(C168:C176)</f>
        <v>0</v>
      </c>
      <c r="D177" s="317">
        <f>SUM(D168:D176)</f>
        <v>1474652</v>
      </c>
      <c r="E177" s="317">
        <f>SUM(E166:E173)</f>
        <v>-1834217</v>
      </c>
      <c r="F177" s="317"/>
      <c r="G177" s="317"/>
      <c r="H177" s="317">
        <f>SUM(H168:H176)</f>
        <v>-14622</v>
      </c>
      <c r="I177" s="317">
        <f>SUM(I168:I175)</f>
        <v>1489274</v>
      </c>
      <c r="J177" s="317"/>
      <c r="K177" s="317"/>
      <c r="L177" s="317"/>
    </row>
    <row r="178" spans="2:20">
      <c r="B178" s="328" t="s">
        <v>360</v>
      </c>
      <c r="C178" s="317">
        <f>+(C177)*$F$167</f>
        <v>0</v>
      </c>
      <c r="D178" s="317">
        <f>+(D177)*$J$167</f>
        <v>1364053.1</v>
      </c>
      <c r="E178" s="317">
        <f>C178-D178</f>
        <v>-1364053.1</v>
      </c>
      <c r="F178" s="317"/>
      <c r="G178" s="317"/>
      <c r="H178" s="317">
        <f>+(H177)*$J$167</f>
        <v>-13525.35</v>
      </c>
      <c r="I178" s="317">
        <f>+D178-H178</f>
        <v>1377578.4500000002</v>
      </c>
      <c r="J178" s="317"/>
      <c r="K178" s="317"/>
      <c r="L178" s="317"/>
    </row>
    <row r="179" spans="2:20">
      <c r="B179" s="328" t="s">
        <v>361</v>
      </c>
      <c r="C179" s="317">
        <f>+C177*$G$167</f>
        <v>0</v>
      </c>
      <c r="D179" s="317">
        <f>+D177*$K$167</f>
        <v>110598.9</v>
      </c>
      <c r="E179" s="317">
        <f>C179-D179</f>
        <v>-110598.9</v>
      </c>
      <c r="F179" s="317"/>
      <c r="G179" s="317"/>
      <c r="H179" s="317">
        <f>+H177*$K$167</f>
        <v>-1096.6499999999999</v>
      </c>
      <c r="I179" s="317">
        <f>+D179-H179</f>
        <v>111695.54999999999</v>
      </c>
    </row>
    <row r="180" spans="2:20">
      <c r="B180" s="328" t="s">
        <v>259</v>
      </c>
      <c r="C180" s="317">
        <f>SUM(C178:C179)</f>
        <v>0</v>
      </c>
      <c r="D180" s="317">
        <f>SUM(D178:D179)</f>
        <v>1474652</v>
      </c>
      <c r="E180" s="317">
        <f>C180-D180</f>
        <v>-1474652</v>
      </c>
      <c r="F180" s="317"/>
      <c r="G180" s="317"/>
      <c r="H180" s="317">
        <f>SUM(H178:H179)</f>
        <v>-14622</v>
      </c>
      <c r="I180" s="317">
        <f>+D180-H180</f>
        <v>1489274</v>
      </c>
    </row>
    <row r="181" spans="2:20">
      <c r="B181" s="328"/>
      <c r="C181" s="276">
        <f>C177-C180</f>
        <v>0</v>
      </c>
      <c r="D181" s="276">
        <f>D177-D180</f>
        <v>0</v>
      </c>
      <c r="E181" s="317">
        <f>C181-D181</f>
        <v>0</v>
      </c>
      <c r="H181" s="276">
        <f>H177-H180</f>
        <v>0</v>
      </c>
    </row>
    <row r="183" spans="2:20">
      <c r="F183" s="317" t="s">
        <v>352</v>
      </c>
      <c r="G183" s="317" t="s">
        <v>353</v>
      </c>
      <c r="J183" s="317" t="s">
        <v>352</v>
      </c>
      <c r="K183" s="317" t="s">
        <v>353</v>
      </c>
    </row>
    <row r="184" spans="2:20">
      <c r="B184" s="318" t="s">
        <v>378</v>
      </c>
      <c r="C184" s="319" t="s">
        <v>389</v>
      </c>
      <c r="D184" s="319" t="s">
        <v>355</v>
      </c>
      <c r="E184" s="319" t="s">
        <v>5</v>
      </c>
      <c r="F184" s="319"/>
      <c r="G184" s="319"/>
      <c r="H184" s="319" t="s">
        <v>356</v>
      </c>
      <c r="I184" s="319" t="s">
        <v>5</v>
      </c>
      <c r="J184" s="320">
        <f>+R186</f>
        <v>0.98</v>
      </c>
      <c r="K184" s="321">
        <f>+R187</f>
        <v>0.02</v>
      </c>
      <c r="L184" s="319"/>
    </row>
    <row r="185" spans="2:20">
      <c r="B185" s="316" t="s">
        <v>87</v>
      </c>
      <c r="C185" s="276">
        <f>Participaciones!W3</f>
        <v>3661400</v>
      </c>
      <c r="D185" s="276">
        <v>3661400</v>
      </c>
      <c r="E185" s="276">
        <f t="shared" ref="E185:E192" si="38">C185-D185</f>
        <v>0</v>
      </c>
      <c r="H185" s="276">
        <v>3661400</v>
      </c>
      <c r="I185" s="276">
        <f t="shared" ref="I185:I192" si="39">+D185-H185</f>
        <v>0</v>
      </c>
      <c r="J185" s="276">
        <f t="shared" ref="J185:J192" si="40">+I185*$J$184</f>
        <v>0</v>
      </c>
      <c r="K185" s="276">
        <f t="shared" ref="K185:K192" si="41">+I185*$K$184</f>
        <v>0</v>
      </c>
      <c r="Q185" s="3">
        <v>2017</v>
      </c>
      <c r="R185" s="3"/>
      <c r="S185" s="3">
        <v>2016</v>
      </c>
      <c r="T185" s="3"/>
    </row>
    <row r="186" spans="2:20">
      <c r="B186" s="316" t="s">
        <v>88</v>
      </c>
      <c r="C186" s="276">
        <f>Participaciones!W4</f>
        <v>406799.86</v>
      </c>
      <c r="D186" s="276">
        <v>406800</v>
      </c>
      <c r="E186" s="276">
        <f t="shared" si="38"/>
        <v>-0.14000000001396984</v>
      </c>
      <c r="H186" s="276">
        <v>112799</v>
      </c>
      <c r="I186" s="276">
        <f t="shared" si="39"/>
        <v>294001</v>
      </c>
      <c r="J186" s="276">
        <f t="shared" si="40"/>
        <v>288120.98</v>
      </c>
      <c r="K186" s="276">
        <f t="shared" si="41"/>
        <v>5880.02</v>
      </c>
      <c r="N186" s="276" t="s">
        <v>293</v>
      </c>
      <c r="Q186" s="334">
        <v>3588172</v>
      </c>
      <c r="R186" s="287">
        <f>Q186/Q188</f>
        <v>0.98</v>
      </c>
      <c r="S186" s="334">
        <v>3588172</v>
      </c>
      <c r="T186" s="287">
        <f>S186/S188</f>
        <v>0.98</v>
      </c>
    </row>
    <row r="187" spans="2:20">
      <c r="B187" s="316" t="s">
        <v>90</v>
      </c>
      <c r="C187" s="276">
        <f>Participaciones!W5</f>
        <v>104043.49</v>
      </c>
      <c r="D187" s="276">
        <v>0</v>
      </c>
      <c r="E187" s="276">
        <f t="shared" si="38"/>
        <v>104043.49</v>
      </c>
      <c r="H187" s="276">
        <v>0</v>
      </c>
      <c r="I187" s="276">
        <f t="shared" si="39"/>
        <v>0</v>
      </c>
      <c r="J187" s="276">
        <f t="shared" si="40"/>
        <v>0</v>
      </c>
      <c r="K187" s="276">
        <f t="shared" si="41"/>
        <v>0</v>
      </c>
      <c r="N187" s="276" t="s">
        <v>296</v>
      </c>
      <c r="Q187" s="327">
        <f>3661400-Q186</f>
        <v>73228</v>
      </c>
      <c r="R187" s="287">
        <f>Q187/Q188</f>
        <v>0.02</v>
      </c>
      <c r="S187" s="327">
        <f>3661400-S186</f>
        <v>73228</v>
      </c>
      <c r="T187" s="287">
        <f>S187/S188</f>
        <v>0.02</v>
      </c>
    </row>
    <row r="188" spans="2:20">
      <c r="B188" s="316" t="s">
        <v>91</v>
      </c>
      <c r="C188" s="276">
        <f>Participaciones!W6</f>
        <v>0</v>
      </c>
      <c r="D188" s="276">
        <v>0</v>
      </c>
      <c r="E188" s="276">
        <f t="shared" si="38"/>
        <v>0</v>
      </c>
      <c r="H188" s="276">
        <v>0</v>
      </c>
      <c r="I188" s="276">
        <f t="shared" si="39"/>
        <v>0</v>
      </c>
      <c r="J188" s="276">
        <f t="shared" si="40"/>
        <v>0</v>
      </c>
      <c r="K188" s="276">
        <f t="shared" si="41"/>
        <v>0</v>
      </c>
      <c r="Q188" s="334">
        <f>SUM(Q186:Q187)</f>
        <v>3661400</v>
      </c>
      <c r="R188" s="294"/>
      <c r="S188" s="334">
        <f>SUM(S186:S187)</f>
        <v>3661400</v>
      </c>
      <c r="T188" s="294"/>
    </row>
    <row r="189" spans="2:20">
      <c r="B189" s="316" t="s">
        <v>92</v>
      </c>
      <c r="C189" s="276">
        <f>Participaciones!W7</f>
        <v>0</v>
      </c>
      <c r="D189" s="276">
        <v>274690</v>
      </c>
      <c r="E189" s="276">
        <f t="shared" si="38"/>
        <v>-274690</v>
      </c>
      <c r="H189" s="276">
        <v>0</v>
      </c>
      <c r="I189" s="276">
        <f t="shared" si="39"/>
        <v>274690</v>
      </c>
      <c r="J189" s="276">
        <f t="shared" si="40"/>
        <v>269196.2</v>
      </c>
      <c r="K189" s="276">
        <f t="shared" si="41"/>
        <v>5493.8</v>
      </c>
    </row>
    <row r="190" spans="2:20">
      <c r="B190" s="316" t="s">
        <v>94</v>
      </c>
      <c r="C190" s="276">
        <f>Participaciones!W8</f>
        <v>150408.57999999999</v>
      </c>
      <c r="D190" s="276">
        <v>-56932</v>
      </c>
      <c r="E190" s="276">
        <f t="shared" si="38"/>
        <v>207340.58</v>
      </c>
      <c r="H190" s="276">
        <v>-56932</v>
      </c>
      <c r="I190" s="276">
        <f t="shared" si="39"/>
        <v>0</v>
      </c>
      <c r="J190" s="276">
        <f t="shared" si="40"/>
        <v>0</v>
      </c>
      <c r="K190" s="276">
        <f t="shared" si="41"/>
        <v>0</v>
      </c>
    </row>
    <row r="191" spans="2:20">
      <c r="B191" s="316" t="s">
        <v>95</v>
      </c>
      <c r="C191" s="276">
        <f>Participaciones!W11-C192</f>
        <v>-4198246.6400000006</v>
      </c>
      <c r="D191" s="276">
        <v>-3886526</v>
      </c>
      <c r="E191" s="276">
        <f t="shared" si="38"/>
        <v>-311720.6400000006</v>
      </c>
      <c r="H191" s="276">
        <v>-3026105</v>
      </c>
      <c r="I191" s="276">
        <f t="shared" si="39"/>
        <v>-860421</v>
      </c>
      <c r="J191" s="276">
        <f t="shared" si="40"/>
        <v>-843212.58</v>
      </c>
      <c r="K191" s="276">
        <f t="shared" si="41"/>
        <v>-17208.420000000002</v>
      </c>
    </row>
    <row r="192" spans="2:20">
      <c r="B192" s="316" t="s">
        <v>358</v>
      </c>
      <c r="C192" s="326">
        <f>'Planilla final'!M73</f>
        <v>224972.81000000006</v>
      </c>
      <c r="D192" s="326">
        <v>-502401</v>
      </c>
      <c r="E192" s="326">
        <f t="shared" si="38"/>
        <v>727373.81</v>
      </c>
      <c r="F192" s="326"/>
      <c r="G192" s="326"/>
      <c r="H192" s="326">
        <v>-494302</v>
      </c>
      <c r="I192" s="326">
        <f t="shared" si="39"/>
        <v>-8099</v>
      </c>
      <c r="J192" s="276">
        <f t="shared" si="40"/>
        <v>-7937.0199999999995</v>
      </c>
      <c r="K192" s="276">
        <f t="shared" si="41"/>
        <v>-161.97999999999999</v>
      </c>
    </row>
    <row r="194" spans="2:18">
      <c r="B194" s="318" t="s">
        <v>374</v>
      </c>
      <c r="C194" s="317">
        <f>SUM(C185:C192)</f>
        <v>349378.09999999916</v>
      </c>
      <c r="D194" s="317">
        <f>SUM(D185:D192)</f>
        <v>-102969</v>
      </c>
      <c r="E194" s="317">
        <f>SUM(E185:E192)</f>
        <v>452347.09999999939</v>
      </c>
      <c r="F194" s="317"/>
      <c r="G194" s="317"/>
      <c r="H194" s="317">
        <f>SUM(H185:H193)</f>
        <v>196860</v>
      </c>
      <c r="I194" s="317">
        <f>SUM(I185:I192)</f>
        <v>-299829</v>
      </c>
      <c r="J194" s="317"/>
      <c r="K194" s="317"/>
      <c r="L194" s="317"/>
    </row>
    <row r="195" spans="2:18">
      <c r="B195" s="335" t="s">
        <v>379</v>
      </c>
      <c r="C195" s="326">
        <f>C194-C186</f>
        <v>-57421.760000000824</v>
      </c>
      <c r="D195" s="326">
        <f>D194-D186</f>
        <v>-509769</v>
      </c>
      <c r="E195" s="326">
        <f>E194-E186</f>
        <v>452347.23999999941</v>
      </c>
      <c r="F195" s="326"/>
      <c r="G195" s="326"/>
      <c r="H195" s="326">
        <f>H194-H186</f>
        <v>84061</v>
      </c>
      <c r="I195" s="326" t="s">
        <v>380</v>
      </c>
    </row>
    <row r="196" spans="2:18">
      <c r="B196" s="276"/>
      <c r="C196" s="276"/>
    </row>
    <row r="197" spans="2:18">
      <c r="B197" s="328" t="s">
        <v>360</v>
      </c>
      <c r="C197" s="317">
        <f>+(C195)*$F$184</f>
        <v>0</v>
      </c>
      <c r="D197" s="276">
        <f>D195*$J$184</f>
        <v>-499573.62</v>
      </c>
      <c r="E197" s="317">
        <f>C197-D197</f>
        <v>499573.62</v>
      </c>
      <c r="H197" s="276" t="e">
        <f>#REF!</f>
        <v>#REF!</v>
      </c>
      <c r="K197" s="276">
        <f>H195-H198</f>
        <v>82379.78</v>
      </c>
    </row>
    <row r="198" spans="2:18">
      <c r="B198" s="328" t="s">
        <v>361</v>
      </c>
      <c r="C198" s="332">
        <f>+C195*$G$184</f>
        <v>0</v>
      </c>
      <c r="D198" s="326">
        <f>D195*$K$184</f>
        <v>-10195.380000000001</v>
      </c>
      <c r="E198" s="332">
        <f>C198-D198</f>
        <v>10195.380000000001</v>
      </c>
      <c r="F198" s="326"/>
      <c r="G198" s="326"/>
      <c r="H198" s="326">
        <f>H195*$K$184</f>
        <v>1681.22</v>
      </c>
      <c r="I198" s="336">
        <f>H198*2</f>
        <v>3362.44</v>
      </c>
      <c r="K198" s="276" t="e">
        <f>H197-K197</f>
        <v>#REF!</v>
      </c>
      <c r="L198" s="335"/>
    </row>
    <row r="199" spans="2:18">
      <c r="B199" s="328" t="s">
        <v>259</v>
      </c>
      <c r="C199" s="276">
        <f>SUM(C197:C198)</f>
        <v>0</v>
      </c>
      <c r="D199" s="276">
        <f>SUM(D197:D198)</f>
        <v>-509769</v>
      </c>
      <c r="E199" s="317">
        <f>C199-D199</f>
        <v>509769</v>
      </c>
      <c r="H199" s="276" t="e">
        <f>SUM(H197:H198)</f>
        <v>#REF!</v>
      </c>
    </row>
    <row r="200" spans="2:18">
      <c r="B200" s="335" t="s">
        <v>382</v>
      </c>
      <c r="C200" s="326">
        <f>C195</f>
        <v>-57421.760000000824</v>
      </c>
      <c r="D200" s="326">
        <f>D195</f>
        <v>-509769</v>
      </c>
      <c r="E200" s="332">
        <f>C200-D200</f>
        <v>452347.23999999918</v>
      </c>
      <c r="F200" s="326"/>
      <c r="G200" s="326"/>
      <c r="H200" s="326">
        <f>H195</f>
        <v>84061</v>
      </c>
    </row>
    <row r="201" spans="2:18">
      <c r="B201" s="276" t="s">
        <v>62</v>
      </c>
      <c r="C201" s="276">
        <f>C199-C200</f>
        <v>57421.760000000824</v>
      </c>
      <c r="D201" s="276">
        <f>D199-D200</f>
        <v>0</v>
      </c>
      <c r="E201" s="276">
        <f>E199-E200</f>
        <v>57421.760000000824</v>
      </c>
      <c r="H201" s="276" t="e">
        <f>H199-H200</f>
        <v>#REF!</v>
      </c>
      <c r="I201" s="317" t="s">
        <v>149</v>
      </c>
      <c r="K201" s="316"/>
    </row>
    <row r="204" spans="2:18">
      <c r="F204" s="317" t="s">
        <v>352</v>
      </c>
      <c r="G204" s="317" t="s">
        <v>353</v>
      </c>
      <c r="J204" s="317" t="s">
        <v>352</v>
      </c>
      <c r="K204" s="317" t="s">
        <v>353</v>
      </c>
    </row>
    <row r="205" spans="2:18">
      <c r="B205" s="318" t="s">
        <v>383</v>
      </c>
      <c r="C205" s="319" t="s">
        <v>389</v>
      </c>
      <c r="D205" s="319" t="s">
        <v>355</v>
      </c>
      <c r="E205" s="319" t="s">
        <v>5</v>
      </c>
      <c r="F205" s="319"/>
      <c r="G205" s="319"/>
      <c r="H205" s="319" t="s">
        <v>356</v>
      </c>
      <c r="I205" s="319" t="s">
        <v>5</v>
      </c>
      <c r="J205" s="320">
        <f>+R207</f>
        <v>1</v>
      </c>
      <c r="K205" s="321">
        <f>+R208</f>
        <v>0</v>
      </c>
      <c r="L205" s="319"/>
    </row>
    <row r="206" spans="2:18">
      <c r="B206" s="316" t="s">
        <v>87</v>
      </c>
      <c r="C206" s="276">
        <f>Participaciones!Y3</f>
        <v>0</v>
      </c>
      <c r="D206" s="276">
        <v>10000</v>
      </c>
      <c r="E206" s="276">
        <f t="shared" ref="E206:E213" si="42">C206-D206</f>
        <v>-10000</v>
      </c>
      <c r="H206" s="276">
        <v>10000</v>
      </c>
      <c r="I206" s="276">
        <f t="shared" ref="I206:I213" si="43">+D206-H206</f>
        <v>0</v>
      </c>
      <c r="J206" s="276">
        <f t="shared" ref="J206:J213" si="44">+I206*$J$205</f>
        <v>0</v>
      </c>
      <c r="K206" s="276">
        <f t="shared" ref="K206:K213" si="45">+I206*$K$205</f>
        <v>0</v>
      </c>
      <c r="Q206" s="3">
        <v>2017</v>
      </c>
      <c r="R206" s="3"/>
    </row>
    <row r="207" spans="2:18">
      <c r="B207" s="316" t="s">
        <v>88</v>
      </c>
      <c r="C207" s="276">
        <f>Participaciones!Y4</f>
        <v>0</v>
      </c>
      <c r="D207" s="276">
        <v>0</v>
      </c>
      <c r="E207" s="276">
        <f t="shared" si="42"/>
        <v>0</v>
      </c>
      <c r="H207" s="276">
        <v>0</v>
      </c>
      <c r="I207" s="276">
        <f t="shared" si="43"/>
        <v>0</v>
      </c>
      <c r="J207" s="276">
        <f t="shared" si="44"/>
        <v>0</v>
      </c>
      <c r="K207" s="276">
        <f t="shared" si="45"/>
        <v>0</v>
      </c>
      <c r="N207" s="276" t="s">
        <v>293</v>
      </c>
      <c r="Q207" s="334">
        <v>10000</v>
      </c>
      <c r="R207" s="287">
        <f>Q207/Q209</f>
        <v>1</v>
      </c>
    </row>
    <row r="208" spans="2:18">
      <c r="B208" s="316" t="s">
        <v>90</v>
      </c>
      <c r="C208" s="276">
        <f>Participaciones!Y5</f>
        <v>0</v>
      </c>
      <c r="D208" s="276">
        <v>0</v>
      </c>
      <c r="E208" s="276">
        <f t="shared" si="42"/>
        <v>0</v>
      </c>
      <c r="H208" s="276">
        <v>0</v>
      </c>
      <c r="I208" s="276">
        <f t="shared" si="43"/>
        <v>0</v>
      </c>
      <c r="J208" s="276">
        <f t="shared" si="44"/>
        <v>0</v>
      </c>
      <c r="K208" s="276">
        <f t="shared" si="45"/>
        <v>0</v>
      </c>
      <c r="N208" s="276" t="s">
        <v>296</v>
      </c>
      <c r="Q208" s="327">
        <v>0</v>
      </c>
      <c r="R208" s="287">
        <f>Q208/Q209</f>
        <v>0</v>
      </c>
    </row>
    <row r="209" spans="2:19">
      <c r="B209" s="316" t="s">
        <v>91</v>
      </c>
      <c r="C209" s="276">
        <f>Participaciones!Y6</f>
        <v>0</v>
      </c>
      <c r="D209" s="276">
        <v>0</v>
      </c>
      <c r="E209" s="276">
        <f t="shared" si="42"/>
        <v>0</v>
      </c>
      <c r="H209" s="276">
        <v>0</v>
      </c>
      <c r="I209" s="276">
        <f t="shared" si="43"/>
        <v>0</v>
      </c>
      <c r="J209" s="276">
        <f t="shared" si="44"/>
        <v>0</v>
      </c>
      <c r="K209" s="276">
        <f t="shared" si="45"/>
        <v>0</v>
      </c>
      <c r="Q209" s="334">
        <v>10000</v>
      </c>
      <c r="R209" s="294"/>
    </row>
    <row r="210" spans="2:19">
      <c r="B210" s="316" t="s">
        <v>92</v>
      </c>
      <c r="C210" s="276">
        <f>Participaciones!Y7</f>
        <v>0</v>
      </c>
      <c r="D210" s="276">
        <v>0</v>
      </c>
      <c r="E210" s="276">
        <f t="shared" si="42"/>
        <v>0</v>
      </c>
      <c r="H210" s="276">
        <v>0</v>
      </c>
      <c r="I210" s="276">
        <f t="shared" si="43"/>
        <v>0</v>
      </c>
      <c r="J210" s="276">
        <f t="shared" si="44"/>
        <v>0</v>
      </c>
      <c r="K210" s="276">
        <f t="shared" si="45"/>
        <v>0</v>
      </c>
    </row>
    <row r="211" spans="2:19">
      <c r="B211" s="316" t="s">
        <v>94</v>
      </c>
      <c r="C211" s="276">
        <f>Participaciones!Y8</f>
        <v>0</v>
      </c>
      <c r="D211" s="276">
        <v>0</v>
      </c>
      <c r="E211" s="276">
        <f t="shared" si="42"/>
        <v>0</v>
      </c>
      <c r="H211" s="276">
        <v>0</v>
      </c>
      <c r="I211" s="276">
        <f t="shared" si="43"/>
        <v>0</v>
      </c>
      <c r="J211" s="276">
        <f t="shared" si="44"/>
        <v>0</v>
      </c>
      <c r="K211" s="276">
        <f t="shared" si="45"/>
        <v>0</v>
      </c>
    </row>
    <row r="212" spans="2:19">
      <c r="B212" s="316" t="s">
        <v>95</v>
      </c>
      <c r="C212" s="276">
        <f>Participaciones!Y11-C213</f>
        <v>0</v>
      </c>
      <c r="D212" s="276">
        <f>'ESF - ERI'!AD55</f>
        <v>-144335</v>
      </c>
      <c r="E212" s="276">
        <f t="shared" si="42"/>
        <v>144335</v>
      </c>
      <c r="H212" s="276">
        <v>0</v>
      </c>
      <c r="I212" s="276">
        <f t="shared" si="43"/>
        <v>-144335</v>
      </c>
      <c r="J212" s="276">
        <f t="shared" si="44"/>
        <v>-144335</v>
      </c>
      <c r="K212" s="276">
        <f t="shared" si="45"/>
        <v>0</v>
      </c>
    </row>
    <row r="213" spans="2:19">
      <c r="B213" s="316" t="s">
        <v>358</v>
      </c>
      <c r="C213" s="326">
        <f>'Planilla final'!N73</f>
        <v>0</v>
      </c>
      <c r="D213" s="326">
        <f>'ESF - ERI'!AD56</f>
        <v>-395559</v>
      </c>
      <c r="E213" s="326">
        <f t="shared" si="42"/>
        <v>395559</v>
      </c>
      <c r="F213" s="326"/>
      <c r="G213" s="326"/>
      <c r="H213" s="326">
        <v>-126652</v>
      </c>
      <c r="I213" s="326">
        <f t="shared" si="43"/>
        <v>-268907</v>
      </c>
      <c r="J213" s="276">
        <f t="shared" si="44"/>
        <v>-268907</v>
      </c>
      <c r="K213" s="276">
        <f t="shared" si="45"/>
        <v>0</v>
      </c>
    </row>
    <row r="215" spans="2:19">
      <c r="B215" s="318" t="s">
        <v>374</v>
      </c>
      <c r="C215" s="317">
        <f>SUM(C206:C214)</f>
        <v>0</v>
      </c>
      <c r="D215" s="317">
        <f>SUM(D206:D214)</f>
        <v>-529894</v>
      </c>
      <c r="E215" s="317">
        <f>SUM(E204:E211)</f>
        <v>-10000</v>
      </c>
      <c r="F215" s="317"/>
      <c r="G215" s="317"/>
      <c r="H215" s="317">
        <f>SUM(H206:H214)</f>
        <v>-116652</v>
      </c>
      <c r="I215" s="317">
        <f>SUM(I206:I213)</f>
        <v>-413242</v>
      </c>
      <c r="J215" s="317"/>
      <c r="K215" s="317"/>
      <c r="L215" s="317"/>
    </row>
    <row r="216" spans="2:19">
      <c r="B216" s="328" t="s">
        <v>360</v>
      </c>
      <c r="C216" s="317">
        <f>+(C215)*$F$205</f>
        <v>0</v>
      </c>
      <c r="D216" s="317">
        <f>+(D215)*$J$167</f>
        <v>-490151.95</v>
      </c>
      <c r="E216" s="317">
        <f>C216-D216</f>
        <v>490151.95</v>
      </c>
      <c r="F216" s="317"/>
      <c r="G216" s="317"/>
      <c r="H216" s="317">
        <f>+(H215)*$J$167</f>
        <v>-107903.1</v>
      </c>
      <c r="I216" s="317">
        <f>+D216-H216</f>
        <v>-382248.85</v>
      </c>
    </row>
    <row r="217" spans="2:19">
      <c r="B217" s="328" t="s">
        <v>361</v>
      </c>
      <c r="C217" s="317">
        <f>+C215*$G$205</f>
        <v>0</v>
      </c>
      <c r="D217" s="317">
        <f>+D215*$K$167</f>
        <v>-39742.049999999996</v>
      </c>
      <c r="E217" s="317">
        <f>C217-D217</f>
        <v>39742.049999999996</v>
      </c>
      <c r="F217" s="317"/>
      <c r="G217" s="317"/>
      <c r="H217" s="317">
        <f>+H215*$K$167</f>
        <v>-8748.9</v>
      </c>
      <c r="I217" s="317">
        <f>+D217-H217</f>
        <v>-30993.149999999994</v>
      </c>
    </row>
    <row r="218" spans="2:19">
      <c r="B218" s="328" t="s">
        <v>259</v>
      </c>
      <c r="C218" s="317">
        <f>SUM(C216:C217)</f>
        <v>0</v>
      </c>
      <c r="D218" s="317">
        <f>SUM(D216:D217)</f>
        <v>-529894</v>
      </c>
      <c r="E218" s="317">
        <f>C218-D218</f>
        <v>529894</v>
      </c>
      <c r="F218" s="317"/>
      <c r="G218" s="317"/>
      <c r="H218" s="317">
        <f>SUM(H216:H217)</f>
        <v>-116652</v>
      </c>
      <c r="I218" s="317">
        <f>+D218-H218</f>
        <v>-413242</v>
      </c>
    </row>
    <row r="219" spans="2:19">
      <c r="B219" s="328"/>
      <c r="C219" s="276">
        <f>C215-C218</f>
        <v>0</v>
      </c>
      <c r="D219" s="276">
        <f>D215-D218</f>
        <v>0</v>
      </c>
      <c r="E219" s="317">
        <f>C219-D219</f>
        <v>0</v>
      </c>
      <c r="H219" s="276">
        <f>H215-H218</f>
        <v>0</v>
      </c>
    </row>
    <row r="223" spans="2:19">
      <c r="B223" s="318" t="s">
        <v>384</v>
      </c>
      <c r="C223" s="317">
        <f t="shared" ref="C223:D225" si="46">+C32+C53+C70+C90+C110+C127+C144+C161+C178+G197+C197+C216</f>
        <v>509394.47249999992</v>
      </c>
      <c r="D223" s="317" t="e">
        <f t="shared" si="46"/>
        <v>#REF!</v>
      </c>
      <c r="E223" s="317" t="e">
        <f>C223-D223</f>
        <v>#REF!</v>
      </c>
      <c r="F223" s="317"/>
      <c r="G223" s="317"/>
      <c r="H223" s="317" t="e">
        <f>+H32+H53+H70+H90+H110+H127+H144+H161+H178+H197+H216</f>
        <v>#REF!</v>
      </c>
      <c r="I223" s="276" t="e">
        <f>+D223-H223</f>
        <v>#REF!</v>
      </c>
      <c r="N223" s="276" t="s">
        <v>293</v>
      </c>
      <c r="Q223" s="317">
        <f>+Q23+Q28+Q40+Q61+Q78+Q98+Q118+Q135+Q152+Q169+Q186+Q207</f>
        <v>36644382.960000001</v>
      </c>
      <c r="S223" s="317">
        <f>+S23+S28+S40+S61+S78+S98+S118+S135+S152+S169+S186+S207</f>
        <v>37131561.960000001</v>
      </c>
    </row>
    <row r="224" spans="2:19">
      <c r="B224" s="318" t="s">
        <v>385</v>
      </c>
      <c r="C224" s="317">
        <f t="shared" si="46"/>
        <v>169798.15749999997</v>
      </c>
      <c r="D224" s="317">
        <f t="shared" si="46"/>
        <v>10773197.291405784</v>
      </c>
      <c r="E224" s="317">
        <f>C224-D224</f>
        <v>-10603399.133905783</v>
      </c>
      <c r="F224" s="317"/>
      <c r="G224" s="317"/>
      <c r="H224" s="317">
        <f>+H33+H54+H71+H91+H111+H128+H145+H162+H179+H198+H217</f>
        <v>11152518.252337215</v>
      </c>
      <c r="I224" s="276">
        <f>+D224-H224</f>
        <v>-379320.9609314315</v>
      </c>
      <c r="N224" s="276" t="s">
        <v>296</v>
      </c>
      <c r="Q224" s="317">
        <f>+Q24+Q29+Q41+Q62+Q79+Q99+Q119+Q136+Q153+Q170+Q187+Q208</f>
        <v>10505669.039999999</v>
      </c>
      <c r="S224" s="317">
        <f>+S24+S29+S41+S62+S79+S99+S119+S136+S153+S170+S187+S208</f>
        <v>10505669.039999999</v>
      </c>
    </row>
    <row r="225" spans="2:19">
      <c r="B225" s="318" t="s">
        <v>386</v>
      </c>
      <c r="C225" s="317">
        <f t="shared" si="46"/>
        <v>679192.62999999989</v>
      </c>
      <c r="D225" s="317" t="e">
        <f t="shared" si="46"/>
        <v>#REF!</v>
      </c>
      <c r="E225" s="317" t="e">
        <f>C225-D225</f>
        <v>#REF!</v>
      </c>
      <c r="F225" s="317"/>
      <c r="G225" s="317"/>
      <c r="H225" s="317" t="e">
        <f>+H34+H55+H72+H92+H112+H129+H146+H163+H180+H199+H218</f>
        <v>#REF!</v>
      </c>
      <c r="I225" s="276" t="e">
        <f>+D225-H225</f>
        <v>#REF!</v>
      </c>
      <c r="Q225" s="276">
        <f>SUM(Q223:Q224)</f>
        <v>47150052</v>
      </c>
      <c r="S225" s="276">
        <f>SUM(S223:S224)</f>
        <v>47637231</v>
      </c>
    </row>
    <row r="226" spans="2:19">
      <c r="B226" s="318" t="s">
        <v>387</v>
      </c>
      <c r="C226" s="337">
        <f>C223+C224-C225</f>
        <v>0</v>
      </c>
      <c r="D226" s="337" t="e">
        <f>D223+D224-D225</f>
        <v>#REF!</v>
      </c>
      <c r="E226" s="337" t="e">
        <f>E223+E224-E225</f>
        <v>#REF!</v>
      </c>
      <c r="F226" s="337"/>
      <c r="G226" s="337"/>
      <c r="H226" s="337" t="e">
        <f>H223+H224-H225</f>
        <v>#REF!</v>
      </c>
      <c r="I226" s="276" t="e">
        <f>+D226-H226</f>
        <v>#REF!</v>
      </c>
    </row>
    <row r="227" spans="2:19">
      <c r="Q227" s="338">
        <v>44513438</v>
      </c>
    </row>
    <row r="228" spans="2:19">
      <c r="Q228" s="339">
        <v>6468792</v>
      </c>
    </row>
    <row r="229" spans="2:19">
      <c r="D229" s="316"/>
      <c r="E229" s="316"/>
      <c r="F229" s="316"/>
      <c r="G229" s="316"/>
      <c r="Q229" s="276">
        <f>Q227-Q228</f>
        <v>38044646</v>
      </c>
      <c r="R229" s="316">
        <v>38835024.049999997</v>
      </c>
      <c r="S229" s="330">
        <f>R229-Q229</f>
        <v>790378.04999999702</v>
      </c>
    </row>
    <row r="230" spans="2:19">
      <c r="Q230" s="276">
        <f>Q223-Q229</f>
        <v>-1400263.0399999991</v>
      </c>
    </row>
  </sheetData>
  <mergeCells count="34">
    <mergeCell ref="Q185:R185"/>
    <mergeCell ref="S185:T185"/>
    <mergeCell ref="Q206:R206"/>
    <mergeCell ref="Q151:R151"/>
    <mergeCell ref="S151:T151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77:R77"/>
    <mergeCell ref="S77:T77"/>
    <mergeCell ref="U77:V77"/>
    <mergeCell ref="Q97:R97"/>
    <mergeCell ref="S97:T97"/>
    <mergeCell ref="U97:V97"/>
    <mergeCell ref="Q39:R39"/>
    <mergeCell ref="S39:T39"/>
    <mergeCell ref="U39:V39"/>
    <mergeCell ref="Q60:R60"/>
    <mergeCell ref="S60:T60"/>
    <mergeCell ref="U60:V60"/>
    <mergeCell ref="O22:P22"/>
    <mergeCell ref="Q22:R22"/>
    <mergeCell ref="S22:T22"/>
    <mergeCell ref="U22:V22"/>
    <mergeCell ref="Q27:R27"/>
    <mergeCell ref="S27:T27"/>
    <mergeCell ref="U27:V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1D41A"/>
  </sheetPr>
  <dimension ref="A1:ALC32"/>
  <sheetViews>
    <sheetView topLeftCell="A4" zoomScale="80" zoomScaleNormal="80" workbookViewId="0">
      <selection activeCell="G6" sqref="G6"/>
    </sheetView>
  </sheetViews>
  <sheetFormatPr defaultColWidth="11.5703125" defaultRowHeight="15"/>
  <cols>
    <col min="1" max="1" width="5.5703125" style="342" customWidth="1"/>
    <col min="2" max="2" width="5.85546875" style="342" customWidth="1"/>
    <col min="3" max="3" width="65.28515625" style="342" customWidth="1"/>
    <col min="4" max="4" width="15.5703125" style="342" customWidth="1"/>
    <col min="5" max="5" width="12.140625" style="342" customWidth="1"/>
    <col min="6" max="6" width="15.5703125" style="342" customWidth="1"/>
    <col min="7" max="7" width="11.140625" style="342" customWidth="1"/>
    <col min="8" max="991" width="11.5703125" style="342"/>
  </cols>
  <sheetData>
    <row r="1" spans="1:7">
      <c r="A1" s="343" t="s">
        <v>390</v>
      </c>
    </row>
    <row r="2" spans="1:7">
      <c r="A2" s="343" t="s">
        <v>391</v>
      </c>
    </row>
    <row r="3" spans="1:7">
      <c r="A3" s="343" t="s">
        <v>392</v>
      </c>
    </row>
    <row r="5" spans="1:7">
      <c r="B5" s="344"/>
      <c r="C5" s="345" t="s">
        <v>393</v>
      </c>
      <c r="D5" s="346"/>
      <c r="E5" s="347">
        <v>2020</v>
      </c>
      <c r="F5" s="348">
        <v>2019</v>
      </c>
      <c r="G5" s="349" t="s">
        <v>5</v>
      </c>
    </row>
    <row r="6" spans="1:7">
      <c r="B6" s="350">
        <v>2320</v>
      </c>
      <c r="C6" s="346" t="s">
        <v>394</v>
      </c>
      <c r="D6" s="351" t="s">
        <v>395</v>
      </c>
      <c r="E6" s="352">
        <v>31463534.27</v>
      </c>
      <c r="F6" s="352">
        <v>27858699</v>
      </c>
      <c r="G6" s="353">
        <f t="shared" ref="G6:G27" si="0">E6-F6</f>
        <v>3604835.2699999996</v>
      </c>
    </row>
    <row r="7" spans="1:7">
      <c r="B7" s="350">
        <v>2342</v>
      </c>
      <c r="C7" s="354" t="s">
        <v>396</v>
      </c>
      <c r="D7" s="355" t="s">
        <v>397</v>
      </c>
      <c r="E7" s="356">
        <v>1982263.02</v>
      </c>
      <c r="F7" s="356">
        <v>1982263</v>
      </c>
      <c r="G7" s="357">
        <f t="shared" si="0"/>
        <v>2.0000000018626451E-2</v>
      </c>
    </row>
    <row r="8" spans="1:7" ht="13.9" customHeight="1">
      <c r="B8" s="350">
        <v>2322</v>
      </c>
      <c r="C8" s="354" t="s">
        <v>398</v>
      </c>
      <c r="D8" s="355" t="s">
        <v>399</v>
      </c>
      <c r="E8" s="356">
        <v>943459.2</v>
      </c>
      <c r="F8" s="356">
        <v>943459</v>
      </c>
      <c r="G8" s="357">
        <f t="shared" si="0"/>
        <v>0.19999999995343387</v>
      </c>
    </row>
    <row r="9" spans="1:7">
      <c r="B9" s="350">
        <v>2324</v>
      </c>
      <c r="C9" s="354" t="s">
        <v>400</v>
      </c>
      <c r="D9" s="355" t="s">
        <v>401</v>
      </c>
      <c r="E9" s="356">
        <v>147840</v>
      </c>
      <c r="F9" s="356">
        <v>147840</v>
      </c>
      <c r="G9" s="357">
        <f t="shared" si="0"/>
        <v>0</v>
      </c>
    </row>
    <row r="10" spans="1:7">
      <c r="B10" s="350">
        <v>2326</v>
      </c>
      <c r="C10" s="354" t="s">
        <v>402</v>
      </c>
      <c r="D10" s="355" t="s">
        <v>403</v>
      </c>
      <c r="E10" s="356">
        <v>462500</v>
      </c>
      <c r="F10" s="356">
        <v>462500</v>
      </c>
      <c r="G10" s="357">
        <f t="shared" si="0"/>
        <v>0</v>
      </c>
    </row>
    <row r="11" spans="1:7">
      <c r="B11" s="350">
        <v>2328</v>
      </c>
      <c r="C11" s="354" t="s">
        <v>404</v>
      </c>
      <c r="D11" s="355" t="s">
        <v>405</v>
      </c>
      <c r="E11" s="356">
        <v>140052.15</v>
      </c>
      <c r="F11" s="356">
        <v>140052</v>
      </c>
      <c r="G11" s="357">
        <f t="shared" si="0"/>
        <v>0.14999999999417923</v>
      </c>
    </row>
    <row r="12" spans="1:7">
      <c r="B12" s="350">
        <v>2334</v>
      </c>
      <c r="C12" s="354" t="s">
        <v>406</v>
      </c>
      <c r="D12" s="355" t="s">
        <v>407</v>
      </c>
      <c r="E12" s="356">
        <v>6000</v>
      </c>
      <c r="F12" s="356">
        <v>6000</v>
      </c>
      <c r="G12" s="357">
        <f t="shared" si="0"/>
        <v>0</v>
      </c>
    </row>
    <row r="13" spans="1:7">
      <c r="B13" s="350">
        <v>2336</v>
      </c>
      <c r="C13" s="354" t="s">
        <v>408</v>
      </c>
      <c r="D13" s="355" t="s">
        <v>409</v>
      </c>
      <c r="E13" s="356">
        <v>1173781.21</v>
      </c>
      <c r="F13" s="356">
        <v>1173781</v>
      </c>
      <c r="G13" s="357">
        <f t="shared" si="0"/>
        <v>0.2099999999627471</v>
      </c>
    </row>
    <row r="14" spans="1:7">
      <c r="B14" s="350">
        <v>2340</v>
      </c>
      <c r="C14" s="354" t="s">
        <v>410</v>
      </c>
      <c r="D14" s="355" t="s">
        <v>411</v>
      </c>
      <c r="E14" s="356">
        <v>1114175.56</v>
      </c>
      <c r="F14" s="356">
        <v>1114176</v>
      </c>
      <c r="G14" s="357">
        <f t="shared" si="0"/>
        <v>-0.43999999994412065</v>
      </c>
    </row>
    <row r="15" spans="1:7">
      <c r="B15" s="350">
        <v>2344</v>
      </c>
      <c r="C15" s="354" t="s">
        <v>412</v>
      </c>
      <c r="D15" s="355" t="s">
        <v>413</v>
      </c>
      <c r="E15" s="356">
        <v>1834157.69</v>
      </c>
      <c r="F15" s="356">
        <v>1834158</v>
      </c>
      <c r="G15" s="357">
        <f t="shared" si="0"/>
        <v>-0.31000000005587935</v>
      </c>
    </row>
    <row r="16" spans="1:7">
      <c r="B16" s="350">
        <v>2348</v>
      </c>
      <c r="C16" s="354" t="s">
        <v>414</v>
      </c>
      <c r="D16" s="355" t="s">
        <v>415</v>
      </c>
      <c r="E16" s="356">
        <v>1193125.8899999999</v>
      </c>
      <c r="F16" s="356">
        <v>1193126</v>
      </c>
      <c r="G16" s="357">
        <f t="shared" si="0"/>
        <v>-0.11000000010244548</v>
      </c>
    </row>
    <row r="17" spans="2:7">
      <c r="B17" s="350">
        <v>2350</v>
      </c>
      <c r="C17" s="354" t="s">
        <v>416</v>
      </c>
      <c r="D17" s="355" t="s">
        <v>417</v>
      </c>
      <c r="E17" s="356">
        <v>-1598182.88</v>
      </c>
      <c r="F17" s="356">
        <f>-1606183+8000</f>
        <v>-1598183</v>
      </c>
      <c r="G17" s="357">
        <f t="shared" si="0"/>
        <v>0.12000000011175871</v>
      </c>
    </row>
    <row r="18" spans="2:7">
      <c r="B18" s="358"/>
      <c r="C18" s="354"/>
      <c r="D18" s="354"/>
      <c r="E18" s="359">
        <f>SUM(E6:E17)</f>
        <v>38862706.109999999</v>
      </c>
      <c r="F18" s="359">
        <f>SUM(F6:F17)</f>
        <v>35257871</v>
      </c>
      <c r="G18" s="360">
        <f t="shared" si="0"/>
        <v>3604835.1099999994</v>
      </c>
    </row>
    <row r="19" spans="2:7">
      <c r="B19" s="358"/>
      <c r="C19" s="361" t="s">
        <v>418</v>
      </c>
      <c r="D19" s="354"/>
      <c r="E19" s="362">
        <f>SUM(E6:E16)</f>
        <v>40460888.990000002</v>
      </c>
      <c r="F19" s="362">
        <f>SUM(F6:F16)</f>
        <v>36856054</v>
      </c>
      <c r="G19" s="360">
        <f t="shared" si="0"/>
        <v>3604834.9900000021</v>
      </c>
    </row>
    <row r="20" spans="2:7">
      <c r="B20" s="358">
        <v>2102</v>
      </c>
      <c r="C20" s="354" t="s">
        <v>419</v>
      </c>
      <c r="D20" s="355" t="s">
        <v>420</v>
      </c>
      <c r="E20" s="356"/>
      <c r="F20" s="356">
        <v>0</v>
      </c>
      <c r="G20" s="357">
        <f t="shared" si="0"/>
        <v>0</v>
      </c>
    </row>
    <row r="21" spans="2:7">
      <c r="B21" s="350">
        <v>2330</v>
      </c>
      <c r="C21" s="354" t="s">
        <v>421</v>
      </c>
      <c r="D21" s="355" t="s">
        <v>422</v>
      </c>
      <c r="E21" s="356">
        <v>84000</v>
      </c>
      <c r="F21" s="356">
        <v>84000</v>
      </c>
      <c r="G21" s="357">
        <f t="shared" si="0"/>
        <v>0</v>
      </c>
    </row>
    <row r="22" spans="2:7">
      <c r="B22" s="350">
        <v>2332</v>
      </c>
      <c r="C22" s="354" t="s">
        <v>423</v>
      </c>
      <c r="D22" s="355" t="s">
        <v>424</v>
      </c>
      <c r="E22" s="356">
        <v>3675000</v>
      </c>
      <c r="F22" s="356">
        <v>3675000</v>
      </c>
      <c r="G22" s="357">
        <f t="shared" si="0"/>
        <v>0</v>
      </c>
    </row>
    <row r="23" spans="2:7">
      <c r="B23" s="350">
        <v>2338</v>
      </c>
      <c r="C23" s="354" t="s">
        <v>425</v>
      </c>
      <c r="D23" s="355" t="s">
        <v>426</v>
      </c>
      <c r="E23" s="356">
        <v>8000</v>
      </c>
      <c r="F23" s="356">
        <v>8000</v>
      </c>
      <c r="G23" s="357">
        <f t="shared" si="0"/>
        <v>0</v>
      </c>
    </row>
    <row r="24" spans="2:7">
      <c r="B24" s="350">
        <v>2346</v>
      </c>
      <c r="C24" s="354" t="s">
        <v>427</v>
      </c>
      <c r="D24" s="355" t="s">
        <v>428</v>
      </c>
      <c r="E24" s="356">
        <v>1500</v>
      </c>
      <c r="F24" s="356">
        <v>1500</v>
      </c>
      <c r="G24" s="357">
        <f t="shared" si="0"/>
        <v>0</v>
      </c>
    </row>
    <row r="25" spans="2:7">
      <c r="B25" s="350">
        <v>2350</v>
      </c>
      <c r="C25" s="354" t="s">
        <v>416</v>
      </c>
      <c r="D25" s="355" t="s">
        <v>417</v>
      </c>
      <c r="E25" s="356">
        <v>-8000</v>
      </c>
      <c r="F25" s="356">
        <v>-8000</v>
      </c>
      <c r="G25" s="357">
        <f t="shared" si="0"/>
        <v>0</v>
      </c>
    </row>
    <row r="26" spans="2:7">
      <c r="B26" s="358"/>
      <c r="C26" s="354"/>
      <c r="D26" s="354"/>
      <c r="E26" s="359">
        <f>SUM(E20:E25)</f>
        <v>3760500</v>
      </c>
      <c r="F26" s="359">
        <f>SUM(F20:F25)</f>
        <v>3760500</v>
      </c>
      <c r="G26" s="360">
        <f t="shared" si="0"/>
        <v>0</v>
      </c>
    </row>
    <row r="27" spans="2:7">
      <c r="B27" s="358"/>
      <c r="C27" s="354"/>
      <c r="D27" s="354"/>
      <c r="E27" s="359">
        <f>E18+E26</f>
        <v>42623206.109999999</v>
      </c>
      <c r="F27" s="359">
        <f>F18+F26</f>
        <v>39018371</v>
      </c>
      <c r="G27" s="360">
        <f t="shared" si="0"/>
        <v>3604835.1099999994</v>
      </c>
    </row>
    <row r="28" spans="2:7">
      <c r="B28" s="363"/>
      <c r="C28" s="364"/>
      <c r="D28" s="364"/>
      <c r="E28" s="365"/>
      <c r="F28" s="365"/>
      <c r="G28" s="360"/>
    </row>
    <row r="32" spans="2:7">
      <c r="C32" s="342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zoomScale="90" zoomScaleNormal="90" workbookViewId="0">
      <selection activeCell="J2" sqref="J2"/>
    </sheetView>
  </sheetViews>
  <sheetFormatPr defaultColWidth="11.42578125" defaultRowHeight="15" outlineLevelRow="1"/>
  <cols>
    <col min="1" max="1" width="28" style="366" customWidth="1"/>
    <col min="2" max="2" width="1.7109375" style="366" customWidth="1"/>
    <col min="3" max="3" width="12.42578125" style="366" customWidth="1"/>
    <col min="4" max="4" width="1.7109375" style="366" customWidth="1"/>
    <col min="5" max="5" width="12.7109375" style="366" customWidth="1"/>
    <col min="6" max="6" width="1.7109375" style="366" customWidth="1"/>
    <col min="7" max="7" width="13.28515625" style="366" customWidth="1"/>
    <col min="8" max="8" width="1.7109375" style="366" customWidth="1"/>
    <col min="9" max="9" width="12.28515625" style="366" customWidth="1"/>
    <col min="10" max="10" width="1.7109375" style="366" customWidth="1"/>
    <col min="11" max="11" width="9.140625" style="366" customWidth="1"/>
    <col min="12" max="12" width="1.7109375" style="366" customWidth="1"/>
    <col min="13" max="13" width="8.5703125" style="366" customWidth="1"/>
    <col min="14" max="14" width="1.7109375" style="366" customWidth="1"/>
    <col min="15" max="15" width="11.42578125" style="366"/>
    <col min="16" max="16" width="1.7109375" style="366" customWidth="1"/>
    <col min="17" max="17" width="12.42578125" style="366" customWidth="1"/>
    <col min="18" max="18" width="1.7109375" style="366" customWidth="1"/>
    <col min="19" max="19" width="12.42578125" style="366" customWidth="1"/>
    <col min="20" max="20" width="1.7109375" style="366" customWidth="1"/>
    <col min="21" max="21" width="10" style="366" customWidth="1"/>
    <col min="22" max="22" width="1.7109375" style="366" customWidth="1"/>
    <col min="23" max="23" width="10.5703125" style="366" customWidth="1"/>
    <col min="24" max="24" width="1.7109375" style="366" customWidth="1"/>
    <col min="25" max="25" width="8.85546875" style="366" customWidth="1"/>
    <col min="26" max="26" width="1.7109375" style="366" customWidth="1"/>
    <col min="27" max="27" width="12" style="366" customWidth="1"/>
    <col min="28" max="28" width="1.7109375" style="366" customWidth="1"/>
    <col min="29" max="29" width="11.5703125" style="366" customWidth="1"/>
    <col min="30" max="30" width="1.7109375" style="366" customWidth="1"/>
    <col min="31" max="31" width="11.5703125" style="366" customWidth="1"/>
    <col min="32" max="32" width="1.7109375" style="366" customWidth="1"/>
    <col min="33" max="33" width="12" style="367" customWidth="1"/>
    <col min="34" max="1024" width="11.42578125" style="366"/>
  </cols>
  <sheetData>
    <row r="1" spans="1:35" s="368" customFormat="1" ht="21" outlineLevel="1">
      <c r="C1" s="368" t="s">
        <v>212</v>
      </c>
      <c r="E1" s="368" t="s">
        <v>430</v>
      </c>
      <c r="G1" s="368" t="s">
        <v>431</v>
      </c>
      <c r="I1" s="368" t="s">
        <v>280</v>
      </c>
      <c r="K1" s="368" t="s">
        <v>281</v>
      </c>
      <c r="M1" s="368" t="s">
        <v>432</v>
      </c>
      <c r="O1" s="368" t="s">
        <v>282</v>
      </c>
      <c r="Q1" s="368" t="s">
        <v>433</v>
      </c>
      <c r="S1" s="368" t="s">
        <v>434</v>
      </c>
      <c r="U1" s="368" t="s">
        <v>245</v>
      </c>
      <c r="W1" s="368" t="s">
        <v>247</v>
      </c>
      <c r="Y1" s="368" t="s">
        <v>32</v>
      </c>
      <c r="AA1" s="368" t="s">
        <v>259</v>
      </c>
      <c r="AC1" s="368" t="s">
        <v>200</v>
      </c>
      <c r="AE1" s="368" t="s">
        <v>201</v>
      </c>
      <c r="AG1" s="368" t="s">
        <v>259</v>
      </c>
    </row>
    <row r="2" spans="1:35" outlineLevel="1"/>
    <row r="3" spans="1:35" outlineLevel="1">
      <c r="A3" s="369" t="s">
        <v>172</v>
      </c>
      <c r="B3" s="369"/>
      <c r="C3" s="370">
        <f>'Planilla final'!B47</f>
        <v>21629181.18</v>
      </c>
      <c r="D3" s="371"/>
      <c r="E3" s="370">
        <f>'Planilla final'!C47</f>
        <v>0</v>
      </c>
      <c r="F3" s="371"/>
      <c r="G3" s="370">
        <f>'Planilla final'!D47</f>
        <v>1105000</v>
      </c>
      <c r="H3" s="371"/>
      <c r="I3" s="370">
        <f>'Planilla final'!E47</f>
        <v>0</v>
      </c>
      <c r="J3" s="371"/>
      <c r="K3" s="370">
        <f>'Planilla final'!F47</f>
        <v>7500000</v>
      </c>
      <c r="L3" s="371"/>
      <c r="M3" s="370">
        <f>'Planilla final'!G47</f>
        <v>1000</v>
      </c>
      <c r="N3" s="371"/>
      <c r="O3" s="370">
        <f>'Planilla final'!H47</f>
        <v>0</v>
      </c>
      <c r="P3" s="371"/>
      <c r="Q3" s="370">
        <f>'Planilla final'!I47</f>
        <v>0</v>
      </c>
      <c r="R3" s="371"/>
      <c r="S3" s="370">
        <f>'Planilla final'!K47</f>
        <v>0</v>
      </c>
      <c r="T3" s="371"/>
      <c r="U3" s="370">
        <f>'Planilla final'!L47</f>
        <v>0</v>
      </c>
      <c r="V3" s="372"/>
      <c r="W3" s="370">
        <f>'Planilla final'!M47</f>
        <v>3661400</v>
      </c>
      <c r="X3" s="372"/>
      <c r="Y3" s="370">
        <f>'Planilla final'!N47</f>
        <v>0</v>
      </c>
      <c r="Z3" s="371"/>
      <c r="AA3" s="371">
        <f t="shared" ref="AA3:AA11" si="0">+SUM(C3:Y3)</f>
        <v>33896581.18</v>
      </c>
      <c r="AB3" s="371"/>
      <c r="AC3" s="371">
        <f>+'Planilla final'!P47</f>
        <v>0</v>
      </c>
      <c r="AD3" s="371"/>
      <c r="AE3" s="371">
        <f>+'Planilla final'!Q47</f>
        <v>0</v>
      </c>
      <c r="AF3" s="371"/>
      <c r="AG3" s="373">
        <f t="shared" ref="AG3:AG8" si="1">AA3-AC3+AE3</f>
        <v>33896581.18</v>
      </c>
      <c r="AI3" s="374"/>
    </row>
    <row r="4" spans="1:35" outlineLevel="1">
      <c r="A4" s="369" t="s">
        <v>435</v>
      </c>
      <c r="B4" s="369"/>
      <c r="C4" s="371">
        <f>'Planilla final'!B48</f>
        <v>920.74</v>
      </c>
      <c r="D4" s="371"/>
      <c r="E4" s="370">
        <f>'Planilla final'!C48</f>
        <v>0</v>
      </c>
      <c r="F4" s="371"/>
      <c r="G4" s="370">
        <f>'Planilla final'!D48</f>
        <v>877313.05</v>
      </c>
      <c r="H4" s="371"/>
      <c r="I4" s="370">
        <f>'Planilla final'!E48</f>
        <v>0</v>
      </c>
      <c r="J4" s="371"/>
      <c r="K4" s="370">
        <f>'Planilla final'!F48</f>
        <v>0</v>
      </c>
      <c r="L4" s="371"/>
      <c r="M4" s="370">
        <f>'Planilla final'!G48</f>
        <v>330450</v>
      </c>
      <c r="N4" s="371"/>
      <c r="O4" s="370">
        <f>'Planilla final'!H48</f>
        <v>0</v>
      </c>
      <c r="P4" s="371"/>
      <c r="Q4" s="370">
        <f>'Planilla final'!I48</f>
        <v>0</v>
      </c>
      <c r="R4" s="371"/>
      <c r="S4" s="370">
        <f>'Planilla final'!K48</f>
        <v>0</v>
      </c>
      <c r="T4" s="371"/>
      <c r="U4" s="370">
        <f>'Planilla final'!L48</f>
        <v>0</v>
      </c>
      <c r="V4" s="372"/>
      <c r="W4" s="370">
        <f>'Planilla final'!M48</f>
        <v>406799.86</v>
      </c>
      <c r="X4" s="372"/>
      <c r="Y4" s="370">
        <f>'Planilla final'!N48</f>
        <v>0</v>
      </c>
      <c r="Z4" s="371"/>
      <c r="AA4" s="371">
        <f t="shared" si="0"/>
        <v>1615483.65</v>
      </c>
      <c r="AB4" s="371"/>
      <c r="AC4" s="371">
        <f>+'Planilla final'!P48</f>
        <v>0</v>
      </c>
      <c r="AD4" s="371"/>
      <c r="AE4" s="371">
        <f>+'Planilla final'!Q48</f>
        <v>0</v>
      </c>
      <c r="AF4" s="371"/>
      <c r="AG4" s="373">
        <f t="shared" si="1"/>
        <v>1615483.65</v>
      </c>
    </row>
    <row r="5" spans="1:35" outlineLevel="1">
      <c r="A5" s="369" t="s">
        <v>90</v>
      </c>
      <c r="B5" s="375"/>
      <c r="C5" s="371">
        <f>'Planilla final'!B49</f>
        <v>6397230.3700000001</v>
      </c>
      <c r="D5" s="371"/>
      <c r="E5" s="370">
        <f>'Planilla final'!C49</f>
        <v>0</v>
      </c>
      <c r="F5" s="371"/>
      <c r="G5" s="370">
        <f>'Planilla final'!D49</f>
        <v>0</v>
      </c>
      <c r="H5" s="371"/>
      <c r="I5" s="370">
        <f>'Planilla final'!E49</f>
        <v>0</v>
      </c>
      <c r="J5" s="371"/>
      <c r="K5" s="370">
        <f>'Planilla final'!F49</f>
        <v>0</v>
      </c>
      <c r="L5" s="371"/>
      <c r="M5" s="370">
        <f>'Planilla final'!G49</f>
        <v>109633.48</v>
      </c>
      <c r="N5" s="371"/>
      <c r="O5" s="370">
        <f>'Planilla final'!H49</f>
        <v>0</v>
      </c>
      <c r="P5" s="371"/>
      <c r="Q5" s="370">
        <f>'Planilla final'!I49</f>
        <v>0</v>
      </c>
      <c r="R5" s="371"/>
      <c r="S5" s="370">
        <f>'Planilla final'!K49</f>
        <v>0</v>
      </c>
      <c r="T5" s="371"/>
      <c r="U5" s="370">
        <f>'Planilla final'!L49</f>
        <v>0</v>
      </c>
      <c r="V5" s="372"/>
      <c r="W5" s="370">
        <f>'Planilla final'!M49</f>
        <v>104043.49</v>
      </c>
      <c r="X5" s="372"/>
      <c r="Y5" s="370">
        <f>'Planilla final'!N49</f>
        <v>0</v>
      </c>
      <c r="Z5" s="371"/>
      <c r="AA5" s="371">
        <f t="shared" si="0"/>
        <v>6610907.3400000008</v>
      </c>
      <c r="AB5" s="371"/>
      <c r="AC5" s="371">
        <f>+'Planilla final'!P49</f>
        <v>0</v>
      </c>
      <c r="AD5" s="371"/>
      <c r="AE5" s="371">
        <f>+'Planilla final'!Q49</f>
        <v>0</v>
      </c>
      <c r="AF5" s="371"/>
      <c r="AG5" s="373">
        <f t="shared" si="1"/>
        <v>6610907.3400000008</v>
      </c>
    </row>
    <row r="6" spans="1:35" outlineLevel="1">
      <c r="A6" s="369" t="s">
        <v>91</v>
      </c>
      <c r="B6" s="375"/>
      <c r="C6" s="371">
        <f>'Planilla final'!B50</f>
        <v>0</v>
      </c>
      <c r="D6" s="371"/>
      <c r="E6" s="370">
        <f>'Planilla final'!C50</f>
        <v>0</v>
      </c>
      <c r="F6" s="371"/>
      <c r="G6" s="370">
        <f>'Planilla final'!D50</f>
        <v>0</v>
      </c>
      <c r="H6" s="371"/>
      <c r="I6" s="370">
        <f>'Planilla final'!E50</f>
        <v>0</v>
      </c>
      <c r="J6" s="371"/>
      <c r="K6" s="370">
        <f>'Planilla final'!F50</f>
        <v>0</v>
      </c>
      <c r="L6" s="371"/>
      <c r="M6" s="370">
        <f>'Planilla final'!G50</f>
        <v>0</v>
      </c>
      <c r="N6" s="371"/>
      <c r="O6" s="370">
        <f>'Planilla final'!H50</f>
        <v>0</v>
      </c>
      <c r="P6" s="371"/>
      <c r="Q6" s="370">
        <f>'Planilla final'!I50</f>
        <v>0</v>
      </c>
      <c r="R6" s="371"/>
      <c r="S6" s="370">
        <f>'Planilla final'!K50</f>
        <v>0</v>
      </c>
      <c r="T6" s="371"/>
      <c r="U6" s="370">
        <f>'Planilla final'!L50</f>
        <v>0</v>
      </c>
      <c r="V6" s="372"/>
      <c r="W6" s="370">
        <f>'Planilla final'!M50</f>
        <v>0</v>
      </c>
      <c r="X6" s="372"/>
      <c r="Y6" s="370">
        <f>'Planilla final'!N50</f>
        <v>0</v>
      </c>
      <c r="Z6" s="371"/>
      <c r="AA6" s="371">
        <f t="shared" si="0"/>
        <v>0</v>
      </c>
      <c r="AB6" s="371"/>
      <c r="AC6" s="371">
        <f>+'Planilla final'!P50</f>
        <v>0</v>
      </c>
      <c r="AD6" s="371"/>
      <c r="AE6" s="371">
        <f>+'Planilla final'!Q50</f>
        <v>0</v>
      </c>
      <c r="AF6" s="371"/>
      <c r="AG6" s="373">
        <f t="shared" si="1"/>
        <v>0</v>
      </c>
    </row>
    <row r="7" spans="1:35" outlineLevel="1">
      <c r="A7" s="369" t="s">
        <v>436</v>
      </c>
      <c r="B7" s="375"/>
      <c r="C7" s="371">
        <f>'Planilla final'!B51</f>
        <v>0</v>
      </c>
      <c r="D7" s="371"/>
      <c r="E7" s="370">
        <f>'Planilla final'!C51</f>
        <v>0</v>
      </c>
      <c r="F7" s="371"/>
      <c r="G7" s="370">
        <f>'Planilla final'!D51</f>
        <v>0</v>
      </c>
      <c r="H7" s="371"/>
      <c r="I7" s="370">
        <f>'Planilla final'!E51</f>
        <v>0</v>
      </c>
      <c r="J7" s="371"/>
      <c r="K7" s="370">
        <f>'Planilla final'!F51</f>
        <v>0</v>
      </c>
      <c r="L7" s="371"/>
      <c r="M7" s="370">
        <f>'Planilla final'!G51</f>
        <v>0</v>
      </c>
      <c r="N7" s="371"/>
      <c r="O7" s="370">
        <f>'Planilla final'!H51</f>
        <v>0</v>
      </c>
      <c r="P7" s="371"/>
      <c r="Q7" s="370">
        <f>'Planilla final'!I51</f>
        <v>0</v>
      </c>
      <c r="R7" s="371"/>
      <c r="S7" s="370">
        <f>'Planilla final'!K51</f>
        <v>0</v>
      </c>
      <c r="T7" s="371"/>
      <c r="U7" s="370">
        <f>'Planilla final'!L51</f>
        <v>0</v>
      </c>
      <c r="V7" s="372"/>
      <c r="W7" s="370">
        <f>'Planilla final'!M51</f>
        <v>0</v>
      </c>
      <c r="X7" s="372"/>
      <c r="Y7" s="370">
        <f>'Planilla final'!N51</f>
        <v>0</v>
      </c>
      <c r="Z7" s="371"/>
      <c r="AA7" s="371">
        <f t="shared" si="0"/>
        <v>0</v>
      </c>
      <c r="AB7" s="371"/>
      <c r="AC7" s="371">
        <f>+'Planilla final'!P51</f>
        <v>0</v>
      </c>
      <c r="AD7" s="371"/>
      <c r="AE7" s="371">
        <f>+'Planilla final'!Q51</f>
        <v>0</v>
      </c>
      <c r="AF7" s="371"/>
      <c r="AG7" s="373">
        <f t="shared" si="1"/>
        <v>0</v>
      </c>
    </row>
    <row r="8" spans="1:35" outlineLevel="1">
      <c r="A8" s="369" t="s">
        <v>437</v>
      </c>
      <c r="B8" s="375"/>
      <c r="C8" s="371">
        <f>'Planilla final'!B52</f>
        <v>43768255.310000002</v>
      </c>
      <c r="D8" s="371"/>
      <c r="E8" s="370">
        <f>'Planilla final'!C52</f>
        <v>0</v>
      </c>
      <c r="F8" s="371"/>
      <c r="G8" s="370">
        <f>'Planilla final'!D52</f>
        <v>399181.98</v>
      </c>
      <c r="H8" s="371"/>
      <c r="I8" s="370">
        <f>'Planilla final'!E52</f>
        <v>0</v>
      </c>
      <c r="J8" s="371"/>
      <c r="K8" s="370">
        <f>'Planilla final'!F52</f>
        <v>955363.77</v>
      </c>
      <c r="L8" s="371"/>
      <c r="M8" s="370">
        <f>'Planilla final'!G52</f>
        <v>331439.17</v>
      </c>
      <c r="N8" s="371"/>
      <c r="O8" s="370">
        <f>'Planilla final'!H52</f>
        <v>0</v>
      </c>
      <c r="P8" s="371"/>
      <c r="Q8" s="370">
        <f>'Planilla final'!I52</f>
        <v>0</v>
      </c>
      <c r="R8" s="371"/>
      <c r="S8" s="370">
        <f>'Planilla final'!K52</f>
        <v>0</v>
      </c>
      <c r="T8" s="371"/>
      <c r="U8" s="370">
        <f>'Planilla final'!L52</f>
        <v>0</v>
      </c>
      <c r="V8" s="372"/>
      <c r="W8" s="370">
        <f>'Planilla final'!M52</f>
        <v>150408.57999999999</v>
      </c>
      <c r="X8" s="372"/>
      <c r="Y8" s="370">
        <f>'Planilla final'!N52</f>
        <v>0</v>
      </c>
      <c r="Z8" s="371"/>
      <c r="AA8" s="371">
        <f t="shared" si="0"/>
        <v>45604648.810000002</v>
      </c>
      <c r="AB8" s="371"/>
      <c r="AC8" s="371">
        <f>+'Planilla final'!P52</f>
        <v>0</v>
      </c>
      <c r="AD8" s="371"/>
      <c r="AE8" s="371">
        <f>+'Planilla final'!Q52</f>
        <v>0</v>
      </c>
      <c r="AF8" s="371"/>
      <c r="AG8" s="373">
        <f t="shared" si="1"/>
        <v>45604648.810000002</v>
      </c>
    </row>
    <row r="9" spans="1:35" outlineLevel="1">
      <c r="A9" s="369" t="s">
        <v>438</v>
      </c>
      <c r="B9" s="375"/>
      <c r="C9" s="371">
        <f>'Planilla final'!B53</f>
        <v>0</v>
      </c>
      <c r="D9" s="371"/>
      <c r="E9" s="370">
        <f>'Planilla final'!C53</f>
        <v>0</v>
      </c>
      <c r="F9" s="371"/>
      <c r="G9" s="370">
        <f>'Planilla final'!D53</f>
        <v>0</v>
      </c>
      <c r="H9" s="371"/>
      <c r="I9" s="370">
        <f>'Planilla final'!E53</f>
        <v>0</v>
      </c>
      <c r="J9" s="371"/>
      <c r="K9" s="370">
        <f>'Planilla final'!F53</f>
        <v>0</v>
      </c>
      <c r="L9" s="371"/>
      <c r="M9" s="370">
        <f>'Planilla final'!G53</f>
        <v>0</v>
      </c>
      <c r="N9" s="371"/>
      <c r="O9" s="370">
        <f>'Planilla final'!H53</f>
        <v>0</v>
      </c>
      <c r="P9" s="371"/>
      <c r="Q9" s="370">
        <f>'Planilla final'!I53</f>
        <v>0</v>
      </c>
      <c r="R9" s="371"/>
      <c r="S9" s="370">
        <f>'Planilla final'!K53</f>
        <v>0</v>
      </c>
      <c r="T9" s="371"/>
      <c r="U9" s="370">
        <f>'Planilla final'!L53</f>
        <v>0</v>
      </c>
      <c r="V9" s="372"/>
      <c r="W9" s="370">
        <f>'Planilla final'!M53</f>
        <v>202047.26</v>
      </c>
      <c r="X9" s="372"/>
      <c r="Y9" s="370">
        <f>'Planilla final'!N53</f>
        <v>0</v>
      </c>
      <c r="Z9" s="371"/>
      <c r="AA9" s="371">
        <f t="shared" si="0"/>
        <v>202047.26</v>
      </c>
      <c r="AB9" s="371"/>
      <c r="AC9" s="371">
        <f>+'Planilla final'!P53</f>
        <v>0</v>
      </c>
      <c r="AD9" s="371"/>
      <c r="AE9" s="371">
        <f>+'Planilla final'!Q53</f>
        <v>0</v>
      </c>
      <c r="AF9" s="371"/>
      <c r="AG9" s="373"/>
    </row>
    <row r="10" spans="1:35" outlineLevel="1">
      <c r="A10" s="369" t="s">
        <v>439</v>
      </c>
      <c r="B10" s="375"/>
      <c r="C10" s="371">
        <f>'Planilla final'!B54</f>
        <v>-3202431</v>
      </c>
      <c r="D10" s="371"/>
      <c r="E10" s="370">
        <f>'Planilla final'!C54</f>
        <v>0</v>
      </c>
      <c r="F10" s="371"/>
      <c r="G10" s="370">
        <f>'Planilla final'!D54</f>
        <v>0</v>
      </c>
      <c r="H10" s="371"/>
      <c r="I10" s="370">
        <f>'Planilla final'!E54</f>
        <v>0</v>
      </c>
      <c r="J10" s="371"/>
      <c r="K10" s="370">
        <f>'Planilla final'!F54</f>
        <v>0</v>
      </c>
      <c r="L10" s="371"/>
      <c r="M10" s="370">
        <f>'Planilla final'!G54</f>
        <v>0</v>
      </c>
      <c r="N10" s="371"/>
      <c r="O10" s="370">
        <f>'Planilla final'!H54</f>
        <v>0</v>
      </c>
      <c r="P10" s="371"/>
      <c r="Q10" s="370">
        <f>'Planilla final'!I54</f>
        <v>0</v>
      </c>
      <c r="R10" s="371"/>
      <c r="S10" s="370">
        <f>'Planilla final'!K54</f>
        <v>0</v>
      </c>
      <c r="T10" s="371"/>
      <c r="U10" s="370">
        <f>'Planilla final'!L54</f>
        <v>0</v>
      </c>
      <c r="V10" s="372"/>
      <c r="W10" s="370">
        <f>'Planilla final'!M54</f>
        <v>-56932.01</v>
      </c>
      <c r="X10" s="372"/>
      <c r="Y10" s="370">
        <f>'Planilla final'!N54</f>
        <v>0</v>
      </c>
      <c r="Z10" s="371"/>
      <c r="AA10" s="371">
        <f t="shared" si="0"/>
        <v>-3259363.01</v>
      </c>
      <c r="AB10" s="371"/>
      <c r="AC10" s="371">
        <f>+'Planilla final'!P54</f>
        <v>0</v>
      </c>
      <c r="AD10" s="371"/>
      <c r="AE10" s="371">
        <f>+'Planilla final'!Q54</f>
        <v>0</v>
      </c>
      <c r="AF10" s="371"/>
      <c r="AG10" s="373">
        <f>AA10-AC10+AE10</f>
        <v>-3259363.01</v>
      </c>
    </row>
    <row r="11" spans="1:35" outlineLevel="1">
      <c r="A11" s="369" t="s">
        <v>149</v>
      </c>
      <c r="B11" s="375"/>
      <c r="C11" s="371">
        <f>'Planilla final'!B55</f>
        <v>31376175.600000001</v>
      </c>
      <c r="D11" s="371"/>
      <c r="E11" s="370">
        <f>'Planilla final'!C55</f>
        <v>0</v>
      </c>
      <c r="F11" s="371"/>
      <c r="G11" s="370">
        <f>'Planilla final'!D55</f>
        <v>2648674.7999999998</v>
      </c>
      <c r="H11" s="371"/>
      <c r="I11" s="370">
        <f>'Planilla final'!E55</f>
        <v>0</v>
      </c>
      <c r="J11" s="371"/>
      <c r="K11" s="370">
        <f>'Planilla final'!F55</f>
        <v>3513834.54</v>
      </c>
      <c r="L11" s="371"/>
      <c r="M11" s="370">
        <f>'Planilla final'!G55</f>
        <v>-94319.19</v>
      </c>
      <c r="N11" s="371"/>
      <c r="O11" s="370">
        <f>'Planilla final'!H55</f>
        <v>0</v>
      </c>
      <c r="P11" s="371"/>
      <c r="Q11" s="370">
        <f>'Planilla final'!I55</f>
        <v>0</v>
      </c>
      <c r="R11" s="371"/>
      <c r="S11" s="370">
        <f>'Planilla final'!K55</f>
        <v>0</v>
      </c>
      <c r="T11" s="371"/>
      <c r="U11" s="370">
        <f>'Planilla final'!L55</f>
        <v>0</v>
      </c>
      <c r="V11" s="372"/>
      <c r="W11" s="370">
        <f>'Planilla final'!M55</f>
        <v>-3973273.83</v>
      </c>
      <c r="X11" s="372"/>
      <c r="Y11" s="370">
        <f>'Planilla final'!N55</f>
        <v>0</v>
      </c>
      <c r="Z11" s="371"/>
      <c r="AA11" s="371">
        <f t="shared" si="0"/>
        <v>33471091.920000002</v>
      </c>
      <c r="AB11" s="371"/>
      <c r="AC11" s="371">
        <f>+'Planilla final'!P55</f>
        <v>0</v>
      </c>
      <c r="AD11" s="371"/>
      <c r="AE11" s="371">
        <f>+'Planilla final'!Q55</f>
        <v>0</v>
      </c>
      <c r="AF11" s="371"/>
      <c r="AG11" s="373">
        <f>AA11-AC11+AE11</f>
        <v>33471091.920000002</v>
      </c>
    </row>
    <row r="12" spans="1:35" ht="5.0999999999999996" customHeight="1" outlineLevel="1"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2"/>
      <c r="W12" s="371"/>
      <c r="X12" s="372"/>
      <c r="Y12" s="371"/>
      <c r="Z12" s="371"/>
      <c r="AA12" s="371"/>
      <c r="AB12" s="371"/>
      <c r="AC12" s="371"/>
      <c r="AD12" s="371"/>
      <c r="AE12" s="371"/>
      <c r="AF12" s="371"/>
      <c r="AG12" s="373"/>
    </row>
    <row r="13" spans="1:35" outlineLevel="1">
      <c r="A13" s="366" t="s">
        <v>359</v>
      </c>
      <c r="C13" s="376">
        <f>+SUM(C3:C11)</f>
        <v>99969332.199999988</v>
      </c>
      <c r="D13" s="371"/>
      <c r="E13" s="376">
        <f>+SUM(E3:E11)</f>
        <v>0</v>
      </c>
      <c r="F13" s="371"/>
      <c r="G13" s="376">
        <f>+SUM(G3:G11)</f>
        <v>5030169.83</v>
      </c>
      <c r="H13" s="371"/>
      <c r="I13" s="376">
        <f>+SUM(I3:I11)</f>
        <v>0</v>
      </c>
      <c r="J13" s="371"/>
      <c r="K13" s="376">
        <f>+SUM(K3:K11)</f>
        <v>11969198.309999999</v>
      </c>
      <c r="L13" s="371"/>
      <c r="M13" s="376">
        <f>+SUM(M3:M11)</f>
        <v>678203.46</v>
      </c>
      <c r="N13" s="371"/>
      <c r="O13" s="376">
        <f>+SUM(O3:O11)</f>
        <v>0</v>
      </c>
      <c r="P13" s="371"/>
      <c r="Q13" s="376">
        <f>+SUM(Q3:Q11)</f>
        <v>0</v>
      </c>
      <c r="R13" s="371"/>
      <c r="S13" s="376">
        <f>+SUM(S3:S11)</f>
        <v>0</v>
      </c>
      <c r="T13" s="371"/>
      <c r="U13" s="376">
        <f>+SUM(U3:U11)</f>
        <v>0</v>
      </c>
      <c r="V13" s="372"/>
      <c r="W13" s="376">
        <f>+SUM(W3:W11)</f>
        <v>494493.34999999963</v>
      </c>
      <c r="X13" s="372"/>
      <c r="Y13" s="376">
        <f>+SUM(Y3:Y11)</f>
        <v>0</v>
      </c>
      <c r="Z13" s="371"/>
      <c r="AA13" s="376">
        <f>+SUM(AA3:AA11)</f>
        <v>118141397.15000001</v>
      </c>
      <c r="AB13" s="371"/>
      <c r="AC13" s="376">
        <f>+SUM(AC3:AC11)</f>
        <v>0</v>
      </c>
      <c r="AD13" s="371"/>
      <c r="AE13" s="376">
        <f>+SUM(AE3:AE11)</f>
        <v>0</v>
      </c>
      <c r="AF13" s="371"/>
      <c r="AG13" s="377">
        <f>+SUM(AG3:AG11)</f>
        <v>117939349.89</v>
      </c>
    </row>
    <row r="14" spans="1:35" ht="5.0999999999999996" customHeight="1" outlineLevel="1"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2"/>
      <c r="W14" s="371"/>
      <c r="X14" s="372"/>
      <c r="Y14" s="371"/>
      <c r="Z14" s="371"/>
      <c r="AA14" s="371"/>
      <c r="AB14" s="371"/>
      <c r="AC14" s="371"/>
      <c r="AD14" s="371"/>
      <c r="AE14" s="371"/>
      <c r="AF14" s="371"/>
      <c r="AG14" s="373"/>
    </row>
    <row r="15" spans="1:35" ht="5.0999999999999996" customHeight="1" outlineLevel="1">
      <c r="V15" s="378"/>
      <c r="X15" s="378"/>
      <c r="AC15" s="379"/>
      <c r="AE15" s="379"/>
    </row>
    <row r="16" spans="1:35" s="380" customFormat="1" ht="10.5" outlineLevel="1">
      <c r="A16" s="380" t="s">
        <v>440</v>
      </c>
      <c r="C16" s="381">
        <v>1</v>
      </c>
      <c r="E16" s="381">
        <v>0.75019999999999998</v>
      </c>
      <c r="G16" s="382">
        <f>+(1104950/1105000)</f>
        <v>0.99995475113122168</v>
      </c>
      <c r="I16" s="381">
        <f>+(0.68)*100%</f>
        <v>0.68</v>
      </c>
      <c r="K16" s="381">
        <v>0.5</v>
      </c>
      <c r="M16" s="381">
        <v>0.75</v>
      </c>
      <c r="O16" s="381">
        <f>+(0.928)*100%</f>
        <v>0.92800000000000005</v>
      </c>
      <c r="Q16" s="381">
        <v>0.6</v>
      </c>
      <c r="S16" s="382">
        <f>+(799.96/800)*100%</f>
        <v>0.99995000000000001</v>
      </c>
      <c r="U16" s="381">
        <v>0.92500000000000004</v>
      </c>
      <c r="V16" s="383"/>
      <c r="W16" s="381">
        <v>0.99</v>
      </c>
      <c r="X16" s="383"/>
      <c r="Y16" s="381">
        <v>1</v>
      </c>
      <c r="AE16" s="384"/>
      <c r="AG16" s="385"/>
      <c r="AH16" s="366"/>
      <c r="AI16" s="366"/>
    </row>
    <row r="17" spans="1:33" ht="5.0999999999999996" customHeight="1" outlineLevel="1">
      <c r="C17" s="379"/>
      <c r="E17" s="379"/>
      <c r="I17" s="379"/>
      <c r="K17" s="379"/>
      <c r="M17" s="379"/>
      <c r="O17" s="379"/>
      <c r="Q17" s="379"/>
      <c r="S17" s="379"/>
      <c r="U17" s="379"/>
      <c r="V17" s="378"/>
      <c r="W17" s="379"/>
      <c r="X17" s="378"/>
      <c r="Y17" s="379"/>
      <c r="AC17" s="379"/>
      <c r="AG17" s="386"/>
    </row>
    <row r="18" spans="1:33" outlineLevel="1">
      <c r="A18" s="387" t="s">
        <v>441</v>
      </c>
      <c r="C18" s="379"/>
      <c r="E18" s="379"/>
      <c r="I18" s="379"/>
      <c r="K18" s="379"/>
      <c r="M18" s="379"/>
      <c r="O18" s="379"/>
      <c r="Q18" s="379"/>
      <c r="S18" s="379"/>
      <c r="U18" s="379"/>
      <c r="V18" s="378"/>
      <c r="W18" s="379"/>
      <c r="X18" s="378"/>
      <c r="Y18" s="379"/>
      <c r="AC18" s="379"/>
      <c r="AE18" s="379"/>
      <c r="AG18" s="386"/>
    </row>
    <row r="19" spans="1:33" outlineLevel="1">
      <c r="A19" s="369" t="s">
        <v>172</v>
      </c>
      <c r="C19" s="371">
        <f t="shared" ref="C19:C24" si="2">+C3*C$16</f>
        <v>21629181.18</v>
      </c>
      <c r="D19" s="371"/>
      <c r="E19" s="371">
        <f>+E3*E$16</f>
        <v>0</v>
      </c>
      <c r="F19" s="371"/>
      <c r="G19" s="371">
        <f>+G3*G$16</f>
        <v>1104950</v>
      </c>
      <c r="H19" s="371"/>
      <c r="I19" s="371">
        <f>+I3*I$16</f>
        <v>0</v>
      </c>
      <c r="J19" s="371"/>
      <c r="K19" s="371">
        <f>+K3*K$16</f>
        <v>3750000</v>
      </c>
      <c r="L19" s="371"/>
      <c r="M19" s="371">
        <f>+M3*M$16</f>
        <v>750</v>
      </c>
      <c r="N19" s="371"/>
      <c r="O19" s="371">
        <f>+O3*O$16</f>
        <v>0</v>
      </c>
      <c r="P19" s="371"/>
      <c r="Q19" s="371">
        <f t="shared" ref="Q19:Q24" si="3">+Q3*Q$16</f>
        <v>0</v>
      </c>
      <c r="R19" s="371"/>
      <c r="S19" s="371">
        <v>800</v>
      </c>
      <c r="T19" s="371"/>
      <c r="U19" s="371">
        <f>+U3*U$16</f>
        <v>0</v>
      </c>
      <c r="V19" s="372"/>
      <c r="W19" s="371">
        <f>+W3*W$16</f>
        <v>3624786</v>
      </c>
      <c r="X19" s="372"/>
      <c r="Y19" s="371">
        <f t="shared" ref="Y19:Y24" si="4">+Y3*Y$16</f>
        <v>0</v>
      </c>
      <c r="Z19" s="371"/>
      <c r="AA19" s="371">
        <f t="shared" ref="AA19:AA27" si="5">+SUM(C19:Z19)</f>
        <v>30110467.18</v>
      </c>
      <c r="AC19" s="379">
        <f t="shared" ref="AC19:AC27" si="6">+AC3</f>
        <v>0</v>
      </c>
      <c r="AE19" s="388">
        <f t="shared" ref="AE19:AE24" si="7">+AE3</f>
        <v>0</v>
      </c>
      <c r="AG19" s="373">
        <f t="shared" ref="AG19:AG27" si="8">AA19-AC19+AE19</f>
        <v>30110467.18</v>
      </c>
    </row>
    <row r="20" spans="1:33" outlineLevel="1">
      <c r="A20" s="369" t="s">
        <v>435</v>
      </c>
      <c r="C20" s="371">
        <f t="shared" si="2"/>
        <v>920.74</v>
      </c>
      <c r="D20" s="371"/>
      <c r="E20" s="371">
        <v>27854948</v>
      </c>
      <c r="F20" s="371"/>
      <c r="G20" s="371">
        <v>877313</v>
      </c>
      <c r="H20" s="371"/>
      <c r="I20" s="371">
        <f>+I4*I$16</f>
        <v>0</v>
      </c>
      <c r="J20" s="371"/>
      <c r="K20" s="371">
        <v>49015</v>
      </c>
      <c r="L20" s="371"/>
      <c r="M20" s="371">
        <v>330450</v>
      </c>
      <c r="N20" s="371"/>
      <c r="O20" s="371">
        <f>+O4*O$16</f>
        <v>0</v>
      </c>
      <c r="P20" s="371"/>
      <c r="Q20" s="371">
        <f t="shared" si="3"/>
        <v>0</v>
      </c>
      <c r="R20" s="371"/>
      <c r="S20" s="371">
        <f>+S4*S$16</f>
        <v>0</v>
      </c>
      <c r="T20" s="371"/>
      <c r="U20" s="371">
        <v>1833418</v>
      </c>
      <c r="V20" s="372"/>
      <c r="W20" s="371">
        <v>292500</v>
      </c>
      <c r="X20" s="372"/>
      <c r="Y20" s="371">
        <f t="shared" si="4"/>
        <v>0</v>
      </c>
      <c r="Z20" s="371"/>
      <c r="AA20" s="371">
        <f t="shared" si="5"/>
        <v>31238564.739999998</v>
      </c>
      <c r="AC20" s="379">
        <f t="shared" si="6"/>
        <v>0</v>
      </c>
      <c r="AE20" s="388">
        <f t="shared" si="7"/>
        <v>0</v>
      </c>
      <c r="AG20" s="373">
        <f t="shared" si="8"/>
        <v>31238564.739999998</v>
      </c>
    </row>
    <row r="21" spans="1:33" outlineLevel="1">
      <c r="A21" s="369" t="s">
        <v>90</v>
      </c>
      <c r="C21" s="371">
        <f t="shared" si="2"/>
        <v>6397230.3700000001</v>
      </c>
      <c r="D21" s="371"/>
      <c r="E21" s="371">
        <f>+E5*E$16</f>
        <v>0</v>
      </c>
      <c r="F21" s="371"/>
      <c r="G21" s="371">
        <f>+G5*G$16</f>
        <v>0</v>
      </c>
      <c r="H21" s="371"/>
      <c r="I21" s="371">
        <v>74427</v>
      </c>
      <c r="J21" s="371"/>
      <c r="K21" s="371">
        <v>500</v>
      </c>
      <c r="L21" s="371"/>
      <c r="M21" s="371">
        <f>+M5*M$16</f>
        <v>82225.11</v>
      </c>
      <c r="N21" s="371"/>
      <c r="O21" s="371">
        <v>1226</v>
      </c>
      <c r="P21" s="371"/>
      <c r="Q21" s="371">
        <f t="shared" si="3"/>
        <v>0</v>
      </c>
      <c r="R21" s="371"/>
      <c r="S21" s="371">
        <f>+S5*S$16</f>
        <v>0</v>
      </c>
      <c r="T21" s="371"/>
      <c r="U21" s="371">
        <f>+U5*U$16</f>
        <v>0</v>
      </c>
      <c r="V21" s="372"/>
      <c r="W21" s="371">
        <f>+W5*W$16</f>
        <v>103003.0551</v>
      </c>
      <c r="X21" s="372"/>
      <c r="Y21" s="371">
        <f t="shared" si="4"/>
        <v>0</v>
      </c>
      <c r="Z21" s="371"/>
      <c r="AA21" s="371">
        <f t="shared" si="5"/>
        <v>6658611.5351</v>
      </c>
      <c r="AC21" s="379">
        <f t="shared" si="6"/>
        <v>0</v>
      </c>
      <c r="AE21" s="388">
        <f t="shared" si="7"/>
        <v>0</v>
      </c>
      <c r="AG21" s="373">
        <f t="shared" si="8"/>
        <v>6658611.5351</v>
      </c>
    </row>
    <row r="22" spans="1:33" outlineLevel="1">
      <c r="A22" s="369" t="s">
        <v>91</v>
      </c>
      <c r="C22" s="371">
        <f t="shared" si="2"/>
        <v>0</v>
      </c>
      <c r="D22" s="371"/>
      <c r="E22" s="371">
        <f>+E6*E$16</f>
        <v>0</v>
      </c>
      <c r="F22" s="371"/>
      <c r="G22" s="371">
        <f>+G6*G$16</f>
        <v>0</v>
      </c>
      <c r="H22" s="371"/>
      <c r="I22" s="371">
        <f>+I6*I$16</f>
        <v>0</v>
      </c>
      <c r="J22" s="371"/>
      <c r="K22" s="371">
        <f>+K6*K$16</f>
        <v>0</v>
      </c>
      <c r="L22" s="371"/>
      <c r="M22" s="371">
        <f>+M6*M$16</f>
        <v>0</v>
      </c>
      <c r="N22" s="371"/>
      <c r="O22" s="371">
        <f>+O6*O$16</f>
        <v>0</v>
      </c>
      <c r="P22" s="371"/>
      <c r="Q22" s="371">
        <f t="shared" si="3"/>
        <v>0</v>
      </c>
      <c r="R22" s="371"/>
      <c r="S22" s="371">
        <f>+S6*S$16</f>
        <v>0</v>
      </c>
      <c r="T22" s="371"/>
      <c r="U22" s="371">
        <f>+U6*U$16</f>
        <v>0</v>
      </c>
      <c r="V22" s="372"/>
      <c r="W22" s="371">
        <f>+W6*W$16</f>
        <v>0</v>
      </c>
      <c r="X22" s="372"/>
      <c r="Y22" s="371">
        <f t="shared" si="4"/>
        <v>0</v>
      </c>
      <c r="Z22" s="371"/>
      <c r="AA22" s="371">
        <f t="shared" si="5"/>
        <v>0</v>
      </c>
      <c r="AC22" s="379">
        <f t="shared" si="6"/>
        <v>0</v>
      </c>
      <c r="AE22" s="388">
        <f t="shared" si="7"/>
        <v>0</v>
      </c>
      <c r="AG22" s="373">
        <f t="shared" si="8"/>
        <v>0</v>
      </c>
    </row>
    <row r="23" spans="1:33" outlineLevel="1">
      <c r="A23" s="369" t="s">
        <v>436</v>
      </c>
      <c r="C23" s="371">
        <f t="shared" si="2"/>
        <v>0</v>
      </c>
      <c r="D23" s="371"/>
      <c r="E23" s="371">
        <f>+E7*E$16</f>
        <v>0</v>
      </c>
      <c r="F23" s="371"/>
      <c r="G23" s="371">
        <f>+G7*G$16</f>
        <v>0</v>
      </c>
      <c r="H23" s="371"/>
      <c r="I23" s="371">
        <f>+I7*I$16</f>
        <v>0</v>
      </c>
      <c r="J23" s="371"/>
      <c r="K23" s="371">
        <f>+K7*K$16</f>
        <v>0</v>
      </c>
      <c r="L23" s="371"/>
      <c r="M23" s="371">
        <v>109633</v>
      </c>
      <c r="N23" s="371"/>
      <c r="O23" s="371">
        <f>+O7*O$16</f>
        <v>0</v>
      </c>
      <c r="P23" s="371"/>
      <c r="Q23" s="371">
        <f t="shared" si="3"/>
        <v>0</v>
      </c>
      <c r="R23" s="371"/>
      <c r="S23" s="371">
        <v>340</v>
      </c>
      <c r="T23" s="371"/>
      <c r="U23" s="371">
        <f>+U7*U$16</f>
        <v>0</v>
      </c>
      <c r="V23" s="372"/>
      <c r="W23" s="371">
        <f>+W7*W$16</f>
        <v>0</v>
      </c>
      <c r="X23" s="372"/>
      <c r="Y23" s="371">
        <f t="shared" si="4"/>
        <v>0</v>
      </c>
      <c r="Z23" s="371"/>
      <c r="AA23" s="371">
        <f t="shared" si="5"/>
        <v>109973</v>
      </c>
      <c r="AC23" s="379">
        <f t="shared" si="6"/>
        <v>0</v>
      </c>
      <c r="AE23" s="388">
        <f t="shared" si="7"/>
        <v>0</v>
      </c>
      <c r="AG23" s="373">
        <f t="shared" si="8"/>
        <v>109973</v>
      </c>
    </row>
    <row r="24" spans="1:33" outlineLevel="1">
      <c r="A24" s="369" t="s">
        <v>437</v>
      </c>
      <c r="C24" s="371">
        <f t="shared" si="2"/>
        <v>43768255.310000002</v>
      </c>
      <c r="D24" s="371"/>
      <c r="E24" s="371">
        <f>+E8*E$16</f>
        <v>0</v>
      </c>
      <c r="F24" s="371"/>
      <c r="G24" s="371">
        <f>+G8*G$16</f>
        <v>399163.9174669683</v>
      </c>
      <c r="H24" s="371"/>
      <c r="I24" s="371">
        <f>+I8*I$16</f>
        <v>0</v>
      </c>
      <c r="J24" s="371"/>
      <c r="K24" s="371">
        <f>+K8*K$16</f>
        <v>477681.88500000001</v>
      </c>
      <c r="L24" s="371"/>
      <c r="M24" s="371">
        <f>+M8*M$16</f>
        <v>248579.3775</v>
      </c>
      <c r="N24" s="371"/>
      <c r="O24" s="371">
        <f>+O8*O$16</f>
        <v>0</v>
      </c>
      <c r="P24" s="371"/>
      <c r="Q24" s="371">
        <f t="shared" si="3"/>
        <v>0</v>
      </c>
      <c r="R24" s="371"/>
      <c r="S24" s="371">
        <f>+S8*S$16</f>
        <v>0</v>
      </c>
      <c r="T24" s="371"/>
      <c r="U24" s="371">
        <f>+U8*U$16</f>
        <v>0</v>
      </c>
      <c r="V24" s="372"/>
      <c r="W24" s="371"/>
      <c r="X24" s="372"/>
      <c r="Y24" s="371">
        <f t="shared" si="4"/>
        <v>0</v>
      </c>
      <c r="Z24" s="371"/>
      <c r="AA24" s="371">
        <f t="shared" si="5"/>
        <v>44893680.489966966</v>
      </c>
      <c r="AC24" s="379">
        <f t="shared" si="6"/>
        <v>0</v>
      </c>
      <c r="AE24" s="388">
        <f t="shared" si="7"/>
        <v>0</v>
      </c>
      <c r="AG24" s="373">
        <f t="shared" si="8"/>
        <v>44893680.489966966</v>
      </c>
    </row>
    <row r="25" spans="1:33" outlineLevel="1">
      <c r="A25" s="369" t="s">
        <v>438</v>
      </c>
      <c r="C25" s="371">
        <v>0</v>
      </c>
      <c r="D25" s="371"/>
      <c r="E25" s="371">
        <v>0</v>
      </c>
      <c r="F25" s="371"/>
      <c r="G25" s="371">
        <v>0</v>
      </c>
      <c r="H25" s="371"/>
      <c r="I25" s="371">
        <v>0</v>
      </c>
      <c r="J25" s="371"/>
      <c r="K25" s="371">
        <v>0</v>
      </c>
      <c r="L25" s="371"/>
      <c r="M25" s="371">
        <v>0</v>
      </c>
      <c r="N25" s="371"/>
      <c r="O25" s="371">
        <v>0</v>
      </c>
      <c r="P25" s="371"/>
      <c r="Q25" s="371">
        <v>0</v>
      </c>
      <c r="R25" s="371"/>
      <c r="S25" s="371">
        <v>0</v>
      </c>
      <c r="T25" s="371"/>
      <c r="U25" s="371">
        <v>0</v>
      </c>
      <c r="V25" s="372"/>
      <c r="W25" s="371">
        <v>274690</v>
      </c>
      <c r="X25" s="372"/>
      <c r="Y25" s="371">
        <v>0</v>
      </c>
      <c r="Z25" s="371"/>
      <c r="AA25" s="371">
        <f t="shared" si="5"/>
        <v>274690</v>
      </c>
      <c r="AC25" s="379">
        <f t="shared" si="6"/>
        <v>0</v>
      </c>
      <c r="AE25" s="388">
        <v>0</v>
      </c>
      <c r="AG25" s="373">
        <f t="shared" si="8"/>
        <v>274690</v>
      </c>
    </row>
    <row r="26" spans="1:33" outlineLevel="1">
      <c r="A26" s="369" t="s">
        <v>442</v>
      </c>
      <c r="C26" s="371">
        <f>+C10*C$16</f>
        <v>-3202431</v>
      </c>
      <c r="D26" s="371"/>
      <c r="E26" s="371">
        <f>+E10*E$16</f>
        <v>0</v>
      </c>
      <c r="F26" s="371"/>
      <c r="G26" s="371">
        <f>+G10*G$16</f>
        <v>0</v>
      </c>
      <c r="H26" s="371"/>
      <c r="I26" s="371">
        <f>+I10*I$16</f>
        <v>0</v>
      </c>
      <c r="J26" s="371"/>
      <c r="K26" s="371">
        <f>+K10*K$16</f>
        <v>0</v>
      </c>
      <c r="L26" s="371"/>
      <c r="M26" s="371">
        <f>+M10*M$16</f>
        <v>0</v>
      </c>
      <c r="N26" s="371"/>
      <c r="O26" s="371">
        <f>+O10*O$16</f>
        <v>0</v>
      </c>
      <c r="P26" s="371"/>
      <c r="Q26" s="371">
        <f>+Q10*Q$16</f>
        <v>0</v>
      </c>
      <c r="R26" s="371"/>
      <c r="S26" s="371">
        <f>+S10*S$16</f>
        <v>0</v>
      </c>
      <c r="T26" s="371"/>
      <c r="U26" s="371">
        <f>+U10*U$16</f>
        <v>0</v>
      </c>
      <c r="V26" s="372"/>
      <c r="W26" s="370">
        <v>-56932</v>
      </c>
      <c r="X26" s="372"/>
      <c r="Y26" s="371">
        <f>+Y10*Y$16</f>
        <v>0</v>
      </c>
      <c r="Z26" s="371"/>
      <c r="AA26" s="371">
        <f t="shared" si="5"/>
        <v>-3259363</v>
      </c>
      <c r="AC26" s="379">
        <f t="shared" si="6"/>
        <v>0</v>
      </c>
      <c r="AE26" s="388">
        <f>+AE10</f>
        <v>0</v>
      </c>
      <c r="AG26" s="373">
        <f t="shared" si="8"/>
        <v>-3259363</v>
      </c>
    </row>
    <row r="27" spans="1:33" outlineLevel="1">
      <c r="A27" s="369" t="s">
        <v>149</v>
      </c>
      <c r="C27" s="389">
        <f>+C11*C$16</f>
        <v>31376175.600000001</v>
      </c>
      <c r="D27" s="371"/>
      <c r="E27" s="389">
        <f>+E11*E$16</f>
        <v>0</v>
      </c>
      <c r="F27" s="371"/>
      <c r="G27" s="389">
        <f>+G11*G$16</f>
        <v>2648554.950461538</v>
      </c>
      <c r="H27" s="371"/>
      <c r="I27" s="389">
        <f>+I11*I$16</f>
        <v>0</v>
      </c>
      <c r="J27" s="371"/>
      <c r="K27" s="389">
        <f>+K11*K$16</f>
        <v>1756917.27</v>
      </c>
      <c r="L27" s="371"/>
      <c r="M27" s="389">
        <f>+M11*M$16</f>
        <v>-70739.392500000002</v>
      </c>
      <c r="N27" s="371"/>
      <c r="O27" s="389">
        <f>+O11*O$16</f>
        <v>0</v>
      </c>
      <c r="P27" s="371"/>
      <c r="Q27" s="389">
        <f>+Q11*Q$16</f>
        <v>0</v>
      </c>
      <c r="R27" s="371"/>
      <c r="S27" s="389">
        <f>+S11*S$16</f>
        <v>0</v>
      </c>
      <c r="T27" s="371"/>
      <c r="U27" s="389">
        <f>+U11*U$16</f>
        <v>0</v>
      </c>
      <c r="V27" s="372"/>
      <c r="W27" s="389">
        <f>+W11*W$16</f>
        <v>-3933541.0917000002</v>
      </c>
      <c r="X27" s="372"/>
      <c r="Y27" s="389">
        <f>+Y11*Y$16</f>
        <v>0</v>
      </c>
      <c r="Z27" s="371"/>
      <c r="AA27" s="389">
        <f t="shared" si="5"/>
        <v>31777367.336261544</v>
      </c>
      <c r="AC27" s="390">
        <f t="shared" si="6"/>
        <v>0</v>
      </c>
      <c r="AE27" s="391">
        <f>+AE11</f>
        <v>0</v>
      </c>
      <c r="AG27" s="392">
        <f t="shared" si="8"/>
        <v>31777367.336261544</v>
      </c>
    </row>
    <row r="28" spans="1:33" outlineLevel="1">
      <c r="A28" s="369"/>
      <c r="C28" s="379">
        <f>+SUM(C19:C27)</f>
        <v>99969332.199999988</v>
      </c>
      <c r="E28" s="379">
        <f>+SUM(E19:E27)</f>
        <v>27854948</v>
      </c>
      <c r="G28" s="379">
        <f>+SUM(G19:G27)</f>
        <v>5029981.8679285068</v>
      </c>
      <c r="I28" s="379">
        <f>+SUM(I19:I27)</f>
        <v>74427</v>
      </c>
      <c r="K28" s="379">
        <f>+SUM(K19:K27)</f>
        <v>6034114.1549999993</v>
      </c>
      <c r="M28" s="379">
        <f>+SUM(M19:M27)</f>
        <v>700898.09500000009</v>
      </c>
      <c r="O28" s="379">
        <f>+SUM(O19:O27)</f>
        <v>1226</v>
      </c>
      <c r="Q28" s="379">
        <f>+SUM(Q19:Q27)</f>
        <v>0</v>
      </c>
      <c r="S28" s="379">
        <f>+SUM(S19:S27)</f>
        <v>1140</v>
      </c>
      <c r="U28" s="379">
        <f>+SUM(U19:U27)</f>
        <v>1833418</v>
      </c>
      <c r="V28" s="378"/>
      <c r="W28" s="379">
        <f>+SUM(W19:W27)</f>
        <v>304505.96339999931</v>
      </c>
      <c r="X28" s="378"/>
      <c r="Y28" s="379">
        <f>+SUM(Y19:Y27)</f>
        <v>0</v>
      </c>
      <c r="AA28" s="379">
        <f>+SUM(AA19:AA27)</f>
        <v>141803991.2813285</v>
      </c>
      <c r="AC28" s="379">
        <f>+SUM(AC19:AC27)</f>
        <v>0</v>
      </c>
      <c r="AE28" s="379">
        <f>+SUM(AE19:AE27)</f>
        <v>0</v>
      </c>
      <c r="AG28" s="373">
        <f>+SUM(AG19:AG27)</f>
        <v>141803991.2813285</v>
      </c>
    </row>
    <row r="29" spans="1:33" ht="5.0999999999999996" customHeight="1" outlineLevel="1">
      <c r="C29" s="379"/>
      <c r="E29" s="379"/>
      <c r="I29" s="379"/>
      <c r="K29" s="379"/>
      <c r="M29" s="379"/>
      <c r="O29" s="379"/>
      <c r="Q29" s="379"/>
      <c r="S29" s="379"/>
      <c r="U29" s="379"/>
      <c r="V29" s="378"/>
      <c r="W29" s="379"/>
      <c r="X29" s="378"/>
      <c r="Y29" s="379"/>
      <c r="AC29" s="379"/>
      <c r="AG29" s="386"/>
    </row>
    <row r="30" spans="1:33" outlineLevel="1">
      <c r="A30" s="387" t="s">
        <v>443</v>
      </c>
      <c r="C30" s="379"/>
      <c r="E30" s="379"/>
      <c r="I30" s="379"/>
      <c r="K30" s="379"/>
      <c r="M30" s="379"/>
      <c r="O30" s="379"/>
      <c r="Q30" s="379"/>
      <c r="S30" s="379"/>
      <c r="U30" s="379"/>
      <c r="V30" s="378"/>
      <c r="W30" s="379"/>
      <c r="X30" s="378"/>
      <c r="Y30" s="379"/>
      <c r="AC30" s="379"/>
      <c r="AG30" s="386"/>
    </row>
    <row r="31" spans="1:33" outlineLevel="1">
      <c r="A31" s="369" t="s">
        <v>172</v>
      </c>
      <c r="C31" s="379">
        <f t="shared" ref="C31:C36" si="9">+C3-C19</f>
        <v>0</v>
      </c>
      <c r="E31" s="379">
        <f t="shared" ref="E31:E36" si="10">+E3-E19</f>
        <v>0</v>
      </c>
      <c r="G31" s="379">
        <f t="shared" ref="G31:G36" si="11">+G3-G19</f>
        <v>50</v>
      </c>
      <c r="I31" s="379">
        <f t="shared" ref="I31:I36" si="12">+I3-I19</f>
        <v>0</v>
      </c>
      <c r="K31" s="379">
        <f t="shared" ref="K31:K36" si="13">+K3-K19</f>
        <v>3750000</v>
      </c>
      <c r="M31" s="379">
        <f t="shared" ref="M31:M36" si="14">+M3-M19</f>
        <v>250</v>
      </c>
      <c r="O31" s="379">
        <f t="shared" ref="O31:O36" si="15">+O3-O19</f>
        <v>0</v>
      </c>
      <c r="Q31" s="379">
        <f t="shared" ref="Q31:Q36" si="16">+Q3-Q19</f>
        <v>0</v>
      </c>
      <c r="S31" s="379">
        <f t="shared" ref="S31:S36" si="17">+S3-S19</f>
        <v>-800</v>
      </c>
      <c r="U31" s="379">
        <f t="shared" ref="U31:U36" si="18">+U3-U19</f>
        <v>0</v>
      </c>
      <c r="V31" s="378"/>
      <c r="W31" s="379">
        <f t="shared" ref="W31:W36" si="19">+W3-W19</f>
        <v>36614</v>
      </c>
      <c r="X31" s="378"/>
      <c r="Y31" s="379">
        <f t="shared" ref="Y31:Y36" si="20">+Y3-Y19</f>
        <v>0</v>
      </c>
      <c r="AA31" s="371">
        <f t="shared" ref="AA31:AA36" si="21">+SUM(C31:Z31)</f>
        <v>3786114</v>
      </c>
      <c r="AC31" s="379">
        <v>0</v>
      </c>
      <c r="AE31" s="379">
        <v>0</v>
      </c>
      <c r="AG31" s="373">
        <f t="shared" ref="AG31:AG36" si="22">+AA31+AC31+AE31</f>
        <v>3786114</v>
      </c>
    </row>
    <row r="32" spans="1:33" outlineLevel="1">
      <c r="A32" s="369" t="s">
        <v>435</v>
      </c>
      <c r="C32" s="379">
        <f t="shared" si="9"/>
        <v>0</v>
      </c>
      <c r="E32" s="379">
        <f t="shared" si="10"/>
        <v>-27854948</v>
      </c>
      <c r="G32" s="379">
        <f t="shared" si="11"/>
        <v>5.0000000046566129E-2</v>
      </c>
      <c r="I32" s="379">
        <f t="shared" si="12"/>
        <v>0</v>
      </c>
      <c r="K32" s="379">
        <f t="shared" si="13"/>
        <v>-49015</v>
      </c>
      <c r="M32" s="379">
        <f t="shared" si="14"/>
        <v>0</v>
      </c>
      <c r="O32" s="379">
        <f t="shared" si="15"/>
        <v>0</v>
      </c>
      <c r="Q32" s="379">
        <f t="shared" si="16"/>
        <v>0</v>
      </c>
      <c r="S32" s="379">
        <f t="shared" si="17"/>
        <v>0</v>
      </c>
      <c r="U32" s="379">
        <f t="shared" si="18"/>
        <v>-1833418</v>
      </c>
      <c r="V32" s="378"/>
      <c r="W32" s="379">
        <f t="shared" si="19"/>
        <v>114299.85999999999</v>
      </c>
      <c r="X32" s="378"/>
      <c r="Y32" s="379">
        <f t="shared" si="20"/>
        <v>0</v>
      </c>
      <c r="AA32" s="371">
        <f t="shared" si="21"/>
        <v>-29623081.09</v>
      </c>
      <c r="AC32" s="379">
        <v>0</v>
      </c>
      <c r="AE32" s="379">
        <v>0</v>
      </c>
      <c r="AG32" s="373">
        <f t="shared" si="22"/>
        <v>-29623081.09</v>
      </c>
    </row>
    <row r="33" spans="1:34" outlineLevel="1">
      <c r="A33" s="369" t="s">
        <v>90</v>
      </c>
      <c r="C33" s="379">
        <f t="shared" si="9"/>
        <v>0</v>
      </c>
      <c r="E33" s="379">
        <f t="shared" si="10"/>
        <v>0</v>
      </c>
      <c r="G33" s="379">
        <f t="shared" si="11"/>
        <v>0</v>
      </c>
      <c r="I33" s="379">
        <f t="shared" si="12"/>
        <v>-74427</v>
      </c>
      <c r="K33" s="379">
        <f t="shared" si="13"/>
        <v>-500</v>
      </c>
      <c r="M33" s="379">
        <f t="shared" si="14"/>
        <v>27408.369999999995</v>
      </c>
      <c r="O33" s="379">
        <f t="shared" si="15"/>
        <v>-1226</v>
      </c>
      <c r="Q33" s="379">
        <f t="shared" si="16"/>
        <v>0</v>
      </c>
      <c r="S33" s="379">
        <f t="shared" si="17"/>
        <v>0</v>
      </c>
      <c r="U33" s="379">
        <f t="shared" si="18"/>
        <v>0</v>
      </c>
      <c r="V33" s="378"/>
      <c r="W33" s="379">
        <f t="shared" si="19"/>
        <v>1040.4349000000075</v>
      </c>
      <c r="X33" s="378"/>
      <c r="Y33" s="379">
        <f t="shared" si="20"/>
        <v>0</v>
      </c>
      <c r="AA33" s="371">
        <f t="shared" si="21"/>
        <v>-47704.195099999997</v>
      </c>
      <c r="AC33" s="379">
        <v>0</v>
      </c>
      <c r="AE33" s="379">
        <v>0</v>
      </c>
      <c r="AG33" s="373">
        <f t="shared" si="22"/>
        <v>-47704.195099999997</v>
      </c>
    </row>
    <row r="34" spans="1:34" outlineLevel="1">
      <c r="A34" s="369" t="s">
        <v>91</v>
      </c>
      <c r="C34" s="379">
        <f t="shared" si="9"/>
        <v>0</v>
      </c>
      <c r="E34" s="379">
        <f t="shared" si="10"/>
        <v>0</v>
      </c>
      <c r="G34" s="379">
        <f t="shared" si="11"/>
        <v>0</v>
      </c>
      <c r="I34" s="379">
        <f t="shared" si="12"/>
        <v>0</v>
      </c>
      <c r="K34" s="379">
        <f t="shared" si="13"/>
        <v>0</v>
      </c>
      <c r="M34" s="379">
        <f t="shared" si="14"/>
        <v>0</v>
      </c>
      <c r="O34" s="379">
        <f t="shared" si="15"/>
        <v>0</v>
      </c>
      <c r="Q34" s="379">
        <f t="shared" si="16"/>
        <v>0</v>
      </c>
      <c r="S34" s="379">
        <f t="shared" si="17"/>
        <v>0</v>
      </c>
      <c r="U34" s="379">
        <f t="shared" si="18"/>
        <v>0</v>
      </c>
      <c r="V34" s="378"/>
      <c r="W34" s="379">
        <f t="shared" si="19"/>
        <v>0</v>
      </c>
      <c r="X34" s="378"/>
      <c r="Y34" s="379">
        <f t="shared" si="20"/>
        <v>0</v>
      </c>
      <c r="AA34" s="371">
        <f t="shared" si="21"/>
        <v>0</v>
      </c>
      <c r="AC34" s="379">
        <v>0</v>
      </c>
      <c r="AE34" s="379">
        <v>0</v>
      </c>
      <c r="AG34" s="373">
        <f t="shared" si="22"/>
        <v>0</v>
      </c>
    </row>
    <row r="35" spans="1:34" outlineLevel="1">
      <c r="A35" s="369" t="s">
        <v>436</v>
      </c>
      <c r="C35" s="379">
        <f t="shared" si="9"/>
        <v>0</v>
      </c>
      <c r="E35" s="379">
        <f t="shared" si="10"/>
        <v>0</v>
      </c>
      <c r="G35" s="379">
        <f t="shared" si="11"/>
        <v>0</v>
      </c>
      <c r="I35" s="379">
        <f t="shared" si="12"/>
        <v>0</v>
      </c>
      <c r="K35" s="379">
        <f t="shared" si="13"/>
        <v>0</v>
      </c>
      <c r="M35" s="379">
        <f t="shared" si="14"/>
        <v>-109633</v>
      </c>
      <c r="O35" s="379">
        <f t="shared" si="15"/>
        <v>0</v>
      </c>
      <c r="Q35" s="379">
        <f t="shared" si="16"/>
        <v>0</v>
      </c>
      <c r="S35" s="379">
        <f t="shared" si="17"/>
        <v>-340</v>
      </c>
      <c r="U35" s="379">
        <f t="shared" si="18"/>
        <v>0</v>
      </c>
      <c r="V35" s="378"/>
      <c r="W35" s="379">
        <f t="shared" si="19"/>
        <v>0</v>
      </c>
      <c r="X35" s="378"/>
      <c r="Y35" s="379">
        <f t="shared" si="20"/>
        <v>0</v>
      </c>
      <c r="AA35" s="371">
        <f t="shared" si="21"/>
        <v>-109973</v>
      </c>
      <c r="AC35" s="379">
        <v>0</v>
      </c>
      <c r="AE35" s="379">
        <v>0</v>
      </c>
      <c r="AG35" s="373">
        <f t="shared" si="22"/>
        <v>-109973</v>
      </c>
    </row>
    <row r="36" spans="1:34" outlineLevel="1">
      <c r="A36" s="369" t="s">
        <v>437</v>
      </c>
      <c r="C36" s="379">
        <f t="shared" si="9"/>
        <v>0</v>
      </c>
      <c r="E36" s="379">
        <f t="shared" si="10"/>
        <v>0</v>
      </c>
      <c r="G36" s="379">
        <f t="shared" si="11"/>
        <v>18.062533031683415</v>
      </c>
      <c r="I36" s="379">
        <f t="shared" si="12"/>
        <v>0</v>
      </c>
      <c r="K36" s="379">
        <f t="shared" si="13"/>
        <v>477681.88500000001</v>
      </c>
      <c r="M36" s="379">
        <f t="shared" si="14"/>
        <v>82859.792499999981</v>
      </c>
      <c r="O36" s="379">
        <f t="shared" si="15"/>
        <v>0</v>
      </c>
      <c r="Q36" s="379">
        <f t="shared" si="16"/>
        <v>0</v>
      </c>
      <c r="S36" s="379">
        <f t="shared" si="17"/>
        <v>0</v>
      </c>
      <c r="U36" s="379">
        <f t="shared" si="18"/>
        <v>0</v>
      </c>
      <c r="V36" s="378"/>
      <c r="W36" s="379">
        <f t="shared" si="19"/>
        <v>150408.57999999999</v>
      </c>
      <c r="X36" s="378"/>
      <c r="Y36" s="379">
        <f t="shared" si="20"/>
        <v>0</v>
      </c>
      <c r="AA36" s="371">
        <f t="shared" si="21"/>
        <v>710968.32003303163</v>
      </c>
      <c r="AC36" s="379">
        <v>0</v>
      </c>
      <c r="AE36" s="379">
        <v>0</v>
      </c>
      <c r="AG36" s="373">
        <f t="shared" si="22"/>
        <v>710968.32003303163</v>
      </c>
    </row>
    <row r="37" spans="1:34" outlineLevel="1">
      <c r="A37" s="369" t="s">
        <v>438</v>
      </c>
      <c r="C37" s="379"/>
      <c r="E37" s="379"/>
      <c r="G37" s="379"/>
      <c r="I37" s="379"/>
      <c r="K37" s="379"/>
      <c r="M37" s="379"/>
      <c r="O37" s="379"/>
      <c r="Q37" s="379"/>
      <c r="S37" s="379"/>
      <c r="U37" s="379"/>
      <c r="V37" s="378"/>
      <c r="W37" s="379"/>
      <c r="X37" s="378"/>
      <c r="Y37" s="379"/>
      <c r="AA37" s="371"/>
      <c r="AC37" s="379"/>
      <c r="AE37" s="379"/>
      <c r="AG37" s="373"/>
    </row>
    <row r="38" spans="1:34" outlineLevel="1">
      <c r="A38" s="369" t="s">
        <v>442</v>
      </c>
      <c r="C38" s="379">
        <f>+C10-C26</f>
        <v>0</v>
      </c>
      <c r="E38" s="379">
        <f>+E10-E26</f>
        <v>0</v>
      </c>
      <c r="G38" s="379">
        <f>+G10-G26</f>
        <v>0</v>
      </c>
      <c r="I38" s="379">
        <f>+I10-I26</f>
        <v>0</v>
      </c>
      <c r="K38" s="379">
        <f>+K10-K26</f>
        <v>0</v>
      </c>
      <c r="M38" s="379">
        <f>+M10-M26</f>
        <v>0</v>
      </c>
      <c r="O38" s="379">
        <f>+O10-O26</f>
        <v>0</v>
      </c>
      <c r="Q38" s="379">
        <f>+Q10-Q26</f>
        <v>0</v>
      </c>
      <c r="S38" s="379">
        <f>+S10-S26</f>
        <v>0</v>
      </c>
      <c r="U38" s="379">
        <f>+U10-U26</f>
        <v>0</v>
      </c>
      <c r="V38" s="378"/>
      <c r="W38" s="379">
        <f>+W10-W26</f>
        <v>-1.0000000002037268E-2</v>
      </c>
      <c r="X38" s="378"/>
      <c r="Y38" s="379">
        <f>+Y10-Y26</f>
        <v>0</v>
      </c>
      <c r="AA38" s="371">
        <f>+SUM(C38:Z38)</f>
        <v>-1.0000000002037268E-2</v>
      </c>
      <c r="AC38" s="379">
        <v>0</v>
      </c>
      <c r="AE38" s="379">
        <v>0</v>
      </c>
      <c r="AG38" s="373">
        <f>+AA38+AC38+AE38</f>
        <v>-1.0000000002037268E-2</v>
      </c>
    </row>
    <row r="39" spans="1:34" outlineLevel="1">
      <c r="A39" s="369" t="s">
        <v>149</v>
      </c>
      <c r="C39" s="390">
        <f>+C11-C27</f>
        <v>0</v>
      </c>
      <c r="E39" s="390">
        <f>+E11-E27</f>
        <v>0</v>
      </c>
      <c r="G39" s="390">
        <f>+G11-G27</f>
        <v>119.84953846177086</v>
      </c>
      <c r="I39" s="390">
        <f>+I11-I27</f>
        <v>0</v>
      </c>
      <c r="K39" s="390">
        <f>+K11-K27</f>
        <v>1756917.27</v>
      </c>
      <c r="M39" s="390">
        <f>+M11-M27</f>
        <v>-23579.797500000001</v>
      </c>
      <c r="O39" s="390">
        <f>+O11-O27</f>
        <v>0</v>
      </c>
      <c r="Q39" s="390">
        <f>+Q11-Q27</f>
        <v>0</v>
      </c>
      <c r="S39" s="390">
        <f>+S11-S27</f>
        <v>0</v>
      </c>
      <c r="U39" s="390">
        <f>+U11-U27</f>
        <v>0</v>
      </c>
      <c r="V39" s="378"/>
      <c r="W39" s="390">
        <f>+W11-W27</f>
        <v>-39732.738299999852</v>
      </c>
      <c r="X39" s="378"/>
      <c r="Y39" s="390">
        <f>+Y11-Y27</f>
        <v>0</v>
      </c>
      <c r="AA39" s="389">
        <f>+SUM(C39:Z39)</f>
        <v>1693724.5837384618</v>
      </c>
      <c r="AC39" s="390">
        <v>0</v>
      </c>
      <c r="AE39" s="390">
        <v>0</v>
      </c>
      <c r="AG39" s="392">
        <f>+AA39+AC39+AE39</f>
        <v>1693724.5837384618</v>
      </c>
    </row>
    <row r="40" spans="1:34" outlineLevel="1">
      <c r="C40" s="379">
        <f>+SUM(C31:C39)</f>
        <v>0</v>
      </c>
      <c r="E40" s="379">
        <f>+SUM(E31:E39)</f>
        <v>-27854948</v>
      </c>
      <c r="G40" s="379">
        <f>+SUM(G31:G39)</f>
        <v>187.96207149350084</v>
      </c>
      <c r="I40" s="379">
        <f>+SUM(I31:I39)</f>
        <v>-74427</v>
      </c>
      <c r="K40" s="379">
        <f>+SUM(K31:K39)</f>
        <v>5935084.1549999993</v>
      </c>
      <c r="M40" s="379">
        <f>+SUM(M31:M39)</f>
        <v>-22694.635000000024</v>
      </c>
      <c r="O40" s="379">
        <f>+SUM(O31:O39)</f>
        <v>-1226</v>
      </c>
      <c r="Q40" s="379">
        <f>+SUM(Q31:Q39)</f>
        <v>0</v>
      </c>
      <c r="S40" s="379">
        <f>+SUM(S31:S39)</f>
        <v>-1140</v>
      </c>
      <c r="U40" s="379">
        <f>+SUM(U31:U39)</f>
        <v>-1833418</v>
      </c>
      <c r="V40" s="378"/>
      <c r="W40" s="379">
        <f>+SUM(W31:W39)</f>
        <v>262630.12660000008</v>
      </c>
      <c r="X40" s="378"/>
      <c r="Y40" s="379">
        <f>+SUM(Y31:Y39)</f>
        <v>0</v>
      </c>
      <c r="AA40" s="379">
        <f>+SUM(AA31:AA39)</f>
        <v>-23589951.391328506</v>
      </c>
      <c r="AC40" s="379">
        <f>+SUM(AC31:AC39)</f>
        <v>0</v>
      </c>
      <c r="AE40" s="379">
        <f>+SUM(AE31:AE39)</f>
        <v>0</v>
      </c>
      <c r="AG40" s="386">
        <f>+SUM(AG31:AG39)</f>
        <v>-23589951.391328506</v>
      </c>
      <c r="AH40" s="379"/>
    </row>
    <row r="41" spans="1:34" ht="5.0999999999999996" customHeight="1" outlineLevel="1">
      <c r="V41" s="378"/>
      <c r="X41" s="378"/>
    </row>
    <row r="42" spans="1:34" outlineLevel="1">
      <c r="A42" s="366" t="s">
        <v>259</v>
      </c>
      <c r="C42" s="379">
        <f>+C40+C28</f>
        <v>99969332.199999988</v>
      </c>
      <c r="E42" s="379">
        <f>+E40+E28</f>
        <v>0</v>
      </c>
      <c r="G42" s="379">
        <f>+G40+G28</f>
        <v>5030169.83</v>
      </c>
      <c r="I42" s="379">
        <f>+I40+I28</f>
        <v>0</v>
      </c>
      <c r="K42" s="379">
        <f>+K40+K28</f>
        <v>11969198.309999999</v>
      </c>
      <c r="M42" s="379">
        <f>+M40+M28</f>
        <v>678203.46000000008</v>
      </c>
      <c r="O42" s="379">
        <f>+O40+O28</f>
        <v>0</v>
      </c>
      <c r="Q42" s="379">
        <f>+Q40+Q28</f>
        <v>0</v>
      </c>
      <c r="S42" s="379">
        <f>+S40+S28</f>
        <v>0</v>
      </c>
      <c r="U42" s="379">
        <f>+U40+U28</f>
        <v>0</v>
      </c>
      <c r="V42" s="378"/>
      <c r="W42" s="379">
        <f>+W40+W28</f>
        <v>567136.08999999939</v>
      </c>
      <c r="X42" s="378"/>
      <c r="Y42" s="379">
        <f>+Y40+Y28</f>
        <v>0</v>
      </c>
      <c r="AA42" s="379">
        <f>+AA40+AA28</f>
        <v>118214039.88999999</v>
      </c>
      <c r="AC42" s="379">
        <f>+AC40+AC28</f>
        <v>0</v>
      </c>
      <c r="AE42" s="379">
        <f>+AE40+AE28</f>
        <v>0</v>
      </c>
      <c r="AG42" s="379">
        <f>+AG40+AG28</f>
        <v>118214039.88999999</v>
      </c>
    </row>
    <row r="43" spans="1:34" s="366" customFormat="1" ht="5.0999999999999996" customHeight="1" outlineLevel="1">
      <c r="V43" s="378"/>
      <c r="X43" s="378"/>
    </row>
    <row r="44" spans="1:34" s="393" customFormat="1" ht="9.75" outlineLevel="1">
      <c r="A44" s="393" t="s">
        <v>444</v>
      </c>
      <c r="C44" s="394">
        <f>+SUM(C3:C11)-C42</f>
        <v>0</v>
      </c>
      <c r="E44" s="394">
        <f>+SUM(E3:E11)-E42</f>
        <v>0</v>
      </c>
      <c r="G44" s="394">
        <f>+SUM(G3:G11)-G42</f>
        <v>0</v>
      </c>
      <c r="I44" s="394">
        <f>+SUM(I3:I11)-I42</f>
        <v>0</v>
      </c>
      <c r="K44" s="394">
        <f>+SUM(K3:K11)-K42</f>
        <v>0</v>
      </c>
      <c r="M44" s="394">
        <f>+SUM(M3:M11)-M42</f>
        <v>0</v>
      </c>
      <c r="O44" s="394">
        <f>+SUM(O3:O11)-O42</f>
        <v>0</v>
      </c>
      <c r="Q44" s="394">
        <f>+SUM(Q3:Q11)-Q42</f>
        <v>0</v>
      </c>
      <c r="S44" s="394">
        <f>+SUM(S3:S11)-S42</f>
        <v>0</v>
      </c>
      <c r="U44" s="394">
        <f>+SUM(U3:U11)-U42</f>
        <v>0</v>
      </c>
      <c r="V44" s="395"/>
      <c r="W44" s="394">
        <f>+SUM(W3:W11)-W42</f>
        <v>-72642.739999999758</v>
      </c>
      <c r="X44" s="395"/>
      <c r="Y44" s="394">
        <f>+SUM(Y3:Y11)-Y42</f>
        <v>0</v>
      </c>
      <c r="AA44" s="394">
        <f>+SUM(AA3:AA11)-AA42</f>
        <v>-72642.739999979734</v>
      </c>
      <c r="AC44" s="394">
        <f>+SUM(AC3:AC11)-AC42</f>
        <v>0</v>
      </c>
      <c r="AE44" s="394">
        <f>+SUM(AE3:AE11)-AE42</f>
        <v>0</v>
      </c>
      <c r="AG44" s="394">
        <f>+SUM(AG3:AG11)-AG42</f>
        <v>-274689.9999999851</v>
      </c>
    </row>
    <row r="45" spans="1:34" ht="15" customHeight="1">
      <c r="A45" s="396" t="s">
        <v>390</v>
      </c>
    </row>
    <row r="46" spans="1:34" ht="15" customHeight="1">
      <c r="A46" s="396" t="s">
        <v>445</v>
      </c>
    </row>
    <row r="47" spans="1:34" ht="15" customHeight="1">
      <c r="A47" s="397"/>
    </row>
    <row r="48" spans="1:34" ht="43.5">
      <c r="A48" s="398" t="s">
        <v>446</v>
      </c>
      <c r="B48" s="399"/>
      <c r="C48" s="400" t="s">
        <v>447</v>
      </c>
      <c r="D48" s="401"/>
      <c r="E48" s="402" t="s">
        <v>448</v>
      </c>
      <c r="F48" s="401"/>
      <c r="G48" s="402" t="s">
        <v>449</v>
      </c>
      <c r="H48" s="401"/>
      <c r="I48" s="403" t="s">
        <v>450</v>
      </c>
    </row>
    <row r="49" spans="1:9">
      <c r="A49" s="404" t="s">
        <v>212</v>
      </c>
      <c r="B49" s="405"/>
      <c r="C49" s="406">
        <v>1</v>
      </c>
      <c r="D49" s="407"/>
      <c r="E49" s="276">
        <f>+'PAT19'!B$55+'PAT19'!B35</f>
        <v>30276475.600000001</v>
      </c>
      <c r="F49" s="407"/>
      <c r="G49" s="276">
        <f t="shared" ref="G49:G60" si="23">+E49*C49</f>
        <v>30276475.600000001</v>
      </c>
      <c r="H49" s="407"/>
      <c r="I49" s="408">
        <f t="shared" ref="I49:I60" si="24">+E49-G49</f>
        <v>0</v>
      </c>
    </row>
    <row r="50" spans="1:9">
      <c r="A50" s="407" t="s">
        <v>243</v>
      </c>
      <c r="B50" s="409"/>
      <c r="C50" s="406">
        <v>0.75019999999999998</v>
      </c>
      <c r="D50" s="407"/>
      <c r="E50" s="276">
        <f>+'PAT19'!C$55</f>
        <v>-5325487</v>
      </c>
      <c r="F50" s="407"/>
      <c r="G50" s="276">
        <f t="shared" si="23"/>
        <v>-3995180.3473999999</v>
      </c>
      <c r="H50" s="407"/>
      <c r="I50" s="408">
        <f t="shared" si="24"/>
        <v>-1330306.6526000001</v>
      </c>
    </row>
    <row r="51" spans="1:9">
      <c r="A51" s="407" t="s">
        <v>451</v>
      </c>
      <c r="B51" s="409"/>
      <c r="C51" s="410">
        <v>0.99995500000000004</v>
      </c>
      <c r="D51" s="407"/>
      <c r="E51" s="276">
        <f>+'PAT19'!D$55</f>
        <v>181072</v>
      </c>
      <c r="F51" s="407"/>
      <c r="G51" s="276">
        <f t="shared" si="23"/>
        <v>181063.85176000002</v>
      </c>
      <c r="H51" s="407"/>
      <c r="I51" s="408">
        <f t="shared" si="24"/>
        <v>8.1482399999804329</v>
      </c>
    </row>
    <row r="52" spans="1:9">
      <c r="A52" s="407" t="s">
        <v>280</v>
      </c>
      <c r="B52" s="409"/>
      <c r="C52" s="406">
        <v>0.68</v>
      </c>
      <c r="D52" s="407"/>
      <c r="E52" s="276">
        <f>+'PAT19'!E$55</f>
        <v>0</v>
      </c>
      <c r="F52" s="407"/>
      <c r="G52" s="276">
        <f t="shared" si="23"/>
        <v>0</v>
      </c>
      <c r="H52" s="407"/>
      <c r="I52" s="408">
        <f t="shared" si="24"/>
        <v>0</v>
      </c>
    </row>
    <row r="53" spans="1:9">
      <c r="A53" s="407" t="s">
        <v>281</v>
      </c>
      <c r="B53" s="409"/>
      <c r="C53" s="406">
        <v>0.5</v>
      </c>
      <c r="D53" s="407"/>
      <c r="E53" s="276">
        <f>+'PAT19'!F$55</f>
        <v>955363.76999999909</v>
      </c>
      <c r="F53" s="407"/>
      <c r="G53" s="276">
        <f t="shared" si="23"/>
        <v>477681.88499999954</v>
      </c>
      <c r="H53" s="407"/>
      <c r="I53" s="408">
        <f t="shared" si="24"/>
        <v>477681.88499999954</v>
      </c>
    </row>
    <row r="54" spans="1:9">
      <c r="A54" s="407" t="s">
        <v>432</v>
      </c>
      <c r="B54" s="409"/>
      <c r="C54" s="406">
        <v>0.75</v>
      </c>
      <c r="D54" s="407"/>
      <c r="E54" s="276">
        <f>+'PAT19'!G$55</f>
        <v>-13474</v>
      </c>
      <c r="F54" s="407"/>
      <c r="G54" s="276">
        <f t="shared" si="23"/>
        <v>-10105.5</v>
      </c>
      <c r="H54" s="407"/>
      <c r="I54" s="408">
        <f t="shared" si="24"/>
        <v>-3368.5</v>
      </c>
    </row>
    <row r="55" spans="1:9">
      <c r="A55" s="407" t="s">
        <v>282</v>
      </c>
      <c r="B55" s="409"/>
      <c r="C55" s="406">
        <v>0.92800000000000005</v>
      </c>
      <c r="D55" s="407"/>
      <c r="E55" s="276">
        <f>+'PAT19'!H$55</f>
        <v>0</v>
      </c>
      <c r="F55" s="407"/>
      <c r="G55" s="276">
        <f t="shared" si="23"/>
        <v>0</v>
      </c>
      <c r="H55" s="407"/>
      <c r="I55" s="408">
        <f t="shared" si="24"/>
        <v>0</v>
      </c>
    </row>
    <row r="56" spans="1:9">
      <c r="A56" s="407" t="s">
        <v>433</v>
      </c>
      <c r="B56" s="409"/>
      <c r="C56" s="406">
        <v>0.6</v>
      </c>
      <c r="D56" s="407"/>
      <c r="E56" s="276">
        <f>+'PAT19'!I$55</f>
        <v>0</v>
      </c>
      <c r="F56" s="407"/>
      <c r="G56" s="276">
        <f t="shared" si="23"/>
        <v>0</v>
      </c>
      <c r="H56" s="407"/>
      <c r="I56" s="408">
        <f t="shared" si="24"/>
        <v>0</v>
      </c>
    </row>
    <row r="57" spans="1:9">
      <c r="A57" s="407" t="s">
        <v>452</v>
      </c>
      <c r="B57" s="409"/>
      <c r="C57" s="410">
        <v>0.99995000000000001</v>
      </c>
      <c r="D57" s="407"/>
      <c r="E57" s="276">
        <f>+'PAT19'!J$55</f>
        <v>-40586</v>
      </c>
      <c r="F57" s="407"/>
      <c r="G57" s="276">
        <f t="shared" si="23"/>
        <v>-40583.970699999998</v>
      </c>
      <c r="H57" s="407"/>
      <c r="I57" s="408">
        <f t="shared" si="24"/>
        <v>-2.0293000000019674</v>
      </c>
    </row>
    <row r="58" spans="1:9">
      <c r="A58" s="407" t="s">
        <v>245</v>
      </c>
      <c r="B58" s="409"/>
      <c r="C58" s="406">
        <v>0.92500000000000004</v>
      </c>
      <c r="D58" s="407"/>
      <c r="E58" s="276">
        <f>+'PAT19'!K$55</f>
        <v>0</v>
      </c>
      <c r="F58" s="407"/>
      <c r="G58" s="276">
        <f t="shared" si="23"/>
        <v>0</v>
      </c>
      <c r="H58" s="407"/>
      <c r="I58" s="408">
        <f t="shared" si="24"/>
        <v>0</v>
      </c>
    </row>
    <row r="59" spans="1:9">
      <c r="A59" s="407" t="s">
        <v>247</v>
      </c>
      <c r="B59" s="409"/>
      <c r="C59" s="406">
        <v>0.99</v>
      </c>
      <c r="D59" s="407"/>
      <c r="E59" s="276">
        <f>+'PAT19'!L$55</f>
        <v>1634914</v>
      </c>
      <c r="F59" s="407"/>
      <c r="G59" s="276">
        <f t="shared" si="23"/>
        <v>1618564.8599999999</v>
      </c>
      <c r="H59" s="407"/>
      <c r="I59" s="408">
        <f t="shared" si="24"/>
        <v>16349.14000000013</v>
      </c>
    </row>
    <row r="60" spans="1:9">
      <c r="A60" s="407" t="s">
        <v>453</v>
      </c>
      <c r="B60" s="409"/>
      <c r="C60" s="406">
        <v>1</v>
      </c>
      <c r="D60" s="407"/>
      <c r="E60" s="276">
        <f>+'PAT19'!M$55</f>
        <v>0</v>
      </c>
      <c r="F60" s="407"/>
      <c r="G60" s="276">
        <f t="shared" si="23"/>
        <v>0</v>
      </c>
      <c r="H60" s="407"/>
      <c r="I60" s="408">
        <f t="shared" si="24"/>
        <v>0</v>
      </c>
    </row>
    <row r="61" spans="1:9">
      <c r="A61" s="401" t="s">
        <v>454</v>
      </c>
      <c r="B61" s="399"/>
      <c r="C61" s="401"/>
      <c r="D61" s="401"/>
      <c r="E61" s="411">
        <f>SUM(E49:E60)</f>
        <v>27668278.370000001</v>
      </c>
      <c r="F61" s="401"/>
      <c r="G61" s="411">
        <f>SUM(G49:G60)</f>
        <v>28507916.378660001</v>
      </c>
      <c r="H61" s="401"/>
      <c r="I61" s="412">
        <f>SUM(I49:I60)</f>
        <v>-839638.00866000052</v>
      </c>
    </row>
    <row r="62" spans="1:9">
      <c r="A62" s="316"/>
      <c r="B62" s="316"/>
      <c r="C62" s="316"/>
      <c r="D62" s="316"/>
      <c r="E62" s="413"/>
      <c r="F62" s="316"/>
      <c r="G62" s="316"/>
      <c r="H62" s="316"/>
      <c r="I62" s="316"/>
    </row>
    <row r="63" spans="1:9">
      <c r="A63" s="316"/>
      <c r="B63" s="316"/>
      <c r="C63" s="316"/>
      <c r="D63" s="316"/>
      <c r="E63" s="316"/>
      <c r="F63" s="316"/>
      <c r="G63" s="316"/>
      <c r="H63" s="316"/>
      <c r="I63" s="316"/>
    </row>
    <row r="64" spans="1:9">
      <c r="A64" s="316"/>
      <c r="B64" s="316"/>
      <c r="C64" s="316"/>
      <c r="D64" s="316"/>
      <c r="E64" s="316"/>
      <c r="F64" s="316"/>
      <c r="G64" s="316"/>
      <c r="H64" s="316"/>
      <c r="I64" s="316"/>
    </row>
    <row r="65" spans="1:9">
      <c r="A65" s="316"/>
      <c r="B65" s="316"/>
      <c r="C65" s="316"/>
      <c r="D65" s="316"/>
      <c r="E65" s="316"/>
      <c r="F65" s="316"/>
      <c r="G65" s="316"/>
      <c r="H65" s="316"/>
      <c r="I65" s="316"/>
    </row>
    <row r="66" spans="1:9">
      <c r="A66" s="316"/>
      <c r="B66" s="316"/>
      <c r="C66" s="316"/>
      <c r="D66" s="316"/>
      <c r="E66" s="316"/>
      <c r="F66" s="316"/>
      <c r="G66" s="316"/>
      <c r="H66" s="316"/>
      <c r="I66" s="316"/>
    </row>
    <row r="67" spans="1:9">
      <c r="A67" s="316"/>
      <c r="B67" s="316"/>
      <c r="C67" s="316"/>
      <c r="D67" s="316"/>
      <c r="E67" s="316"/>
      <c r="F67" s="316"/>
      <c r="G67" s="316"/>
      <c r="H67" s="316"/>
      <c r="I67" s="316"/>
    </row>
    <row r="68" spans="1:9">
      <c r="A68" s="316"/>
      <c r="B68" s="316"/>
      <c r="C68" s="316"/>
      <c r="D68" s="316"/>
      <c r="E68" s="316"/>
      <c r="F68" s="316"/>
      <c r="G68" s="316"/>
      <c r="H68" s="316"/>
      <c r="I68" s="316"/>
    </row>
    <row r="69" spans="1:9">
      <c r="A69" s="316"/>
      <c r="B69" s="316"/>
      <c r="C69" s="316"/>
      <c r="D69" s="316"/>
      <c r="E69" s="316"/>
      <c r="F69" s="316"/>
      <c r="G69" s="316"/>
      <c r="H69" s="316"/>
      <c r="I69" s="316"/>
    </row>
    <row r="70" spans="1:9">
      <c r="A70" s="316"/>
      <c r="B70" s="316"/>
      <c r="C70" s="316"/>
      <c r="D70" s="316"/>
      <c r="E70" s="316"/>
      <c r="F70" s="316"/>
      <c r="G70" s="316"/>
      <c r="H70" s="316"/>
      <c r="I70" s="316"/>
    </row>
    <row r="71" spans="1:9">
      <c r="A71" s="316"/>
      <c r="B71" s="316"/>
      <c r="C71" s="316"/>
      <c r="D71" s="316"/>
      <c r="E71" s="316"/>
      <c r="F71" s="316"/>
      <c r="G71" s="316"/>
      <c r="H71" s="316"/>
      <c r="I71" s="316"/>
    </row>
    <row r="72" spans="1:9">
      <c r="A72" s="316"/>
      <c r="B72" s="316"/>
      <c r="C72" s="316"/>
      <c r="D72" s="316"/>
      <c r="E72" s="316"/>
      <c r="F72" s="316"/>
      <c r="G72" s="316"/>
      <c r="H72" s="316"/>
      <c r="I72" s="316"/>
    </row>
    <row r="73" spans="1:9">
      <c r="A73" s="316"/>
      <c r="B73" s="316"/>
      <c r="C73" s="316"/>
      <c r="D73" s="316"/>
      <c r="E73" s="316"/>
      <c r="F73" s="316"/>
      <c r="G73" s="316"/>
      <c r="H73" s="316"/>
      <c r="I73" s="316"/>
    </row>
    <row r="74" spans="1:9">
      <c r="A74" s="316"/>
      <c r="B74" s="316"/>
      <c r="C74" s="316"/>
      <c r="D74" s="316"/>
      <c r="E74" s="316"/>
      <c r="F74" s="316"/>
      <c r="G74" s="316"/>
      <c r="H74" s="316"/>
      <c r="I74" s="316"/>
    </row>
    <row r="75" spans="1:9">
      <c r="A75" s="316"/>
      <c r="B75" s="316"/>
      <c r="C75" s="316"/>
      <c r="D75" s="316"/>
      <c r="E75" s="316"/>
      <c r="F75" s="316"/>
      <c r="G75" s="316"/>
      <c r="H75" s="316"/>
      <c r="I75" s="316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topLeftCell="A20" zoomScaleNormal="100" workbookViewId="0">
      <selection activeCell="A42" sqref="A42"/>
    </sheetView>
  </sheetViews>
  <sheetFormatPr defaultColWidth="11.42578125" defaultRowHeight="15"/>
  <cols>
    <col min="1" max="1" width="20.140625" customWidth="1"/>
    <col min="2" max="2" width="46.5703125" customWidth="1"/>
    <col min="3" max="4" width="11.5703125" customWidth="1"/>
    <col min="5" max="5" width="12.7109375" customWidth="1"/>
    <col min="6" max="7" width="12.7109375" hidden="1" customWidth="1"/>
    <col min="9" max="9" width="15" customWidth="1"/>
  </cols>
  <sheetData>
    <row r="1" spans="1:10" s="415" customFormat="1">
      <c r="A1" s="414" t="s">
        <v>455</v>
      </c>
    </row>
    <row r="2" spans="1:10" s="415" customFormat="1">
      <c r="A2" s="416" t="s">
        <v>456</v>
      </c>
    </row>
    <row r="3" spans="1:10" s="419" customFormat="1" ht="12">
      <c r="A3" s="417" t="s">
        <v>457</v>
      </c>
      <c r="B3" s="418"/>
      <c r="D3" s="420"/>
      <c r="E3" s="420"/>
    </row>
    <row r="4" spans="1:10" s="419" customFormat="1" ht="12">
      <c r="A4" s="417"/>
      <c r="B4" s="418"/>
      <c r="D4" s="420"/>
      <c r="E4" s="420"/>
    </row>
    <row r="5" spans="1:10" s="419" customFormat="1" ht="12">
      <c r="A5" s="421" t="s">
        <v>458</v>
      </c>
      <c r="B5" s="421" t="s">
        <v>459</v>
      </c>
      <c r="C5" s="422" t="s">
        <v>216</v>
      </c>
      <c r="D5" s="422" t="s">
        <v>460</v>
      </c>
      <c r="I5" s="420"/>
    </row>
    <row r="6" spans="1:10" s="419" customFormat="1" ht="12">
      <c r="A6" s="423"/>
      <c r="B6" s="424" t="s">
        <v>461</v>
      </c>
      <c r="C6" s="423"/>
      <c r="D6" s="425"/>
      <c r="E6" s="420"/>
      <c r="I6" s="426"/>
      <c r="J6" s="420"/>
    </row>
    <row r="7" spans="1:10" s="419" customFormat="1" ht="12">
      <c r="A7" s="427" t="s">
        <v>462</v>
      </c>
      <c r="B7" s="423" t="s">
        <v>463</v>
      </c>
      <c r="C7" s="425">
        <v>412280</v>
      </c>
      <c r="D7" s="425"/>
      <c r="I7" s="426"/>
      <c r="J7" s="420"/>
    </row>
    <row r="8" spans="1:10" s="419" customFormat="1" ht="12">
      <c r="A8" s="427" t="s">
        <v>462</v>
      </c>
      <c r="B8" s="423" t="s">
        <v>464</v>
      </c>
      <c r="C8" s="425">
        <v>1660952</v>
      </c>
      <c r="D8" s="423"/>
      <c r="I8" s="426"/>
      <c r="J8" s="420"/>
    </row>
    <row r="9" spans="1:10" s="419" customFormat="1" ht="12">
      <c r="A9" s="427" t="s">
        <v>208</v>
      </c>
      <c r="B9" s="423" t="s">
        <v>465</v>
      </c>
      <c r="C9" s="425">
        <f>+D10-C7-C8</f>
        <v>85224</v>
      </c>
      <c r="D9" s="423"/>
      <c r="I9" s="426"/>
      <c r="J9" s="420"/>
    </row>
    <row r="10" spans="1:10" s="419" customFormat="1" ht="12">
      <c r="A10" s="427" t="s">
        <v>212</v>
      </c>
      <c r="B10" s="423" t="s">
        <v>466</v>
      </c>
      <c r="C10" s="428"/>
      <c r="D10" s="425">
        <v>2158456</v>
      </c>
    </row>
    <row r="11" spans="1:10" s="419" customFormat="1" ht="12" hidden="1">
      <c r="A11" s="427" t="s">
        <v>212</v>
      </c>
      <c r="B11" s="423" t="s">
        <v>467</v>
      </c>
      <c r="C11" s="429"/>
      <c r="D11" s="429">
        <v>0</v>
      </c>
    </row>
    <row r="12" spans="1:10" s="419" customFormat="1" ht="12">
      <c r="A12" s="430"/>
      <c r="B12" s="431" t="s">
        <v>468</v>
      </c>
      <c r="C12" s="429">
        <f>+SUM(C7:C11)</f>
        <v>2158456</v>
      </c>
      <c r="D12" s="429">
        <f>+SUM(D7:D11)</f>
        <v>2158456</v>
      </c>
      <c r="E12" s="432">
        <f>+C12-D12</f>
        <v>0</v>
      </c>
      <c r="F12" s="432">
        <f>+C12-D12</f>
        <v>0</v>
      </c>
    </row>
    <row r="13" spans="1:10" s="419" customFormat="1" ht="12">
      <c r="A13" s="433"/>
      <c r="B13" s="434"/>
      <c r="C13" s="435"/>
      <c r="D13" s="435"/>
    </row>
    <row r="14" spans="1:10" s="419" customFormat="1" ht="12">
      <c r="A14" s="427"/>
      <c r="B14" s="424" t="s">
        <v>469</v>
      </c>
      <c r="C14" s="425"/>
      <c r="D14" s="425"/>
    </row>
    <row r="15" spans="1:10" s="419" customFormat="1" ht="12">
      <c r="A15" s="427" t="s">
        <v>243</v>
      </c>
      <c r="B15" s="423" t="s">
        <v>464</v>
      </c>
      <c r="C15" s="425">
        <v>1257161</v>
      </c>
      <c r="D15" s="425"/>
    </row>
    <row r="16" spans="1:10" s="419" customFormat="1" ht="12">
      <c r="A16" s="427" t="s">
        <v>243</v>
      </c>
      <c r="B16" s="423" t="s">
        <v>464</v>
      </c>
      <c r="C16" s="425">
        <v>789878</v>
      </c>
      <c r="D16" s="425"/>
    </row>
    <row r="17" spans="1:13" s="419" customFormat="1" ht="12">
      <c r="A17" s="427" t="s">
        <v>243</v>
      </c>
      <c r="B17" s="423" t="s">
        <v>463</v>
      </c>
      <c r="C17" s="425">
        <v>579877</v>
      </c>
      <c r="D17" s="423"/>
    </row>
    <row r="18" spans="1:13" s="419" customFormat="1" ht="12">
      <c r="A18" s="427" t="s">
        <v>243</v>
      </c>
      <c r="B18" s="423" t="s">
        <v>470</v>
      </c>
      <c r="C18" s="425">
        <v>3608585</v>
      </c>
      <c r="D18" s="423"/>
    </row>
    <row r="19" spans="1:13" s="437" customFormat="1" ht="12">
      <c r="A19" s="436" t="s">
        <v>212</v>
      </c>
      <c r="B19" s="423" t="s">
        <v>471</v>
      </c>
      <c r="C19" s="425"/>
      <c r="D19" s="425">
        <v>0</v>
      </c>
      <c r="E19" s="432"/>
      <c r="F19" s="419"/>
      <c r="G19" s="419"/>
      <c r="H19" s="419"/>
      <c r="I19" s="419"/>
      <c r="J19" s="419"/>
      <c r="K19" s="419"/>
      <c r="L19" s="419"/>
      <c r="M19" s="419"/>
    </row>
    <row r="20" spans="1:13" s="419" customFormat="1" ht="12">
      <c r="A20" s="427" t="s">
        <v>212</v>
      </c>
      <c r="B20" s="423" t="s">
        <v>472</v>
      </c>
      <c r="C20" s="425"/>
      <c r="D20" s="425">
        <v>4315558</v>
      </c>
      <c r="E20" s="432"/>
    </row>
    <row r="21" spans="1:13" s="419" customFormat="1" ht="12">
      <c r="A21" s="427" t="s">
        <v>212</v>
      </c>
      <c r="B21" s="423" t="s">
        <v>473</v>
      </c>
      <c r="C21" s="425"/>
      <c r="D21" s="425">
        <f>673994+394335</f>
        <v>1068329</v>
      </c>
      <c r="E21" s="432"/>
      <c r="F21" s="432"/>
      <c r="G21" s="432"/>
    </row>
    <row r="22" spans="1:13" s="419" customFormat="1" ht="12">
      <c r="A22" s="427" t="s">
        <v>208</v>
      </c>
      <c r="B22" s="423" t="s">
        <v>474</v>
      </c>
      <c r="C22" s="429"/>
      <c r="D22" s="429">
        <f>6235501-4989552-394335</f>
        <v>851614</v>
      </c>
      <c r="E22" s="432"/>
    </row>
    <row r="23" spans="1:13" s="419" customFormat="1" ht="13.5" customHeight="1">
      <c r="A23" s="430"/>
      <c r="B23" s="438" t="s">
        <v>475</v>
      </c>
      <c r="C23" s="439">
        <f>+SUM(C15:C22)</f>
        <v>6235501</v>
      </c>
      <c r="D23" s="439">
        <f>+SUM(D15:D22)</f>
        <v>6235501</v>
      </c>
      <c r="E23" s="432"/>
      <c r="F23" s="432"/>
    </row>
    <row r="24" spans="1:13" s="419" customFormat="1" ht="12">
      <c r="A24" s="427"/>
      <c r="B24" s="423"/>
      <c r="C24" s="425"/>
      <c r="D24" s="425"/>
      <c r="E24" s="432"/>
      <c r="F24" s="432"/>
      <c r="G24" s="432"/>
      <c r="H24" s="440"/>
    </row>
    <row r="25" spans="1:13" s="419" customFormat="1" ht="12">
      <c r="A25" s="427"/>
      <c r="B25" s="424" t="s">
        <v>476</v>
      </c>
      <c r="C25" s="425"/>
      <c r="D25" s="425"/>
    </row>
    <row r="26" spans="1:13" s="419" customFormat="1" ht="12">
      <c r="A26" s="427" t="s">
        <v>281</v>
      </c>
      <c r="B26" s="423" t="s">
        <v>149</v>
      </c>
      <c r="C26" s="425">
        <v>950362</v>
      </c>
      <c r="D26" s="425"/>
    </row>
    <row r="27" spans="1:13" s="419" customFormat="1" ht="12">
      <c r="A27" s="427" t="s">
        <v>208</v>
      </c>
      <c r="B27" s="423" t="s">
        <v>465</v>
      </c>
      <c r="C27" s="425"/>
      <c r="D27" s="425">
        <v>23507</v>
      </c>
      <c r="E27" s="432"/>
      <c r="I27" s="426"/>
      <c r="J27" s="420"/>
    </row>
    <row r="28" spans="1:13" s="419" customFormat="1" ht="12">
      <c r="A28" s="427" t="s">
        <v>212</v>
      </c>
      <c r="B28" s="423" t="s">
        <v>477</v>
      </c>
      <c r="C28" s="429"/>
      <c r="D28" s="429">
        <v>926855</v>
      </c>
    </row>
    <row r="29" spans="1:13" s="419" customFormat="1" ht="12">
      <c r="A29" s="430"/>
      <c r="B29" s="438" t="s">
        <v>478</v>
      </c>
      <c r="C29" s="429">
        <f>+SUM(C26:C28)</f>
        <v>950362</v>
      </c>
      <c r="D29" s="429">
        <f>+SUM(D26:D28)</f>
        <v>950362</v>
      </c>
      <c r="E29" s="432"/>
      <c r="F29" s="432">
        <f>+C29-D29</f>
        <v>0</v>
      </c>
    </row>
    <row r="30" spans="1:13" s="419" customFormat="1" ht="12">
      <c r="A30" s="427"/>
      <c r="B30" s="423"/>
      <c r="C30" s="425"/>
      <c r="D30" s="425"/>
    </row>
    <row r="31" spans="1:13" s="419" customFormat="1" ht="12">
      <c r="A31" s="427"/>
      <c r="B31" s="424" t="s">
        <v>479</v>
      </c>
      <c r="C31" s="425"/>
      <c r="D31" s="425"/>
    </row>
    <row r="32" spans="1:13" s="419" customFormat="1" ht="12" hidden="1">
      <c r="A32" s="427" t="s">
        <v>212</v>
      </c>
      <c r="B32" s="423" t="s">
        <v>463</v>
      </c>
      <c r="C32" s="425">
        <v>0</v>
      </c>
      <c r="D32" s="425"/>
    </row>
    <row r="33" spans="1:6" s="419" customFormat="1" ht="12">
      <c r="A33" s="427" t="s">
        <v>245</v>
      </c>
      <c r="B33" s="423" t="s">
        <v>464</v>
      </c>
      <c r="C33" s="425">
        <v>1269327</v>
      </c>
      <c r="D33" s="425"/>
    </row>
    <row r="34" spans="1:6" s="419" customFormat="1" ht="12">
      <c r="A34" s="427" t="s">
        <v>212</v>
      </c>
      <c r="B34" s="423" t="s">
        <v>480</v>
      </c>
      <c r="C34" s="425">
        <v>1724063</v>
      </c>
      <c r="D34" s="425"/>
    </row>
    <row r="35" spans="1:6" s="419" customFormat="1" ht="12">
      <c r="A35" s="427" t="s">
        <v>208</v>
      </c>
      <c r="B35" s="423" t="s">
        <v>465</v>
      </c>
      <c r="C35" s="425">
        <v>34742</v>
      </c>
      <c r="D35" s="425"/>
      <c r="E35" s="432"/>
    </row>
    <row r="36" spans="1:6" s="419" customFormat="1" ht="12">
      <c r="A36" s="427" t="s">
        <v>212</v>
      </c>
      <c r="B36" s="423" t="s">
        <v>472</v>
      </c>
      <c r="C36" s="425"/>
      <c r="D36" s="425">
        <v>1331732</v>
      </c>
    </row>
    <row r="37" spans="1:6" s="419" customFormat="1" ht="12">
      <c r="A37" s="427" t="s">
        <v>245</v>
      </c>
      <c r="B37" s="423" t="s">
        <v>472</v>
      </c>
      <c r="C37" s="429"/>
      <c r="D37" s="429">
        <v>1696400</v>
      </c>
    </row>
    <row r="38" spans="1:6" s="419" customFormat="1" ht="12">
      <c r="A38" s="430"/>
      <c r="B38" s="438" t="s">
        <v>481</v>
      </c>
      <c r="C38" s="429">
        <f>+SUM(C32:C37)</f>
        <v>3028132</v>
      </c>
      <c r="D38" s="429">
        <f>+SUM(D32:D37)</f>
        <v>3028132</v>
      </c>
      <c r="E38" s="432">
        <f>+C38-D38</f>
        <v>0</v>
      </c>
      <c r="F38" s="432">
        <f>+C38-D38</f>
        <v>0</v>
      </c>
    </row>
    <row r="39" spans="1:6" s="419" customFormat="1" ht="12">
      <c r="A39" s="427"/>
      <c r="B39" s="423"/>
      <c r="C39" s="425"/>
      <c r="D39" s="425"/>
    </row>
    <row r="40" spans="1:6" s="419" customFormat="1" ht="12">
      <c r="A40" s="427"/>
      <c r="B40" s="424" t="s">
        <v>482</v>
      </c>
      <c r="C40" s="425"/>
      <c r="D40" s="425"/>
    </row>
    <row r="41" spans="1:6" s="419" customFormat="1" ht="12">
      <c r="A41" s="427" t="s">
        <v>247</v>
      </c>
      <c r="B41" s="423" t="s">
        <v>463</v>
      </c>
      <c r="C41" s="425">
        <v>381101</v>
      </c>
      <c r="D41" s="425"/>
    </row>
    <row r="42" spans="1:6" s="419" customFormat="1" ht="12">
      <c r="A42" s="427" t="s">
        <v>247</v>
      </c>
      <c r="B42" s="423" t="s">
        <v>464</v>
      </c>
      <c r="C42" s="425">
        <v>658889</v>
      </c>
      <c r="D42" s="425"/>
    </row>
    <row r="43" spans="1:6" s="419" customFormat="1" ht="12">
      <c r="A43" s="427" t="s">
        <v>212</v>
      </c>
      <c r="B43" s="423" t="s">
        <v>463</v>
      </c>
      <c r="C43" s="425">
        <v>1672067</v>
      </c>
      <c r="D43" s="425"/>
    </row>
    <row r="44" spans="1:6" s="419" customFormat="1" ht="12">
      <c r="A44" s="427" t="s">
        <v>208</v>
      </c>
      <c r="B44" s="423" t="s">
        <v>465</v>
      </c>
      <c r="C44" s="425">
        <v>421</v>
      </c>
      <c r="D44" s="425"/>
    </row>
    <row r="45" spans="1:6" s="419" customFormat="1" ht="12">
      <c r="A45" s="427" t="s">
        <v>247</v>
      </c>
      <c r="B45" s="423" t="s">
        <v>483</v>
      </c>
      <c r="C45" s="425"/>
      <c r="D45" s="425">
        <v>529781</v>
      </c>
    </row>
    <row r="46" spans="1:6" s="419" customFormat="1" ht="12">
      <c r="A46" s="427" t="s">
        <v>247</v>
      </c>
      <c r="B46" s="423" t="s">
        <v>472</v>
      </c>
      <c r="C46" s="425"/>
      <c r="D46" s="425">
        <f>1644355+24485+3227</f>
        <v>1672067</v>
      </c>
    </row>
    <row r="47" spans="1:6" s="419" customFormat="1" ht="12" hidden="1">
      <c r="A47" s="427" t="s">
        <v>212</v>
      </c>
      <c r="B47" s="423" t="s">
        <v>484</v>
      </c>
      <c r="C47" s="425"/>
      <c r="D47" s="425">
        <v>0</v>
      </c>
    </row>
    <row r="48" spans="1:6" s="419" customFormat="1" ht="12">
      <c r="A48" s="427" t="s">
        <v>212</v>
      </c>
      <c r="B48" s="423" t="s">
        <v>472</v>
      </c>
      <c r="C48" s="425"/>
      <c r="D48" s="425">
        <f>381520+129110</f>
        <v>510630</v>
      </c>
      <c r="F48" s="432">
        <f>+C41+C42+C45-D46-D48</f>
        <v>-1142707</v>
      </c>
    </row>
    <row r="49" spans="1:6" s="419" customFormat="1" ht="12">
      <c r="A49" s="430"/>
      <c r="B49" s="438" t="s">
        <v>485</v>
      </c>
      <c r="C49" s="441">
        <f>+SUM(C41:C48)</f>
        <v>2712478</v>
      </c>
      <c r="D49" s="441">
        <f>+SUM(D41:D48)</f>
        <v>2712478</v>
      </c>
      <c r="E49" s="432">
        <f>+C49-D49</f>
        <v>0</v>
      </c>
      <c r="F49" s="432">
        <f>+D49-C49</f>
        <v>0</v>
      </c>
    </row>
    <row r="50" spans="1:6" s="419" customFormat="1" ht="12">
      <c r="A50" s="427"/>
      <c r="B50" s="423"/>
      <c r="C50" s="425"/>
      <c r="D50" s="425"/>
    </row>
    <row r="51" spans="1:6" s="419" customFormat="1" ht="12">
      <c r="A51" s="427"/>
      <c r="B51" s="424" t="s">
        <v>486</v>
      </c>
      <c r="C51" s="425"/>
      <c r="D51" s="425"/>
    </row>
    <row r="52" spans="1:6" s="419" customFormat="1" ht="12">
      <c r="A52" s="427" t="s">
        <v>32</v>
      </c>
      <c r="B52" s="423" t="s">
        <v>87</v>
      </c>
      <c r="C52" s="425">
        <v>10000</v>
      </c>
      <c r="D52" s="425"/>
    </row>
    <row r="53" spans="1:6" s="419" customFormat="1" ht="12">
      <c r="A53" s="427" t="s">
        <v>32</v>
      </c>
      <c r="B53" s="423" t="s">
        <v>463</v>
      </c>
      <c r="C53" s="425">
        <f>27651+4144</f>
        <v>31795</v>
      </c>
      <c r="D53" s="425"/>
    </row>
    <row r="54" spans="1:6" s="419" customFormat="1" ht="12" hidden="1">
      <c r="A54" s="427" t="s">
        <v>32</v>
      </c>
      <c r="B54" s="423" t="s">
        <v>464</v>
      </c>
      <c r="C54" s="442">
        <v>0</v>
      </c>
      <c r="D54" s="425"/>
    </row>
    <row r="55" spans="1:6" s="419" customFormat="1" ht="12">
      <c r="A55" s="427" t="s">
        <v>32</v>
      </c>
      <c r="B55" s="423" t="s">
        <v>464</v>
      </c>
      <c r="C55" s="425">
        <v>746170</v>
      </c>
      <c r="D55" s="425"/>
    </row>
    <row r="56" spans="1:6" s="437" customFormat="1" ht="12">
      <c r="A56" s="436" t="s">
        <v>208</v>
      </c>
      <c r="B56" s="423" t="s">
        <v>487</v>
      </c>
      <c r="C56" s="425">
        <v>695306</v>
      </c>
      <c r="D56" s="425"/>
    </row>
    <row r="57" spans="1:6" s="419" customFormat="1" ht="12">
      <c r="A57" s="427" t="s">
        <v>212</v>
      </c>
      <c r="B57" s="423" t="s">
        <v>488</v>
      </c>
      <c r="C57" s="425"/>
      <c r="D57" s="425">
        <v>1193125</v>
      </c>
    </row>
    <row r="58" spans="1:6" s="419" customFormat="1" ht="12">
      <c r="A58" s="427" t="s">
        <v>212</v>
      </c>
      <c r="B58" s="423" t="s">
        <v>472</v>
      </c>
      <c r="C58" s="429"/>
      <c r="D58" s="429">
        <v>290146</v>
      </c>
      <c r="F58" s="432">
        <f>+C53+C56+C54-D58</f>
        <v>436955</v>
      </c>
    </row>
    <row r="59" spans="1:6" s="419" customFormat="1" ht="24">
      <c r="A59" s="430"/>
      <c r="B59" s="438" t="s">
        <v>489</v>
      </c>
      <c r="C59" s="429">
        <f>+SUM(C52:C58)</f>
        <v>1483271</v>
      </c>
      <c r="D59" s="429">
        <f>+SUM(D52:D58)</f>
        <v>1483271</v>
      </c>
      <c r="E59" s="432">
        <f>+C59-D59</f>
        <v>0</v>
      </c>
      <c r="F59" s="432">
        <f>+D59-C59</f>
        <v>0</v>
      </c>
    </row>
    <row r="60" spans="1:6" s="419" customFormat="1" ht="12">
      <c r="A60" s="427"/>
      <c r="B60" s="423"/>
      <c r="C60" s="425"/>
      <c r="D60" s="425"/>
    </row>
    <row r="61" spans="1:6" s="419" customFormat="1" ht="12">
      <c r="A61" s="427"/>
      <c r="B61" s="424" t="s">
        <v>490</v>
      </c>
      <c r="C61" s="425"/>
      <c r="D61" s="425"/>
    </row>
    <row r="62" spans="1:6" s="419" customFormat="1" ht="12">
      <c r="A62" s="427" t="s">
        <v>243</v>
      </c>
      <c r="B62" s="423" t="s">
        <v>463</v>
      </c>
      <c r="C62" s="425">
        <v>4733</v>
      </c>
      <c r="D62" s="425"/>
    </row>
    <row r="63" spans="1:6" s="419" customFormat="1" ht="12">
      <c r="A63" s="427" t="s">
        <v>462</v>
      </c>
      <c r="B63" s="423" t="s">
        <v>477</v>
      </c>
      <c r="C63" s="429"/>
      <c r="D63" s="429">
        <v>4733</v>
      </c>
    </row>
    <row r="64" spans="1:6" s="419" customFormat="1" ht="24">
      <c r="A64" s="430"/>
      <c r="B64" s="438" t="s">
        <v>491</v>
      </c>
      <c r="C64" s="429">
        <f>+C62+C63</f>
        <v>4733</v>
      </c>
      <c r="D64" s="429">
        <f>+D62+D63</f>
        <v>4733</v>
      </c>
    </row>
    <row r="65" spans="1:9" s="415" customFormat="1"/>
    <row r="66" spans="1:9" s="415" customFormat="1">
      <c r="A66" s="443"/>
      <c r="B66" s="444" t="s">
        <v>259</v>
      </c>
      <c r="C66" s="445">
        <f>+C64+C59+C49+C38+C29+C23+C12</f>
        <v>16572933</v>
      </c>
      <c r="D66" s="445">
        <f>+D64+D59+D49+D38+D29+D23+D12</f>
        <v>16572933</v>
      </c>
      <c r="E66" s="446">
        <f>+C66-D66</f>
        <v>0</v>
      </c>
      <c r="F66" s="447"/>
      <c r="G66" s="447"/>
      <c r="H66" s="446"/>
    </row>
    <row r="67" spans="1:9" s="415" customFormat="1">
      <c r="A67" s="443"/>
      <c r="B67" s="443"/>
      <c r="C67" s="448"/>
      <c r="D67" s="448"/>
      <c r="E67" s="447"/>
      <c r="F67" s="449" t="e">
        <f>SUM(#REF!)</f>
        <v>#REF!</v>
      </c>
      <c r="G67" s="449" t="e">
        <f>SUM(#REF!)</f>
        <v>#REF!</v>
      </c>
      <c r="H67" s="446"/>
      <c r="I67" s="446"/>
    </row>
    <row r="68" spans="1:9" s="415" customFormat="1" ht="24.75">
      <c r="B68" s="450" t="s">
        <v>492</v>
      </c>
      <c r="C68" s="434"/>
      <c r="D68" s="434"/>
      <c r="F68" s="451"/>
      <c r="G68" s="451"/>
    </row>
    <row r="69" spans="1:9" s="415" customFormat="1">
      <c r="B69" s="452" t="s">
        <v>493</v>
      </c>
      <c r="C69" s="453">
        <f>+C7+C17+C26+C34+C41+C43+C53+C55+C62</f>
        <v>6502448</v>
      </c>
      <c r="D69" s="423"/>
      <c r="F69" s="454" t="e">
        <f>+#REF!+#REF!+#REF!+32707</f>
        <v>#REF!</v>
      </c>
      <c r="G69" s="455"/>
    </row>
    <row r="70" spans="1:9" s="415" customFormat="1">
      <c r="B70" s="452" t="s">
        <v>80</v>
      </c>
      <c r="C70" s="453">
        <f>+C8+C16+C33+C42+C15</f>
        <v>5636207</v>
      </c>
      <c r="D70" s="423"/>
      <c r="F70" s="454" t="e">
        <f>#REF!+#REF!</f>
        <v>#REF!</v>
      </c>
      <c r="G70" s="455"/>
    </row>
    <row r="71" spans="1:9" s="415" customFormat="1">
      <c r="B71" s="452" t="s">
        <v>494</v>
      </c>
      <c r="C71" s="453"/>
      <c r="D71" s="423"/>
      <c r="F71" s="454" t="e">
        <f>+#REF!+#REF!+#REF!+#REF!</f>
        <v>#REF!</v>
      </c>
      <c r="G71" s="455"/>
    </row>
    <row r="72" spans="1:9" s="415" customFormat="1">
      <c r="B72" s="452" t="s">
        <v>470</v>
      </c>
      <c r="C72" s="453" t="e">
        <f>+'Saldos interco.'!#REF!</f>
        <v>#REF!</v>
      </c>
      <c r="D72" s="423"/>
      <c r="F72" s="454" t="e">
        <f>+#REF!</f>
        <v>#REF!</v>
      </c>
      <c r="G72" s="455"/>
    </row>
    <row r="73" spans="1:9" s="415" customFormat="1">
      <c r="B73" s="452" t="s">
        <v>172</v>
      </c>
      <c r="C73" s="453" t="e">
        <f>+'Saldos interco.'!#REF!</f>
        <v>#REF!</v>
      </c>
      <c r="D73" s="423"/>
      <c r="F73" s="454"/>
      <c r="G73" s="455"/>
    </row>
    <row r="74" spans="1:9" s="415" customFormat="1">
      <c r="B74" s="452" t="s">
        <v>465</v>
      </c>
      <c r="C74" s="453" t="e">
        <f>+'Saldos interco.'!#REF!+'Saldos interco.'!#REF!+'Saldos interco.'!#REF!-'Saldos interco.'!#REF!-'Saldos interco.'!#REF!</f>
        <v>#REF!</v>
      </c>
      <c r="D74" s="423"/>
      <c r="F74" s="454"/>
      <c r="G74" s="455"/>
    </row>
    <row r="75" spans="1:9" s="415" customFormat="1">
      <c r="B75" s="452" t="s">
        <v>495</v>
      </c>
      <c r="C75" s="423"/>
      <c r="D75" s="453">
        <f>+D10+D20+D28+D36+D37+D46+D48+D58+D63</f>
        <v>12906577</v>
      </c>
      <c r="F75" s="455"/>
      <c r="G75" s="454" t="e">
        <f>+#REF!+#REF!+#REF!+#REF!+#REF!+#REF!+#REF!+#REF!+#REF!+#REF!+#REF!</f>
        <v>#REF!</v>
      </c>
    </row>
    <row r="76" spans="1:9" s="415" customFormat="1">
      <c r="B76" s="452" t="s">
        <v>496</v>
      </c>
      <c r="C76" s="423"/>
      <c r="D76" s="453" t="e">
        <f>+'Saldos interco.'!#REF!</f>
        <v>#REF!</v>
      </c>
      <c r="F76" s="455"/>
      <c r="G76" s="454">
        <v>0</v>
      </c>
    </row>
    <row r="77" spans="1:9" s="415" customFormat="1">
      <c r="B77" s="452" t="s">
        <v>497</v>
      </c>
      <c r="C77" s="423"/>
      <c r="D77" s="453" t="e">
        <f>+'Saldos interco.'!#REF!-'Saldos interco.'!#REF!</f>
        <v>#REF!</v>
      </c>
      <c r="F77" s="455"/>
      <c r="G77" s="454"/>
    </row>
    <row r="78" spans="1:9" s="415" customFormat="1">
      <c r="B78" s="452" t="s">
        <v>498</v>
      </c>
      <c r="C78" s="423"/>
      <c r="D78" s="453" t="e">
        <f>+'Saldos interco.'!#REF!</f>
        <v>#REF!</v>
      </c>
      <c r="F78" s="455"/>
      <c r="G78" s="454" t="e">
        <f>+#REF!</f>
        <v>#REF!</v>
      </c>
    </row>
    <row r="79" spans="1:9" s="415" customFormat="1">
      <c r="B79" s="452" t="s">
        <v>499</v>
      </c>
      <c r="C79" s="423"/>
      <c r="D79" s="453" t="e">
        <f>+'Saldos interco.'!#REF!</f>
        <v>#REF!</v>
      </c>
      <c r="F79" s="455"/>
      <c r="G79" s="454" t="e">
        <f>+#REF!</f>
        <v>#REF!</v>
      </c>
    </row>
    <row r="80" spans="1:9" s="415" customFormat="1">
      <c r="B80" s="452" t="s">
        <v>500</v>
      </c>
      <c r="C80" s="423"/>
      <c r="D80" s="425" t="e">
        <f>+'Saldos interco.'!#REF!</f>
        <v>#REF!</v>
      </c>
      <c r="F80" s="455"/>
      <c r="G80" s="456"/>
    </row>
    <row r="81" spans="2:9" s="415" customFormat="1">
      <c r="B81" s="457" t="s">
        <v>501</v>
      </c>
      <c r="C81" s="458" t="e">
        <f>SUM(C69:C80)</f>
        <v>#REF!</v>
      </c>
      <c r="D81" s="458" t="e">
        <f>SUM(D69:D80)</f>
        <v>#REF!</v>
      </c>
      <c r="E81" s="459"/>
      <c r="F81" s="460" t="e">
        <f>SUM(F69:F80)</f>
        <v>#REF!</v>
      </c>
      <c r="G81" s="460" t="e">
        <f>SUM(G69:G80)</f>
        <v>#REF!</v>
      </c>
      <c r="H81" s="459"/>
      <c r="I81" s="461"/>
    </row>
    <row r="82" spans="2:9" s="415" customFormat="1">
      <c r="C82" s="446">
        <f>+C66-'AD ESF'!D207</f>
        <v>718813</v>
      </c>
      <c r="D82" s="446">
        <f>+D66-'AD ESF'!E207</f>
        <v>718813</v>
      </c>
      <c r="E82" s="461"/>
      <c r="F82" s="462" t="e">
        <f>F67-F81</f>
        <v>#REF!</v>
      </c>
      <c r="G82" s="462" t="e">
        <f>G67-G81</f>
        <v>#REF!</v>
      </c>
      <c r="H82" s="459"/>
      <c r="I82" s="461"/>
    </row>
    <row r="83" spans="2:9" s="415" customFormat="1">
      <c r="E83" s="461"/>
      <c r="F83" s="461"/>
      <c r="G83" s="461"/>
      <c r="H83" s="459"/>
      <c r="I83" s="461"/>
    </row>
    <row r="84" spans="2:9" s="415" customFormat="1">
      <c r="E84" s="461"/>
      <c r="F84" s="461"/>
      <c r="G84" s="461"/>
      <c r="H84" s="459"/>
      <c r="I84" s="461"/>
    </row>
    <row r="85" spans="2:9" s="415" customFormat="1">
      <c r="E85" s="461"/>
      <c r="F85" s="461"/>
      <c r="G85" s="461"/>
      <c r="H85" s="459"/>
      <c r="I85" s="461"/>
    </row>
    <row r="86" spans="2:9" s="415" customFormat="1"/>
    <row r="87" spans="2:9" s="415" customFormat="1"/>
    <row r="88" spans="2:9" s="415" customFormat="1"/>
    <row r="89" spans="2:9" s="415" customFormat="1"/>
    <row r="90" spans="2:9" s="415" customFormat="1"/>
    <row r="91" spans="2:9" s="415" customFormat="1"/>
    <row r="92" spans="2:9" s="415" customFormat="1"/>
    <row r="93" spans="2:9" s="415" customForma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1D41A"/>
  </sheetPr>
  <dimension ref="A1:AMJ83"/>
  <sheetViews>
    <sheetView showGridLines="0" zoomScaleNormal="100" workbookViewId="0">
      <pane xSplit="1" ySplit="4" topLeftCell="E47" activePane="bottomRight" state="frozen"/>
      <selection pane="topRight" activeCell="E1" sqref="E1"/>
      <selection pane="bottomLeft" activeCell="A74" sqref="A74"/>
      <selection pane="bottomRight" activeCell="F92" sqref="F92"/>
    </sheetView>
  </sheetViews>
  <sheetFormatPr defaultColWidth="11.42578125" defaultRowHeight="15" outlineLevelCol="1"/>
  <cols>
    <col min="1" max="1" width="47.7109375" style="419" customWidth="1"/>
    <col min="2" max="2" width="15.85546875" style="419" customWidth="1" outlineLevel="1"/>
    <col min="3" max="3" width="14.5703125" style="419" customWidth="1" outlineLevel="1"/>
    <col min="4" max="4" width="15.7109375" style="419" customWidth="1" outlineLevel="1"/>
    <col min="5" max="5" width="12" style="419" customWidth="1" outlineLevel="1"/>
    <col min="6" max="6" width="15.42578125" style="419" customWidth="1" outlineLevel="1"/>
    <col min="7" max="7" width="12" style="419" customWidth="1" outlineLevel="1"/>
    <col min="8" max="8" width="15.140625" style="419" customWidth="1" outlineLevel="1"/>
    <col min="9" max="9" width="13.140625" style="419" customWidth="1" outlineLevel="1"/>
    <col min="10" max="11" width="14.28515625" style="419" customWidth="1" outlineLevel="1"/>
    <col min="12" max="12" width="13.140625" style="419" customWidth="1" outlineLevel="1"/>
    <col min="13" max="13" width="12.85546875" style="419" customWidth="1" outlineLevel="1"/>
    <col min="14" max="14" width="13.28515625" style="419" customWidth="1" outlineLevel="1"/>
    <col min="15" max="15" width="15.5703125" style="419" customWidth="1"/>
    <col min="16" max="16" width="14.5703125" style="419" customWidth="1"/>
    <col min="17" max="17" width="14.140625" style="419" customWidth="1"/>
    <col min="18" max="18" width="15.5703125" style="419" customWidth="1"/>
    <col min="19" max="19" width="10.42578125" style="463" customWidth="1"/>
    <col min="20" max="20" width="14.42578125" style="419" customWidth="1"/>
    <col min="21" max="21" width="12" style="419" customWidth="1"/>
    <col min="22" max="22" width="14" style="419" customWidth="1"/>
    <col min="23" max="23" width="13.28515625" style="419" customWidth="1"/>
    <col min="24" max="1024" width="11.42578125" style="419"/>
  </cols>
  <sheetData>
    <row r="1" spans="1:19">
      <c r="A1" s="464" t="s">
        <v>0</v>
      </c>
      <c r="C1" s="465"/>
    </row>
    <row r="2" spans="1:19">
      <c r="A2" s="466" t="s">
        <v>1</v>
      </c>
      <c r="C2" s="420"/>
    </row>
    <row r="3" spans="1:19" ht="12" customHeight="1">
      <c r="A3" s="467" t="s">
        <v>392</v>
      </c>
      <c r="B3" s="468"/>
      <c r="C3" s="468"/>
      <c r="D3" s="468"/>
      <c r="E3" s="469"/>
      <c r="F3" s="468"/>
      <c r="G3" s="468"/>
      <c r="H3" s="468"/>
      <c r="I3" s="468"/>
      <c r="J3" s="468"/>
      <c r="K3" s="468"/>
      <c r="L3" s="468"/>
      <c r="M3" s="468"/>
      <c r="N3" s="468"/>
      <c r="P3" s="2" t="s">
        <v>2</v>
      </c>
      <c r="Q3" s="2"/>
    </row>
    <row r="4" spans="1:19" s="473" customFormat="1" ht="36">
      <c r="A4" s="470" t="s">
        <v>502</v>
      </c>
      <c r="B4" s="471" t="s">
        <v>503</v>
      </c>
      <c r="C4" s="471" t="s">
        <v>504</v>
      </c>
      <c r="D4" s="471" t="s">
        <v>505</v>
      </c>
      <c r="E4" s="471" t="s">
        <v>506</v>
      </c>
      <c r="F4" s="471" t="s">
        <v>507</v>
      </c>
      <c r="G4" s="471" t="s">
        <v>508</v>
      </c>
      <c r="H4" s="471" t="s">
        <v>509</v>
      </c>
      <c r="I4" s="471" t="s">
        <v>510</v>
      </c>
      <c r="J4" s="471" t="s">
        <v>511</v>
      </c>
      <c r="K4" s="471" t="s">
        <v>512</v>
      </c>
      <c r="L4" s="471" t="s">
        <v>513</v>
      </c>
      <c r="M4" s="471" t="s">
        <v>514</v>
      </c>
      <c r="N4" s="471" t="s">
        <v>515</v>
      </c>
      <c r="O4" s="471" t="s">
        <v>259</v>
      </c>
      <c r="P4" s="471" t="s">
        <v>18</v>
      </c>
      <c r="Q4" s="471" t="s">
        <v>19</v>
      </c>
      <c r="R4" s="471" t="s">
        <v>516</v>
      </c>
      <c r="S4" s="472"/>
    </row>
    <row r="5" spans="1:19" s="420" customFormat="1" ht="12">
      <c r="A5" s="474" t="s">
        <v>35</v>
      </c>
      <c r="B5" s="475">
        <v>19454167</v>
      </c>
      <c r="C5" s="475"/>
      <c r="D5" s="475">
        <v>141120.49</v>
      </c>
      <c r="E5" s="475"/>
      <c r="F5" s="475">
        <v>4814640.47</v>
      </c>
      <c r="G5" s="476"/>
      <c r="H5" s="475"/>
      <c r="I5" s="475"/>
      <c r="J5" s="475">
        <v>3657400</v>
      </c>
      <c r="K5" s="475"/>
      <c r="L5" s="475"/>
      <c r="M5" s="475">
        <v>131514.23999999999</v>
      </c>
      <c r="N5" s="475"/>
      <c r="O5" s="476">
        <f t="shared" ref="O5:O45" si="0">SUM(B5:N5)</f>
        <v>28198842.199999996</v>
      </c>
      <c r="P5" s="475"/>
      <c r="Q5" s="475"/>
      <c r="R5" s="475">
        <f t="shared" ref="R5:R24" si="1">O5+P5-Q5</f>
        <v>28198842.199999996</v>
      </c>
      <c r="S5" s="477"/>
    </row>
    <row r="6" spans="1:19" s="420" customFormat="1" ht="12">
      <c r="A6" s="474" t="s">
        <v>36</v>
      </c>
      <c r="B6" s="475">
        <v>0</v>
      </c>
      <c r="C6" s="475"/>
      <c r="D6" s="475"/>
      <c r="E6" s="475"/>
      <c r="F6" s="475"/>
      <c r="G6" s="475"/>
      <c r="H6" s="475"/>
      <c r="I6" s="475"/>
      <c r="J6" s="475"/>
      <c r="K6" s="475"/>
      <c r="L6" s="476"/>
      <c r="M6" s="476">
        <v>8650</v>
      </c>
      <c r="N6" s="476"/>
      <c r="O6" s="476">
        <f t="shared" si="0"/>
        <v>8650</v>
      </c>
      <c r="P6" s="475"/>
      <c r="Q6" s="475"/>
      <c r="R6" s="475">
        <f t="shared" si="1"/>
        <v>8650</v>
      </c>
      <c r="S6" s="477"/>
    </row>
    <row r="7" spans="1:19" s="420" customFormat="1" ht="12">
      <c r="A7" s="474" t="s">
        <v>37</v>
      </c>
      <c r="B7" s="475">
        <v>3119910.64</v>
      </c>
      <c r="C7" s="476"/>
      <c r="D7" s="476"/>
      <c r="E7" s="476"/>
      <c r="F7" s="476"/>
      <c r="G7" s="475"/>
      <c r="H7" s="475"/>
      <c r="I7" s="475"/>
      <c r="J7" s="475"/>
      <c r="K7" s="475"/>
      <c r="L7" s="476"/>
      <c r="M7" s="476">
        <v>0</v>
      </c>
      <c r="N7" s="476"/>
      <c r="O7" s="476">
        <f t="shared" si="0"/>
        <v>3119910.64</v>
      </c>
      <c r="P7" s="475"/>
      <c r="Q7" s="475"/>
      <c r="R7" s="475">
        <f t="shared" si="1"/>
        <v>3119910.64</v>
      </c>
      <c r="S7" s="477"/>
    </row>
    <row r="8" spans="1:19" s="420" customFormat="1" ht="12">
      <c r="A8" s="474" t="s">
        <v>517</v>
      </c>
      <c r="B8" s="475">
        <v>14149502.390000001</v>
      </c>
      <c r="C8" s="475"/>
      <c r="D8" s="475">
        <v>379567.74</v>
      </c>
      <c r="E8" s="476"/>
      <c r="F8" s="475">
        <v>2810334</v>
      </c>
      <c r="G8" s="475"/>
      <c r="H8" s="475"/>
      <c r="I8" s="475"/>
      <c r="J8" s="475">
        <v>7765139</v>
      </c>
      <c r="K8" s="475"/>
      <c r="L8" s="475"/>
      <c r="M8" s="475">
        <f>140832.07</f>
        <v>140832.07</v>
      </c>
      <c r="N8" s="476"/>
      <c r="O8" s="476">
        <f t="shared" si="0"/>
        <v>25245375.200000003</v>
      </c>
      <c r="P8" s="475"/>
      <c r="Q8" s="475"/>
      <c r="R8" s="475">
        <f t="shared" si="1"/>
        <v>25245375.200000003</v>
      </c>
      <c r="S8" s="477"/>
    </row>
    <row r="9" spans="1:19" s="420" customFormat="1" ht="12">
      <c r="A9" s="474" t="s">
        <v>40</v>
      </c>
      <c r="B9" s="475">
        <v>37922671.159999996</v>
      </c>
      <c r="C9" s="476"/>
      <c r="D9" s="475">
        <v>242332.15</v>
      </c>
      <c r="E9" s="475"/>
      <c r="F9" s="476"/>
      <c r="G9" s="475">
        <v>678203.46</v>
      </c>
      <c r="H9" s="475"/>
      <c r="I9" s="475"/>
      <c r="J9" s="475">
        <v>28737194</v>
      </c>
      <c r="K9" s="475"/>
      <c r="L9" s="476"/>
      <c r="M9" s="476">
        <v>834344.55</v>
      </c>
      <c r="N9" s="476"/>
      <c r="O9" s="476">
        <f t="shared" si="0"/>
        <v>68414745.319999993</v>
      </c>
      <c r="P9" s="475"/>
      <c r="Q9" s="475"/>
      <c r="R9" s="475">
        <f t="shared" si="1"/>
        <v>68414745.319999993</v>
      </c>
      <c r="S9" s="477"/>
    </row>
    <row r="10" spans="1:19" s="420" customFormat="1" ht="12">
      <c r="A10" s="474" t="s">
        <v>42</v>
      </c>
      <c r="B10" s="475">
        <f>200293.51+12006322.71</f>
        <v>12206616.220000001</v>
      </c>
      <c r="C10" s="475"/>
      <c r="D10" s="476"/>
      <c r="E10" s="476"/>
      <c r="F10" s="476">
        <f>1445.83+8300+20700.22</f>
        <v>30446.050000000003</v>
      </c>
      <c r="G10" s="475"/>
      <c r="H10" s="475"/>
      <c r="I10" s="475"/>
      <c r="J10" s="475">
        <v>224008</v>
      </c>
      <c r="K10" s="475"/>
      <c r="L10" s="475"/>
      <c r="M10" s="475">
        <v>39280.28</v>
      </c>
      <c r="N10" s="476"/>
      <c r="O10" s="476">
        <f t="shared" si="0"/>
        <v>12500350.550000001</v>
      </c>
      <c r="P10" s="475"/>
      <c r="Q10" s="475"/>
      <c r="R10" s="475">
        <f t="shared" si="1"/>
        <v>12500350.550000001</v>
      </c>
      <c r="S10" s="477"/>
    </row>
    <row r="11" spans="1:19" s="420" customFormat="1" ht="12">
      <c r="A11" s="474" t="s">
        <v>43</v>
      </c>
      <c r="B11" s="475">
        <v>5359703.67</v>
      </c>
      <c r="C11" s="475"/>
      <c r="D11" s="475">
        <v>110626.2</v>
      </c>
      <c r="E11" s="475"/>
      <c r="F11" s="475">
        <v>1938698.95</v>
      </c>
      <c r="G11" s="475"/>
      <c r="H11" s="475"/>
      <c r="I11" s="475"/>
      <c r="J11" s="475">
        <v>1698179</v>
      </c>
      <c r="K11" s="475"/>
      <c r="L11" s="475"/>
      <c r="M11" s="475">
        <v>66870.710000000006</v>
      </c>
      <c r="N11" s="476"/>
      <c r="O11" s="476">
        <f t="shared" si="0"/>
        <v>9174078.5300000012</v>
      </c>
      <c r="P11" s="475"/>
      <c r="Q11" s="475"/>
      <c r="R11" s="475">
        <f t="shared" si="1"/>
        <v>9174078.5300000012</v>
      </c>
      <c r="S11" s="477"/>
    </row>
    <row r="12" spans="1:19" s="420" customFormat="1" ht="12">
      <c r="A12" s="474" t="s">
        <v>45</v>
      </c>
      <c r="B12" s="475">
        <v>1768202.74</v>
      </c>
      <c r="C12" s="476"/>
      <c r="D12" s="476"/>
      <c r="E12" s="476"/>
      <c r="F12" s="476">
        <v>30499.17</v>
      </c>
      <c r="G12" s="475"/>
      <c r="H12" s="475"/>
      <c r="I12" s="475"/>
      <c r="J12" s="475">
        <v>4492933</v>
      </c>
      <c r="K12" s="475"/>
      <c r="L12" s="475"/>
      <c r="M12" s="476">
        <v>-99777.93</v>
      </c>
      <c r="N12" s="476"/>
      <c r="O12" s="476">
        <f t="shared" si="0"/>
        <v>6191856.9800000004</v>
      </c>
      <c r="P12" s="475"/>
      <c r="Q12" s="475"/>
      <c r="R12" s="475">
        <f t="shared" si="1"/>
        <v>6191856.9800000004</v>
      </c>
      <c r="S12" s="477"/>
    </row>
    <row r="13" spans="1:19" s="420" customFormat="1" ht="12">
      <c r="A13" s="474" t="s">
        <v>46</v>
      </c>
      <c r="B13" s="475">
        <v>28373523.870000001</v>
      </c>
      <c r="C13" s="475"/>
      <c r="D13" s="476">
        <v>3193.38</v>
      </c>
      <c r="E13" s="476"/>
      <c r="F13" s="476">
        <v>4251343.8899999997</v>
      </c>
      <c r="G13" s="475"/>
      <c r="H13" s="475"/>
      <c r="I13" s="475"/>
      <c r="J13" s="475"/>
      <c r="K13" s="475"/>
      <c r="L13" s="475"/>
      <c r="M13" s="476"/>
      <c r="N13" s="476"/>
      <c r="O13" s="476">
        <f t="shared" si="0"/>
        <v>32628061.140000001</v>
      </c>
      <c r="P13" s="475"/>
      <c r="Q13" s="475"/>
      <c r="R13" s="475">
        <f t="shared" si="1"/>
        <v>32628061.140000001</v>
      </c>
      <c r="S13" s="477"/>
    </row>
    <row r="14" spans="1:19" s="420" customFormat="1" ht="12">
      <c r="A14" s="474" t="s">
        <v>48</v>
      </c>
      <c r="B14" s="475">
        <v>4372325.96</v>
      </c>
      <c r="C14" s="475"/>
      <c r="D14" s="476"/>
      <c r="E14" s="476"/>
      <c r="F14" s="476"/>
      <c r="G14" s="475"/>
      <c r="H14" s="475"/>
      <c r="I14" s="475"/>
      <c r="J14" s="475"/>
      <c r="K14" s="475"/>
      <c r="L14" s="476"/>
      <c r="M14" s="476"/>
      <c r="N14" s="476"/>
      <c r="O14" s="476">
        <f t="shared" si="0"/>
        <v>4372325.96</v>
      </c>
      <c r="P14" s="475"/>
      <c r="Q14" s="475"/>
      <c r="R14" s="475">
        <f t="shared" si="1"/>
        <v>4372325.96</v>
      </c>
      <c r="S14" s="477"/>
    </row>
    <row r="15" spans="1:19" s="420" customFormat="1" ht="12">
      <c r="A15" s="474" t="s">
        <v>49</v>
      </c>
      <c r="B15" s="475">
        <f>1983054.69+2416446.46+273347.49</f>
        <v>4672848.6400000006</v>
      </c>
      <c r="C15" s="475"/>
      <c r="D15" s="476"/>
      <c r="E15" s="476"/>
      <c r="F15" s="476"/>
      <c r="G15" s="475"/>
      <c r="H15" s="475"/>
      <c r="I15" s="475"/>
      <c r="J15" s="475"/>
      <c r="K15" s="475"/>
      <c r="L15" s="476"/>
      <c r="M15" s="475"/>
      <c r="N15" s="476"/>
      <c r="O15" s="476">
        <f t="shared" si="0"/>
        <v>4672848.6400000006</v>
      </c>
      <c r="P15" s="475"/>
      <c r="Q15" s="475"/>
      <c r="R15" s="475">
        <f t="shared" si="1"/>
        <v>4672848.6400000006</v>
      </c>
      <c r="S15" s="477"/>
    </row>
    <row r="16" spans="1:19" s="420" customFormat="1" ht="12">
      <c r="A16" s="474" t="s">
        <v>50</v>
      </c>
      <c r="B16" s="475">
        <v>181312838</v>
      </c>
      <c r="C16" s="475"/>
      <c r="D16" s="475">
        <v>3840801.75</v>
      </c>
      <c r="E16" s="476"/>
      <c r="F16" s="475">
        <v>10349547.68</v>
      </c>
      <c r="G16" s="475"/>
      <c r="H16" s="475"/>
      <c r="I16" s="475"/>
      <c r="J16" s="475">
        <v>32926159</v>
      </c>
      <c r="K16" s="475"/>
      <c r="L16" s="475"/>
      <c r="M16" s="475">
        <v>401464.23</v>
      </c>
      <c r="N16" s="475"/>
      <c r="O16" s="476">
        <f t="shared" si="0"/>
        <v>228830810.66</v>
      </c>
      <c r="P16" s="475"/>
      <c r="Q16" s="475"/>
      <c r="R16" s="475">
        <f t="shared" si="1"/>
        <v>228830810.66</v>
      </c>
      <c r="S16" s="477"/>
    </row>
    <row r="17" spans="1:19" s="420" customFormat="1" ht="12">
      <c r="A17" s="474" t="s">
        <v>518</v>
      </c>
      <c r="B17" s="475">
        <v>-146560088.13</v>
      </c>
      <c r="C17" s="475"/>
      <c r="D17" s="475">
        <v>-851337.76</v>
      </c>
      <c r="E17" s="476"/>
      <c r="F17" s="475">
        <v>-3039607.92</v>
      </c>
      <c r="G17" s="475"/>
      <c r="H17" s="475"/>
      <c r="I17" s="475"/>
      <c r="J17" s="475"/>
      <c r="K17" s="475"/>
      <c r="L17" s="475"/>
      <c r="M17" s="478">
        <v>-213424.53</v>
      </c>
      <c r="N17" s="475"/>
      <c r="O17" s="476">
        <f t="shared" si="0"/>
        <v>-150664458.33999997</v>
      </c>
      <c r="P17" s="475"/>
      <c r="Q17" s="475"/>
      <c r="R17" s="475">
        <f t="shared" si="1"/>
        <v>-150664458.33999997</v>
      </c>
      <c r="S17" s="477"/>
    </row>
    <row r="18" spans="1:19" s="420" customFormat="1" ht="12">
      <c r="A18" s="474" t="s">
        <v>53</v>
      </c>
      <c r="B18" s="475">
        <v>953392.32</v>
      </c>
      <c r="C18" s="475"/>
      <c r="D18" s="476">
        <v>439321.65</v>
      </c>
      <c r="E18" s="476"/>
      <c r="F18" s="476"/>
      <c r="G18" s="475"/>
      <c r="H18" s="475"/>
      <c r="I18" s="475"/>
      <c r="J18" s="475"/>
      <c r="K18" s="476"/>
      <c r="L18" s="476"/>
      <c r="M18" s="476"/>
      <c r="N18" s="476"/>
      <c r="O18" s="476">
        <f t="shared" si="0"/>
        <v>1392713.97</v>
      </c>
      <c r="P18" s="475"/>
      <c r="Q18" s="475"/>
      <c r="R18" s="475">
        <f t="shared" si="1"/>
        <v>1392713.97</v>
      </c>
      <c r="S18" s="477"/>
    </row>
    <row r="19" spans="1:19" s="420" customFormat="1" ht="12">
      <c r="A19" s="474" t="s">
        <v>54</v>
      </c>
      <c r="B19" s="475">
        <v>6420022.0899999999</v>
      </c>
      <c r="C19" s="475"/>
      <c r="D19" s="476"/>
      <c r="E19" s="476"/>
      <c r="F19" s="476"/>
      <c r="G19" s="475"/>
      <c r="H19" s="475"/>
      <c r="I19" s="475"/>
      <c r="J19" s="475">
        <v>417615</v>
      </c>
      <c r="K19" s="476"/>
      <c r="L19" s="476"/>
      <c r="M19" s="475"/>
      <c r="N19" s="476"/>
      <c r="O19" s="476">
        <f t="shared" si="0"/>
        <v>6837637.0899999999</v>
      </c>
      <c r="P19" s="475"/>
      <c r="Q19" s="475"/>
      <c r="R19" s="475">
        <f t="shared" si="1"/>
        <v>6837637.0899999999</v>
      </c>
      <c r="S19" s="477"/>
    </row>
    <row r="20" spans="1:19" s="420" customFormat="1" ht="12">
      <c r="A20" s="474" t="s">
        <v>56</v>
      </c>
      <c r="B20" s="475">
        <v>3079397.05</v>
      </c>
      <c r="C20" s="475"/>
      <c r="D20" s="476"/>
      <c r="E20" s="476"/>
      <c r="F20" s="476"/>
      <c r="G20" s="475"/>
      <c r="H20" s="475"/>
      <c r="I20" s="475"/>
      <c r="J20" s="475"/>
      <c r="K20" s="476"/>
      <c r="L20" s="476"/>
      <c r="M20" s="476"/>
      <c r="N20" s="476"/>
      <c r="O20" s="476">
        <f t="shared" si="0"/>
        <v>3079397.05</v>
      </c>
      <c r="P20" s="475"/>
      <c r="Q20" s="475"/>
      <c r="R20" s="475">
        <f t="shared" si="1"/>
        <v>3079397.05</v>
      </c>
      <c r="S20" s="477"/>
    </row>
    <row r="21" spans="1:19" s="420" customFormat="1" ht="12">
      <c r="A21" s="474" t="s">
        <v>519</v>
      </c>
      <c r="B21" s="475">
        <v>42623206.109999999</v>
      </c>
      <c r="C21" s="476"/>
      <c r="D21" s="476"/>
      <c r="E21" s="476"/>
      <c r="F21" s="476"/>
      <c r="G21" s="475"/>
      <c r="H21" s="475"/>
      <c r="I21" s="475"/>
      <c r="J21" s="475"/>
      <c r="K21" s="476"/>
      <c r="L21" s="476"/>
      <c r="M21" s="476"/>
      <c r="N21" s="476"/>
      <c r="O21" s="476">
        <f t="shared" si="0"/>
        <v>42623206.109999999</v>
      </c>
      <c r="P21" s="475"/>
      <c r="Q21" s="475"/>
      <c r="R21" s="475">
        <f t="shared" si="1"/>
        <v>42623206.109999999</v>
      </c>
      <c r="S21" s="477"/>
    </row>
    <row r="22" spans="1:19" s="420" customFormat="1" ht="12">
      <c r="A22" s="474" t="s">
        <v>520</v>
      </c>
      <c r="B22" s="475">
        <v>0</v>
      </c>
      <c r="C22" s="476"/>
      <c r="D22" s="476"/>
      <c r="E22" s="476"/>
      <c r="F22" s="476"/>
      <c r="G22" s="476"/>
      <c r="H22" s="476"/>
      <c r="I22" s="476"/>
      <c r="J22" s="476">
        <v>280196</v>
      </c>
      <c r="K22" s="476"/>
      <c r="L22" s="476"/>
      <c r="M22" s="476">
        <v>2112.98</v>
      </c>
      <c r="N22" s="476"/>
      <c r="O22" s="476">
        <f t="shared" si="0"/>
        <v>282308.98</v>
      </c>
      <c r="P22" s="475"/>
      <c r="Q22" s="475"/>
      <c r="R22" s="475">
        <f t="shared" si="1"/>
        <v>282308.98</v>
      </c>
      <c r="S22" s="477"/>
    </row>
    <row r="23" spans="1:19" s="420" customFormat="1" ht="12">
      <c r="A23" s="479" t="s">
        <v>521</v>
      </c>
      <c r="B23" s="480">
        <v>22545069.52</v>
      </c>
      <c r="C23" s="481"/>
      <c r="D23" s="481"/>
      <c r="E23" s="481"/>
      <c r="F23" s="481"/>
      <c r="G23" s="481"/>
      <c r="H23" s="481"/>
      <c r="I23" s="481"/>
      <c r="J23" s="481">
        <v>1836716</v>
      </c>
      <c r="K23" s="481"/>
      <c r="L23" s="481"/>
      <c r="M23" s="481"/>
      <c r="N23" s="481"/>
      <c r="O23" s="476">
        <f t="shared" si="0"/>
        <v>24381785.52</v>
      </c>
      <c r="P23" s="480"/>
      <c r="Q23" s="480"/>
      <c r="R23" s="475">
        <f t="shared" si="1"/>
        <v>24381785.52</v>
      </c>
      <c r="S23" s="477"/>
    </row>
    <row r="24" spans="1:19" s="420" customFormat="1" ht="12">
      <c r="A24" s="479" t="s">
        <v>61</v>
      </c>
      <c r="B24" s="480">
        <v>-16213806.560000001</v>
      </c>
      <c r="C24" s="481"/>
      <c r="D24" s="481">
        <v>2534340.1800000002</v>
      </c>
      <c r="E24" s="481"/>
      <c r="F24" s="481"/>
      <c r="G24" s="481"/>
      <c r="H24" s="481"/>
      <c r="I24" s="481"/>
      <c r="J24" s="481">
        <v>62029</v>
      </c>
      <c r="K24" s="481"/>
      <c r="L24" s="480"/>
      <c r="M24" s="481">
        <v>32440.74</v>
      </c>
      <c r="N24" s="481"/>
      <c r="O24" s="481">
        <f t="shared" si="0"/>
        <v>-13584996.640000001</v>
      </c>
      <c r="P24" s="480"/>
      <c r="Q24" s="480"/>
      <c r="R24" s="480">
        <f t="shared" si="1"/>
        <v>-13584996.640000001</v>
      </c>
      <c r="S24" s="477"/>
    </row>
    <row r="25" spans="1:19" s="486" customFormat="1" ht="12">
      <c r="A25" s="482" t="s">
        <v>63</v>
      </c>
      <c r="B25" s="483">
        <f t="shared" ref="B25:N25" si="2">SUM(B5:B24)</f>
        <v>225559502.68999997</v>
      </c>
      <c r="C25" s="483">
        <f t="shared" si="2"/>
        <v>0</v>
      </c>
      <c r="D25" s="483">
        <f t="shared" si="2"/>
        <v>6839965.7800000012</v>
      </c>
      <c r="E25" s="483">
        <f t="shared" si="2"/>
        <v>0</v>
      </c>
      <c r="F25" s="483">
        <f t="shared" si="2"/>
        <v>21185902.289999999</v>
      </c>
      <c r="G25" s="483">
        <f t="shared" si="2"/>
        <v>678203.46</v>
      </c>
      <c r="H25" s="483">
        <f t="shared" si="2"/>
        <v>0</v>
      </c>
      <c r="I25" s="483">
        <f t="shared" si="2"/>
        <v>0</v>
      </c>
      <c r="J25" s="483">
        <f t="shared" si="2"/>
        <v>82097568</v>
      </c>
      <c r="K25" s="483">
        <f t="shared" si="2"/>
        <v>0</v>
      </c>
      <c r="L25" s="483">
        <f t="shared" si="2"/>
        <v>0</v>
      </c>
      <c r="M25" s="483">
        <f t="shared" si="2"/>
        <v>1344307.34</v>
      </c>
      <c r="N25" s="483">
        <f t="shared" si="2"/>
        <v>0</v>
      </c>
      <c r="O25" s="483">
        <f t="shared" si="0"/>
        <v>337705449.55999994</v>
      </c>
      <c r="P25" s="483">
        <f>+SUM(P5:P24)</f>
        <v>0</v>
      </c>
      <c r="Q25" s="483">
        <f>+SUM(Q5:Q24)</f>
        <v>0</v>
      </c>
      <c r="R25" s="484">
        <f>SUM(R5:R24)</f>
        <v>337705449.56000012</v>
      </c>
      <c r="S25" s="485"/>
    </row>
    <row r="26" spans="1:19" s="420" customFormat="1" ht="12">
      <c r="A26" s="487" t="s">
        <v>64</v>
      </c>
      <c r="B26" s="488">
        <v>0</v>
      </c>
      <c r="C26" s="489"/>
      <c r="D26" s="489"/>
      <c r="E26" s="489"/>
      <c r="F26" s="489">
        <v>86008.5</v>
      </c>
      <c r="G26" s="489"/>
      <c r="H26" s="489"/>
      <c r="I26" s="489"/>
      <c r="J26" s="489">
        <v>1479636</v>
      </c>
      <c r="K26" s="489"/>
      <c r="L26" s="488"/>
      <c r="M26" s="489"/>
      <c r="N26" s="489"/>
      <c r="O26" s="489">
        <f t="shared" si="0"/>
        <v>1565644.5</v>
      </c>
      <c r="P26" s="488"/>
      <c r="Q26" s="488"/>
      <c r="R26" s="488">
        <f t="shared" ref="R26:R45" si="3">O26-P26+Q26</f>
        <v>1565644.5</v>
      </c>
      <c r="S26" s="490"/>
    </row>
    <row r="27" spans="1:19" s="420" customFormat="1" ht="12">
      <c r="A27" s="474" t="s">
        <v>65</v>
      </c>
      <c r="B27" s="475">
        <v>9876153</v>
      </c>
      <c r="C27" s="476"/>
      <c r="D27" s="476"/>
      <c r="E27" s="476"/>
      <c r="F27" s="476">
        <v>102000</v>
      </c>
      <c r="G27" s="476"/>
      <c r="H27" s="476"/>
      <c r="I27" s="476"/>
      <c r="J27" s="476"/>
      <c r="K27" s="476"/>
      <c r="L27" s="476"/>
      <c r="M27" s="476"/>
      <c r="N27" s="476"/>
      <c r="O27" s="476">
        <f t="shared" si="0"/>
        <v>9978153</v>
      </c>
      <c r="P27" s="475"/>
      <c r="Q27" s="475"/>
      <c r="R27" s="475">
        <f t="shared" si="3"/>
        <v>9978153</v>
      </c>
      <c r="S27" s="490"/>
    </row>
    <row r="28" spans="1:19" s="420" customFormat="1" ht="12">
      <c r="A28" s="474" t="s">
        <v>66</v>
      </c>
      <c r="B28" s="475">
        <v>3782673.72</v>
      </c>
      <c r="C28" s="476"/>
      <c r="D28" s="476">
        <v>2417.4499999999998</v>
      </c>
      <c r="E28" s="476"/>
      <c r="F28" s="476"/>
      <c r="G28" s="476"/>
      <c r="H28" s="476"/>
      <c r="I28" s="476"/>
      <c r="J28" s="476"/>
      <c r="K28" s="476"/>
      <c r="L28" s="476"/>
      <c r="M28" s="476"/>
      <c r="N28" s="476"/>
      <c r="O28" s="476">
        <f t="shared" si="0"/>
        <v>3785091.1700000004</v>
      </c>
      <c r="P28" s="475"/>
      <c r="Q28" s="475"/>
      <c r="R28" s="475">
        <f t="shared" si="3"/>
        <v>3785091.1700000004</v>
      </c>
      <c r="S28" s="490"/>
    </row>
    <row r="29" spans="1:19" s="420" customFormat="1" ht="12">
      <c r="A29" s="474" t="s">
        <v>67</v>
      </c>
      <c r="B29" s="475">
        <f>26267063.41+1143928.53+1497827.89</f>
        <v>28908819.830000002</v>
      </c>
      <c r="C29" s="475"/>
      <c r="D29" s="475">
        <v>4202</v>
      </c>
      <c r="E29" s="476"/>
      <c r="F29" s="476">
        <f>76508.27+3632322.81-0.92</f>
        <v>3708830.16</v>
      </c>
      <c r="G29" s="476"/>
      <c r="H29" s="476"/>
      <c r="I29" s="476"/>
      <c r="J29" s="476">
        <v>3497207</v>
      </c>
      <c r="K29" s="476"/>
      <c r="L29" s="475"/>
      <c r="M29" s="475">
        <v>38046.5</v>
      </c>
      <c r="N29" s="475"/>
      <c r="O29" s="476">
        <f t="shared" si="0"/>
        <v>36157105.490000002</v>
      </c>
      <c r="P29" s="475"/>
      <c r="Q29" s="475"/>
      <c r="R29" s="475">
        <f t="shared" si="3"/>
        <v>36157105.490000002</v>
      </c>
      <c r="S29" s="490"/>
    </row>
    <row r="30" spans="1:19" s="420" customFormat="1" ht="12">
      <c r="A30" s="474" t="s">
        <v>68</v>
      </c>
      <c r="B30" s="475">
        <v>673963.26</v>
      </c>
      <c r="C30" s="475"/>
      <c r="D30" s="475">
        <v>552479.09</v>
      </c>
      <c r="E30" s="476"/>
      <c r="F30" s="475">
        <v>949038.29</v>
      </c>
      <c r="G30" s="476"/>
      <c r="H30" s="476"/>
      <c r="I30" s="476"/>
      <c r="J30" s="476">
        <v>30134511</v>
      </c>
      <c r="K30" s="476"/>
      <c r="L30" s="475"/>
      <c r="M30" s="475">
        <v>658889.4</v>
      </c>
      <c r="N30" s="475"/>
      <c r="O30" s="476">
        <f t="shared" si="0"/>
        <v>32968881.039999999</v>
      </c>
      <c r="P30" s="475"/>
      <c r="Q30" s="475"/>
      <c r="R30" s="475">
        <f t="shared" si="3"/>
        <v>32968881.039999999</v>
      </c>
      <c r="S30" s="490"/>
    </row>
    <row r="31" spans="1:19" s="420" customFormat="1" ht="12">
      <c r="A31" s="474" t="s">
        <v>71</v>
      </c>
      <c r="B31" s="475">
        <f>608295.83+162449.66</f>
        <v>770745.49</v>
      </c>
      <c r="C31" s="476"/>
      <c r="D31" s="475">
        <v>87305.57</v>
      </c>
      <c r="E31" s="476"/>
      <c r="F31" s="476">
        <v>10703.69</v>
      </c>
      <c r="G31" s="476"/>
      <c r="H31" s="476"/>
      <c r="I31" s="476"/>
      <c r="J31" s="476">
        <v>2425345</v>
      </c>
      <c r="K31" s="476"/>
      <c r="L31" s="475"/>
      <c r="M31" s="475">
        <v>56425.47</v>
      </c>
      <c r="N31" s="475"/>
      <c r="O31" s="476">
        <f t="shared" si="0"/>
        <v>3350525.22</v>
      </c>
      <c r="P31" s="475"/>
      <c r="Q31" s="475"/>
      <c r="R31" s="475">
        <f t="shared" si="3"/>
        <v>3350525.22</v>
      </c>
      <c r="S31" s="490"/>
    </row>
    <row r="32" spans="1:19" s="420" customFormat="1" ht="12">
      <c r="A32" s="474" t="s">
        <v>72</v>
      </c>
      <c r="B32" s="475">
        <v>6730775.3600000003</v>
      </c>
      <c r="C32" s="475"/>
      <c r="D32" s="475">
        <v>8317.5300000000007</v>
      </c>
      <c r="E32" s="475"/>
      <c r="F32" s="475">
        <v>50080.77</v>
      </c>
      <c r="G32" s="476"/>
      <c r="H32" s="476"/>
      <c r="I32" s="476"/>
      <c r="J32" s="476">
        <v>66724</v>
      </c>
      <c r="K32" s="476"/>
      <c r="L32" s="476"/>
      <c r="M32" s="475">
        <v>3240.04</v>
      </c>
      <c r="N32" s="475"/>
      <c r="O32" s="476">
        <f t="shared" si="0"/>
        <v>6859137.7000000002</v>
      </c>
      <c r="P32" s="475"/>
      <c r="Q32" s="475"/>
      <c r="R32" s="475">
        <f t="shared" si="3"/>
        <v>6859137.7000000002</v>
      </c>
      <c r="S32" s="490"/>
    </row>
    <row r="33" spans="1:19" s="420" customFormat="1" ht="12">
      <c r="A33" s="474" t="s">
        <v>522</v>
      </c>
      <c r="B33" s="475">
        <v>200697.25</v>
      </c>
      <c r="C33" s="476"/>
      <c r="D33" s="476"/>
      <c r="E33" s="476"/>
      <c r="F33" s="476">
        <v>386.88</v>
      </c>
      <c r="G33" s="476"/>
      <c r="H33" s="476"/>
      <c r="I33" s="476"/>
      <c r="J33" s="476">
        <v>676743</v>
      </c>
      <c r="K33" s="476"/>
      <c r="L33" s="475"/>
      <c r="M33" s="476">
        <v>2235.0500000000002</v>
      </c>
      <c r="N33" s="476"/>
      <c r="O33" s="476">
        <f t="shared" si="0"/>
        <v>880062.18</v>
      </c>
      <c r="P33" s="475"/>
      <c r="Q33" s="475"/>
      <c r="R33" s="475">
        <f t="shared" si="3"/>
        <v>880062.18</v>
      </c>
      <c r="S33" s="490"/>
    </row>
    <row r="34" spans="1:19" s="420" customFormat="1" ht="12">
      <c r="A34" s="474" t="s">
        <v>75</v>
      </c>
      <c r="B34" s="475">
        <v>6204089.5800000001</v>
      </c>
      <c r="C34" s="476"/>
      <c r="D34" s="475">
        <f>117231.54+186.54</f>
        <v>117418.07999999999</v>
      </c>
      <c r="E34" s="476"/>
      <c r="F34" s="476">
        <v>244900.69</v>
      </c>
      <c r="G34" s="476"/>
      <c r="H34" s="476"/>
      <c r="I34" s="476"/>
      <c r="J34" s="476">
        <v>4213472</v>
      </c>
      <c r="K34" s="476"/>
      <c r="L34" s="475"/>
      <c r="M34" s="475">
        <v>90977.53</v>
      </c>
      <c r="N34" s="475"/>
      <c r="O34" s="476">
        <f t="shared" si="0"/>
        <v>10870857.880000001</v>
      </c>
      <c r="P34" s="475"/>
      <c r="Q34" s="475"/>
      <c r="R34" s="475">
        <f t="shared" si="3"/>
        <v>10870857.880000001</v>
      </c>
      <c r="S34" s="490"/>
    </row>
    <row r="35" spans="1:19" s="420" customFormat="1" ht="12">
      <c r="A35" s="474" t="s">
        <v>523</v>
      </c>
      <c r="B35" s="475">
        <v>1574194.54</v>
      </c>
      <c r="C35" s="476"/>
      <c r="D35" s="475"/>
      <c r="E35" s="476"/>
      <c r="F35" s="476"/>
      <c r="G35" s="476"/>
      <c r="H35" s="476"/>
      <c r="I35" s="476"/>
      <c r="J35" s="476">
        <v>911897</v>
      </c>
      <c r="K35" s="476"/>
      <c r="L35" s="475"/>
      <c r="M35" s="475"/>
      <c r="N35" s="475"/>
      <c r="O35" s="476">
        <f t="shared" si="0"/>
        <v>2486091.54</v>
      </c>
      <c r="P35" s="475"/>
      <c r="Q35" s="475"/>
      <c r="R35" s="475">
        <f t="shared" si="3"/>
        <v>2486091.54</v>
      </c>
      <c r="S35" s="490"/>
    </row>
    <row r="36" spans="1:19" s="420" customFormat="1" ht="12">
      <c r="A36" s="474" t="s">
        <v>524</v>
      </c>
      <c r="B36" s="475">
        <v>0</v>
      </c>
      <c r="C36" s="476"/>
      <c r="D36" s="475"/>
      <c r="E36" s="476"/>
      <c r="F36" s="476"/>
      <c r="G36" s="476"/>
      <c r="H36" s="476"/>
      <c r="I36" s="476"/>
      <c r="J36" s="476"/>
      <c r="K36" s="476"/>
      <c r="L36" s="475"/>
      <c r="M36" s="475"/>
      <c r="N36" s="475"/>
      <c r="O36" s="476">
        <f t="shared" si="0"/>
        <v>0</v>
      </c>
      <c r="P36" s="475"/>
      <c r="Q36" s="475"/>
      <c r="R36" s="475">
        <f t="shared" si="3"/>
        <v>0</v>
      </c>
      <c r="S36" s="463"/>
    </row>
    <row r="37" spans="1:19" s="420" customFormat="1" ht="12">
      <c r="A37" s="474" t="s">
        <v>525</v>
      </c>
      <c r="B37" s="475">
        <v>8303509.8600000003</v>
      </c>
      <c r="C37" s="476"/>
      <c r="D37" s="476"/>
      <c r="E37" s="476"/>
      <c r="F37" s="476"/>
      <c r="G37" s="476"/>
      <c r="H37" s="476"/>
      <c r="I37" s="476"/>
      <c r="J37" s="476">
        <v>0</v>
      </c>
      <c r="K37" s="476"/>
      <c r="L37" s="476"/>
      <c r="M37" s="476"/>
      <c r="N37" s="476"/>
      <c r="O37" s="476">
        <f t="shared" si="0"/>
        <v>8303509.8600000003</v>
      </c>
      <c r="P37" s="475"/>
      <c r="Q37" s="475"/>
      <c r="R37" s="475">
        <f t="shared" si="3"/>
        <v>8303509.8600000003</v>
      </c>
      <c r="S37" s="490"/>
    </row>
    <row r="38" spans="1:19" s="420" customFormat="1" ht="12">
      <c r="A38" s="474" t="s">
        <v>526</v>
      </c>
      <c r="B38" s="475">
        <v>0</v>
      </c>
      <c r="C38" s="476"/>
      <c r="D38" s="476"/>
      <c r="E38" s="476"/>
      <c r="F38" s="476"/>
      <c r="G38" s="476"/>
      <c r="H38" s="476"/>
      <c r="I38" s="476"/>
      <c r="J38" s="476">
        <v>0</v>
      </c>
      <c r="K38" s="476"/>
      <c r="L38" s="476"/>
      <c r="M38" s="476"/>
      <c r="N38" s="476"/>
      <c r="O38" s="476">
        <f t="shared" si="0"/>
        <v>0</v>
      </c>
      <c r="P38" s="475"/>
      <c r="Q38" s="475"/>
      <c r="R38" s="475">
        <f t="shared" si="3"/>
        <v>0</v>
      </c>
      <c r="S38" s="490"/>
    </row>
    <row r="39" spans="1:19" s="420" customFormat="1" ht="12">
      <c r="A39" s="474" t="s">
        <v>79</v>
      </c>
      <c r="B39" s="475">
        <v>2535062.4300000002</v>
      </c>
      <c r="C39" s="476"/>
      <c r="D39" s="476"/>
      <c r="E39" s="476"/>
      <c r="F39" s="476"/>
      <c r="G39" s="476"/>
      <c r="H39" s="476"/>
      <c r="I39" s="476"/>
      <c r="J39" s="476"/>
      <c r="K39" s="476"/>
      <c r="L39" s="476"/>
      <c r="M39" s="476"/>
      <c r="N39" s="476"/>
      <c r="O39" s="476">
        <f t="shared" si="0"/>
        <v>2535062.4300000002</v>
      </c>
      <c r="P39" s="475"/>
      <c r="Q39" s="475"/>
      <c r="R39" s="475">
        <f t="shared" si="3"/>
        <v>2535062.4300000002</v>
      </c>
      <c r="S39" s="490"/>
    </row>
    <row r="40" spans="1:19" s="420" customFormat="1" ht="12">
      <c r="A40" s="474" t="s">
        <v>80</v>
      </c>
      <c r="B40" s="475">
        <v>26543204.609999999</v>
      </c>
      <c r="C40" s="475"/>
      <c r="D40" s="475">
        <v>1037656.23</v>
      </c>
      <c r="E40" s="476"/>
      <c r="F40" s="476">
        <v>4064755</v>
      </c>
      <c r="G40" s="476"/>
      <c r="H40" s="476"/>
      <c r="I40" s="476"/>
      <c r="J40" s="476"/>
      <c r="K40" s="476"/>
      <c r="L40" s="475"/>
      <c r="M40" s="475"/>
      <c r="N40" s="475"/>
      <c r="O40" s="476">
        <f t="shared" si="0"/>
        <v>31645615.84</v>
      </c>
      <c r="P40" s="475"/>
      <c r="Q40" s="475"/>
      <c r="R40" s="475">
        <f t="shared" si="3"/>
        <v>31645615.84</v>
      </c>
      <c r="S40" s="490"/>
    </row>
    <row r="41" spans="1:19" s="420" customFormat="1" ht="12">
      <c r="A41" s="474" t="s">
        <v>81</v>
      </c>
      <c r="B41" s="475">
        <v>3666071.47</v>
      </c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/>
      <c r="O41" s="476">
        <f t="shared" si="0"/>
        <v>3666071.47</v>
      </c>
      <c r="P41" s="475"/>
      <c r="Q41" s="475"/>
      <c r="R41" s="475">
        <f t="shared" si="3"/>
        <v>3666071.47</v>
      </c>
      <c r="S41" s="490"/>
    </row>
    <row r="42" spans="1:19" s="420" customFormat="1" ht="12">
      <c r="A42" s="474" t="s">
        <v>527</v>
      </c>
      <c r="B42" s="475">
        <v>7193981.2199999997</v>
      </c>
      <c r="C42" s="476"/>
      <c r="D42" s="476"/>
      <c r="E42" s="476"/>
      <c r="F42" s="476"/>
      <c r="G42" s="476"/>
      <c r="H42" s="476"/>
      <c r="I42" s="476"/>
      <c r="J42" s="476">
        <v>2041698</v>
      </c>
      <c r="K42" s="476"/>
      <c r="L42" s="476"/>
      <c r="M42" s="475"/>
      <c r="N42" s="476"/>
      <c r="O42" s="476">
        <f t="shared" si="0"/>
        <v>9235679.2199999988</v>
      </c>
      <c r="P42" s="475"/>
      <c r="Q42" s="475"/>
      <c r="R42" s="475">
        <f t="shared" si="3"/>
        <v>9235679.2199999988</v>
      </c>
      <c r="S42" s="490"/>
    </row>
    <row r="43" spans="1:19" s="420" customFormat="1" ht="12">
      <c r="A43" s="474" t="s">
        <v>528</v>
      </c>
      <c r="B43" s="475">
        <v>2542450.66</v>
      </c>
      <c r="C43" s="476"/>
      <c r="D43" s="476"/>
      <c r="E43" s="476"/>
      <c r="F43" s="476"/>
      <c r="G43" s="476"/>
      <c r="H43" s="476"/>
      <c r="I43" s="476"/>
      <c r="J43" s="476">
        <v>1145395</v>
      </c>
      <c r="K43" s="476"/>
      <c r="L43" s="476"/>
      <c r="M43" s="475"/>
      <c r="N43" s="476"/>
      <c r="O43" s="476">
        <f t="shared" si="0"/>
        <v>3687845.66</v>
      </c>
      <c r="P43" s="475"/>
      <c r="Q43" s="475"/>
      <c r="R43" s="475">
        <f t="shared" si="3"/>
        <v>3687845.66</v>
      </c>
      <c r="S43" s="490"/>
    </row>
    <row r="44" spans="1:19" s="420" customFormat="1" ht="12">
      <c r="A44" s="474" t="s">
        <v>522</v>
      </c>
      <c r="B44" s="475">
        <v>16083778.210000001</v>
      </c>
      <c r="C44" s="476"/>
      <c r="D44" s="476"/>
      <c r="E44" s="476"/>
      <c r="F44" s="476"/>
      <c r="G44" s="476"/>
      <c r="H44" s="476"/>
      <c r="I44" s="476"/>
      <c r="J44" s="476">
        <v>0</v>
      </c>
      <c r="K44" s="476"/>
      <c r="L44" s="476"/>
      <c r="M44" s="476"/>
      <c r="N44" s="476"/>
      <c r="O44" s="476">
        <f t="shared" si="0"/>
        <v>16083778.210000001</v>
      </c>
      <c r="P44" s="475"/>
      <c r="Q44" s="475"/>
      <c r="R44" s="475">
        <f t="shared" si="3"/>
        <v>16083778.210000001</v>
      </c>
      <c r="S44" s="490"/>
    </row>
    <row r="45" spans="1:19" s="420" customFormat="1" ht="12">
      <c r="A45" s="479" t="s">
        <v>524</v>
      </c>
      <c r="B45" s="480">
        <v>0</v>
      </c>
      <c r="C45" s="481"/>
      <c r="D45" s="481"/>
      <c r="E45" s="481"/>
      <c r="F45" s="481"/>
      <c r="G45" s="481"/>
      <c r="H45" s="481"/>
      <c r="I45" s="481"/>
      <c r="J45" s="481"/>
      <c r="K45" s="481"/>
      <c r="L45" s="481"/>
      <c r="M45" s="481"/>
      <c r="N45" s="481"/>
      <c r="O45" s="481">
        <f t="shared" si="0"/>
        <v>0</v>
      </c>
      <c r="P45" s="480"/>
      <c r="Q45" s="480"/>
      <c r="R45" s="480">
        <f t="shared" si="3"/>
        <v>0</v>
      </c>
      <c r="S45" s="490"/>
    </row>
    <row r="46" spans="1:19" s="491" customFormat="1" ht="12">
      <c r="A46" s="482" t="s">
        <v>86</v>
      </c>
      <c r="B46" s="483">
        <f t="shared" ref="B46:R46" si="4">SUM(B26:B45)</f>
        <v>125590170.49000001</v>
      </c>
      <c r="C46" s="483">
        <f t="shared" si="4"/>
        <v>0</v>
      </c>
      <c r="D46" s="483">
        <f t="shared" si="4"/>
        <v>1809795.9499999997</v>
      </c>
      <c r="E46" s="483">
        <f t="shared" si="4"/>
        <v>0</v>
      </c>
      <c r="F46" s="483">
        <f t="shared" si="4"/>
        <v>9216703.9800000004</v>
      </c>
      <c r="G46" s="483">
        <f t="shared" si="4"/>
        <v>0</v>
      </c>
      <c r="H46" s="483">
        <f t="shared" si="4"/>
        <v>0</v>
      </c>
      <c r="I46" s="483">
        <f t="shared" si="4"/>
        <v>0</v>
      </c>
      <c r="J46" s="483">
        <f t="shared" si="4"/>
        <v>46592628</v>
      </c>
      <c r="K46" s="483">
        <f t="shared" si="4"/>
        <v>0</v>
      </c>
      <c r="L46" s="483">
        <f t="shared" si="4"/>
        <v>0</v>
      </c>
      <c r="M46" s="483">
        <f t="shared" si="4"/>
        <v>849813.99000000011</v>
      </c>
      <c r="N46" s="483">
        <f t="shared" si="4"/>
        <v>0</v>
      </c>
      <c r="O46" s="483">
        <f t="shared" si="4"/>
        <v>184059112.41000003</v>
      </c>
      <c r="P46" s="483">
        <f t="shared" si="4"/>
        <v>0</v>
      </c>
      <c r="Q46" s="483">
        <f t="shared" si="4"/>
        <v>0</v>
      </c>
      <c r="R46" s="484">
        <f t="shared" si="4"/>
        <v>184059112.41000003</v>
      </c>
      <c r="S46" s="472"/>
    </row>
    <row r="47" spans="1:19" s="420" customFormat="1" ht="12">
      <c r="A47" s="487" t="s">
        <v>87</v>
      </c>
      <c r="B47" s="488">
        <v>21629181.18</v>
      </c>
      <c r="C47" s="492"/>
      <c r="D47" s="492">
        <v>1105000</v>
      </c>
      <c r="E47" s="492"/>
      <c r="F47" s="488">
        <v>7500000</v>
      </c>
      <c r="G47" s="488">
        <v>1000</v>
      </c>
      <c r="H47" s="488"/>
      <c r="I47" s="488"/>
      <c r="J47" s="488">
        <v>18564158</v>
      </c>
      <c r="K47" s="488"/>
      <c r="L47" s="489"/>
      <c r="M47" s="488">
        <v>3661400</v>
      </c>
      <c r="N47" s="488"/>
      <c r="O47" s="489">
        <f t="shared" ref="O47:O55" si="5">SUM(B47:N47)</f>
        <v>52460739.18</v>
      </c>
      <c r="P47" s="488"/>
      <c r="Q47" s="488"/>
      <c r="R47" s="488">
        <f t="shared" ref="R47:R56" si="6">O47-P47+Q47</f>
        <v>52460739.18</v>
      </c>
      <c r="S47" s="463"/>
    </row>
    <row r="48" spans="1:19" s="420" customFormat="1" ht="12">
      <c r="A48" s="474" t="s">
        <v>88</v>
      </c>
      <c r="B48" s="475">
        <v>920.74</v>
      </c>
      <c r="C48" s="493"/>
      <c r="D48" s="493">
        <v>877313.05</v>
      </c>
      <c r="E48" s="475"/>
      <c r="F48" s="475"/>
      <c r="G48" s="475">
        <v>330450</v>
      </c>
      <c r="H48" s="475"/>
      <c r="I48" s="475"/>
      <c r="J48" s="475"/>
      <c r="K48" s="475"/>
      <c r="L48" s="475"/>
      <c r="M48" s="475">
        <v>406799.86</v>
      </c>
      <c r="N48" s="476"/>
      <c r="O48" s="476">
        <f t="shared" si="5"/>
        <v>1615483.65</v>
      </c>
      <c r="P48" s="475"/>
      <c r="Q48" s="475"/>
      <c r="R48" s="475">
        <f t="shared" si="6"/>
        <v>1615483.65</v>
      </c>
      <c r="S48" s="463"/>
    </row>
    <row r="49" spans="1:20" s="420" customFormat="1" ht="12">
      <c r="A49" s="474" t="s">
        <v>90</v>
      </c>
      <c r="B49" s="476">
        <v>6397230.3700000001</v>
      </c>
      <c r="C49" s="475"/>
      <c r="D49" s="475"/>
      <c r="E49" s="493"/>
      <c r="F49" s="475"/>
      <c r="G49" s="475">
        <v>109633.48</v>
      </c>
      <c r="H49" s="475"/>
      <c r="I49" s="475"/>
      <c r="J49" s="475">
        <v>2735295</v>
      </c>
      <c r="K49" s="475"/>
      <c r="L49" s="475"/>
      <c r="M49" s="475">
        <v>104043.49</v>
      </c>
      <c r="N49" s="476"/>
      <c r="O49" s="476">
        <f t="shared" si="5"/>
        <v>9346202.3400000017</v>
      </c>
      <c r="P49" s="475"/>
      <c r="Q49" s="475"/>
      <c r="R49" s="475">
        <f t="shared" si="6"/>
        <v>9346202.3400000017</v>
      </c>
      <c r="S49" s="463"/>
    </row>
    <row r="50" spans="1:20" s="420" customFormat="1" ht="12">
      <c r="A50" s="474" t="s">
        <v>91</v>
      </c>
      <c r="B50" s="475"/>
      <c r="C50" s="475"/>
      <c r="D50" s="475"/>
      <c r="E50" s="475"/>
      <c r="F50" s="475"/>
      <c r="G50" s="475"/>
      <c r="H50" s="475"/>
      <c r="I50" s="475"/>
      <c r="J50" s="475"/>
      <c r="K50" s="475"/>
      <c r="L50" s="475"/>
      <c r="M50" s="475"/>
      <c r="N50" s="476"/>
      <c r="O50" s="476">
        <f t="shared" si="5"/>
        <v>0</v>
      </c>
      <c r="P50" s="475"/>
      <c r="Q50" s="475"/>
      <c r="R50" s="475">
        <f t="shared" si="6"/>
        <v>0</v>
      </c>
      <c r="S50" s="463"/>
    </row>
    <row r="51" spans="1:20" s="420" customFormat="1" ht="12">
      <c r="A51" s="474" t="s">
        <v>92</v>
      </c>
      <c r="B51" s="475"/>
      <c r="C51" s="475"/>
      <c r="D51" s="475"/>
      <c r="E51" s="475"/>
      <c r="F51" s="475"/>
      <c r="G51" s="475"/>
      <c r="H51" s="475"/>
      <c r="I51" s="475"/>
      <c r="J51" s="475"/>
      <c r="K51" s="475"/>
      <c r="L51" s="475"/>
      <c r="M51" s="475"/>
      <c r="N51" s="476"/>
      <c r="O51" s="476">
        <f t="shared" si="5"/>
        <v>0</v>
      </c>
      <c r="P51" s="475"/>
      <c r="Q51" s="475"/>
      <c r="R51" s="475">
        <f t="shared" si="6"/>
        <v>0</v>
      </c>
      <c r="S51" s="463"/>
    </row>
    <row r="52" spans="1:20" s="420" customFormat="1" ht="12">
      <c r="A52" s="474" t="s">
        <v>94</v>
      </c>
      <c r="B52" s="475">
        <v>43768255.310000002</v>
      </c>
      <c r="C52" s="476"/>
      <c r="D52" s="475">
        <v>399181.98</v>
      </c>
      <c r="E52" s="475"/>
      <c r="F52" s="475">
        <v>955363.77</v>
      </c>
      <c r="G52" s="475">
        <v>331439.17</v>
      </c>
      <c r="H52" s="475"/>
      <c r="I52" s="475"/>
      <c r="J52" s="475"/>
      <c r="K52" s="475"/>
      <c r="L52" s="475"/>
      <c r="M52" s="475">
        <v>150408.57999999999</v>
      </c>
      <c r="N52" s="476"/>
      <c r="O52" s="476">
        <f t="shared" si="5"/>
        <v>45604648.810000002</v>
      </c>
      <c r="P52" s="475"/>
      <c r="Q52" s="475"/>
      <c r="R52" s="475">
        <f t="shared" si="6"/>
        <v>45604648.810000002</v>
      </c>
      <c r="S52" s="463"/>
    </row>
    <row r="53" spans="1:20" s="420" customFormat="1" ht="12">
      <c r="A53" s="474" t="s">
        <v>529</v>
      </c>
      <c r="B53" s="475"/>
      <c r="C53" s="476"/>
      <c r="D53" s="475"/>
      <c r="E53" s="475"/>
      <c r="F53" s="475"/>
      <c r="G53" s="475"/>
      <c r="H53" s="475"/>
      <c r="I53" s="475"/>
      <c r="J53" s="475"/>
      <c r="K53" s="475"/>
      <c r="L53" s="475"/>
      <c r="M53" s="475">
        <v>202047.26</v>
      </c>
      <c r="N53" s="476"/>
      <c r="O53" s="476">
        <f t="shared" si="5"/>
        <v>202047.26</v>
      </c>
      <c r="P53" s="475"/>
      <c r="Q53" s="475"/>
      <c r="R53" s="475">
        <f t="shared" si="6"/>
        <v>202047.26</v>
      </c>
      <c r="S53" s="463"/>
    </row>
    <row r="54" spans="1:20" s="420" customFormat="1" ht="12">
      <c r="A54" s="474" t="s">
        <v>93</v>
      </c>
      <c r="B54" s="476">
        <v>-3202431</v>
      </c>
      <c r="C54" s="475"/>
      <c r="D54" s="475"/>
      <c r="E54" s="475"/>
      <c r="F54" s="475"/>
      <c r="G54" s="475"/>
      <c r="H54" s="475"/>
      <c r="I54" s="475"/>
      <c r="J54" s="475"/>
      <c r="K54" s="475"/>
      <c r="L54" s="475"/>
      <c r="M54" s="475">
        <v>-56932.01</v>
      </c>
      <c r="N54" s="476"/>
      <c r="O54" s="476">
        <f t="shared" si="5"/>
        <v>-3259363.01</v>
      </c>
      <c r="P54" s="475"/>
      <c r="Q54" s="475"/>
      <c r="R54" s="475">
        <f t="shared" si="6"/>
        <v>-3259363.01</v>
      </c>
      <c r="S54" s="463"/>
    </row>
    <row r="55" spans="1:20" s="420" customFormat="1" ht="12">
      <c r="A55" s="474" t="s">
        <v>95</v>
      </c>
      <c r="B55" s="475">
        <f>B73</f>
        <v>31376175.600000001</v>
      </c>
      <c r="C55" s="493"/>
      <c r="D55" s="493">
        <v>2648674.7999999998</v>
      </c>
      <c r="E55" s="493"/>
      <c r="F55" s="475">
        <v>3513834.54</v>
      </c>
      <c r="G55" s="475">
        <v>-94319.19</v>
      </c>
      <c r="H55" s="475"/>
      <c r="I55" s="475"/>
      <c r="J55" s="475">
        <v>14205487</v>
      </c>
      <c r="K55" s="475"/>
      <c r="L55" s="476"/>
      <c r="M55" s="475">
        <v>-3973273.83</v>
      </c>
      <c r="N55" s="475"/>
      <c r="O55" s="476">
        <f t="shared" si="5"/>
        <v>47676578.920000002</v>
      </c>
      <c r="P55" s="475"/>
      <c r="Q55" s="475"/>
      <c r="R55" s="475">
        <f t="shared" si="6"/>
        <v>47676578.920000002</v>
      </c>
      <c r="S55" s="463"/>
    </row>
    <row r="56" spans="1:20" s="420" customFormat="1" ht="12">
      <c r="A56" s="479" t="s">
        <v>530</v>
      </c>
      <c r="B56" s="480"/>
      <c r="C56" s="494"/>
      <c r="D56" s="494"/>
      <c r="E56" s="494"/>
      <c r="F56" s="480"/>
      <c r="G56" s="480"/>
      <c r="H56" s="480"/>
      <c r="I56" s="480"/>
      <c r="J56" s="480"/>
      <c r="K56" s="480"/>
      <c r="L56" s="481"/>
      <c r="M56" s="480"/>
      <c r="N56" s="480"/>
      <c r="O56" s="481">
        <v>0</v>
      </c>
      <c r="P56" s="480"/>
      <c r="Q56" s="480"/>
      <c r="R56" s="480">
        <f t="shared" si="6"/>
        <v>0</v>
      </c>
      <c r="S56" s="463"/>
    </row>
    <row r="57" spans="1:20" s="491" customFormat="1" ht="12">
      <c r="A57" s="482" t="s">
        <v>100</v>
      </c>
      <c r="B57" s="483">
        <f>SUM(B47:B56)</f>
        <v>99969332.199999988</v>
      </c>
      <c r="C57" s="483">
        <f>SUM(C47:C55)</f>
        <v>0</v>
      </c>
      <c r="D57" s="483">
        <f t="shared" ref="D57:R57" si="7">SUM(D47:D56)</f>
        <v>5030169.83</v>
      </c>
      <c r="E57" s="483">
        <f t="shared" si="7"/>
        <v>0</v>
      </c>
      <c r="F57" s="483">
        <f t="shared" si="7"/>
        <v>11969198.309999999</v>
      </c>
      <c r="G57" s="483">
        <f t="shared" si="7"/>
        <v>678203.46</v>
      </c>
      <c r="H57" s="483">
        <f t="shared" si="7"/>
        <v>0</v>
      </c>
      <c r="I57" s="483">
        <f t="shared" si="7"/>
        <v>0</v>
      </c>
      <c r="J57" s="483">
        <f t="shared" si="7"/>
        <v>35504940</v>
      </c>
      <c r="K57" s="483">
        <f t="shared" si="7"/>
        <v>0</v>
      </c>
      <c r="L57" s="483">
        <f t="shared" si="7"/>
        <v>0</v>
      </c>
      <c r="M57" s="483">
        <f t="shared" si="7"/>
        <v>494493.34999999963</v>
      </c>
      <c r="N57" s="483">
        <f t="shared" si="7"/>
        <v>0</v>
      </c>
      <c r="O57" s="483">
        <f t="shared" si="7"/>
        <v>153646337.15000001</v>
      </c>
      <c r="P57" s="483">
        <f t="shared" si="7"/>
        <v>0</v>
      </c>
      <c r="Q57" s="483">
        <f t="shared" si="7"/>
        <v>0</v>
      </c>
      <c r="R57" s="484">
        <f t="shared" si="7"/>
        <v>153646337.15000001</v>
      </c>
      <c r="S57" s="472"/>
    </row>
    <row r="58" spans="1:20" s="426" customFormat="1" ht="12">
      <c r="A58" s="495"/>
      <c r="B58" s="496">
        <f t="shared" ref="B58:N58" si="8">+B25-B46-B57</f>
        <v>0</v>
      </c>
      <c r="C58" s="496">
        <f t="shared" si="8"/>
        <v>0</v>
      </c>
      <c r="D58" s="496">
        <f t="shared" si="8"/>
        <v>0</v>
      </c>
      <c r="E58" s="496">
        <f t="shared" si="8"/>
        <v>0</v>
      </c>
      <c r="F58" s="496">
        <f t="shared" si="8"/>
        <v>0</v>
      </c>
      <c r="G58" s="496">
        <f t="shared" si="8"/>
        <v>0</v>
      </c>
      <c r="H58" s="496">
        <f t="shared" si="8"/>
        <v>0</v>
      </c>
      <c r="I58" s="496">
        <f t="shared" si="8"/>
        <v>0</v>
      </c>
      <c r="J58" s="496">
        <f t="shared" si="8"/>
        <v>0</v>
      </c>
      <c r="K58" s="496">
        <f t="shared" si="8"/>
        <v>0</v>
      </c>
      <c r="L58" s="496">
        <f t="shared" si="8"/>
        <v>0</v>
      </c>
      <c r="M58" s="497">
        <f t="shared" si="8"/>
        <v>0</v>
      </c>
      <c r="N58" s="496">
        <f t="shared" si="8"/>
        <v>0</v>
      </c>
      <c r="O58" s="496"/>
      <c r="P58" s="498"/>
      <c r="Q58" s="498"/>
      <c r="R58" s="499"/>
      <c r="S58" s="463"/>
      <c r="T58" s="500"/>
    </row>
    <row r="59" spans="1:20" s="426" customFormat="1" ht="12">
      <c r="A59" s="495"/>
      <c r="B59" s="501"/>
      <c r="C59" s="501"/>
      <c r="D59" s="501"/>
      <c r="E59" s="501"/>
      <c r="F59" s="501"/>
      <c r="G59" s="501"/>
      <c r="H59" s="501"/>
      <c r="I59" s="501"/>
      <c r="J59" s="501"/>
      <c r="K59" s="501"/>
      <c r="L59" s="501"/>
      <c r="M59" s="501"/>
      <c r="N59" s="501"/>
      <c r="O59" s="501"/>
      <c r="P59" s="502"/>
      <c r="Q59" s="503"/>
      <c r="R59" s="504"/>
      <c r="S59" s="463"/>
      <c r="T59" s="500"/>
    </row>
    <row r="60" spans="1:20" s="473" customFormat="1" ht="36">
      <c r="A60" s="470" t="s">
        <v>531</v>
      </c>
      <c r="B60" s="471" t="s">
        <v>503</v>
      </c>
      <c r="C60" s="471" t="s">
        <v>504</v>
      </c>
      <c r="D60" s="471" t="s">
        <v>505</v>
      </c>
      <c r="E60" s="471" t="s">
        <v>506</v>
      </c>
      <c r="F60" s="471" t="s">
        <v>507</v>
      </c>
      <c r="G60" s="471" t="s">
        <v>508</v>
      </c>
      <c r="H60" s="471" t="s">
        <v>509</v>
      </c>
      <c r="I60" s="471" t="s">
        <v>510</v>
      </c>
      <c r="J60" s="471" t="s">
        <v>511</v>
      </c>
      <c r="K60" s="471" t="s">
        <v>512</v>
      </c>
      <c r="L60" s="471" t="s">
        <v>513</v>
      </c>
      <c r="M60" s="471" t="s">
        <v>514</v>
      </c>
      <c r="N60" s="471" t="s">
        <v>515</v>
      </c>
      <c r="O60" s="471" t="s">
        <v>259</v>
      </c>
      <c r="P60" s="505" t="s">
        <v>18</v>
      </c>
      <c r="Q60" s="505" t="s">
        <v>19</v>
      </c>
      <c r="R60" s="505" t="s">
        <v>516</v>
      </c>
      <c r="S60" s="472"/>
    </row>
    <row r="61" spans="1:20">
      <c r="A61" s="479" t="s">
        <v>101</v>
      </c>
      <c r="B61" s="506">
        <v>205835335.5</v>
      </c>
      <c r="C61" s="506"/>
      <c r="D61" s="506">
        <v>1559674.44</v>
      </c>
      <c r="E61" s="506"/>
      <c r="F61" s="506">
        <v>13800689.42</v>
      </c>
      <c r="G61" s="506">
        <v>678203.46</v>
      </c>
      <c r="H61" s="506"/>
      <c r="I61" s="506"/>
      <c r="J61" s="506">
        <v>174788764</v>
      </c>
      <c r="K61" s="506"/>
      <c r="L61" s="506"/>
      <c r="M61" s="506">
        <v>780607.18</v>
      </c>
      <c r="N61" s="506"/>
      <c r="O61" s="507">
        <f>SUM(B61:N61)</f>
        <v>397443274</v>
      </c>
      <c r="P61" s="508"/>
      <c r="Q61" s="509"/>
      <c r="R61" s="510">
        <f>O61-P61+Q61</f>
        <v>397443274</v>
      </c>
    </row>
    <row r="62" spans="1:20">
      <c r="A62" s="487" t="s">
        <v>102</v>
      </c>
      <c r="B62" s="511">
        <v>-93427191.090000004</v>
      </c>
      <c r="C62" s="511"/>
      <c r="D62" s="511">
        <v>-717000.41</v>
      </c>
      <c r="E62" s="511"/>
      <c r="F62" s="511">
        <v>-9982382.7100000009</v>
      </c>
      <c r="G62" s="511">
        <v>-346764.29</v>
      </c>
      <c r="H62" s="511"/>
      <c r="I62" s="511"/>
      <c r="J62" s="511">
        <v>-128080645</v>
      </c>
      <c r="K62" s="511"/>
      <c r="L62" s="511"/>
      <c r="M62" s="511">
        <v>-265414.81</v>
      </c>
      <c r="N62" s="511"/>
      <c r="O62" s="512">
        <f>SUM(B62:N62)</f>
        <v>-232819398.31</v>
      </c>
      <c r="P62" s="513"/>
      <c r="Q62" s="514"/>
      <c r="R62" s="515">
        <f>O62-P62+Q62</f>
        <v>-232819398.31</v>
      </c>
    </row>
    <row r="63" spans="1:20" s="417" customFormat="1" ht="12">
      <c r="A63" s="516" t="s">
        <v>103</v>
      </c>
      <c r="B63" s="517">
        <f t="shared" ref="B63:O63" si="9">SUM(B61:B62)</f>
        <v>112408144.41</v>
      </c>
      <c r="C63" s="517">
        <f t="shared" si="9"/>
        <v>0</v>
      </c>
      <c r="D63" s="517">
        <f t="shared" si="9"/>
        <v>842674.02999999991</v>
      </c>
      <c r="E63" s="517">
        <f t="shared" si="9"/>
        <v>0</v>
      </c>
      <c r="F63" s="517">
        <f t="shared" si="9"/>
        <v>3818306.709999999</v>
      </c>
      <c r="G63" s="517">
        <f t="shared" si="9"/>
        <v>331439.17</v>
      </c>
      <c r="H63" s="517">
        <f t="shared" si="9"/>
        <v>0</v>
      </c>
      <c r="I63" s="517">
        <f t="shared" si="9"/>
        <v>0</v>
      </c>
      <c r="J63" s="517">
        <f t="shared" si="9"/>
        <v>46708119</v>
      </c>
      <c r="K63" s="517">
        <f t="shared" si="9"/>
        <v>0</v>
      </c>
      <c r="L63" s="517">
        <f t="shared" si="9"/>
        <v>0</v>
      </c>
      <c r="M63" s="517">
        <f t="shared" si="9"/>
        <v>515192.37000000005</v>
      </c>
      <c r="N63" s="517">
        <f t="shared" si="9"/>
        <v>0</v>
      </c>
      <c r="O63" s="517">
        <f t="shared" si="9"/>
        <v>164623875.69</v>
      </c>
      <c r="P63" s="518"/>
      <c r="Q63" s="518"/>
      <c r="R63" s="518">
        <f>SUM(R61:R62)</f>
        <v>164623875.69</v>
      </c>
      <c r="S63" s="519"/>
    </row>
    <row r="64" spans="1:20">
      <c r="A64" s="520" t="s">
        <v>104</v>
      </c>
      <c r="B64" s="521">
        <v>-80365115.599999994</v>
      </c>
      <c r="C64" s="521"/>
      <c r="D64" s="521">
        <v>-425686.64</v>
      </c>
      <c r="E64" s="521"/>
      <c r="F64" s="521">
        <v>-2666443.21</v>
      </c>
      <c r="G64" s="521"/>
      <c r="H64" s="521"/>
      <c r="I64" s="521"/>
      <c r="J64" s="521">
        <f>-8382967-19292404</f>
        <v>-27675371</v>
      </c>
      <c r="K64" s="521"/>
      <c r="L64" s="521"/>
      <c r="M64" s="521">
        <v>-282837.74</v>
      </c>
      <c r="N64" s="521"/>
      <c r="O64" s="522">
        <f>SUM(B64:N64)</f>
        <v>-111415454.18999998</v>
      </c>
      <c r="P64" s="509"/>
      <c r="Q64" s="508"/>
      <c r="R64" s="510">
        <f>O64-P64+Q64</f>
        <v>-111415454.18999998</v>
      </c>
    </row>
    <row r="65" spans="1:22">
      <c r="A65" s="487" t="s">
        <v>105</v>
      </c>
      <c r="B65" s="511">
        <f>-563417.67+61274.44</f>
        <v>-502143.23000000004</v>
      </c>
      <c r="C65" s="511"/>
      <c r="D65" s="511">
        <v>-17805.41</v>
      </c>
      <c r="E65" s="511"/>
      <c r="F65" s="511">
        <v>-196499.73</v>
      </c>
      <c r="G65" s="511"/>
      <c r="H65" s="511"/>
      <c r="I65" s="511"/>
      <c r="J65" s="511">
        <v>1386241</v>
      </c>
      <c r="K65" s="511"/>
      <c r="L65" s="511"/>
      <c r="M65" s="511">
        <v>456.33</v>
      </c>
      <c r="N65" s="511"/>
      <c r="O65" s="512">
        <f>SUM(B65:N65)</f>
        <v>670248.95999999996</v>
      </c>
      <c r="P65" s="513"/>
      <c r="Q65" s="514"/>
      <c r="R65" s="515">
        <f>O65-P65+Q65</f>
        <v>670248.95999999996</v>
      </c>
    </row>
    <row r="66" spans="1:22" s="417" customFormat="1" ht="12">
      <c r="A66" s="516" t="s">
        <v>107</v>
      </c>
      <c r="B66" s="517">
        <f t="shared" ref="B66:O66" si="10">SUM(B63:B65)</f>
        <v>31540885.580000002</v>
      </c>
      <c r="C66" s="517">
        <f t="shared" si="10"/>
        <v>0</v>
      </c>
      <c r="D66" s="517">
        <f t="shared" si="10"/>
        <v>399181.97999999992</v>
      </c>
      <c r="E66" s="517">
        <f t="shared" si="10"/>
        <v>0</v>
      </c>
      <c r="F66" s="517">
        <f t="shared" si="10"/>
        <v>955363.76999999909</v>
      </c>
      <c r="G66" s="517">
        <f t="shared" si="10"/>
        <v>331439.17</v>
      </c>
      <c r="H66" s="517">
        <f t="shared" si="10"/>
        <v>0</v>
      </c>
      <c r="I66" s="517">
        <f t="shared" si="10"/>
        <v>0</v>
      </c>
      <c r="J66" s="517">
        <f t="shared" si="10"/>
        <v>20418989</v>
      </c>
      <c r="K66" s="517">
        <f t="shared" si="10"/>
        <v>0</v>
      </c>
      <c r="L66" s="517">
        <f t="shared" si="10"/>
        <v>0</v>
      </c>
      <c r="M66" s="517">
        <f t="shared" si="10"/>
        <v>232810.96000000005</v>
      </c>
      <c r="N66" s="517">
        <f t="shared" si="10"/>
        <v>0</v>
      </c>
      <c r="O66" s="517">
        <f t="shared" si="10"/>
        <v>53878670.460000016</v>
      </c>
      <c r="P66" s="518"/>
      <c r="Q66" s="518"/>
      <c r="R66" s="518">
        <f>SUM(R63:R65)</f>
        <v>53878670.460000016</v>
      </c>
      <c r="S66" s="519"/>
    </row>
    <row r="67" spans="1:22">
      <c r="A67" s="487" t="s">
        <v>108</v>
      </c>
      <c r="B67" s="511">
        <v>-164709.98000000001</v>
      </c>
      <c r="C67" s="511"/>
      <c r="D67" s="511"/>
      <c r="E67" s="511"/>
      <c r="F67" s="511"/>
      <c r="G67" s="511"/>
      <c r="H67" s="511"/>
      <c r="I67" s="511"/>
      <c r="J67" s="511">
        <v>-674385</v>
      </c>
      <c r="K67" s="511"/>
      <c r="L67" s="511"/>
      <c r="M67" s="511">
        <v>-7838.15</v>
      </c>
      <c r="N67" s="511"/>
      <c r="O67" s="512">
        <f>SUM(B67:N67)</f>
        <v>-846933.13</v>
      </c>
      <c r="P67" s="513"/>
      <c r="Q67" s="513"/>
      <c r="R67" s="515">
        <f>O67-P67+Q67</f>
        <v>-846933.13</v>
      </c>
    </row>
    <row r="68" spans="1:22" s="417" customFormat="1" ht="12">
      <c r="A68" s="516" t="s">
        <v>109</v>
      </c>
      <c r="B68" s="517">
        <f t="shared" ref="B68:O68" si="11">+B66+B67</f>
        <v>31376175.600000001</v>
      </c>
      <c r="C68" s="517">
        <f t="shared" si="11"/>
        <v>0</v>
      </c>
      <c r="D68" s="517">
        <f t="shared" si="11"/>
        <v>399181.97999999992</v>
      </c>
      <c r="E68" s="517">
        <f t="shared" si="11"/>
        <v>0</v>
      </c>
      <c r="F68" s="517">
        <f t="shared" si="11"/>
        <v>955363.76999999909</v>
      </c>
      <c r="G68" s="517">
        <f t="shared" si="11"/>
        <v>331439.17</v>
      </c>
      <c r="H68" s="517">
        <f t="shared" si="11"/>
        <v>0</v>
      </c>
      <c r="I68" s="517">
        <f t="shared" si="11"/>
        <v>0</v>
      </c>
      <c r="J68" s="517">
        <f t="shared" si="11"/>
        <v>19744604</v>
      </c>
      <c r="K68" s="517">
        <f t="shared" si="11"/>
        <v>0</v>
      </c>
      <c r="L68" s="517">
        <f t="shared" si="11"/>
        <v>0</v>
      </c>
      <c r="M68" s="517">
        <f t="shared" si="11"/>
        <v>224972.81000000006</v>
      </c>
      <c r="N68" s="517">
        <f t="shared" si="11"/>
        <v>0</v>
      </c>
      <c r="O68" s="517">
        <f t="shared" si="11"/>
        <v>53031737.330000013</v>
      </c>
      <c r="P68" s="523"/>
      <c r="Q68" s="523"/>
      <c r="R68" s="518">
        <f>+R66+R67</f>
        <v>53031737.330000013</v>
      </c>
      <c r="S68" s="519"/>
    </row>
    <row r="69" spans="1:22">
      <c r="A69" s="520" t="s">
        <v>110</v>
      </c>
      <c r="B69" s="521"/>
      <c r="C69" s="521"/>
      <c r="D69" s="521"/>
      <c r="E69" s="521"/>
      <c r="F69" s="521"/>
      <c r="G69" s="521"/>
      <c r="H69" s="521"/>
      <c r="I69" s="521"/>
      <c r="J69" s="521"/>
      <c r="K69" s="521"/>
      <c r="L69" s="521"/>
      <c r="M69" s="521"/>
      <c r="N69" s="521"/>
      <c r="O69" s="522">
        <f>SUM(B69:N69)</f>
        <v>0</v>
      </c>
      <c r="P69" s="509"/>
      <c r="Q69" s="509"/>
      <c r="R69" s="510">
        <f>O69-P69+Q69</f>
        <v>0</v>
      </c>
    </row>
    <row r="70" spans="1:22">
      <c r="A70" s="487" t="s">
        <v>111</v>
      </c>
      <c r="B70" s="511"/>
      <c r="C70" s="511"/>
      <c r="D70" s="511"/>
      <c r="E70" s="511"/>
      <c r="F70" s="511"/>
      <c r="G70" s="511"/>
      <c r="H70" s="511"/>
      <c r="I70" s="511"/>
      <c r="J70" s="511">
        <v>-5164625</v>
      </c>
      <c r="K70" s="511"/>
      <c r="L70" s="511"/>
      <c r="M70" s="511"/>
      <c r="N70" s="511"/>
      <c r="O70" s="512">
        <f>SUM(B70:N70)</f>
        <v>-5164625</v>
      </c>
      <c r="P70" s="515"/>
      <c r="Q70" s="513"/>
      <c r="R70" s="515">
        <f>O70-P70+Q70</f>
        <v>-5164625</v>
      </c>
    </row>
    <row r="71" spans="1:22" s="417" customFormat="1" ht="12">
      <c r="A71" s="516" t="s">
        <v>112</v>
      </c>
      <c r="B71" s="517">
        <f t="shared" ref="B71:G71" si="12">+B68+B69+B70</f>
        <v>31376175.600000001</v>
      </c>
      <c r="C71" s="517">
        <f t="shared" si="12"/>
        <v>0</v>
      </c>
      <c r="D71" s="517">
        <f t="shared" si="12"/>
        <v>399181.97999999992</v>
      </c>
      <c r="E71" s="517">
        <f t="shared" si="12"/>
        <v>0</v>
      </c>
      <c r="F71" s="517">
        <f t="shared" si="12"/>
        <v>955363.76999999909</v>
      </c>
      <c r="G71" s="517">
        <f t="shared" si="12"/>
        <v>331439.17</v>
      </c>
      <c r="H71" s="517">
        <f>+H68+H70</f>
        <v>0</v>
      </c>
      <c r="I71" s="517">
        <f>+I68+I70</f>
        <v>0</v>
      </c>
      <c r="J71" s="517">
        <f>+J68+J70</f>
        <v>14579979</v>
      </c>
      <c r="K71" s="517">
        <f>+K68+K70</f>
        <v>0</v>
      </c>
      <c r="L71" s="517">
        <f>+L68+L69+L70</f>
        <v>0</v>
      </c>
      <c r="M71" s="517">
        <f>+M68+M69+M70</f>
        <v>224972.81000000006</v>
      </c>
      <c r="N71" s="517">
        <f>+N68+N69+N70</f>
        <v>0</v>
      </c>
      <c r="O71" s="517">
        <f>+O68+O69+O70</f>
        <v>47867112.330000013</v>
      </c>
      <c r="P71" s="524"/>
      <c r="Q71" s="524"/>
      <c r="R71" s="524">
        <f>+R68+R69+R70</f>
        <v>47867112.330000013</v>
      </c>
      <c r="S71" s="519"/>
    </row>
    <row r="72" spans="1:22">
      <c r="A72" s="525" t="s">
        <v>113</v>
      </c>
      <c r="B72" s="526"/>
      <c r="C72" s="526"/>
      <c r="D72" s="526"/>
      <c r="E72" s="526"/>
      <c r="F72" s="526"/>
      <c r="G72" s="526"/>
      <c r="H72" s="526"/>
      <c r="I72" s="526"/>
      <c r="J72" s="526">
        <v>139500</v>
      </c>
      <c r="K72" s="526"/>
      <c r="L72" s="526"/>
      <c r="M72" s="526"/>
      <c r="N72" s="526"/>
      <c r="O72" s="527">
        <f>SUM(B72:N72)</f>
        <v>139500</v>
      </c>
      <c r="P72" s="528"/>
      <c r="Q72" s="528"/>
      <c r="R72" s="528">
        <f>O72-P72+Q72</f>
        <v>139500</v>
      </c>
    </row>
    <row r="73" spans="1:22" s="473" customFormat="1" ht="12">
      <c r="A73" s="529" t="s">
        <v>98</v>
      </c>
      <c r="B73" s="530">
        <f t="shared" ref="B73:O73" si="13">B71+B72</f>
        <v>31376175.600000001</v>
      </c>
      <c r="C73" s="530">
        <f t="shared" si="13"/>
        <v>0</v>
      </c>
      <c r="D73" s="530">
        <f t="shared" si="13"/>
        <v>399181.97999999992</v>
      </c>
      <c r="E73" s="530">
        <f t="shared" si="13"/>
        <v>0</v>
      </c>
      <c r="F73" s="530">
        <f t="shared" si="13"/>
        <v>955363.76999999909</v>
      </c>
      <c r="G73" s="530">
        <f t="shared" si="13"/>
        <v>331439.17</v>
      </c>
      <c r="H73" s="530">
        <f t="shared" si="13"/>
        <v>0</v>
      </c>
      <c r="I73" s="530">
        <f t="shared" si="13"/>
        <v>0</v>
      </c>
      <c r="J73" s="530">
        <f t="shared" si="13"/>
        <v>14719479</v>
      </c>
      <c r="K73" s="530">
        <f t="shared" si="13"/>
        <v>0</v>
      </c>
      <c r="L73" s="530">
        <f t="shared" si="13"/>
        <v>0</v>
      </c>
      <c r="M73" s="530">
        <f t="shared" si="13"/>
        <v>224972.81000000006</v>
      </c>
      <c r="N73" s="530">
        <f t="shared" si="13"/>
        <v>0</v>
      </c>
      <c r="O73" s="530">
        <f t="shared" si="13"/>
        <v>48006612.330000013</v>
      </c>
      <c r="P73" s="530">
        <f>SUM(P61:P72)</f>
        <v>0</v>
      </c>
      <c r="Q73" s="530">
        <f>SUM(Q61:Q72)</f>
        <v>0</v>
      </c>
      <c r="R73" s="531">
        <f>R71+R72</f>
        <v>48006612.330000013</v>
      </c>
      <c r="S73" s="472"/>
    </row>
    <row r="74" spans="1:22">
      <c r="A74" s="495"/>
      <c r="B74" s="532"/>
      <c r="C74" s="532"/>
      <c r="D74" s="532"/>
      <c r="E74" s="533"/>
      <c r="F74" s="532"/>
      <c r="G74" s="532"/>
      <c r="H74" s="532"/>
      <c r="I74" s="532"/>
      <c r="J74" s="532"/>
      <c r="K74" s="532"/>
      <c r="L74" s="532"/>
      <c r="M74" s="532"/>
      <c r="N74" s="532"/>
      <c r="O74" s="532"/>
      <c r="P74" s="532"/>
      <c r="Q74" s="532">
        <f>+P73-Q73</f>
        <v>0</v>
      </c>
      <c r="R74" s="532"/>
    </row>
    <row r="75" spans="1:22">
      <c r="A75" s="534"/>
      <c r="B75" s="440"/>
      <c r="C75" s="440"/>
      <c r="D75" s="440"/>
      <c r="E75" s="440"/>
      <c r="F75" s="440"/>
      <c r="G75" s="440"/>
      <c r="H75" s="440"/>
      <c r="I75" s="440"/>
      <c r="J75" s="440"/>
      <c r="K75" s="440"/>
      <c r="L75" s="440"/>
      <c r="M75" s="440"/>
      <c r="N75" s="440"/>
      <c r="O75" s="440"/>
      <c r="P75" s="440"/>
      <c r="Q75" s="440"/>
      <c r="R75" s="440"/>
    </row>
    <row r="76" spans="1:22">
      <c r="A76" s="535"/>
      <c r="B76" s="536">
        <f t="shared" ref="B76:O76" si="14">+B57+B46-B25</f>
        <v>0</v>
      </c>
      <c r="C76" s="536">
        <f t="shared" si="14"/>
        <v>0</v>
      </c>
      <c r="D76" s="536">
        <f t="shared" si="14"/>
        <v>0</v>
      </c>
      <c r="E76" s="536">
        <f t="shared" si="14"/>
        <v>0</v>
      </c>
      <c r="F76" s="536">
        <f t="shared" si="14"/>
        <v>0</v>
      </c>
      <c r="G76" s="536">
        <f t="shared" si="14"/>
        <v>0</v>
      </c>
      <c r="H76" s="536">
        <f t="shared" si="14"/>
        <v>0</v>
      </c>
      <c r="I76" s="536">
        <f t="shared" si="14"/>
        <v>0</v>
      </c>
      <c r="J76" s="536">
        <f t="shared" si="14"/>
        <v>0</v>
      </c>
      <c r="K76" s="536">
        <f t="shared" si="14"/>
        <v>0</v>
      </c>
      <c r="L76" s="536">
        <f t="shared" si="14"/>
        <v>0</v>
      </c>
      <c r="M76" s="536">
        <f t="shared" si="14"/>
        <v>0</v>
      </c>
      <c r="N76" s="536">
        <f t="shared" si="14"/>
        <v>0</v>
      </c>
      <c r="O76" s="536">
        <f t="shared" si="14"/>
        <v>0</v>
      </c>
      <c r="P76" s="536"/>
      <c r="Q76" s="536"/>
      <c r="R76" s="536">
        <f>+R57+R46-R25</f>
        <v>0</v>
      </c>
    </row>
    <row r="77" spans="1:22">
      <c r="B77" s="440"/>
      <c r="C77" s="440"/>
      <c r="D77" s="440"/>
      <c r="E77" s="440"/>
      <c r="F77" s="440"/>
      <c r="G77" s="440"/>
      <c r="H77" s="440"/>
      <c r="I77" s="440"/>
      <c r="J77" s="440"/>
      <c r="K77" s="440"/>
      <c r="L77" s="440"/>
      <c r="M77" s="440"/>
      <c r="N77" s="440"/>
      <c r="O77" s="440"/>
      <c r="P77" s="440"/>
      <c r="Q77" s="440"/>
      <c r="R77" s="440"/>
      <c r="T77" s="465"/>
    </row>
    <row r="78" spans="1:22">
      <c r="A78" s="537" t="s">
        <v>115</v>
      </c>
      <c r="B78" s="538">
        <f>+B73*100%</f>
        <v>31376175.600000001</v>
      </c>
      <c r="C78" s="538">
        <f>+C73*Participaciones!E16</f>
        <v>0</v>
      </c>
      <c r="D78" s="538">
        <f>+D73*Participaciones!G16</f>
        <v>399163.91746696824</v>
      </c>
      <c r="E78" s="539">
        <f>+E73*Participaciones!I16</f>
        <v>0</v>
      </c>
      <c r="F78" s="539">
        <f>+F73*Participaciones!K16</f>
        <v>477681.88499999954</v>
      </c>
      <c r="G78" s="539">
        <f>+G73*Participaciones!M16</f>
        <v>248579.3775</v>
      </c>
      <c r="H78" s="539">
        <f>+H73*Participaciones!O16</f>
        <v>0</v>
      </c>
      <c r="I78" s="539">
        <f>+I73*Participaciones!Q16</f>
        <v>0</v>
      </c>
      <c r="J78" s="539"/>
      <c r="K78" s="539">
        <f>+K73*Participaciones!S16</f>
        <v>0</v>
      </c>
      <c r="L78" s="538">
        <f>+L73*Participaciones!U16</f>
        <v>0</v>
      </c>
      <c r="M78" s="538">
        <f>+M73*Participaciones!W16</f>
        <v>222723.08190000005</v>
      </c>
      <c r="N78" s="538">
        <f>+N73*Participaciones!Y16</f>
        <v>0</v>
      </c>
      <c r="O78" s="539">
        <f>SUM(B78:N78)</f>
        <v>32724323.86186697</v>
      </c>
      <c r="P78" s="539">
        <f>+P65+P61</f>
        <v>0</v>
      </c>
      <c r="Q78" s="539">
        <f>Q62+Q65+Q64</f>
        <v>0</v>
      </c>
      <c r="R78" s="539">
        <f>+O78-P78+Q78</f>
        <v>32724323.86186697</v>
      </c>
    </row>
    <row r="79" spans="1:22">
      <c r="A79" s="540" t="s">
        <v>117</v>
      </c>
      <c r="B79" s="541">
        <f t="shared" ref="B79:I79" si="15">+B73-B78</f>
        <v>0</v>
      </c>
      <c r="C79" s="541">
        <f t="shared" si="15"/>
        <v>0</v>
      </c>
      <c r="D79" s="541">
        <f t="shared" si="15"/>
        <v>18.062533031683415</v>
      </c>
      <c r="E79" s="541">
        <f t="shared" si="15"/>
        <v>0</v>
      </c>
      <c r="F79" s="541">
        <f t="shared" si="15"/>
        <v>477681.88499999954</v>
      </c>
      <c r="G79" s="541">
        <f t="shared" si="15"/>
        <v>82859.792499999981</v>
      </c>
      <c r="H79" s="541">
        <f t="shared" si="15"/>
        <v>0</v>
      </c>
      <c r="I79" s="541">
        <f t="shared" si="15"/>
        <v>0</v>
      </c>
      <c r="J79" s="541"/>
      <c r="K79" s="541">
        <f>+K73-K78</f>
        <v>0</v>
      </c>
      <c r="L79" s="541">
        <f>+L73-L78</f>
        <v>0</v>
      </c>
      <c r="M79" s="541">
        <f>+M73-M78</f>
        <v>2249.7281000000075</v>
      </c>
      <c r="N79" s="541">
        <f>+N73-N78</f>
        <v>0</v>
      </c>
      <c r="O79" s="542">
        <f>SUM(B79:N79)</f>
        <v>562809.46813303116</v>
      </c>
      <c r="P79" s="542"/>
      <c r="Q79" s="542"/>
      <c r="R79" s="542">
        <f>+O79-P79+Q79</f>
        <v>562809.46813303116</v>
      </c>
      <c r="U79" s="420"/>
      <c r="V79" s="432"/>
    </row>
    <row r="80" spans="1:22">
      <c r="A80" s="543"/>
      <c r="B80" s="544">
        <f t="shared" ref="B80:I80" si="16">+B78+B79</f>
        <v>31376175.600000001</v>
      </c>
      <c r="C80" s="544">
        <f t="shared" si="16"/>
        <v>0</v>
      </c>
      <c r="D80" s="544">
        <f t="shared" si="16"/>
        <v>399181.97999999992</v>
      </c>
      <c r="E80" s="544">
        <f t="shared" si="16"/>
        <v>0</v>
      </c>
      <c r="F80" s="544">
        <f t="shared" si="16"/>
        <v>955363.76999999909</v>
      </c>
      <c r="G80" s="544">
        <f t="shared" si="16"/>
        <v>331439.17</v>
      </c>
      <c r="H80" s="544">
        <f t="shared" si="16"/>
        <v>0</v>
      </c>
      <c r="I80" s="544">
        <f t="shared" si="16"/>
        <v>0</v>
      </c>
      <c r="J80" s="544"/>
      <c r="K80" s="544">
        <f t="shared" ref="K80:R80" si="17">+K78+K79</f>
        <v>0</v>
      </c>
      <c r="L80" s="544">
        <f t="shared" si="17"/>
        <v>0</v>
      </c>
      <c r="M80" s="544">
        <f t="shared" si="17"/>
        <v>224972.81000000006</v>
      </c>
      <c r="N80" s="544">
        <f t="shared" si="17"/>
        <v>0</v>
      </c>
      <c r="O80" s="544">
        <f t="shared" si="17"/>
        <v>33287133.330000002</v>
      </c>
      <c r="P80" s="544">
        <f t="shared" si="17"/>
        <v>0</v>
      </c>
      <c r="Q80" s="544">
        <f t="shared" si="17"/>
        <v>0</v>
      </c>
      <c r="R80" s="544">
        <f t="shared" si="17"/>
        <v>33287133.330000002</v>
      </c>
    </row>
    <row r="81" spans="2:18">
      <c r="B81" s="440"/>
      <c r="C81" s="440"/>
      <c r="D81" s="440"/>
      <c r="E81" s="440"/>
      <c r="F81" s="440"/>
      <c r="G81" s="440"/>
      <c r="H81" s="440"/>
      <c r="I81" s="440"/>
      <c r="J81" s="440"/>
      <c r="K81" s="440"/>
      <c r="L81" s="440"/>
      <c r="M81" s="440"/>
      <c r="N81" s="440"/>
      <c r="O81" s="440"/>
      <c r="P81" s="440"/>
      <c r="Q81" s="440"/>
      <c r="R81" s="440"/>
    </row>
    <row r="82" spans="2:18">
      <c r="B82" s="440"/>
      <c r="C82" s="440"/>
      <c r="D82" s="440"/>
      <c r="E82" s="440"/>
      <c r="F82" s="440"/>
      <c r="G82" s="440"/>
      <c r="H82" s="440"/>
      <c r="I82" s="440"/>
      <c r="J82" s="440"/>
      <c r="K82" s="440"/>
      <c r="L82" s="440"/>
      <c r="M82" s="440"/>
      <c r="N82" s="440"/>
      <c r="O82" s="440"/>
      <c r="P82" s="440"/>
      <c r="Q82" s="545"/>
      <c r="R82" s="440"/>
    </row>
    <row r="83" spans="2:18">
      <c r="C83" s="432">
        <f>+C55-C73</f>
        <v>0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43"/>
  <sheetViews>
    <sheetView showGridLines="0" topLeftCell="A135" zoomScaleNormal="100" workbookViewId="0">
      <selection activeCell="D153" sqref="D153"/>
    </sheetView>
  </sheetViews>
  <sheetFormatPr defaultColWidth="11.42578125" defaultRowHeight="15" outlineLevelRow="1"/>
  <cols>
    <col min="1" max="1" width="2" style="437" customWidth="1"/>
    <col min="2" max="2" width="19.140625" style="546" customWidth="1"/>
    <col min="3" max="3" width="56.85546875" style="437" customWidth="1"/>
    <col min="4" max="5" width="12.7109375" style="547" customWidth="1"/>
    <col min="6" max="6" width="11.5703125" style="437" customWidth="1"/>
    <col min="7" max="9" width="11.42578125" style="437"/>
    <col min="10" max="10" width="11.5703125" style="437" customWidth="1"/>
    <col min="11" max="1024" width="11.42578125" style="437"/>
  </cols>
  <sheetData>
    <row r="1" spans="2:10" hidden="1" outlineLevel="1"/>
    <row r="2" spans="2:10" hidden="1" outlineLevel="1">
      <c r="B2" s="548" t="s">
        <v>199</v>
      </c>
      <c r="C2" s="549" t="s">
        <v>532</v>
      </c>
      <c r="D2" s="550" t="s">
        <v>200</v>
      </c>
      <c r="E2" s="550" t="s">
        <v>201</v>
      </c>
      <c r="I2" s="547"/>
    </row>
    <row r="3" spans="2:10" hidden="1" outlineLevel="1">
      <c r="C3" s="551" t="s">
        <v>533</v>
      </c>
      <c r="I3" s="437" t="s">
        <v>245</v>
      </c>
      <c r="J3" s="547">
        <v>366832</v>
      </c>
    </row>
    <row r="4" spans="2:10" hidden="1" outlineLevel="1">
      <c r="B4" s="546" t="s">
        <v>462</v>
      </c>
      <c r="C4" s="437" t="s">
        <v>87</v>
      </c>
      <c r="D4" s="547">
        <v>1104950</v>
      </c>
      <c r="I4" s="437" t="s">
        <v>280</v>
      </c>
      <c r="J4" s="547">
        <v>943459</v>
      </c>
    </row>
    <row r="5" spans="2:10" hidden="1" outlineLevel="1">
      <c r="B5" s="546" t="s">
        <v>462</v>
      </c>
      <c r="C5" s="437" t="s">
        <v>147</v>
      </c>
      <c r="D5" s="547">
        <v>877313</v>
      </c>
      <c r="I5" s="437" t="s">
        <v>281</v>
      </c>
      <c r="J5" s="547">
        <v>147840</v>
      </c>
    </row>
    <row r="6" spans="2:10" hidden="1" outlineLevel="1">
      <c r="B6" s="552" t="s">
        <v>462</v>
      </c>
      <c r="C6" s="553" t="s">
        <v>463</v>
      </c>
      <c r="D6" s="554">
        <v>673934</v>
      </c>
      <c r="E6" s="554"/>
      <c r="I6" s="437" t="s">
        <v>282</v>
      </c>
      <c r="J6" s="547">
        <v>140052</v>
      </c>
    </row>
    <row r="7" spans="2:10" hidden="1" outlineLevel="1">
      <c r="B7" s="552" t="s">
        <v>462</v>
      </c>
      <c r="C7" s="553" t="s">
        <v>464</v>
      </c>
      <c r="D7" s="554">
        <v>1660952</v>
      </c>
      <c r="E7" s="553"/>
      <c r="I7" s="437" t="s">
        <v>534</v>
      </c>
      <c r="J7" s="555">
        <v>8000</v>
      </c>
    </row>
    <row r="8" spans="2:10" hidden="1" outlineLevel="1">
      <c r="B8" s="552" t="s">
        <v>462</v>
      </c>
      <c r="C8" s="553" t="s">
        <v>487</v>
      </c>
      <c r="D8" s="554">
        <v>21</v>
      </c>
      <c r="E8" s="553"/>
      <c r="J8" s="547">
        <f>+SUM(J3:J7)</f>
        <v>1606183</v>
      </c>
    </row>
    <row r="9" spans="2:10" hidden="1" outlineLevel="1">
      <c r="B9" s="552" t="s">
        <v>212</v>
      </c>
      <c r="C9" s="553" t="s">
        <v>463</v>
      </c>
      <c r="D9" s="554">
        <v>27806</v>
      </c>
      <c r="E9" s="553"/>
    </row>
    <row r="10" spans="2:10" hidden="1" outlineLevel="1">
      <c r="B10" s="552" t="s">
        <v>462</v>
      </c>
      <c r="C10" s="553" t="s">
        <v>535</v>
      </c>
      <c r="D10" s="556"/>
      <c r="E10" s="554">
        <v>27806</v>
      </c>
    </row>
    <row r="11" spans="2:10" hidden="1" outlineLevel="1">
      <c r="B11" s="546" t="s">
        <v>212</v>
      </c>
      <c r="C11" s="437" t="s">
        <v>488</v>
      </c>
      <c r="E11" s="547">
        <v>1982263</v>
      </c>
    </row>
    <row r="12" spans="2:10" hidden="1" outlineLevel="1">
      <c r="B12" s="552" t="s">
        <v>212</v>
      </c>
      <c r="C12" s="553" t="s">
        <v>477</v>
      </c>
      <c r="D12" s="557"/>
      <c r="E12" s="557">
        <v>2334907</v>
      </c>
    </row>
    <row r="13" spans="2:10" hidden="1" outlineLevel="1">
      <c r="C13" s="437" t="s">
        <v>536</v>
      </c>
      <c r="D13" s="547">
        <f>+SUM(D4:D12)</f>
        <v>4344976</v>
      </c>
      <c r="E13" s="547">
        <f>+SUM(E4:E12)</f>
        <v>4344976</v>
      </c>
      <c r="F13" s="558">
        <f>+D13-E13</f>
        <v>0</v>
      </c>
    </row>
    <row r="14" spans="2:10" hidden="1" outlineLevel="1"/>
    <row r="15" spans="2:10" hidden="1" outlineLevel="1">
      <c r="C15" s="551" t="s">
        <v>537</v>
      </c>
    </row>
    <row r="16" spans="2:10" hidden="1" outlineLevel="1">
      <c r="B16" s="546" t="s">
        <v>538</v>
      </c>
      <c r="C16" s="437" t="s">
        <v>87</v>
      </c>
      <c r="D16" s="547">
        <v>800</v>
      </c>
      <c r="I16" s="547"/>
    </row>
    <row r="17" spans="2:6" hidden="1" outlineLevel="1">
      <c r="B17" s="546" t="s">
        <v>538</v>
      </c>
      <c r="C17" s="437" t="s">
        <v>436</v>
      </c>
      <c r="D17" s="547">
        <v>340</v>
      </c>
    </row>
    <row r="18" spans="2:6" hidden="1" outlineLevel="1">
      <c r="B18" s="546" t="s">
        <v>212</v>
      </c>
      <c r="C18" s="553" t="s">
        <v>539</v>
      </c>
      <c r="D18" s="554">
        <f>+E19-D17-D16</f>
        <v>1113036</v>
      </c>
      <c r="E18" s="554"/>
    </row>
    <row r="19" spans="2:6" hidden="1" outlineLevel="1">
      <c r="B19" s="546" t="s">
        <v>212</v>
      </c>
      <c r="C19" s="553" t="s">
        <v>488</v>
      </c>
      <c r="D19" s="557"/>
      <c r="E19" s="557">
        <v>1114176</v>
      </c>
      <c r="F19" s="558">
        <f>+E19-D18</f>
        <v>1140</v>
      </c>
    </row>
    <row r="20" spans="2:6" hidden="1" outlineLevel="1">
      <c r="C20" s="437" t="s">
        <v>540</v>
      </c>
      <c r="D20" s="547">
        <f>+SUM(D16:D19)</f>
        <v>1114176</v>
      </c>
      <c r="E20" s="547">
        <f>+SUM(E16:E19)</f>
        <v>1114176</v>
      </c>
      <c r="F20" s="558">
        <f>+D20-E20</f>
        <v>0</v>
      </c>
    </row>
    <row r="21" spans="2:6" hidden="1" outlineLevel="1"/>
    <row r="22" spans="2:6" hidden="1" outlineLevel="1">
      <c r="C22" s="551" t="s">
        <v>541</v>
      </c>
    </row>
    <row r="23" spans="2:6" hidden="1" outlineLevel="1">
      <c r="B23" s="546" t="s">
        <v>280</v>
      </c>
      <c r="C23" s="437" t="s">
        <v>87</v>
      </c>
      <c r="D23" s="547">
        <v>6800</v>
      </c>
    </row>
    <row r="24" spans="2:6" hidden="1" outlineLevel="1">
      <c r="B24" s="546" t="s">
        <v>280</v>
      </c>
      <c r="C24" s="437" t="s">
        <v>542</v>
      </c>
      <c r="D24" s="547">
        <v>74427</v>
      </c>
    </row>
    <row r="25" spans="2:6" hidden="1" outlineLevel="1">
      <c r="B25" s="546" t="s">
        <v>280</v>
      </c>
      <c r="C25" s="437" t="s">
        <v>149</v>
      </c>
      <c r="D25" s="547">
        <f>+E28-D23-D24</f>
        <v>862232</v>
      </c>
    </row>
    <row r="26" spans="2:6" hidden="1" outlineLevel="1">
      <c r="B26" s="546" t="s">
        <v>212</v>
      </c>
      <c r="C26" s="437" t="s">
        <v>543</v>
      </c>
      <c r="D26" s="547">
        <f>+E28</f>
        <v>943459</v>
      </c>
    </row>
    <row r="27" spans="2:6" s="437" customFormat="1" ht="12" hidden="1" outlineLevel="1">
      <c r="B27" s="546" t="s">
        <v>208</v>
      </c>
      <c r="C27" s="437" t="s">
        <v>544</v>
      </c>
      <c r="E27" s="547">
        <f>+D26</f>
        <v>943459</v>
      </c>
      <c r="F27" s="558">
        <f>+E27-D25</f>
        <v>81227</v>
      </c>
    </row>
    <row r="28" spans="2:6" hidden="1" outlineLevel="1">
      <c r="B28" s="546" t="s">
        <v>212</v>
      </c>
      <c r="C28" s="437" t="s">
        <v>488</v>
      </c>
      <c r="D28" s="555"/>
      <c r="E28" s="555">
        <v>943459</v>
      </c>
    </row>
    <row r="29" spans="2:6" hidden="1" outlineLevel="1">
      <c r="C29" s="437" t="s">
        <v>545</v>
      </c>
      <c r="D29" s="547">
        <f>+SUM(D23:D28)</f>
        <v>1886918</v>
      </c>
      <c r="E29" s="547">
        <f>+SUM(E23:E28)</f>
        <v>1886918</v>
      </c>
      <c r="F29" s="558">
        <f>+D29-E29</f>
        <v>0</v>
      </c>
    </row>
    <row r="30" spans="2:6" hidden="1" outlineLevel="1"/>
    <row r="31" spans="2:6" hidden="1" outlineLevel="1">
      <c r="C31" s="551" t="s">
        <v>546</v>
      </c>
    </row>
    <row r="32" spans="2:6" hidden="1" outlineLevel="1">
      <c r="B32" s="546" t="s">
        <v>432</v>
      </c>
      <c r="C32" s="437" t="s">
        <v>87</v>
      </c>
      <c r="D32" s="547">
        <v>750</v>
      </c>
    </row>
    <row r="33" spans="2:6" hidden="1" outlineLevel="1">
      <c r="B33" s="546" t="s">
        <v>432</v>
      </c>
      <c r="C33" s="437" t="s">
        <v>436</v>
      </c>
      <c r="D33" s="547">
        <v>109633</v>
      </c>
    </row>
    <row r="34" spans="2:6" hidden="1" outlineLevel="1">
      <c r="B34" s="546" t="s">
        <v>432</v>
      </c>
      <c r="C34" s="437" t="s">
        <v>147</v>
      </c>
      <c r="D34" s="547">
        <v>330450</v>
      </c>
    </row>
    <row r="35" spans="2:6" hidden="1" outlineLevel="1">
      <c r="B35" s="546" t="s">
        <v>432</v>
      </c>
      <c r="C35" s="437" t="s">
        <v>149</v>
      </c>
      <c r="D35" s="547">
        <f>+E36-D32-D33-D34</f>
        <v>21667</v>
      </c>
    </row>
    <row r="36" spans="2:6" hidden="1" outlineLevel="1">
      <c r="B36" s="546" t="s">
        <v>212</v>
      </c>
      <c r="C36" s="437" t="s">
        <v>488</v>
      </c>
      <c r="D36" s="555"/>
      <c r="E36" s="555">
        <v>462500</v>
      </c>
    </row>
    <row r="37" spans="2:6" hidden="1" outlineLevel="1">
      <c r="C37" s="437" t="s">
        <v>547</v>
      </c>
      <c r="D37" s="547">
        <f>+SUM(D32:D36)</f>
        <v>462500</v>
      </c>
      <c r="E37" s="547">
        <f>+SUM(E32:E36)</f>
        <v>462500</v>
      </c>
      <c r="F37" s="558">
        <f>+D37-E37</f>
        <v>0</v>
      </c>
    </row>
    <row r="38" spans="2:6" hidden="1" outlineLevel="1"/>
    <row r="39" spans="2:6" hidden="1" outlineLevel="1">
      <c r="C39" s="551" t="s">
        <v>548</v>
      </c>
    </row>
    <row r="40" spans="2:6" hidden="1" outlineLevel="1">
      <c r="B40" s="546" t="s">
        <v>243</v>
      </c>
      <c r="C40" s="437" t="s">
        <v>87</v>
      </c>
      <c r="D40" s="547">
        <v>3751</v>
      </c>
    </row>
    <row r="41" spans="2:6" hidden="1" outlineLevel="1">
      <c r="B41" s="546" t="s">
        <v>243</v>
      </c>
      <c r="C41" s="437" t="s">
        <v>147</v>
      </c>
      <c r="D41" s="547">
        <v>27854948</v>
      </c>
    </row>
    <row r="42" spans="2:6" hidden="1" outlineLevel="1">
      <c r="B42" s="546" t="s">
        <v>212</v>
      </c>
      <c r="C42" s="437" t="s">
        <v>488</v>
      </c>
      <c r="D42" s="555"/>
      <c r="E42" s="555">
        <v>27858699</v>
      </c>
    </row>
    <row r="43" spans="2:6" hidden="1" outlineLevel="1">
      <c r="C43" s="437" t="s">
        <v>549</v>
      </c>
      <c r="D43" s="547">
        <f>+D40+D41+D42</f>
        <v>27858699</v>
      </c>
      <c r="E43" s="547">
        <f>+E40+E41+E42</f>
        <v>27858699</v>
      </c>
    </row>
    <row r="44" spans="2:6" hidden="1" outlineLevel="1"/>
    <row r="45" spans="2:6" hidden="1" outlineLevel="1">
      <c r="C45" s="551" t="s">
        <v>550</v>
      </c>
    </row>
    <row r="46" spans="2:6" hidden="1" outlineLevel="1">
      <c r="B46" s="552" t="s">
        <v>243</v>
      </c>
      <c r="C46" s="553" t="s">
        <v>464</v>
      </c>
      <c r="D46" s="554">
        <v>2278797</v>
      </c>
      <c r="E46" s="554"/>
    </row>
    <row r="47" spans="2:6" hidden="1" outlineLevel="1">
      <c r="B47" s="552" t="s">
        <v>243</v>
      </c>
      <c r="C47" s="553" t="s">
        <v>464</v>
      </c>
      <c r="D47" s="554">
        <v>865104</v>
      </c>
      <c r="E47" s="554"/>
    </row>
    <row r="48" spans="2:6" hidden="1" outlineLevel="1">
      <c r="B48" s="552" t="s">
        <v>243</v>
      </c>
      <c r="C48" s="553" t="s">
        <v>464</v>
      </c>
      <c r="D48" s="554">
        <v>3965967</v>
      </c>
      <c r="E48" s="553"/>
    </row>
    <row r="49" spans="2:8" hidden="1" outlineLevel="1">
      <c r="B49" s="552" t="s">
        <v>212</v>
      </c>
      <c r="C49" s="553" t="s">
        <v>535</v>
      </c>
      <c r="D49" s="554"/>
      <c r="E49" s="554">
        <v>93795</v>
      </c>
    </row>
    <row r="50" spans="2:8" hidden="1" outlineLevel="1">
      <c r="B50" s="552" t="s">
        <v>243</v>
      </c>
      <c r="C50" s="553" t="s">
        <v>477</v>
      </c>
      <c r="D50" s="554"/>
      <c r="E50" s="554">
        <v>3965967</v>
      </c>
    </row>
    <row r="51" spans="2:8" hidden="1" outlineLevel="1">
      <c r="B51" s="546" t="s">
        <v>212</v>
      </c>
      <c r="C51" s="437" t="s">
        <v>551</v>
      </c>
      <c r="E51" s="547">
        <v>738602</v>
      </c>
      <c r="F51" s="558"/>
      <c r="G51" s="558"/>
    </row>
    <row r="52" spans="2:8" hidden="1" outlineLevel="1">
      <c r="B52" s="552" t="s">
        <v>212</v>
      </c>
      <c r="C52" s="553" t="s">
        <v>477</v>
      </c>
      <c r="D52" s="557"/>
      <c r="E52" s="557">
        <v>2311504</v>
      </c>
    </row>
    <row r="53" spans="2:8" hidden="1" outlineLevel="1">
      <c r="C53" s="437" t="s">
        <v>552</v>
      </c>
      <c r="D53" s="558">
        <f>+SUM(D46:D52)</f>
        <v>7109868</v>
      </c>
      <c r="E53" s="558">
        <f>+SUM(E46:E52)</f>
        <v>7109868</v>
      </c>
      <c r="F53" s="558"/>
    </row>
    <row r="54" spans="2:8" hidden="1" outlineLevel="1">
      <c r="F54" s="558"/>
      <c r="G54" s="558"/>
      <c r="H54" s="559"/>
    </row>
    <row r="55" spans="2:8" hidden="1" outlineLevel="1">
      <c r="C55" s="551" t="s">
        <v>553</v>
      </c>
    </row>
    <row r="56" spans="2:8" hidden="1" outlineLevel="1">
      <c r="B56" s="546" t="s">
        <v>281</v>
      </c>
      <c r="C56" s="437" t="s">
        <v>87</v>
      </c>
      <c r="D56" s="547">
        <v>500</v>
      </c>
    </row>
    <row r="57" spans="2:8" hidden="1" outlineLevel="1">
      <c r="B57" s="546" t="s">
        <v>281</v>
      </c>
      <c r="C57" s="437" t="s">
        <v>542</v>
      </c>
      <c r="D57" s="547">
        <v>500</v>
      </c>
    </row>
    <row r="58" spans="2:8" hidden="1" outlineLevel="1">
      <c r="B58" s="546" t="s">
        <v>281</v>
      </c>
      <c r="C58" s="437" t="s">
        <v>147</v>
      </c>
      <c r="D58" s="547">
        <v>49015</v>
      </c>
    </row>
    <row r="59" spans="2:8" hidden="1" outlineLevel="1">
      <c r="B59" s="546" t="s">
        <v>281</v>
      </c>
      <c r="C59" s="437" t="s">
        <v>149</v>
      </c>
      <c r="D59" s="547">
        <f>+E63-D58-D57-D56</f>
        <v>97825</v>
      </c>
    </row>
    <row r="60" spans="2:8" hidden="1" outlineLevel="1">
      <c r="B60" s="552" t="s">
        <v>281</v>
      </c>
      <c r="C60" s="553" t="s">
        <v>463</v>
      </c>
      <c r="D60" s="554">
        <v>950362</v>
      </c>
    </row>
    <row r="61" spans="2:8" hidden="1" outlineLevel="1">
      <c r="B61" s="546" t="s">
        <v>212</v>
      </c>
      <c r="C61" s="437" t="s">
        <v>543</v>
      </c>
      <c r="D61" s="547">
        <v>147840</v>
      </c>
    </row>
    <row r="62" spans="2:8" hidden="1" outlineLevel="1">
      <c r="B62" s="546" t="s">
        <v>208</v>
      </c>
      <c r="C62" s="437" t="s">
        <v>544</v>
      </c>
      <c r="E62" s="547">
        <f>+D61</f>
        <v>147840</v>
      </c>
    </row>
    <row r="63" spans="2:8" hidden="1" outlineLevel="1">
      <c r="B63" s="546" t="s">
        <v>212</v>
      </c>
      <c r="C63" s="437" t="s">
        <v>488</v>
      </c>
      <c r="E63" s="547">
        <v>147840</v>
      </c>
    </row>
    <row r="64" spans="2:8" hidden="1" outlineLevel="1">
      <c r="B64" s="552" t="s">
        <v>212</v>
      </c>
      <c r="C64" s="553" t="s">
        <v>477</v>
      </c>
      <c r="D64" s="557"/>
      <c r="E64" s="557">
        <v>950362</v>
      </c>
    </row>
    <row r="65" spans="2:6" hidden="1" outlineLevel="1">
      <c r="C65" s="437" t="s">
        <v>554</v>
      </c>
      <c r="D65" s="547">
        <f>+SUM(D56:D64)</f>
        <v>1246042</v>
      </c>
      <c r="E65" s="547">
        <f>+SUM(E56:E64)</f>
        <v>1246042</v>
      </c>
      <c r="F65" s="558">
        <f>+D65-E65</f>
        <v>0</v>
      </c>
    </row>
    <row r="66" spans="2:6" hidden="1" outlineLevel="1"/>
    <row r="67" spans="2:6" hidden="1" outlineLevel="1">
      <c r="C67" s="551" t="s">
        <v>555</v>
      </c>
    </row>
    <row r="68" spans="2:6" hidden="1" outlineLevel="1">
      <c r="B68" s="546" t="s">
        <v>282</v>
      </c>
      <c r="C68" s="437" t="s">
        <v>87</v>
      </c>
      <c r="D68" s="547">
        <v>4640</v>
      </c>
    </row>
    <row r="69" spans="2:6" hidden="1" outlineLevel="1">
      <c r="B69" s="546" t="s">
        <v>282</v>
      </c>
      <c r="C69" s="437" t="s">
        <v>436</v>
      </c>
      <c r="D69" s="547">
        <v>1226</v>
      </c>
    </row>
    <row r="70" spans="2:6" hidden="1" outlineLevel="1">
      <c r="B70" s="546" t="s">
        <v>282</v>
      </c>
      <c r="C70" s="437" t="s">
        <v>149</v>
      </c>
      <c r="D70" s="547">
        <f>+E73-D69-D68</f>
        <v>134186</v>
      </c>
    </row>
    <row r="71" spans="2:6" hidden="1" outlineLevel="1">
      <c r="B71" s="546" t="s">
        <v>212</v>
      </c>
      <c r="C71" s="437" t="s">
        <v>543</v>
      </c>
      <c r="D71" s="547">
        <v>140052</v>
      </c>
    </row>
    <row r="72" spans="2:6" hidden="1" outlineLevel="1">
      <c r="B72" s="546" t="s">
        <v>208</v>
      </c>
      <c r="C72" s="437" t="s">
        <v>544</v>
      </c>
      <c r="E72" s="547">
        <f>+D71</f>
        <v>140052</v>
      </c>
    </row>
    <row r="73" spans="2:6" hidden="1" outlineLevel="1">
      <c r="B73" s="546" t="s">
        <v>212</v>
      </c>
      <c r="C73" s="437" t="s">
        <v>488</v>
      </c>
      <c r="D73" s="555"/>
      <c r="E73" s="555">
        <v>140052</v>
      </c>
    </row>
    <row r="74" spans="2:6" hidden="1" outlineLevel="1">
      <c r="C74" s="437" t="s">
        <v>556</v>
      </c>
      <c r="D74" s="547">
        <f>+SUM(D68:D73)</f>
        <v>280104</v>
      </c>
      <c r="E74" s="547">
        <f>+SUM(E68:E73)</f>
        <v>280104</v>
      </c>
      <c r="F74" s="558">
        <f>+D74-E74</f>
        <v>0</v>
      </c>
    </row>
    <row r="75" spans="2:6" hidden="1" outlineLevel="1">
      <c r="F75" s="558"/>
    </row>
    <row r="76" spans="2:6" hidden="1" outlineLevel="1">
      <c r="C76" s="551" t="s">
        <v>557</v>
      </c>
    </row>
    <row r="77" spans="2:6" hidden="1" outlineLevel="1">
      <c r="B77" s="546" t="s">
        <v>433</v>
      </c>
      <c r="C77" s="437" t="s">
        <v>87</v>
      </c>
      <c r="D77" s="547">
        <v>6000</v>
      </c>
    </row>
    <row r="78" spans="2:6" hidden="1" outlineLevel="1">
      <c r="B78" s="546" t="s">
        <v>212</v>
      </c>
      <c r="C78" s="437" t="s">
        <v>488</v>
      </c>
      <c r="D78" s="555"/>
      <c r="E78" s="555">
        <f>+D77</f>
        <v>6000</v>
      </c>
      <c r="F78" s="558"/>
    </row>
    <row r="79" spans="2:6" hidden="1" outlineLevel="1">
      <c r="C79" s="437" t="s">
        <v>558</v>
      </c>
      <c r="D79" s="547">
        <f>+D77+D78</f>
        <v>6000</v>
      </c>
      <c r="E79" s="547">
        <f>+E77+E78</f>
        <v>6000</v>
      </c>
      <c r="F79" s="558">
        <f>+D79-E79</f>
        <v>0</v>
      </c>
    </row>
    <row r="80" spans="2:6" hidden="1" outlineLevel="1">
      <c r="F80" s="558"/>
    </row>
    <row r="81" spans="2:6" hidden="1" outlineLevel="1">
      <c r="C81" s="551" t="s">
        <v>559</v>
      </c>
    </row>
    <row r="82" spans="2:6" hidden="1" outlineLevel="1">
      <c r="B82" s="546" t="s">
        <v>245</v>
      </c>
      <c r="C82" s="437" t="s">
        <v>87</v>
      </c>
      <c r="D82" s="547">
        <v>740</v>
      </c>
    </row>
    <row r="83" spans="2:6" hidden="1" outlineLevel="1">
      <c r="B83" s="546" t="s">
        <v>245</v>
      </c>
      <c r="C83" s="437" t="s">
        <v>147</v>
      </c>
      <c r="D83" s="547">
        <v>1833418</v>
      </c>
    </row>
    <row r="84" spans="2:6" hidden="1" outlineLevel="1">
      <c r="B84" s="552" t="s">
        <v>245</v>
      </c>
      <c r="C84" s="553" t="s">
        <v>463</v>
      </c>
      <c r="D84" s="554">
        <v>6331</v>
      </c>
    </row>
    <row r="85" spans="2:6" hidden="1" outlineLevel="1">
      <c r="B85" s="552" t="s">
        <v>245</v>
      </c>
      <c r="C85" s="553" t="s">
        <v>464</v>
      </c>
      <c r="D85" s="554">
        <v>4144540</v>
      </c>
    </row>
    <row r="86" spans="2:6" hidden="1" outlineLevel="1">
      <c r="B86" s="552" t="s">
        <v>245</v>
      </c>
      <c r="C86" s="553" t="s">
        <v>487</v>
      </c>
      <c r="D86" s="554">
        <f>5699+1</f>
        <v>5700</v>
      </c>
    </row>
    <row r="87" spans="2:6" hidden="1" outlineLevel="1">
      <c r="B87" s="546" t="s">
        <v>212</v>
      </c>
      <c r="C87" s="437" t="s">
        <v>543</v>
      </c>
      <c r="D87" s="547">
        <v>366832</v>
      </c>
    </row>
    <row r="88" spans="2:6" hidden="1" outlineLevel="1">
      <c r="B88" s="546" t="s">
        <v>212</v>
      </c>
      <c r="C88" s="437" t="s">
        <v>488</v>
      </c>
      <c r="E88" s="547">
        <v>1834158</v>
      </c>
    </row>
    <row r="89" spans="2:6" hidden="1" outlineLevel="1">
      <c r="B89" s="546" t="s">
        <v>212</v>
      </c>
      <c r="C89" s="437" t="s">
        <v>560</v>
      </c>
      <c r="E89" s="547">
        <v>366832</v>
      </c>
    </row>
    <row r="90" spans="2:6" hidden="1" outlineLevel="1">
      <c r="B90" s="552" t="s">
        <v>212</v>
      </c>
      <c r="C90" s="553" t="s">
        <v>477</v>
      </c>
      <c r="D90" s="557"/>
      <c r="E90" s="557">
        <v>4156571</v>
      </c>
    </row>
    <row r="91" spans="2:6" hidden="1" outlineLevel="1">
      <c r="C91" s="437" t="s">
        <v>561</v>
      </c>
      <c r="D91" s="547">
        <f>+SUM(D82:D90)</f>
        <v>6357561</v>
      </c>
      <c r="E91" s="547">
        <f>+SUM(E82:E90)</f>
        <v>6357561</v>
      </c>
      <c r="F91" s="558">
        <f>+D91-E91</f>
        <v>0</v>
      </c>
    </row>
    <row r="92" spans="2:6" hidden="1" outlineLevel="1"/>
    <row r="93" spans="2:6" hidden="1" outlineLevel="1">
      <c r="C93" s="551" t="s">
        <v>562</v>
      </c>
    </row>
    <row r="94" spans="2:6" hidden="1" outlineLevel="1">
      <c r="B94" s="546" t="s">
        <v>247</v>
      </c>
      <c r="C94" s="437" t="s">
        <v>87</v>
      </c>
      <c r="D94" s="547">
        <v>3624786</v>
      </c>
    </row>
    <row r="95" spans="2:6" hidden="1" outlineLevel="1">
      <c r="B95" s="546" t="s">
        <v>247</v>
      </c>
      <c r="C95" s="437" t="s">
        <v>147</v>
      </c>
      <c r="D95" s="547">
        <v>292500</v>
      </c>
    </row>
    <row r="96" spans="2:6" hidden="1" outlineLevel="1">
      <c r="B96" s="546" t="s">
        <v>247</v>
      </c>
      <c r="C96" s="437" t="s">
        <v>563</v>
      </c>
      <c r="D96" s="547">
        <v>274690</v>
      </c>
    </row>
    <row r="97" spans="2:6" hidden="1" outlineLevel="1">
      <c r="B97" s="552" t="s">
        <v>247</v>
      </c>
      <c r="C97" s="553" t="s">
        <v>463</v>
      </c>
      <c r="D97" s="554">
        <v>282302</v>
      </c>
    </row>
    <row r="98" spans="2:6" hidden="1" outlineLevel="1">
      <c r="B98" s="552" t="s">
        <v>247</v>
      </c>
      <c r="C98" s="553" t="s">
        <v>464</v>
      </c>
      <c r="D98" s="554">
        <v>658889</v>
      </c>
    </row>
    <row r="99" spans="2:6" s="437" customFormat="1" ht="12" hidden="1" outlineLevel="1">
      <c r="B99" s="552" t="s">
        <v>208</v>
      </c>
      <c r="C99" s="553" t="s">
        <v>72</v>
      </c>
      <c r="D99" s="554">
        <v>238</v>
      </c>
    </row>
    <row r="100" spans="2:6" hidden="1" outlineLevel="1">
      <c r="B100" s="546" t="s">
        <v>247</v>
      </c>
      <c r="C100" s="437" t="s">
        <v>564</v>
      </c>
      <c r="E100" s="547">
        <v>56932</v>
      </c>
    </row>
    <row r="101" spans="2:6" hidden="1" outlineLevel="1">
      <c r="B101" s="552" t="s">
        <v>212</v>
      </c>
      <c r="C101" s="553" t="s">
        <v>535</v>
      </c>
      <c r="D101" s="554"/>
      <c r="E101" s="554">
        <v>72</v>
      </c>
    </row>
    <row r="102" spans="2:6" hidden="1" outlineLevel="1">
      <c r="B102" s="552" t="s">
        <v>212</v>
      </c>
      <c r="C102" s="553" t="s">
        <v>565</v>
      </c>
      <c r="D102" s="554"/>
      <c r="E102" s="554">
        <v>411576</v>
      </c>
      <c r="F102" s="558">
        <f>+D97+D98+D99-E101-E102</f>
        <v>529781</v>
      </c>
    </row>
    <row r="103" spans="2:6" hidden="1" outlineLevel="1">
      <c r="B103" s="546" t="s">
        <v>212</v>
      </c>
      <c r="C103" s="437" t="s">
        <v>488</v>
      </c>
      <c r="E103" s="547">
        <v>1173781</v>
      </c>
    </row>
    <row r="104" spans="2:6" hidden="1" outlineLevel="1">
      <c r="B104" s="546" t="s">
        <v>208</v>
      </c>
      <c r="C104" s="437" t="s">
        <v>566</v>
      </c>
      <c r="D104" s="555"/>
      <c r="E104" s="555">
        <v>3491044</v>
      </c>
    </row>
    <row r="105" spans="2:6" hidden="1" outlineLevel="1">
      <c r="C105" s="437" t="s">
        <v>567</v>
      </c>
      <c r="D105" s="547">
        <f>+SUM(D94:D104)</f>
        <v>5133405</v>
      </c>
      <c r="E105" s="547">
        <f>+SUM(E94:E104)</f>
        <v>5133405</v>
      </c>
      <c r="F105" s="558">
        <f>+E105-D105</f>
        <v>0</v>
      </c>
    </row>
    <row r="106" spans="2:6" hidden="1" outlineLevel="1"/>
    <row r="107" spans="2:6" hidden="1" outlineLevel="1">
      <c r="C107" s="551" t="s">
        <v>568</v>
      </c>
    </row>
    <row r="108" spans="2:6" hidden="1" outlineLevel="1">
      <c r="B108" s="546" t="s">
        <v>32</v>
      </c>
      <c r="C108" s="437" t="s">
        <v>87</v>
      </c>
      <c r="D108" s="547">
        <v>10000</v>
      </c>
    </row>
    <row r="109" spans="2:6" hidden="1" outlineLevel="1">
      <c r="B109" s="552" t="s">
        <v>32</v>
      </c>
      <c r="C109" s="553" t="s">
        <v>463</v>
      </c>
      <c r="D109" s="554">
        <v>27651</v>
      </c>
    </row>
    <row r="110" spans="2:6" hidden="1" outlineLevel="1">
      <c r="B110" s="552" t="s">
        <v>32</v>
      </c>
      <c r="C110" s="553" t="s">
        <v>569</v>
      </c>
      <c r="D110" s="554">
        <v>49358</v>
      </c>
    </row>
    <row r="111" spans="2:6" hidden="1" outlineLevel="1">
      <c r="B111" s="552" t="s">
        <v>32</v>
      </c>
      <c r="C111" s="553" t="s">
        <v>464</v>
      </c>
      <c r="D111" s="554">
        <v>1193125</v>
      </c>
    </row>
    <row r="112" spans="2:6" hidden="1" outlineLevel="1">
      <c r="B112" s="546" t="s">
        <v>212</v>
      </c>
      <c r="C112" s="437" t="s">
        <v>488</v>
      </c>
      <c r="E112" s="547">
        <v>1193125</v>
      </c>
    </row>
    <row r="113" spans="2:6" hidden="1" outlineLevel="1">
      <c r="B113" s="552" t="s">
        <v>212</v>
      </c>
      <c r="C113" s="553" t="s">
        <v>570</v>
      </c>
      <c r="D113" s="557"/>
      <c r="E113" s="557">
        <v>87009</v>
      </c>
      <c r="F113" s="558">
        <f>+D109+D110+D111-E113</f>
        <v>1183125</v>
      </c>
    </row>
    <row r="114" spans="2:6" hidden="1" outlineLevel="1">
      <c r="C114" s="437" t="s">
        <v>489</v>
      </c>
      <c r="D114" s="547">
        <f>+SUM(D108:D113)</f>
        <v>1280134</v>
      </c>
      <c r="E114" s="547">
        <f>+SUM(E108:E113)</f>
        <v>1280134</v>
      </c>
      <c r="F114" s="558">
        <f>+E114-D114</f>
        <v>0</v>
      </c>
    </row>
    <row r="115" spans="2:6" hidden="1" outlineLevel="1"/>
    <row r="116" spans="2:6" hidden="1" outlineLevel="1"/>
    <row r="117" spans="2:6" hidden="1" outlineLevel="1">
      <c r="C117" s="551" t="s">
        <v>571</v>
      </c>
    </row>
    <row r="118" spans="2:6" hidden="1" outlineLevel="1">
      <c r="B118" s="552" t="s">
        <v>243</v>
      </c>
      <c r="C118" s="553" t="s">
        <v>463</v>
      </c>
      <c r="D118" s="554">
        <v>4733</v>
      </c>
      <c r="E118" s="554"/>
    </row>
    <row r="119" spans="2:6" hidden="1" outlineLevel="1">
      <c r="B119" s="552" t="s">
        <v>462</v>
      </c>
      <c r="C119" s="553" t="s">
        <v>477</v>
      </c>
      <c r="D119" s="557"/>
      <c r="E119" s="557">
        <v>4733</v>
      </c>
    </row>
    <row r="120" spans="2:6" hidden="1" outlineLevel="1">
      <c r="C120" s="437" t="s">
        <v>491</v>
      </c>
      <c r="D120" s="547">
        <f>+D118+D119</f>
        <v>4733</v>
      </c>
      <c r="E120" s="547">
        <f>+E118+E119</f>
        <v>4733</v>
      </c>
    </row>
    <row r="121" spans="2:6" hidden="1" outlineLevel="1"/>
    <row r="122" spans="2:6" hidden="1" outlineLevel="1">
      <c r="C122" s="551" t="s">
        <v>572</v>
      </c>
    </row>
    <row r="123" spans="2:6" hidden="1" outlineLevel="1">
      <c r="B123" s="546" t="s">
        <v>212</v>
      </c>
      <c r="C123" s="437" t="s">
        <v>283</v>
      </c>
      <c r="D123" s="547">
        <v>394335</v>
      </c>
    </row>
    <row r="124" spans="2:6" hidden="1" outlineLevel="1">
      <c r="B124" s="546" t="s">
        <v>212</v>
      </c>
      <c r="C124" s="437" t="s">
        <v>566</v>
      </c>
      <c r="D124" s="555"/>
      <c r="E124" s="555">
        <f>+D123</f>
        <v>394335</v>
      </c>
    </row>
    <row r="125" spans="2:6" hidden="1" outlineLevel="1">
      <c r="C125" s="437" t="s">
        <v>573</v>
      </c>
      <c r="D125" s="547">
        <f>+D123+D124</f>
        <v>394335</v>
      </c>
      <c r="E125" s="547">
        <f>+E123+E124</f>
        <v>394335</v>
      </c>
    </row>
    <row r="126" spans="2:6" hidden="1" outlineLevel="1"/>
    <row r="127" spans="2:6" hidden="1" outlineLevel="1">
      <c r="C127" s="551" t="s">
        <v>574</v>
      </c>
    </row>
    <row r="128" spans="2:6" hidden="1" outlineLevel="1">
      <c r="B128" s="546" t="s">
        <v>212</v>
      </c>
      <c r="C128" s="437" t="s">
        <v>149</v>
      </c>
      <c r="D128" s="547">
        <v>441072</v>
      </c>
    </row>
    <row r="129" spans="2:5" hidden="1" outlineLevel="1">
      <c r="B129" s="546" t="s">
        <v>212</v>
      </c>
      <c r="C129" s="437" t="s">
        <v>488</v>
      </c>
      <c r="D129" s="555"/>
      <c r="E129" s="555">
        <f>+D128</f>
        <v>441072</v>
      </c>
    </row>
    <row r="130" spans="2:5" hidden="1" outlineLevel="1">
      <c r="C130" s="437" t="s">
        <v>575</v>
      </c>
      <c r="D130" s="547">
        <f>+D128+D129</f>
        <v>441072</v>
      </c>
      <c r="E130" s="547">
        <f>+E128+E129</f>
        <v>441072</v>
      </c>
    </row>
    <row r="131" spans="2:5" hidden="1" outlineLevel="1"/>
    <row r="132" spans="2:5" hidden="1" outlineLevel="1"/>
    <row r="133" spans="2:5" hidden="1" outlineLevel="1">
      <c r="D133" s="547">
        <f>+D120+D114+D105+D91+D79+D74+D65+D53+D37+D29+D20+D13+D43+D125+D130</f>
        <v>57920523</v>
      </c>
      <c r="E133" s="547">
        <f>+E120+E114+E105+E91+E79+E74+E65+E53+E37+E29+E20+E13+E43+E125+E130</f>
        <v>57920523</v>
      </c>
    </row>
    <row r="134" spans="2:5" hidden="1" outlineLevel="1"/>
    <row r="135" spans="2:5">
      <c r="C135" s="560" t="s">
        <v>576</v>
      </c>
    </row>
    <row r="136" spans="2:5">
      <c r="C136" s="561" t="s">
        <v>577</v>
      </c>
      <c r="D136" s="562" t="s">
        <v>216</v>
      </c>
      <c r="E136" s="562" t="s">
        <v>460</v>
      </c>
    </row>
    <row r="137" spans="2:5">
      <c r="C137" s="563" t="s">
        <v>172</v>
      </c>
      <c r="D137" s="564">
        <f>+D94+D82+D77+D68+D56+D40+D32+D23+D16+D4</f>
        <v>4753717</v>
      </c>
      <c r="E137" s="564"/>
    </row>
    <row r="138" spans="2:5">
      <c r="C138" s="563" t="s">
        <v>90</v>
      </c>
      <c r="D138" s="564">
        <f>+D24+D57</f>
        <v>74927</v>
      </c>
      <c r="E138" s="564"/>
    </row>
    <row r="139" spans="2:5">
      <c r="C139" s="563" t="s">
        <v>92</v>
      </c>
      <c r="D139" s="564">
        <f>+D17+D33+D69</f>
        <v>111199</v>
      </c>
      <c r="E139" s="564"/>
    </row>
    <row r="140" spans="2:5">
      <c r="C140" s="563" t="s">
        <v>470</v>
      </c>
      <c r="D140" s="564">
        <f>+D5+D34+D41+D58+D83+D95</f>
        <v>31237644</v>
      </c>
      <c r="E140" s="564"/>
    </row>
    <row r="141" spans="2:5">
      <c r="C141" s="563" t="s">
        <v>578</v>
      </c>
      <c r="D141" s="564">
        <f>+D96</f>
        <v>274690</v>
      </c>
      <c r="E141" s="564"/>
    </row>
    <row r="142" spans="2:5">
      <c r="C142" s="563" t="s">
        <v>50</v>
      </c>
      <c r="D142" s="564">
        <f>+D18</f>
        <v>1113036</v>
      </c>
      <c r="E142" s="564"/>
    </row>
    <row r="143" spans="2:5">
      <c r="C143" s="563" t="s">
        <v>54</v>
      </c>
      <c r="D143" s="564">
        <f>+D123</f>
        <v>394335</v>
      </c>
      <c r="E143" s="564"/>
    </row>
    <row r="144" spans="2:5">
      <c r="C144" s="563" t="s">
        <v>579</v>
      </c>
      <c r="D144" s="564"/>
      <c r="E144" s="564">
        <f>+E100-82150</f>
        <v>-25218</v>
      </c>
    </row>
    <row r="145" spans="3:5">
      <c r="C145" s="563" t="s">
        <v>580</v>
      </c>
      <c r="D145" s="564"/>
      <c r="E145" s="564">
        <f>+E27-D25-D35+E62-D70+E72+E89+E104+E124-D128-D59+82150</f>
        <v>4008730</v>
      </c>
    </row>
    <row r="146" spans="3:5">
      <c r="C146" s="563" t="s">
        <v>499</v>
      </c>
      <c r="D146" s="564"/>
      <c r="E146" s="564">
        <f>+E11+E28+E36+E42+E63+E73+E78+E88+E103+E129-D26-D61-D71-D87+E19</f>
        <v>34505817</v>
      </c>
    </row>
    <row r="147" spans="3:5">
      <c r="C147" s="563" t="s">
        <v>581</v>
      </c>
      <c r="D147" s="564">
        <f>38489329-37959548</f>
        <v>529781</v>
      </c>
      <c r="E147" s="564"/>
    </row>
    <row r="148" spans="3:5">
      <c r="C148" s="565" t="s">
        <v>501</v>
      </c>
      <c r="D148" s="566">
        <f>SUM(D137:D147)</f>
        <v>38489329</v>
      </c>
      <c r="E148" s="566">
        <f>SUM(E137:E147)</f>
        <v>38489329</v>
      </c>
    </row>
    <row r="149" spans="3:5">
      <c r="C149" s="567"/>
    </row>
    <row r="150" spans="3:5">
      <c r="C150" s="560" t="s">
        <v>582</v>
      </c>
    </row>
    <row r="151" spans="3:5" ht="24.75">
      <c r="C151" s="568" t="s">
        <v>583</v>
      </c>
      <c r="D151" s="562" t="s">
        <v>216</v>
      </c>
      <c r="E151" s="562" t="s">
        <v>460</v>
      </c>
    </row>
    <row r="152" spans="3:5">
      <c r="C152" s="563" t="s">
        <v>584</v>
      </c>
      <c r="D152" s="564">
        <v>1378712</v>
      </c>
      <c r="E152" s="564"/>
    </row>
    <row r="153" spans="3:5">
      <c r="C153" s="563" t="s">
        <v>585</v>
      </c>
      <c r="D153" s="564">
        <f>+E154+E155+E156-D152</f>
        <v>1140</v>
      </c>
      <c r="E153" s="564"/>
    </row>
    <row r="154" spans="3:5">
      <c r="C154" s="563" t="s">
        <v>586</v>
      </c>
      <c r="D154" s="564"/>
      <c r="E154" s="564">
        <v>1138228</v>
      </c>
    </row>
    <row r="155" spans="3:5">
      <c r="C155" s="563" t="s">
        <v>580</v>
      </c>
      <c r="D155" s="564"/>
      <c r="E155" s="564">
        <v>201038</v>
      </c>
    </row>
    <row r="156" spans="3:5">
      <c r="C156" s="563" t="s">
        <v>587</v>
      </c>
      <c r="D156" s="564"/>
      <c r="E156" s="564">
        <v>40586</v>
      </c>
    </row>
    <row r="157" spans="3:5">
      <c r="C157" s="543" t="s">
        <v>588</v>
      </c>
      <c r="D157" s="566">
        <f>SUM(D152:D156)</f>
        <v>1379852</v>
      </c>
      <c r="E157" s="566">
        <f>SUM(E152:E156)</f>
        <v>1379852</v>
      </c>
    </row>
    <row r="158" spans="3:5">
      <c r="C158" s="567"/>
    </row>
    <row r="159" spans="3:5">
      <c r="C159" s="560" t="s">
        <v>589</v>
      </c>
    </row>
    <row r="160" spans="3:5" ht="24.75">
      <c r="C160" s="569" t="s">
        <v>590</v>
      </c>
      <c r="D160" s="570" t="s">
        <v>216</v>
      </c>
      <c r="E160" s="562" t="s">
        <v>460</v>
      </c>
    </row>
    <row r="161" spans="3:6">
      <c r="C161" s="571" t="s">
        <v>172</v>
      </c>
      <c r="D161" s="572">
        <v>46283</v>
      </c>
      <c r="E161" s="572"/>
    </row>
    <row r="162" spans="3:6">
      <c r="C162" s="571" t="s">
        <v>470</v>
      </c>
      <c r="D162" s="564">
        <v>9402245</v>
      </c>
      <c r="E162" s="564"/>
    </row>
    <row r="163" spans="3:6">
      <c r="C163" s="571" t="s">
        <v>149</v>
      </c>
      <c r="D163" s="564"/>
      <c r="E163" s="564">
        <v>1775136</v>
      </c>
    </row>
    <row r="164" spans="3:6">
      <c r="C164" s="571" t="s">
        <v>591</v>
      </c>
      <c r="D164" s="564"/>
      <c r="E164" s="564">
        <f>+D161+D162-E163</f>
        <v>7673392</v>
      </c>
    </row>
    <row r="165" spans="3:6">
      <c r="C165" s="565" t="s">
        <v>501</v>
      </c>
      <c r="D165" s="566">
        <f>SUM(D161:D164)</f>
        <v>9448528</v>
      </c>
      <c r="E165" s="566">
        <f>SUM(E161:E164)</f>
        <v>9448528</v>
      </c>
    </row>
    <row r="167" spans="3:6">
      <c r="C167" s="560" t="s">
        <v>592</v>
      </c>
    </row>
    <row r="168" spans="3:6" ht="24.75">
      <c r="C168" s="569" t="s">
        <v>593</v>
      </c>
      <c r="D168" s="570" t="s">
        <v>216</v>
      </c>
      <c r="E168" s="562" t="s">
        <v>460</v>
      </c>
    </row>
    <row r="169" spans="3:6">
      <c r="C169" s="571" t="s">
        <v>470</v>
      </c>
      <c r="D169" s="564">
        <v>1188714</v>
      </c>
      <c r="E169" s="564"/>
    </row>
    <row r="170" spans="3:6">
      <c r="C170" s="571" t="s">
        <v>591</v>
      </c>
      <c r="D170" s="564"/>
      <c r="E170" s="564">
        <f>+D169</f>
        <v>1188714</v>
      </c>
      <c r="F170" s="558"/>
    </row>
    <row r="171" spans="3:6">
      <c r="C171" s="565" t="s">
        <v>501</v>
      </c>
      <c r="D171" s="566">
        <f>SUM(D169:D170)</f>
        <v>1188714</v>
      </c>
      <c r="E171" s="566">
        <f>SUM(E169:E170)</f>
        <v>1188714</v>
      </c>
    </row>
    <row r="173" spans="3:6">
      <c r="C173" s="560" t="s">
        <v>594</v>
      </c>
    </row>
    <row r="174" spans="3:6">
      <c r="C174" s="569" t="s">
        <v>595</v>
      </c>
      <c r="D174" s="570" t="s">
        <v>216</v>
      </c>
      <c r="E174" s="562" t="s">
        <v>460</v>
      </c>
    </row>
    <row r="175" spans="3:6">
      <c r="C175" s="571" t="s">
        <v>596</v>
      </c>
      <c r="D175" s="564">
        <f>+E177-D176</f>
        <v>72642</v>
      </c>
      <c r="E175" s="564"/>
    </row>
    <row r="176" spans="3:6">
      <c r="C176" s="571" t="s">
        <v>54</v>
      </c>
      <c r="D176" s="564">
        <v>78648</v>
      </c>
      <c r="E176" s="564"/>
    </row>
    <row r="177" spans="2:5">
      <c r="C177" s="571" t="s">
        <v>597</v>
      </c>
      <c r="D177" s="564"/>
      <c r="E177" s="564">
        <v>151290</v>
      </c>
    </row>
    <row r="178" spans="2:5">
      <c r="C178" s="565" t="s">
        <v>501</v>
      </c>
      <c r="D178" s="566">
        <f>SUM(D175:D177)</f>
        <v>151290</v>
      </c>
      <c r="E178" s="566">
        <f>SUM(E175:E177)</f>
        <v>151290</v>
      </c>
    </row>
    <row r="179" spans="2:5" s="567" customFormat="1" ht="12">
      <c r="B179" s="573"/>
      <c r="C179" s="574"/>
      <c r="D179" s="575"/>
      <c r="E179" s="575"/>
    </row>
    <row r="180" spans="2:5">
      <c r="C180" s="560" t="s">
        <v>598</v>
      </c>
      <c r="D180" s="555"/>
      <c r="E180" s="555"/>
    </row>
    <row r="181" spans="2:5" ht="24.75">
      <c r="C181" s="569" t="s">
        <v>599</v>
      </c>
      <c r="D181" s="570" t="s">
        <v>216</v>
      </c>
      <c r="E181" s="562" t="s">
        <v>460</v>
      </c>
    </row>
    <row r="182" spans="2:5">
      <c r="C182" s="571" t="s">
        <v>600</v>
      </c>
      <c r="D182" s="564">
        <f>-Participaciones!I61</f>
        <v>839638.00866000052</v>
      </c>
      <c r="E182" s="564"/>
    </row>
    <row r="183" spans="2:5">
      <c r="C183" s="571" t="s">
        <v>580</v>
      </c>
      <c r="D183" s="564"/>
      <c r="E183" s="564">
        <f>+D182</f>
        <v>839638.00866000052</v>
      </c>
    </row>
    <row r="184" spans="2:5">
      <c r="C184" s="565" t="s">
        <v>501</v>
      </c>
      <c r="D184" s="566">
        <f>SUM(D182:D183)</f>
        <v>839638.00866000052</v>
      </c>
      <c r="E184" s="566">
        <f>SUM(E182:E183)</f>
        <v>839638.00866000052</v>
      </c>
    </row>
    <row r="185" spans="2:5">
      <c r="C185" s="567"/>
    </row>
    <row r="186" spans="2:5">
      <c r="C186" s="560" t="s">
        <v>601</v>
      </c>
      <c r="D186" s="555"/>
      <c r="E186" s="555"/>
    </row>
    <row r="187" spans="2:5" ht="24.75">
      <c r="C187" s="569" t="s">
        <v>602</v>
      </c>
      <c r="D187" s="570" t="s">
        <v>216</v>
      </c>
      <c r="E187" s="562" t="s">
        <v>460</v>
      </c>
    </row>
    <row r="188" spans="2:5">
      <c r="C188" s="571" t="s">
        <v>600</v>
      </c>
      <c r="D188" s="564">
        <f>-'PAT19'!E7</f>
        <v>3200</v>
      </c>
      <c r="E188" s="564"/>
    </row>
    <row r="189" spans="2:5">
      <c r="C189" s="571" t="s">
        <v>603</v>
      </c>
      <c r="D189" s="564"/>
      <c r="E189" s="564">
        <f>+D188</f>
        <v>3200</v>
      </c>
    </row>
    <row r="190" spans="2:5">
      <c r="C190" s="565" t="s">
        <v>501</v>
      </c>
      <c r="D190" s="566">
        <f>SUM(D188:D189)</f>
        <v>3200</v>
      </c>
      <c r="E190" s="566">
        <f>SUM(E188:E189)</f>
        <v>3200</v>
      </c>
    </row>
    <row r="191" spans="2:5">
      <c r="C191" s="567"/>
    </row>
    <row r="192" spans="2:5">
      <c r="C192" s="576" t="s">
        <v>604</v>
      </c>
    </row>
    <row r="193" spans="3:6" ht="24.75">
      <c r="C193" s="450" t="s">
        <v>492</v>
      </c>
      <c r="D193" s="434"/>
      <c r="E193" s="434"/>
    </row>
    <row r="194" spans="3:6">
      <c r="C194" s="452" t="s">
        <v>493</v>
      </c>
      <c r="D194" s="453">
        <f>+'Saldos interco.'!C7+'Saldos interco.'!C17+'Saldos interco.'!C32+'Saldos interco.'!C34+'Saldos interco.'!C41+'Saldos interco.'!C53+'Saldos interco.'!C62+'Saldos interco.'!C43</f>
        <v>4805916</v>
      </c>
      <c r="E194" s="423"/>
    </row>
    <row r="195" spans="3:6">
      <c r="C195" s="452" t="s">
        <v>80</v>
      </c>
      <c r="D195" s="453">
        <f>+'Saldos interco.'!C8+'Saldos interco.'!C33+'Saldos interco.'!C42+'Saldos interco.'!C15+'Saldos interco.'!C16+'Saldos interco.'!C55</f>
        <v>6382377</v>
      </c>
      <c r="E195" s="423"/>
    </row>
    <row r="196" spans="3:6" hidden="1">
      <c r="C196" s="452" t="s">
        <v>494</v>
      </c>
      <c r="D196" s="453"/>
      <c r="E196" s="423"/>
    </row>
    <row r="197" spans="3:6">
      <c r="C197" s="452" t="s">
        <v>470</v>
      </c>
      <c r="D197" s="453">
        <f>+'Saldos interco.'!C18</f>
        <v>3608585</v>
      </c>
      <c r="E197" s="423"/>
    </row>
    <row r="198" spans="3:6">
      <c r="C198" s="452" t="s">
        <v>149</v>
      </c>
      <c r="D198" s="453">
        <f>+'Saldos interco.'!C26</f>
        <v>950362</v>
      </c>
      <c r="E198" s="423"/>
    </row>
    <row r="199" spans="3:6">
      <c r="C199" s="452" t="s">
        <v>172</v>
      </c>
      <c r="D199" s="453">
        <f>+'Saldos interco.'!C52</f>
        <v>10000</v>
      </c>
      <c r="E199" s="423"/>
    </row>
    <row r="200" spans="3:6">
      <c r="C200" s="452" t="s">
        <v>465</v>
      </c>
      <c r="D200" s="453">
        <f>+'Saldos interco.'!C9+'Saldos interco.'!C44+'Saldos interco.'!C35-'Saldos interco.'!D27-'Saldos interco.'!D56</f>
        <v>96880</v>
      </c>
      <c r="E200" s="423"/>
    </row>
    <row r="201" spans="3:6">
      <c r="C201" s="452" t="s">
        <v>495</v>
      </c>
      <c r="D201" s="423"/>
      <c r="E201" s="453">
        <f>+'Saldos interco.'!D10+'Saldos interco.'!D20+'Saldos interco.'!D28+'Saldos interco.'!D36+'Saldos interco.'!D37+'Saldos interco.'!D46+'Saldos interco.'!D48+'Saldos interco.'!D58+'Saldos interco.'!D63</f>
        <v>12906577</v>
      </c>
    </row>
    <row r="202" spans="3:6" hidden="1">
      <c r="C202" s="452" t="s">
        <v>496</v>
      </c>
      <c r="D202" s="423"/>
      <c r="E202" s="453">
        <f>+'Saldos interco.'!D19</f>
        <v>0</v>
      </c>
    </row>
    <row r="203" spans="3:6">
      <c r="C203" s="452" t="s">
        <v>497</v>
      </c>
      <c r="D203" s="423"/>
      <c r="E203" s="453">
        <f>+'Saldos interco.'!D22-'Saldos interco.'!C56</f>
        <v>156308</v>
      </c>
    </row>
    <row r="204" spans="3:6">
      <c r="C204" s="452" t="s">
        <v>498</v>
      </c>
      <c r="D204" s="423"/>
      <c r="E204" s="453">
        <f>+'Saldos interco.'!D21</f>
        <v>1068329</v>
      </c>
    </row>
    <row r="205" spans="3:6">
      <c r="C205" s="452" t="s">
        <v>499</v>
      </c>
      <c r="D205" s="423"/>
      <c r="E205" s="453">
        <f>+'Saldos interco.'!D57</f>
        <v>1193125</v>
      </c>
    </row>
    <row r="206" spans="3:6">
      <c r="C206" s="452" t="s">
        <v>500</v>
      </c>
      <c r="D206" s="423"/>
      <c r="E206" s="425">
        <f>+'Saldos interco.'!D45</f>
        <v>529781</v>
      </c>
    </row>
    <row r="207" spans="3:6">
      <c r="C207" s="457" t="s">
        <v>501</v>
      </c>
      <c r="D207" s="458">
        <f>SUM(D194:D206)</f>
        <v>15854120</v>
      </c>
      <c r="E207" s="458">
        <f>SUM(E194:E206)</f>
        <v>15854120</v>
      </c>
      <c r="F207" s="558">
        <f>+D207-E207</f>
        <v>0</v>
      </c>
    </row>
    <row r="208" spans="3:6">
      <c r="C208" s="426"/>
      <c r="D208" s="577"/>
      <c r="E208" s="577"/>
      <c r="F208" s="558"/>
    </row>
    <row r="209" spans="3:6">
      <c r="C209" s="560" t="s">
        <v>605</v>
      </c>
      <c r="D209" s="555"/>
      <c r="E209" s="555"/>
      <c r="F209" s="558"/>
    </row>
    <row r="210" spans="3:6">
      <c r="C210" s="569" t="s">
        <v>606</v>
      </c>
      <c r="D210" s="570" t="s">
        <v>216</v>
      </c>
      <c r="E210" s="562" t="s">
        <v>460</v>
      </c>
      <c r="F210" s="558"/>
    </row>
    <row r="211" spans="3:6">
      <c r="C211" s="571" t="s">
        <v>519</v>
      </c>
      <c r="D211" s="564">
        <f>547903*0.49</f>
        <v>268472.46999999997</v>
      </c>
      <c r="E211" s="564"/>
      <c r="F211" s="558"/>
    </row>
    <row r="212" spans="3:6">
      <c r="C212" s="571" t="s">
        <v>607</v>
      </c>
      <c r="D212" s="564"/>
      <c r="E212" s="564">
        <f>+D211</f>
        <v>268472.46999999997</v>
      </c>
      <c r="F212" s="558"/>
    </row>
    <row r="213" spans="3:6">
      <c r="C213" s="565" t="s">
        <v>501</v>
      </c>
      <c r="D213" s="566">
        <f>SUM(D211:D212)</f>
        <v>268472.46999999997</v>
      </c>
      <c r="E213" s="566">
        <f>SUM(E211:E212)</f>
        <v>268472.46999999997</v>
      </c>
      <c r="F213" s="558">
        <f>+D213-E213</f>
        <v>0</v>
      </c>
    </row>
    <row r="214" spans="3:6">
      <c r="C214" s="567"/>
    </row>
    <row r="215" spans="3:6">
      <c r="C215" s="560" t="s">
        <v>608</v>
      </c>
      <c r="D215" s="555"/>
      <c r="E215" s="555"/>
      <c r="F215" s="558"/>
    </row>
    <row r="216" spans="3:6" ht="24.75">
      <c r="C216" s="569" t="s">
        <v>609</v>
      </c>
      <c r="D216" s="570" t="s">
        <v>216</v>
      </c>
      <c r="E216" s="562" t="s">
        <v>460</v>
      </c>
      <c r="F216" s="558"/>
    </row>
    <row r="217" spans="3:6">
      <c r="C217" s="571" t="s">
        <v>610</v>
      </c>
      <c r="D217" s="564">
        <f>253847+252910</f>
        <v>506757</v>
      </c>
      <c r="E217" s="564"/>
      <c r="F217" s="558"/>
    </row>
    <row r="218" spans="3:6">
      <c r="C218" s="571" t="s">
        <v>611</v>
      </c>
      <c r="D218" s="564"/>
      <c r="E218" s="564">
        <f>+D217</f>
        <v>506757</v>
      </c>
      <c r="F218" s="558"/>
    </row>
    <row r="219" spans="3:6">
      <c r="C219" s="565" t="s">
        <v>501</v>
      </c>
      <c r="D219" s="566">
        <f>SUM(D217:D218)</f>
        <v>506757</v>
      </c>
      <c r="E219" s="566">
        <f>SUM(E217:E218)</f>
        <v>506757</v>
      </c>
      <c r="F219" s="558">
        <f>+D219-E219</f>
        <v>0</v>
      </c>
    </row>
    <row r="220" spans="3:6">
      <c r="C220" s="567"/>
      <c r="D220" s="575"/>
      <c r="E220" s="575"/>
      <c r="F220" s="578"/>
    </row>
    <row r="221" spans="3:6">
      <c r="C221" s="560" t="s">
        <v>612</v>
      </c>
      <c r="D221" s="555"/>
      <c r="E221" s="555"/>
      <c r="F221" s="558"/>
    </row>
    <row r="222" spans="3:6" ht="24.75">
      <c r="C222" s="569" t="s">
        <v>613</v>
      </c>
      <c r="D222" s="570" t="s">
        <v>216</v>
      </c>
      <c r="E222" s="562" t="s">
        <v>460</v>
      </c>
      <c r="F222" s="558"/>
    </row>
    <row r="223" spans="3:6">
      <c r="C223" s="571" t="s">
        <v>614</v>
      </c>
      <c r="D223" s="564">
        <v>122179</v>
      </c>
      <c r="E223" s="564"/>
      <c r="F223" s="558"/>
    </row>
    <row r="224" spans="3:6">
      <c r="C224" s="571" t="s">
        <v>615</v>
      </c>
      <c r="D224" s="564"/>
      <c r="E224" s="564">
        <v>3200</v>
      </c>
      <c r="F224" s="558"/>
    </row>
    <row r="225" spans="3:6">
      <c r="C225" s="571" t="s">
        <v>603</v>
      </c>
      <c r="D225" s="564"/>
      <c r="E225" s="564">
        <v>6800</v>
      </c>
      <c r="F225" s="558"/>
    </row>
    <row r="226" spans="3:6">
      <c r="C226" s="571" t="s">
        <v>616</v>
      </c>
      <c r="D226" s="564"/>
      <c r="E226" s="564">
        <v>74427</v>
      </c>
      <c r="F226" s="558"/>
    </row>
    <row r="227" spans="3:6">
      <c r="C227" s="571" t="s">
        <v>617</v>
      </c>
      <c r="D227" s="564"/>
      <c r="E227" s="564">
        <v>1226</v>
      </c>
      <c r="F227" s="558"/>
    </row>
    <row r="228" spans="3:6">
      <c r="C228" s="571" t="s">
        <v>618</v>
      </c>
      <c r="D228" s="564"/>
      <c r="E228" s="564">
        <f>34763+1763</f>
        <v>36526</v>
      </c>
      <c r="F228" s="558"/>
    </row>
    <row r="229" spans="3:6">
      <c r="C229" s="565" t="s">
        <v>501</v>
      </c>
      <c r="D229" s="566">
        <f>SUM(D223:D228)</f>
        <v>122179</v>
      </c>
      <c r="E229" s="566">
        <f>SUM(E223:E228)</f>
        <v>122179</v>
      </c>
      <c r="F229" s="558"/>
    </row>
    <row r="230" spans="3:6">
      <c r="C230" s="567"/>
      <c r="D230" s="575"/>
      <c r="E230" s="575"/>
      <c r="F230" s="578"/>
    </row>
    <row r="231" spans="3:6">
      <c r="C231" s="560" t="s">
        <v>619</v>
      </c>
      <c r="D231" s="555"/>
      <c r="E231" s="555"/>
      <c r="F231" s="558"/>
    </row>
    <row r="232" spans="3:6" ht="24.75">
      <c r="C232" s="569" t="s">
        <v>620</v>
      </c>
      <c r="D232" s="570" t="s">
        <v>216</v>
      </c>
      <c r="E232" s="562" t="s">
        <v>460</v>
      </c>
      <c r="F232" s="558"/>
    </row>
    <row r="233" spans="3:6">
      <c r="C233" s="571" t="s">
        <v>54</v>
      </c>
      <c r="D233" s="564">
        <v>50000</v>
      </c>
      <c r="E233" s="564"/>
      <c r="F233" s="558"/>
    </row>
    <row r="234" spans="3:6">
      <c r="C234" s="571" t="s">
        <v>621</v>
      </c>
      <c r="D234" s="564"/>
      <c r="E234" s="564">
        <f>+D233</f>
        <v>50000</v>
      </c>
      <c r="F234" s="558"/>
    </row>
    <row r="235" spans="3:6">
      <c r="C235" s="565" t="s">
        <v>501</v>
      </c>
      <c r="D235" s="566">
        <f>SUM(D233:D234)</f>
        <v>50000</v>
      </c>
      <c r="E235" s="566">
        <f>SUM(E233:E234)</f>
        <v>50000</v>
      </c>
      <c r="F235" s="558">
        <f>+D235-E235</f>
        <v>0</v>
      </c>
    </row>
    <row r="236" spans="3:6">
      <c r="C236" s="560" t="s">
        <v>622</v>
      </c>
      <c r="D236" s="555"/>
      <c r="E236" s="555"/>
      <c r="F236" s="558"/>
    </row>
    <row r="237" spans="3:6" ht="24.75">
      <c r="C237" s="569" t="s">
        <v>623</v>
      </c>
      <c r="D237" s="570" t="s">
        <v>216</v>
      </c>
      <c r="E237" s="562" t="s">
        <v>460</v>
      </c>
      <c r="F237" s="558"/>
    </row>
    <row r="238" spans="3:6">
      <c r="C238" s="571" t="s">
        <v>465</v>
      </c>
      <c r="D238" s="564">
        <v>696631</v>
      </c>
      <c r="E238" s="564"/>
      <c r="F238" s="558"/>
    </row>
    <row r="239" spans="3:6">
      <c r="C239" s="571" t="s">
        <v>624</v>
      </c>
      <c r="D239" s="564"/>
      <c r="E239" s="564">
        <f>+D238</f>
        <v>696631</v>
      </c>
      <c r="F239" s="558"/>
    </row>
    <row r="240" spans="3:6">
      <c r="C240" s="565" t="s">
        <v>501</v>
      </c>
      <c r="D240" s="566">
        <f>SUM(D238:D239)</f>
        <v>696631</v>
      </c>
      <c r="E240" s="566">
        <f>SUM(E238:E239)</f>
        <v>696631</v>
      </c>
      <c r="F240" s="558">
        <f>+D240-E240</f>
        <v>0</v>
      </c>
    </row>
    <row r="241" spans="2:6">
      <c r="C241" s="567"/>
      <c r="D241" s="575"/>
      <c r="E241" s="575"/>
      <c r="F241" s="578"/>
    </row>
    <row r="242" spans="2:6">
      <c r="C242" s="567"/>
      <c r="D242" s="566">
        <f>+D184+D171+D165+D157+D148+D207+D190+D213+D219+D235+D240</f>
        <v>68725241.478660002</v>
      </c>
      <c r="E242" s="566">
        <f>+E184+E171+E165+E157+E148+E207+E190+E213+E219+E235+E240</f>
        <v>68725241.478660002</v>
      </c>
      <c r="F242" s="578"/>
    </row>
    <row r="243" spans="2:6" s="437" customFormat="1" ht="12">
      <c r="B243" s="546"/>
      <c r="F243" s="558">
        <f>+D242-E242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zoomScaleNormal="100" workbookViewId="0">
      <pane ySplit="5" topLeftCell="A27" activePane="bottomLeft" state="frozen"/>
      <selection pane="bottomLeft" activeCell="K30" sqref="K30"/>
    </sheetView>
  </sheetViews>
  <sheetFormatPr defaultColWidth="11.42578125" defaultRowHeight="15"/>
  <cols>
    <col min="1" max="1" width="3.140625" style="415" customWidth="1"/>
    <col min="2" max="2" width="29.28515625" style="415" customWidth="1"/>
    <col min="3" max="3" width="18.85546875" style="415" customWidth="1"/>
    <col min="4" max="4" width="12.7109375" style="415" customWidth="1"/>
    <col min="5" max="5" width="11.85546875" style="415" customWidth="1"/>
    <col min="6" max="7" width="11.5703125" style="415" hidden="1" customWidth="1"/>
    <col min="8" max="8" width="3.140625" style="415" hidden="1" customWidth="1"/>
    <col min="9" max="1024" width="11.42578125" style="415"/>
  </cols>
  <sheetData>
    <row r="1" spans="1:8">
      <c r="A1" s="579" t="s">
        <v>390</v>
      </c>
      <c r="B1" s="580"/>
    </row>
    <row r="2" spans="1:8">
      <c r="A2" s="581" t="s">
        <v>625</v>
      </c>
      <c r="B2" s="443"/>
      <c r="C2" s="447"/>
      <c r="D2" s="447"/>
      <c r="E2" s="447"/>
      <c r="F2" s="447"/>
      <c r="G2" s="447"/>
    </row>
    <row r="3" spans="1:8">
      <c r="A3" s="581" t="s">
        <v>626</v>
      </c>
      <c r="B3" s="443"/>
      <c r="C3" s="447"/>
      <c r="D3" s="447"/>
      <c r="E3" s="447"/>
      <c r="F3" s="447"/>
      <c r="G3" s="447"/>
    </row>
    <row r="4" spans="1:8">
      <c r="A4" s="443"/>
      <c r="B4" s="443"/>
      <c r="C4" s="447"/>
      <c r="D4" s="447"/>
      <c r="E4" s="447"/>
      <c r="F4" s="447"/>
      <c r="G4" s="447"/>
    </row>
    <row r="5" spans="1:8">
      <c r="A5" s="443"/>
      <c r="B5" s="582" t="s">
        <v>215</v>
      </c>
      <c r="C5" s="583" t="s">
        <v>199</v>
      </c>
      <c r="D5" s="583" t="s">
        <v>216</v>
      </c>
      <c r="E5" s="583" t="s">
        <v>460</v>
      </c>
      <c r="F5" s="584" t="s">
        <v>216</v>
      </c>
      <c r="G5" s="584" t="s">
        <v>217</v>
      </c>
    </row>
    <row r="6" spans="1:8">
      <c r="A6" s="443"/>
      <c r="B6" s="585" t="s">
        <v>241</v>
      </c>
      <c r="C6" s="586" t="s">
        <v>212</v>
      </c>
      <c r="D6" s="587">
        <v>3685</v>
      </c>
      <c r="E6" s="587"/>
      <c r="F6" s="588">
        <v>78773</v>
      </c>
      <c r="G6" s="589"/>
    </row>
    <row r="7" spans="1:8">
      <c r="A7" s="443"/>
      <c r="B7" s="590" t="s">
        <v>242</v>
      </c>
      <c r="C7" s="587" t="s">
        <v>243</v>
      </c>
      <c r="D7" s="587"/>
      <c r="E7" s="587">
        <f>+D6</f>
        <v>3685</v>
      </c>
      <c r="F7" s="447"/>
      <c r="G7" s="587">
        <f>F6</f>
        <v>78773</v>
      </c>
      <c r="H7" s="415" t="s">
        <v>627</v>
      </c>
    </row>
    <row r="8" spans="1:8">
      <c r="A8" s="443"/>
      <c r="B8" s="591"/>
      <c r="C8" s="586"/>
      <c r="D8" s="587"/>
      <c r="E8" s="587"/>
      <c r="F8" s="447"/>
      <c r="G8" s="587"/>
      <c r="H8" s="592"/>
    </row>
    <row r="9" spans="1:8">
      <c r="A9" s="443"/>
      <c r="B9" s="593" t="s">
        <v>241</v>
      </c>
      <c r="C9" s="587" t="s">
        <v>212</v>
      </c>
      <c r="D9" s="587">
        <v>176523</v>
      </c>
      <c r="E9" s="587"/>
      <c r="F9" s="594">
        <v>264134</v>
      </c>
      <c r="G9" s="587"/>
      <c r="H9" s="415" t="s">
        <v>627</v>
      </c>
    </row>
    <row r="10" spans="1:8">
      <c r="A10" s="443"/>
      <c r="B10" s="590" t="s">
        <v>242</v>
      </c>
      <c r="C10" s="587" t="s">
        <v>244</v>
      </c>
      <c r="D10" s="587"/>
      <c r="E10" s="587">
        <v>176523</v>
      </c>
      <c r="F10" s="447"/>
      <c r="G10" s="587">
        <f>F9</f>
        <v>264134</v>
      </c>
    </row>
    <row r="11" spans="1:8">
      <c r="A11" s="443"/>
      <c r="B11" s="590"/>
      <c r="C11" s="587"/>
      <c r="D11" s="587"/>
      <c r="E11" s="587"/>
      <c r="F11" s="447"/>
      <c r="G11" s="587"/>
    </row>
    <row r="12" spans="1:8">
      <c r="A12" s="443"/>
      <c r="B12" s="593" t="s">
        <v>241</v>
      </c>
      <c r="C12" s="587" t="s">
        <v>212</v>
      </c>
      <c r="D12" s="587">
        <v>10386</v>
      </c>
      <c r="E12" s="587"/>
      <c r="F12" s="447">
        <v>89587</v>
      </c>
      <c r="G12" s="587"/>
      <c r="H12" s="415" t="s">
        <v>627</v>
      </c>
    </row>
    <row r="13" spans="1:8" hidden="1">
      <c r="A13" s="443"/>
      <c r="B13" s="590" t="s">
        <v>50</v>
      </c>
      <c r="C13" s="587" t="s">
        <v>245</v>
      </c>
      <c r="D13" s="587"/>
      <c r="E13" s="587"/>
      <c r="F13" s="447"/>
      <c r="G13" s="587">
        <v>0</v>
      </c>
    </row>
    <row r="14" spans="1:8" hidden="1">
      <c r="A14" s="443"/>
      <c r="B14" s="590" t="s">
        <v>46</v>
      </c>
      <c r="C14" s="587" t="s">
        <v>245</v>
      </c>
      <c r="D14" s="587"/>
      <c r="E14" s="587"/>
      <c r="F14" s="447"/>
      <c r="G14" s="587">
        <v>0</v>
      </c>
    </row>
    <row r="15" spans="1:8">
      <c r="A15" s="443"/>
      <c r="B15" s="590" t="s">
        <v>102</v>
      </c>
      <c r="C15" s="587" t="s">
        <v>245</v>
      </c>
      <c r="D15" s="587"/>
      <c r="E15" s="587">
        <v>10386</v>
      </c>
      <c r="F15" s="447"/>
      <c r="G15" s="587">
        <f>+F12</f>
        <v>89587</v>
      </c>
    </row>
    <row r="16" spans="1:8">
      <c r="A16" s="443"/>
      <c r="B16" s="590"/>
      <c r="C16" s="587"/>
      <c r="D16" s="587"/>
      <c r="E16" s="587"/>
      <c r="F16" s="447"/>
      <c r="G16" s="587"/>
    </row>
    <row r="17" spans="1:8">
      <c r="A17" s="443"/>
      <c r="B17" s="593" t="s">
        <v>241</v>
      </c>
      <c r="C17" s="587" t="s">
        <v>212</v>
      </c>
      <c r="D17" s="587">
        <v>88729</v>
      </c>
      <c r="E17" s="587"/>
      <c r="F17" s="594">
        <v>34807</v>
      </c>
      <c r="G17" s="587"/>
      <c r="H17" s="415" t="s">
        <v>627</v>
      </c>
    </row>
    <row r="18" spans="1:8">
      <c r="A18" s="443"/>
      <c r="B18" s="590" t="s">
        <v>242</v>
      </c>
      <c r="C18" s="587" t="s">
        <v>32</v>
      </c>
      <c r="D18" s="587"/>
      <c r="E18" s="587">
        <v>88729</v>
      </c>
      <c r="F18" s="447"/>
      <c r="G18" s="587">
        <f>F17</f>
        <v>34807</v>
      </c>
    </row>
    <row r="19" spans="1:8">
      <c r="A19" s="443"/>
      <c r="B19" s="590"/>
      <c r="C19" s="587"/>
      <c r="D19" s="587"/>
      <c r="E19" s="587"/>
      <c r="F19" s="447"/>
      <c r="G19" s="587"/>
    </row>
    <row r="20" spans="1:8">
      <c r="A20" s="443"/>
      <c r="B20" s="595" t="s">
        <v>246</v>
      </c>
      <c r="C20" s="587" t="s">
        <v>212</v>
      </c>
      <c r="D20" s="587">
        <v>89918</v>
      </c>
      <c r="E20" s="587"/>
      <c r="F20" s="447">
        <v>1713071</v>
      </c>
      <c r="G20" s="587"/>
      <c r="H20" s="415" t="s">
        <v>627</v>
      </c>
    </row>
    <row r="21" spans="1:8">
      <c r="A21" s="443"/>
      <c r="B21" s="590" t="s">
        <v>102</v>
      </c>
      <c r="C21" s="587" t="s">
        <v>247</v>
      </c>
      <c r="D21" s="587"/>
      <c r="E21" s="587">
        <v>89918</v>
      </c>
      <c r="F21" s="447"/>
      <c r="G21" s="587">
        <f>+F20</f>
        <v>1713071</v>
      </c>
    </row>
    <row r="22" spans="1:8">
      <c r="A22" s="443"/>
      <c r="B22" s="590"/>
      <c r="C22" s="587"/>
      <c r="D22" s="587"/>
      <c r="E22" s="587"/>
      <c r="F22" s="447"/>
      <c r="G22" s="587"/>
    </row>
    <row r="23" spans="1:8">
      <c r="A23" s="443"/>
      <c r="B23" s="595" t="s">
        <v>628</v>
      </c>
      <c r="C23" s="587" t="s">
        <v>245</v>
      </c>
      <c r="D23" s="587">
        <v>578553</v>
      </c>
      <c r="E23" s="587"/>
      <c r="F23" s="447">
        <v>154175</v>
      </c>
      <c r="G23" s="587"/>
      <c r="H23" s="415" t="s">
        <v>627</v>
      </c>
    </row>
    <row r="24" spans="1:8">
      <c r="A24" s="443"/>
      <c r="B24" s="590" t="s">
        <v>629</v>
      </c>
      <c r="C24" s="587" t="s">
        <v>212</v>
      </c>
      <c r="D24" s="587"/>
      <c r="E24" s="587">
        <v>578553</v>
      </c>
      <c r="F24" s="447"/>
      <c r="G24" s="587">
        <f>+F23</f>
        <v>154175</v>
      </c>
    </row>
    <row r="25" spans="1:8">
      <c r="A25" s="443"/>
      <c r="B25" s="590"/>
      <c r="C25" s="587"/>
      <c r="D25" s="587"/>
      <c r="E25" s="587"/>
      <c r="F25" s="447"/>
      <c r="G25" s="587"/>
    </row>
    <row r="26" spans="1:8">
      <c r="A26" s="443"/>
      <c r="B26" s="595" t="s">
        <v>628</v>
      </c>
      <c r="C26" s="587" t="s">
        <v>247</v>
      </c>
      <c r="D26" s="587">
        <v>775482</v>
      </c>
      <c r="E26" s="587"/>
      <c r="F26" s="447">
        <v>57043</v>
      </c>
      <c r="G26" s="587"/>
      <c r="H26" s="415" t="s">
        <v>627</v>
      </c>
    </row>
    <row r="27" spans="1:8">
      <c r="A27" s="443"/>
      <c r="B27" s="590" t="s">
        <v>629</v>
      </c>
      <c r="C27" s="587" t="s">
        <v>212</v>
      </c>
      <c r="D27" s="587"/>
      <c r="E27" s="587">
        <v>775482</v>
      </c>
      <c r="F27" s="447"/>
      <c r="G27" s="587">
        <f>+F26</f>
        <v>57043</v>
      </c>
    </row>
    <row r="28" spans="1:8">
      <c r="A28" s="443"/>
      <c r="B28" s="590"/>
      <c r="C28" s="587"/>
      <c r="D28" s="587"/>
      <c r="E28" s="587"/>
      <c r="F28" s="447"/>
      <c r="G28" s="587"/>
    </row>
    <row r="29" spans="1:8">
      <c r="A29" s="443"/>
      <c r="B29" s="595" t="s">
        <v>628</v>
      </c>
      <c r="C29" s="587" t="s">
        <v>245</v>
      </c>
      <c r="D29" s="587">
        <v>2199934</v>
      </c>
      <c r="E29" s="587"/>
      <c r="F29" s="447"/>
      <c r="G29" s="587"/>
    </row>
    <row r="30" spans="1:8">
      <c r="A30" s="443"/>
      <c r="B30" s="590" t="s">
        <v>629</v>
      </c>
      <c r="C30" s="587" t="s">
        <v>212</v>
      </c>
      <c r="D30" s="587"/>
      <c r="E30" s="587">
        <v>2199934</v>
      </c>
      <c r="F30" s="447"/>
      <c r="G30" s="587"/>
    </row>
    <row r="31" spans="1:8">
      <c r="A31" s="443"/>
      <c r="B31" s="590"/>
      <c r="C31" s="587"/>
      <c r="D31" s="587"/>
      <c r="E31" s="587"/>
      <c r="F31" s="447"/>
      <c r="G31" s="587"/>
    </row>
    <row r="32" spans="1:8">
      <c r="A32" s="443"/>
      <c r="B32" s="595" t="s">
        <v>246</v>
      </c>
      <c r="C32" s="587" t="s">
        <v>278</v>
      </c>
      <c r="D32" s="587">
        <v>917323</v>
      </c>
      <c r="E32" s="587"/>
      <c r="F32" s="447">
        <v>669255</v>
      </c>
      <c r="G32" s="587"/>
      <c r="H32" s="415" t="s">
        <v>627</v>
      </c>
    </row>
    <row r="33" spans="1:7">
      <c r="A33" s="443"/>
      <c r="B33" s="595" t="s">
        <v>630</v>
      </c>
      <c r="C33" s="587" t="s">
        <v>212</v>
      </c>
      <c r="D33" s="587"/>
      <c r="E33" s="587">
        <v>917323</v>
      </c>
      <c r="F33" s="447"/>
      <c r="G33" s="587">
        <f>+F32-G34</f>
        <v>658399</v>
      </c>
    </row>
    <row r="34" spans="1:7">
      <c r="A34" s="443"/>
      <c r="B34" s="596" t="s">
        <v>248</v>
      </c>
      <c r="C34" s="597" t="s">
        <v>212</v>
      </c>
      <c r="D34" s="597"/>
      <c r="E34" s="597"/>
      <c r="F34" s="598"/>
      <c r="G34" s="597">
        <v>10856</v>
      </c>
    </row>
    <row r="35" spans="1:7">
      <c r="A35" s="443"/>
      <c r="B35" s="443"/>
      <c r="C35" s="447"/>
      <c r="D35" s="599">
        <f>SUM(D6:D34)</f>
        <v>4840533</v>
      </c>
      <c r="E35" s="599">
        <f>SUM(E6:E34)</f>
        <v>4840533</v>
      </c>
      <c r="F35" s="449">
        <f>SUM(F6:F34)</f>
        <v>3060845</v>
      </c>
      <c r="G35" s="449">
        <f>SUM(G6:G34)</f>
        <v>3060845</v>
      </c>
    </row>
    <row r="37" spans="1:7">
      <c r="B37" s="585" t="s">
        <v>631</v>
      </c>
      <c r="C37" s="600"/>
      <c r="D37" s="451"/>
      <c r="E37" s="451"/>
      <c r="F37" s="601" t="s">
        <v>200</v>
      </c>
      <c r="G37" s="601" t="s">
        <v>201</v>
      </c>
    </row>
    <row r="38" spans="1:7">
      <c r="B38" s="592" t="s">
        <v>246</v>
      </c>
      <c r="C38" s="461"/>
      <c r="D38" s="454">
        <f>+D35</f>
        <v>4840533</v>
      </c>
      <c r="E38" s="455"/>
      <c r="F38" s="454">
        <f>F6+F20+F32+F9+F12+F17+F23+F26</f>
        <v>3060845</v>
      </c>
      <c r="G38" s="455"/>
    </row>
    <row r="39" spans="1:7">
      <c r="B39" s="602" t="s">
        <v>102</v>
      </c>
      <c r="C39" s="461"/>
      <c r="D39" s="455"/>
      <c r="E39" s="454">
        <f>+E35</f>
        <v>4840533</v>
      </c>
      <c r="F39" s="455"/>
      <c r="G39" s="454">
        <f>G7+G21+G18+G15+G10+G24+G27+G33</f>
        <v>3049989</v>
      </c>
    </row>
    <row r="40" spans="1:7">
      <c r="B40" s="603" t="s">
        <v>248</v>
      </c>
      <c r="C40" s="604"/>
      <c r="D40" s="605"/>
      <c r="E40" s="605"/>
      <c r="F40" s="605"/>
      <c r="G40" s="456">
        <f>G34</f>
        <v>10856</v>
      </c>
    </row>
    <row r="41" spans="1:7">
      <c r="F41" s="446">
        <f>SUM(F38:F40)</f>
        <v>3060845</v>
      </c>
      <c r="G41" s="446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81D41A"/>
  </sheetPr>
  <dimension ref="A1:AMJ123"/>
  <sheetViews>
    <sheetView showGridLines="0" tabSelected="1" zoomScaleNormal="100" workbookViewId="0"/>
  </sheetViews>
  <sheetFormatPr defaultColWidth="11.5703125" defaultRowHeight="15"/>
  <cols>
    <col min="1" max="1" width="40.140625" style="419" customWidth="1"/>
    <col min="2" max="2" width="8.85546875" style="419" customWidth="1"/>
    <col min="3" max="3" width="12" style="419" bestFit="1" customWidth="1"/>
    <col min="4" max="4" width="11.28515625" style="419" customWidth="1"/>
    <col min="5" max="5" width="2.85546875" style="419" customWidth="1"/>
    <col min="6" max="6" width="12" style="415" bestFit="1" customWidth="1"/>
    <col min="7" max="7" width="11.7109375" style="419" hidden="1" customWidth="1"/>
    <col min="8" max="8" width="4.85546875" style="419" hidden="1" customWidth="1"/>
    <col min="9" max="9" width="16.85546875" style="419" hidden="1" customWidth="1"/>
    <col min="10" max="10" width="10.7109375" style="606" hidden="1" customWidth="1"/>
    <col min="11" max="11" width="12" style="419" hidden="1" customWidth="1"/>
    <col min="12" max="12" width="10.85546875" style="606" hidden="1" customWidth="1"/>
    <col min="13" max="13" width="12" style="419" hidden="1" customWidth="1"/>
    <col min="14" max="14" width="5.140625" style="419" customWidth="1"/>
    <col min="15" max="15" width="40.140625" style="419" customWidth="1"/>
    <col min="16" max="16" width="8.85546875" style="419" customWidth="1"/>
    <col min="17" max="17" width="12" style="419" bestFit="1" customWidth="1"/>
    <col min="18" max="18" width="11.28515625" style="419" customWidth="1"/>
    <col min="19" max="19" width="2.42578125" style="419" customWidth="1"/>
    <col min="20" max="20" width="11.28515625" style="415" customWidth="1"/>
    <col min="21" max="21" width="11.7109375" style="419" hidden="1" customWidth="1"/>
    <col min="22" max="22" width="11.5703125" style="419" hidden="1"/>
    <col min="23" max="23" width="12" style="419" hidden="1" customWidth="1"/>
    <col min="24" max="24" width="10.7109375" style="606" hidden="1" customWidth="1"/>
    <col min="25" max="25" width="12" style="419" hidden="1" customWidth="1"/>
    <col min="26" max="26" width="10.7109375" style="606" hidden="1" customWidth="1"/>
    <col min="27" max="27" width="12" style="419" hidden="1" customWidth="1"/>
    <col min="28" max="28" width="8.140625" style="607" hidden="1" customWidth="1"/>
    <col min="29" max="30" width="11.5703125" style="419" hidden="1"/>
    <col min="31" max="1024" width="11.5703125" style="419"/>
  </cols>
  <sheetData>
    <row r="1" spans="1:31" s="419" customFormat="1" ht="12" customHeight="1">
      <c r="A1" s="473"/>
      <c r="B1" s="473" t="s">
        <v>632</v>
      </c>
      <c r="C1" s="473"/>
      <c r="D1" s="473"/>
      <c r="E1" s="473"/>
      <c r="G1" s="473"/>
      <c r="H1" s="473"/>
      <c r="I1" s="473"/>
      <c r="J1" s="608"/>
      <c r="K1" s="609"/>
      <c r="L1" s="608"/>
      <c r="M1" s="473"/>
      <c r="N1" s="609"/>
      <c r="O1" s="473"/>
      <c r="P1" s="473" t="s">
        <v>632</v>
      </c>
      <c r="Q1" s="473"/>
      <c r="R1" s="473"/>
      <c r="S1" s="473"/>
      <c r="U1" s="473"/>
      <c r="V1" s="473"/>
      <c r="W1" s="473"/>
      <c r="X1" s="608"/>
      <c r="Y1" s="610"/>
      <c r="Z1" s="608"/>
      <c r="AA1" s="611"/>
      <c r="AB1" s="607"/>
    </row>
    <row r="2" spans="1:31" ht="12" customHeight="1">
      <c r="A2" s="609" t="s">
        <v>633</v>
      </c>
      <c r="B2" s="612" t="s">
        <v>634</v>
      </c>
      <c r="C2" s="612">
        <v>2020</v>
      </c>
      <c r="D2" s="612"/>
      <c r="E2" s="612"/>
      <c r="F2" s="613">
        <v>2019</v>
      </c>
      <c r="G2" s="614"/>
      <c r="H2" s="614"/>
      <c r="I2" s="614">
        <v>2018</v>
      </c>
      <c r="J2" s="615"/>
      <c r="K2" s="610">
        <v>2017</v>
      </c>
      <c r="L2" s="615"/>
      <c r="M2" s="610">
        <v>2016</v>
      </c>
      <c r="N2" s="614"/>
      <c r="O2" s="610" t="s">
        <v>635</v>
      </c>
      <c r="P2" s="612" t="s">
        <v>634</v>
      </c>
      <c r="Q2" s="612">
        <v>2020</v>
      </c>
      <c r="R2" s="612"/>
      <c r="S2" s="612"/>
      <c r="T2" s="613">
        <v>2019</v>
      </c>
      <c r="U2" s="614"/>
      <c r="V2" s="614"/>
      <c r="W2" s="614">
        <v>2018</v>
      </c>
      <c r="X2" s="616"/>
      <c r="Y2" s="617">
        <v>2017</v>
      </c>
      <c r="Z2" s="615"/>
      <c r="AA2" s="612">
        <v>2016</v>
      </c>
      <c r="AC2" s="618"/>
      <c r="AD2" s="619"/>
      <c r="AE2" s="619"/>
    </row>
    <row r="3" spans="1:31" ht="12" customHeight="1">
      <c r="A3" s="473"/>
      <c r="B3" s="473"/>
      <c r="C3" s="473"/>
      <c r="D3" s="620"/>
      <c r="E3" s="473"/>
      <c r="F3" s="426"/>
      <c r="G3" s="621"/>
      <c r="H3" s="621"/>
      <c r="I3" s="621"/>
      <c r="J3" s="608"/>
      <c r="K3" s="610"/>
      <c r="L3" s="608"/>
      <c r="M3" s="621"/>
      <c r="N3" s="610"/>
      <c r="O3" s="621"/>
      <c r="P3" s="621"/>
      <c r="Q3" s="621"/>
      <c r="R3" s="621"/>
      <c r="S3" s="621"/>
      <c r="T3" s="426"/>
      <c r="U3" s="622"/>
      <c r="V3" s="622"/>
      <c r="W3" s="621"/>
      <c r="X3" s="623"/>
      <c r="Y3" s="624"/>
      <c r="Z3" s="608"/>
      <c r="AA3" s="473"/>
    </row>
    <row r="4" spans="1:31" ht="12" customHeight="1">
      <c r="A4" s="625" t="s">
        <v>636</v>
      </c>
      <c r="B4" s="625"/>
      <c r="C4" s="625"/>
      <c r="D4" s="626"/>
      <c r="E4" s="625"/>
      <c r="F4" s="426"/>
      <c r="G4" s="627"/>
      <c r="H4" s="627"/>
      <c r="I4" s="627"/>
      <c r="J4" s="608"/>
      <c r="K4" s="610"/>
      <c r="L4" s="608"/>
      <c r="M4" s="627"/>
      <c r="N4" s="610"/>
      <c r="O4" s="628" t="s">
        <v>637</v>
      </c>
      <c r="P4" s="628"/>
      <c r="Q4" s="628"/>
      <c r="R4" s="628"/>
      <c r="S4" s="628"/>
      <c r="T4" s="426"/>
      <c r="U4" s="629"/>
      <c r="V4" s="629"/>
      <c r="W4" s="628"/>
      <c r="X4" s="623"/>
      <c r="Y4" s="630"/>
      <c r="Z4" s="608"/>
      <c r="AA4" s="631"/>
    </row>
    <row r="5" spans="1:31" ht="12" customHeight="1">
      <c r="A5" s="632" t="s">
        <v>638</v>
      </c>
      <c r="B5" s="633">
        <v>6</v>
      </c>
      <c r="C5" s="634">
        <f>'Planilla final'!R5</f>
        <v>28198842.199999996</v>
      </c>
      <c r="D5" s="626">
        <f t="shared" ref="D5:D13" si="0">F5-C5</f>
        <v>-22312868.199999996</v>
      </c>
      <c r="E5" s="633"/>
      <c r="F5" s="420">
        <v>5885974</v>
      </c>
      <c r="G5" s="635">
        <v>-5247728</v>
      </c>
      <c r="H5" s="635"/>
      <c r="I5" s="636">
        <v>638246</v>
      </c>
      <c r="J5" s="635">
        <v>1104316</v>
      </c>
      <c r="K5" s="637">
        <v>1742562</v>
      </c>
      <c r="L5" s="635">
        <v>-9053595</v>
      </c>
      <c r="M5" s="638">
        <v>10796157</v>
      </c>
      <c r="N5" s="610"/>
      <c r="O5" s="639" t="s">
        <v>639</v>
      </c>
      <c r="P5" s="610"/>
      <c r="Q5" s="640">
        <f>'Planilla final'!R26</f>
        <v>1565644.5</v>
      </c>
      <c r="R5" s="641">
        <f t="shared" ref="R5:R13" si="1">T5-Q5</f>
        <v>-1491600.5</v>
      </c>
      <c r="S5" s="610"/>
      <c r="T5" s="420">
        <v>74044</v>
      </c>
      <c r="U5" s="635">
        <v>-3719967</v>
      </c>
      <c r="V5" s="635"/>
      <c r="W5" s="642">
        <v>3794011</v>
      </c>
      <c r="X5" s="643">
        <v>3533609</v>
      </c>
      <c r="Y5" s="644">
        <v>260402</v>
      </c>
      <c r="Z5" s="635">
        <v>61512</v>
      </c>
      <c r="AA5" s="645">
        <v>198890</v>
      </c>
      <c r="AB5" s="646">
        <v>-3155765</v>
      </c>
      <c r="AC5" s="647"/>
      <c r="AD5" s="648"/>
      <c r="AE5" s="648"/>
    </row>
    <row r="6" spans="1:31" ht="12" customHeight="1">
      <c r="A6" s="632" t="s">
        <v>640</v>
      </c>
      <c r="B6" s="633"/>
      <c r="C6" s="634">
        <f>'Planilla final'!R7</f>
        <v>3119910.64</v>
      </c>
      <c r="D6" s="626">
        <f t="shared" si="0"/>
        <v>-3107991.64</v>
      </c>
      <c r="E6" s="633"/>
      <c r="F6" s="420">
        <v>11919</v>
      </c>
      <c r="G6" s="635">
        <v>60892</v>
      </c>
      <c r="H6" s="635"/>
      <c r="I6" s="636">
        <v>72811</v>
      </c>
      <c r="J6" s="635">
        <v>29809</v>
      </c>
      <c r="K6" s="637">
        <v>102620</v>
      </c>
      <c r="L6" s="635">
        <v>-5828169</v>
      </c>
      <c r="M6" s="638">
        <v>5930789</v>
      </c>
      <c r="N6" s="621"/>
      <c r="O6" s="639" t="s">
        <v>65</v>
      </c>
      <c r="P6" s="610">
        <v>18</v>
      </c>
      <c r="Q6" s="640">
        <f>'Planilla final'!R27</f>
        <v>9978153</v>
      </c>
      <c r="R6" s="641">
        <f t="shared" si="1"/>
        <v>-6593040</v>
      </c>
      <c r="S6" s="610"/>
      <c r="T6" s="420">
        <v>3385113</v>
      </c>
      <c r="U6" s="635">
        <v>-8084255</v>
      </c>
      <c r="V6" s="635"/>
      <c r="W6" s="642">
        <v>11469368</v>
      </c>
      <c r="X6" s="643">
        <v>-1944307</v>
      </c>
      <c r="Y6" s="649">
        <v>13413675</v>
      </c>
      <c r="Z6" s="635">
        <v>-4986126</v>
      </c>
      <c r="AA6" s="631">
        <v>18399801</v>
      </c>
      <c r="AC6" s="432"/>
      <c r="AD6" s="648"/>
      <c r="AE6" s="648"/>
    </row>
    <row r="7" spans="1:31" ht="12" customHeight="1">
      <c r="A7" s="632" t="s">
        <v>36</v>
      </c>
      <c r="B7" s="633">
        <v>7</v>
      </c>
      <c r="C7" s="634">
        <f>'Planilla final'!R6</f>
        <v>8650</v>
      </c>
      <c r="D7" s="626">
        <f t="shared" si="0"/>
        <v>3350139</v>
      </c>
      <c r="E7" s="633"/>
      <c r="F7" s="420">
        <v>3358789</v>
      </c>
      <c r="G7" s="635">
        <v>-965345</v>
      </c>
      <c r="H7" s="635"/>
      <c r="I7" s="636">
        <v>2393444</v>
      </c>
      <c r="J7" s="635">
        <v>251011</v>
      </c>
      <c r="K7" s="637">
        <v>2644455</v>
      </c>
      <c r="L7" s="635">
        <v>593863</v>
      </c>
      <c r="M7" s="638">
        <v>2050592</v>
      </c>
      <c r="N7" s="610"/>
      <c r="O7" s="639" t="s">
        <v>641</v>
      </c>
      <c r="P7" s="610">
        <v>19</v>
      </c>
      <c r="Q7" s="640">
        <f>'Planilla final'!R28</f>
        <v>3785091.1700000004</v>
      </c>
      <c r="R7" s="641">
        <f t="shared" si="1"/>
        <v>-1300360.1700000004</v>
      </c>
      <c r="S7" s="610"/>
      <c r="T7" s="420">
        <v>2484731</v>
      </c>
      <c r="U7" s="635">
        <v>-6103212</v>
      </c>
      <c r="V7" s="635"/>
      <c r="W7" s="642">
        <v>8587943</v>
      </c>
      <c r="X7" s="643">
        <v>-2871367</v>
      </c>
      <c r="Y7" s="649">
        <v>11459310</v>
      </c>
      <c r="Z7" s="635">
        <v>-1466341</v>
      </c>
      <c r="AA7" s="631">
        <v>12925651</v>
      </c>
      <c r="AC7" s="432"/>
      <c r="AD7" s="648"/>
      <c r="AE7" s="648"/>
    </row>
    <row r="8" spans="1:31" ht="12" customHeight="1">
      <c r="A8" s="632" t="s">
        <v>642</v>
      </c>
      <c r="B8" s="633">
        <v>8</v>
      </c>
      <c r="C8" s="634">
        <f>'Planilla final'!R8</f>
        <v>25245375.200000003</v>
      </c>
      <c r="D8" s="626">
        <f t="shared" si="0"/>
        <v>-14158820.200000003</v>
      </c>
      <c r="E8" s="633"/>
      <c r="F8" s="420">
        <v>11086555</v>
      </c>
      <c r="G8" s="635">
        <v>-1755023</v>
      </c>
      <c r="H8" s="635"/>
      <c r="I8" s="636">
        <v>9331532</v>
      </c>
      <c r="J8" s="635">
        <v>6231872</v>
      </c>
      <c r="K8" s="637">
        <v>15563404</v>
      </c>
      <c r="L8" s="635">
        <v>1100909</v>
      </c>
      <c r="M8" s="638">
        <v>14462495</v>
      </c>
      <c r="N8" s="610"/>
      <c r="O8" s="639" t="s">
        <v>643</v>
      </c>
      <c r="P8" s="610">
        <v>20</v>
      </c>
      <c r="Q8" s="640">
        <f>'Planilla final'!R29</f>
        <v>36157105.490000002</v>
      </c>
      <c r="R8" s="641">
        <f t="shared" si="1"/>
        <v>-13617106.490000002</v>
      </c>
      <c r="S8" s="610"/>
      <c r="T8" s="420">
        <v>22539999</v>
      </c>
      <c r="U8" s="635">
        <v>5790003</v>
      </c>
      <c r="V8" s="635"/>
      <c r="W8" s="642">
        <v>16749996</v>
      </c>
      <c r="X8" s="643">
        <v>-3686049</v>
      </c>
      <c r="Y8" s="649">
        <v>20436045</v>
      </c>
      <c r="Z8" s="635">
        <v>1910661</v>
      </c>
      <c r="AA8" s="631">
        <v>18525384</v>
      </c>
      <c r="AC8" s="432"/>
      <c r="AD8" s="648"/>
      <c r="AE8" s="648"/>
    </row>
    <row r="9" spans="1:31" ht="12" customHeight="1">
      <c r="A9" s="632" t="s">
        <v>644</v>
      </c>
      <c r="B9" s="633">
        <v>21</v>
      </c>
      <c r="C9" s="634">
        <f>'Planilla final'!R9</f>
        <v>68414745.319999993</v>
      </c>
      <c r="D9" s="626">
        <f t="shared" si="0"/>
        <v>-36611002.319999993</v>
      </c>
      <c r="E9" s="633"/>
      <c r="F9" s="420">
        <v>31803743</v>
      </c>
      <c r="G9" s="635">
        <v>2402819</v>
      </c>
      <c r="H9" s="635"/>
      <c r="I9" s="636">
        <v>34206562</v>
      </c>
      <c r="J9" s="635">
        <v>-9131565</v>
      </c>
      <c r="K9" s="637">
        <v>25074997</v>
      </c>
      <c r="L9" s="635">
        <v>11254398</v>
      </c>
      <c r="M9" s="638">
        <v>13820599</v>
      </c>
      <c r="N9" s="610"/>
      <c r="O9" s="639" t="s">
        <v>644</v>
      </c>
      <c r="P9" s="610">
        <v>21</v>
      </c>
      <c r="Q9" s="640">
        <f>'Planilla final'!R30</f>
        <v>32968881.039999999</v>
      </c>
      <c r="R9" s="641">
        <f t="shared" si="1"/>
        <v>-31224383.039999999</v>
      </c>
      <c r="S9" s="610"/>
      <c r="T9" s="420">
        <v>1744498</v>
      </c>
      <c r="U9" s="635">
        <v>-726210</v>
      </c>
      <c r="V9" s="635"/>
      <c r="W9" s="642">
        <v>2470708</v>
      </c>
      <c r="X9" s="643">
        <v>557079</v>
      </c>
      <c r="Y9" s="649">
        <v>1913629</v>
      </c>
      <c r="Z9" s="635">
        <v>1651239</v>
      </c>
      <c r="AA9" s="631">
        <v>262390</v>
      </c>
      <c r="AD9" s="648"/>
      <c r="AE9" s="648"/>
    </row>
    <row r="10" spans="1:31" ht="12" customHeight="1">
      <c r="A10" s="632" t="s">
        <v>43</v>
      </c>
      <c r="B10" s="633">
        <v>9</v>
      </c>
      <c r="C10" s="634">
        <f>'Planilla final'!R11</f>
        <v>9174078.5300000012</v>
      </c>
      <c r="D10" s="626">
        <f t="shared" si="0"/>
        <v>-8652049.5300000012</v>
      </c>
      <c r="E10" s="633"/>
      <c r="F10" s="420">
        <v>522029</v>
      </c>
      <c r="G10" s="635">
        <v>228775</v>
      </c>
      <c r="H10" s="635"/>
      <c r="I10" s="636">
        <v>750804</v>
      </c>
      <c r="J10" s="635">
        <v>373975</v>
      </c>
      <c r="K10" s="637">
        <v>1124779</v>
      </c>
      <c r="L10" s="635">
        <v>-685042</v>
      </c>
      <c r="M10" s="638">
        <v>1809821</v>
      </c>
      <c r="N10" s="610"/>
      <c r="O10" s="639" t="s">
        <v>71</v>
      </c>
      <c r="P10" s="610">
        <v>23</v>
      </c>
      <c r="Q10" s="640">
        <f>'Planilla final'!R31</f>
        <v>3350525.22</v>
      </c>
      <c r="R10" s="641">
        <f t="shared" si="1"/>
        <v>4482894.7799999993</v>
      </c>
      <c r="S10" s="610"/>
      <c r="T10" s="420">
        <v>7833420</v>
      </c>
      <c r="U10" s="635">
        <v>1097769</v>
      </c>
      <c r="V10" s="635"/>
      <c r="W10" s="642">
        <v>6735651</v>
      </c>
      <c r="X10" s="643">
        <v>2460744</v>
      </c>
      <c r="Y10" s="649">
        <v>4274907</v>
      </c>
      <c r="Z10" s="635">
        <v>130512</v>
      </c>
      <c r="AA10" s="631">
        <v>4144395</v>
      </c>
      <c r="AD10" s="648"/>
      <c r="AE10" s="648"/>
    </row>
    <row r="11" spans="1:31" ht="12" customHeight="1">
      <c r="A11" s="632" t="s">
        <v>42</v>
      </c>
      <c r="B11" s="633">
        <v>10</v>
      </c>
      <c r="C11" s="634">
        <f>'Planilla final'!R10</f>
        <v>12500350.550000001</v>
      </c>
      <c r="D11" s="626">
        <f t="shared" si="0"/>
        <v>5197736.4499999993</v>
      </c>
      <c r="E11" s="633"/>
      <c r="F11" s="420">
        <v>17698087</v>
      </c>
      <c r="G11" s="635">
        <v>-12823967</v>
      </c>
      <c r="H11" s="635"/>
      <c r="I11" s="636">
        <v>4874120</v>
      </c>
      <c r="J11" s="635">
        <v>664328</v>
      </c>
      <c r="K11" s="637">
        <v>5538448</v>
      </c>
      <c r="L11" s="635">
        <v>2963608</v>
      </c>
      <c r="M11" s="638">
        <v>2574840</v>
      </c>
      <c r="N11" s="610"/>
      <c r="O11" s="639" t="s">
        <v>72</v>
      </c>
      <c r="P11" s="610">
        <v>22</v>
      </c>
      <c r="Q11" s="640">
        <f>'Planilla final'!R32</f>
        <v>6859137.7000000002</v>
      </c>
      <c r="R11" s="641">
        <f t="shared" si="1"/>
        <v>-2678133.7000000002</v>
      </c>
      <c r="S11" s="610"/>
      <c r="T11" s="420">
        <v>4181004</v>
      </c>
      <c r="U11" s="635">
        <v>-366719</v>
      </c>
      <c r="V11" s="635"/>
      <c r="W11" s="642">
        <v>4547723</v>
      </c>
      <c r="X11" s="643">
        <v>859355</v>
      </c>
      <c r="Y11" s="649">
        <v>3688368</v>
      </c>
      <c r="Z11" s="635">
        <v>-31613</v>
      </c>
      <c r="AA11" s="631">
        <v>3719981</v>
      </c>
      <c r="AD11" s="648"/>
      <c r="AE11" s="648"/>
    </row>
    <row r="12" spans="1:31" ht="12" customHeight="1">
      <c r="A12" s="632" t="s">
        <v>45</v>
      </c>
      <c r="B12" s="633"/>
      <c r="C12" s="634">
        <f>'Planilla final'!R12</f>
        <v>6191856.9800000004</v>
      </c>
      <c r="D12" s="626">
        <f t="shared" si="0"/>
        <v>-5438812.9800000004</v>
      </c>
      <c r="E12" s="633"/>
      <c r="F12" s="420">
        <v>753044</v>
      </c>
      <c r="G12" s="635">
        <v>-233386</v>
      </c>
      <c r="H12" s="635"/>
      <c r="I12" s="636">
        <v>519658</v>
      </c>
      <c r="J12" s="635">
        <v>122526</v>
      </c>
      <c r="K12" s="637">
        <v>642184</v>
      </c>
      <c r="L12" s="635">
        <v>-1728719</v>
      </c>
      <c r="M12" s="638">
        <v>2370903</v>
      </c>
      <c r="N12" s="621"/>
      <c r="O12" s="639" t="s">
        <v>645</v>
      </c>
      <c r="P12" s="610">
        <v>26</v>
      </c>
      <c r="Q12" s="640">
        <f>'Planilla final'!R33</f>
        <v>880062.18</v>
      </c>
      <c r="R12" s="641">
        <f t="shared" si="1"/>
        <v>6795871.8200000003</v>
      </c>
      <c r="S12" s="610"/>
      <c r="T12" s="420">
        <v>7675934</v>
      </c>
      <c r="U12" s="635">
        <v>-1991980</v>
      </c>
      <c r="V12" s="635"/>
      <c r="W12" s="642">
        <v>9667914</v>
      </c>
      <c r="X12" s="643">
        <v>3531359</v>
      </c>
      <c r="Y12" s="649">
        <v>6136555</v>
      </c>
      <c r="Z12" s="635">
        <v>-2446877</v>
      </c>
      <c r="AA12" s="631">
        <v>8583432</v>
      </c>
      <c r="AD12" s="648"/>
      <c r="AE12" s="648"/>
    </row>
    <row r="13" spans="1:31" ht="12" customHeight="1">
      <c r="A13" s="632" t="s">
        <v>46</v>
      </c>
      <c r="B13" s="633">
        <v>11</v>
      </c>
      <c r="C13" s="634">
        <f>'Planilla final'!R13</f>
        <v>32628061.140000001</v>
      </c>
      <c r="D13" s="626">
        <f t="shared" si="0"/>
        <v>-3712095.1400000006</v>
      </c>
      <c r="E13" s="633"/>
      <c r="F13" s="420">
        <v>28915966</v>
      </c>
      <c r="G13" s="635">
        <v>-4708564</v>
      </c>
      <c r="H13" s="635"/>
      <c r="I13" s="636">
        <v>24207402</v>
      </c>
      <c r="J13" s="635">
        <v>-9322375</v>
      </c>
      <c r="K13" s="637">
        <v>14885027</v>
      </c>
      <c r="L13" s="635">
        <v>-4055589</v>
      </c>
      <c r="M13" s="638">
        <v>18940616</v>
      </c>
      <c r="N13" s="610"/>
      <c r="O13" s="426" t="s">
        <v>646</v>
      </c>
      <c r="P13" s="650">
        <v>17</v>
      </c>
      <c r="Q13" s="651">
        <f>'Planilla final'!R35</f>
        <v>2486091.54</v>
      </c>
      <c r="R13" s="641">
        <f t="shared" si="1"/>
        <v>-966390.54</v>
      </c>
      <c r="S13" s="650"/>
      <c r="T13" s="420">
        <v>1519701</v>
      </c>
      <c r="U13" s="635">
        <v>1519701</v>
      </c>
      <c r="V13" s="635"/>
      <c r="W13" s="426">
        <v>0</v>
      </c>
      <c r="X13" s="652"/>
      <c r="Y13" s="423">
        <v>0</v>
      </c>
      <c r="Z13" s="635">
        <v>184123</v>
      </c>
      <c r="AA13" s="631">
        <v>4375344</v>
      </c>
      <c r="AD13" s="648"/>
      <c r="AE13" s="648"/>
    </row>
    <row r="14" spans="1:31" ht="12" hidden="1" customHeight="1">
      <c r="B14" s="653"/>
      <c r="C14" s="653"/>
      <c r="D14" s="626"/>
      <c r="E14" s="653"/>
      <c r="F14" s="461"/>
      <c r="G14" s="426"/>
      <c r="H14" s="426"/>
      <c r="I14" s="426"/>
      <c r="J14" s="635"/>
      <c r="K14" s="654">
        <v>67318476</v>
      </c>
      <c r="L14" s="635"/>
      <c r="M14" s="654">
        <v>72756812</v>
      </c>
      <c r="N14" s="621"/>
      <c r="O14" s="426" t="s">
        <v>647</v>
      </c>
      <c r="P14" s="650"/>
      <c r="Q14" s="650"/>
      <c r="R14" s="641"/>
      <c r="S14" s="650"/>
      <c r="T14" s="420">
        <v>0</v>
      </c>
      <c r="U14" s="635">
        <v>0</v>
      </c>
      <c r="V14" s="635"/>
      <c r="W14" s="426">
        <v>0</v>
      </c>
      <c r="X14" s="652"/>
      <c r="Y14" s="423">
        <v>0</v>
      </c>
      <c r="Z14" s="635"/>
      <c r="AA14" s="655">
        <v>71135268</v>
      </c>
      <c r="AD14" s="648"/>
      <c r="AE14" s="648"/>
    </row>
    <row r="15" spans="1:31" ht="12" customHeight="1">
      <c r="A15" s="625" t="s">
        <v>648</v>
      </c>
      <c r="B15" s="633"/>
      <c r="C15" s="656">
        <f>SUM(C5:C13)</f>
        <v>185481870.56</v>
      </c>
      <c r="D15" s="626"/>
      <c r="E15" s="633"/>
      <c r="F15" s="656">
        <v>100036106</v>
      </c>
      <c r="G15" s="635"/>
      <c r="H15" s="635"/>
      <c r="I15" s="657">
        <v>76994579</v>
      </c>
      <c r="J15" s="635"/>
      <c r="K15" s="658"/>
      <c r="L15" s="635"/>
      <c r="M15" s="659"/>
      <c r="N15" s="621"/>
      <c r="O15" s="639" t="s">
        <v>649</v>
      </c>
      <c r="P15" s="610">
        <v>24</v>
      </c>
      <c r="Q15" s="640">
        <f>'Planilla final'!R34</f>
        <v>10870857.880000001</v>
      </c>
      <c r="R15" s="641">
        <f>T15-Q15</f>
        <v>-2971064.8800000008</v>
      </c>
      <c r="S15" s="610"/>
      <c r="T15" s="420">
        <v>7899793</v>
      </c>
      <c r="U15" s="635">
        <v>1674396</v>
      </c>
      <c r="V15" s="635"/>
      <c r="W15" s="642">
        <v>6225397</v>
      </c>
      <c r="X15" s="643">
        <v>1665930</v>
      </c>
      <c r="Y15" s="649">
        <v>4559467</v>
      </c>
      <c r="AD15" s="648"/>
      <c r="AE15" s="648"/>
    </row>
    <row r="16" spans="1:31" ht="12" customHeight="1">
      <c r="D16" s="626"/>
      <c r="J16" s="635"/>
      <c r="K16" s="658"/>
      <c r="L16" s="635"/>
      <c r="M16" s="659"/>
      <c r="N16" s="610"/>
      <c r="O16" s="660" t="s">
        <v>650</v>
      </c>
      <c r="P16" s="661"/>
      <c r="Q16" s="656">
        <f>SUM(Q5:Q15)</f>
        <v>108901549.72000001</v>
      </c>
      <c r="R16" s="641"/>
      <c r="S16" s="661"/>
      <c r="T16" s="656">
        <v>59338237</v>
      </c>
      <c r="U16" s="635"/>
      <c r="V16" s="635"/>
      <c r="W16" s="655">
        <v>70248711</v>
      </c>
      <c r="X16" s="643"/>
      <c r="Y16" s="662">
        <v>66142358</v>
      </c>
      <c r="Z16" s="635"/>
      <c r="AD16" s="648"/>
      <c r="AE16" s="648"/>
    </row>
    <row r="17" spans="1:35" ht="12" customHeight="1">
      <c r="A17" s="632"/>
      <c r="B17" s="633"/>
      <c r="C17" s="633"/>
      <c r="D17" s="626"/>
      <c r="E17" s="633"/>
      <c r="F17" s="426"/>
      <c r="G17" s="635"/>
      <c r="H17" s="635"/>
      <c r="I17" s="663"/>
      <c r="J17" s="635">
        <v>687947</v>
      </c>
      <c r="K17" s="637">
        <v>3212434</v>
      </c>
      <c r="L17" s="635">
        <v>206140</v>
      </c>
      <c r="M17" s="638">
        <v>3006294</v>
      </c>
      <c r="N17" s="621"/>
      <c r="O17" s="426"/>
      <c r="P17" s="650"/>
      <c r="Q17" s="650"/>
      <c r="R17" s="641"/>
      <c r="S17" s="650"/>
      <c r="T17" s="420"/>
      <c r="U17" s="606"/>
      <c r="V17" s="606"/>
      <c r="W17" s="426"/>
      <c r="X17" s="652"/>
      <c r="Y17" s="423"/>
      <c r="Z17" s="635">
        <v>251068</v>
      </c>
      <c r="AA17" s="631">
        <v>9423864</v>
      </c>
      <c r="AD17" s="648"/>
      <c r="AE17" s="648"/>
    </row>
    <row r="18" spans="1:35" ht="12" customHeight="1">
      <c r="A18" s="625" t="s">
        <v>651</v>
      </c>
      <c r="B18" s="633"/>
      <c r="C18" s="633"/>
      <c r="D18" s="626"/>
      <c r="E18" s="633"/>
      <c r="F18" s="426"/>
      <c r="G18" s="635"/>
      <c r="H18" s="635"/>
      <c r="I18" s="663"/>
      <c r="J18" s="635">
        <v>1073025</v>
      </c>
      <c r="K18" s="426">
        <v>3150764</v>
      </c>
      <c r="L18" s="635">
        <v>3150764</v>
      </c>
      <c r="M18" s="638">
        <v>0</v>
      </c>
      <c r="N18" s="610"/>
      <c r="O18" s="628" t="s">
        <v>652</v>
      </c>
      <c r="P18" s="661"/>
      <c r="Q18" s="661"/>
      <c r="R18" s="641"/>
      <c r="S18" s="661"/>
      <c r="T18" s="420"/>
      <c r="U18" s="635"/>
      <c r="V18" s="635"/>
      <c r="W18" s="628"/>
      <c r="X18" s="643"/>
      <c r="Y18" s="423"/>
      <c r="Z18" s="635">
        <v>-6904650</v>
      </c>
      <c r="AA18" s="631">
        <v>13615166</v>
      </c>
      <c r="AD18" s="648"/>
      <c r="AE18" s="648"/>
    </row>
    <row r="19" spans="1:35" ht="12" customHeight="1">
      <c r="A19" s="632" t="s">
        <v>42</v>
      </c>
      <c r="B19" s="633"/>
      <c r="C19" s="634">
        <f>'Planilla final'!R15</f>
        <v>4672848.6400000006</v>
      </c>
      <c r="D19" s="626">
        <f t="shared" ref="D19:D28" si="2">F19-C19</f>
        <v>-4311984.6400000006</v>
      </c>
      <c r="E19" s="633"/>
      <c r="F19" s="420">
        <v>360864</v>
      </c>
      <c r="G19" s="635">
        <v>2163623</v>
      </c>
      <c r="H19" s="635"/>
      <c r="I19" s="636">
        <v>2524487</v>
      </c>
      <c r="J19" s="635">
        <v>9280194</v>
      </c>
      <c r="K19" s="637">
        <v>112886401</v>
      </c>
      <c r="L19" s="635">
        <v>-2499431</v>
      </c>
      <c r="M19" s="638">
        <v>115385832</v>
      </c>
      <c r="N19" s="610"/>
      <c r="O19" s="664" t="s">
        <v>653</v>
      </c>
      <c r="P19" s="661">
        <v>18</v>
      </c>
      <c r="Q19" s="665">
        <f>'Planilla final'!R37</f>
        <v>8303509.8600000003</v>
      </c>
      <c r="R19" s="641">
        <f t="shared" ref="R19:R27" si="3">T19-Q19</f>
        <v>-6649504.8600000003</v>
      </c>
      <c r="S19" s="661"/>
      <c r="T19" s="420">
        <v>1654005</v>
      </c>
      <c r="U19" s="635">
        <v>-2724382</v>
      </c>
      <c r="V19" s="635"/>
      <c r="W19" s="666">
        <v>4378387</v>
      </c>
      <c r="X19" s="643">
        <v>-5296545</v>
      </c>
      <c r="Y19" s="667">
        <v>9674932</v>
      </c>
      <c r="Z19" s="635">
        <v>-3509537</v>
      </c>
      <c r="AA19" s="631">
        <v>5713210</v>
      </c>
      <c r="AD19" s="648"/>
      <c r="AE19" s="648"/>
    </row>
    <row r="20" spans="1:35" ht="12" customHeight="1">
      <c r="A20" s="632" t="s">
        <v>644</v>
      </c>
      <c r="B20" s="633">
        <v>21</v>
      </c>
      <c r="C20" s="634">
        <f>'Planilla final'!R14</f>
        <v>4372325.96</v>
      </c>
      <c r="D20" s="626">
        <f t="shared" si="2"/>
        <v>-2294586.96</v>
      </c>
      <c r="E20" s="633"/>
      <c r="F20" s="420">
        <v>2077739</v>
      </c>
      <c r="G20" s="635">
        <v>0</v>
      </c>
      <c r="H20" s="635"/>
      <c r="I20" s="636">
        <v>2077739</v>
      </c>
      <c r="J20" s="635">
        <v>37744</v>
      </c>
      <c r="K20" s="637">
        <v>661755</v>
      </c>
      <c r="L20" s="635">
        <v>-39210</v>
      </c>
      <c r="M20" s="638">
        <v>700965</v>
      </c>
      <c r="N20" s="610"/>
      <c r="O20" s="664" t="s">
        <v>78</v>
      </c>
      <c r="P20" s="661">
        <v>19</v>
      </c>
      <c r="Q20" s="665">
        <f>'Planilla final'!R38</f>
        <v>0</v>
      </c>
      <c r="R20" s="641">
        <f t="shared" si="3"/>
        <v>0</v>
      </c>
      <c r="S20" s="661"/>
      <c r="T20" s="420">
        <v>0</v>
      </c>
      <c r="U20" s="635">
        <v>-2447101</v>
      </c>
      <c r="V20" s="635"/>
      <c r="W20" s="666">
        <v>2447101</v>
      </c>
      <c r="X20" s="643">
        <v>-4263415</v>
      </c>
      <c r="Y20" s="667">
        <v>6710516</v>
      </c>
      <c r="Z20" s="635">
        <v>2</v>
      </c>
      <c r="AA20" s="631">
        <v>10628878</v>
      </c>
      <c r="AC20" s="668"/>
      <c r="AD20" s="648"/>
      <c r="AE20" s="648"/>
      <c r="AG20" s="669"/>
      <c r="AI20" s="669"/>
    </row>
    <row r="21" spans="1:35" ht="12" customHeight="1">
      <c r="A21" s="632" t="s">
        <v>654</v>
      </c>
      <c r="B21" s="633">
        <v>12</v>
      </c>
      <c r="C21" s="634">
        <f>'Planilla final'!R16+'Planilla final'!R17</f>
        <v>78166352.320000023</v>
      </c>
      <c r="D21" s="626">
        <f t="shared" si="2"/>
        <v>7766718.6799999774</v>
      </c>
      <c r="E21" s="633"/>
      <c r="F21" s="420">
        <v>85933071</v>
      </c>
      <c r="G21" s="635">
        <v>17673136</v>
      </c>
      <c r="H21" s="635"/>
      <c r="I21" s="636">
        <v>103606207</v>
      </c>
      <c r="J21" s="635">
        <v>-2676829</v>
      </c>
      <c r="K21" s="637">
        <v>11276112</v>
      </c>
      <c r="L21" s="635">
        <v>-841341</v>
      </c>
      <c r="M21" s="638">
        <v>12117453</v>
      </c>
      <c r="N21" s="610"/>
      <c r="O21" s="639" t="s">
        <v>643</v>
      </c>
      <c r="P21" s="610">
        <v>20</v>
      </c>
      <c r="Q21" s="640">
        <f>'Planilla final'!R39</f>
        <v>2535062.4300000002</v>
      </c>
      <c r="R21" s="641">
        <f t="shared" si="3"/>
        <v>-2535062.4300000002</v>
      </c>
      <c r="S21" s="610"/>
      <c r="T21" s="420">
        <v>0</v>
      </c>
      <c r="U21" s="635">
        <v>-2345800</v>
      </c>
      <c r="V21" s="635"/>
      <c r="W21" s="670">
        <v>2345800</v>
      </c>
      <c r="X21" s="643">
        <v>142127</v>
      </c>
      <c r="Y21" s="667">
        <v>2203673</v>
      </c>
      <c r="Z21" s="635">
        <v>-477887</v>
      </c>
      <c r="AA21" s="631">
        <v>2793866</v>
      </c>
      <c r="AD21" s="648"/>
      <c r="AE21" s="648"/>
      <c r="AF21" s="609"/>
      <c r="AG21" s="669"/>
      <c r="AH21" s="609"/>
      <c r="AI21" s="669"/>
    </row>
    <row r="22" spans="1:35" ht="12" customHeight="1">
      <c r="A22" s="632" t="s">
        <v>655</v>
      </c>
      <c r="B22" s="633">
        <v>13</v>
      </c>
      <c r="C22" s="634">
        <f>'Planilla final'!R18</f>
        <v>1392713.97</v>
      </c>
      <c r="D22" s="626">
        <f t="shared" si="2"/>
        <v>-807912.97</v>
      </c>
      <c r="E22" s="633"/>
      <c r="F22" s="420">
        <v>584801</v>
      </c>
      <c r="G22" s="635">
        <v>39210</v>
      </c>
      <c r="H22" s="635"/>
      <c r="I22" s="636">
        <v>624011</v>
      </c>
      <c r="J22" s="635">
        <v>0</v>
      </c>
      <c r="K22" s="637">
        <v>1422229</v>
      </c>
      <c r="L22" s="635">
        <v>0</v>
      </c>
      <c r="M22" s="638">
        <v>1422229</v>
      </c>
      <c r="N22" s="610"/>
      <c r="O22" s="639" t="s">
        <v>644</v>
      </c>
      <c r="P22" s="610">
        <v>21</v>
      </c>
      <c r="Q22" s="640">
        <f>'Planilla final'!R40</f>
        <v>31645615.84</v>
      </c>
      <c r="R22" s="641">
        <f t="shared" si="3"/>
        <v>-31138857.84</v>
      </c>
      <c r="S22" s="610"/>
      <c r="T22" s="420">
        <v>506758</v>
      </c>
      <c r="U22" s="635">
        <v>-10525144</v>
      </c>
      <c r="V22" s="635"/>
      <c r="W22" s="670">
        <v>11031902</v>
      </c>
      <c r="X22" s="643">
        <v>403022</v>
      </c>
      <c r="Y22" s="667">
        <v>10628880</v>
      </c>
      <c r="Z22" s="635">
        <v>-610580</v>
      </c>
      <c r="AA22" s="631">
        <v>5796127</v>
      </c>
      <c r="AD22" s="648"/>
      <c r="AE22" s="648"/>
    </row>
    <row r="23" spans="1:35" ht="12" customHeight="1">
      <c r="A23" s="632" t="s">
        <v>656</v>
      </c>
      <c r="B23" s="633">
        <v>14</v>
      </c>
      <c r="C23" s="634">
        <f>'Planilla final'!R19</f>
        <v>6837637.0899999999</v>
      </c>
      <c r="D23" s="626">
        <f t="shared" si="2"/>
        <v>5396446.9100000001</v>
      </c>
      <c r="E23" s="633"/>
      <c r="F23" s="420">
        <v>12234084</v>
      </c>
      <c r="G23" s="635">
        <v>1718857</v>
      </c>
      <c r="H23" s="635"/>
      <c r="I23" s="636">
        <v>13952941</v>
      </c>
      <c r="J23" s="635">
        <v>0</v>
      </c>
      <c r="K23" s="637">
        <v>3318028</v>
      </c>
      <c r="L23" s="635">
        <v>-3227531</v>
      </c>
      <c r="M23" s="638">
        <v>6545559</v>
      </c>
      <c r="N23" s="610"/>
      <c r="O23" s="639" t="s">
        <v>72</v>
      </c>
      <c r="P23" s="610">
        <v>22</v>
      </c>
      <c r="Q23" s="640">
        <f>'Planilla final'!R41</f>
        <v>3666071.47</v>
      </c>
      <c r="R23" s="641">
        <f t="shared" si="3"/>
        <v>9749116.5299999993</v>
      </c>
      <c r="S23" s="610"/>
      <c r="T23" s="420">
        <v>13415188</v>
      </c>
      <c r="U23" s="635">
        <v>12329117</v>
      </c>
      <c r="V23" s="635"/>
      <c r="W23" s="670">
        <v>1086071</v>
      </c>
      <c r="X23" s="643">
        <v>-1229908</v>
      </c>
      <c r="Y23" s="667">
        <v>2315979</v>
      </c>
      <c r="Z23" s="635">
        <v>3116879</v>
      </c>
      <c r="AA23" s="631">
        <v>17696327</v>
      </c>
      <c r="AD23" s="648"/>
      <c r="AE23" s="648"/>
    </row>
    <row r="24" spans="1:35" ht="12" customHeight="1">
      <c r="A24" s="632" t="s">
        <v>56</v>
      </c>
      <c r="B24" s="633">
        <v>15</v>
      </c>
      <c r="C24" s="634">
        <f>'Planilla final'!R20</f>
        <v>3079397.05</v>
      </c>
      <c r="D24" s="626">
        <f t="shared" si="2"/>
        <v>-1405813.0499999998</v>
      </c>
      <c r="E24" s="633"/>
      <c r="F24" s="420">
        <v>1673584</v>
      </c>
      <c r="G24" s="635">
        <v>-251355</v>
      </c>
      <c r="H24" s="635"/>
      <c r="I24" s="636">
        <v>1422229</v>
      </c>
      <c r="J24" s="635">
        <v>1257222</v>
      </c>
      <c r="K24" s="637">
        <v>4326687</v>
      </c>
      <c r="L24" s="635">
        <v>1190535</v>
      </c>
      <c r="M24" s="638">
        <v>3136152</v>
      </c>
      <c r="N24" s="610"/>
      <c r="O24" s="639" t="s">
        <v>657</v>
      </c>
      <c r="P24" s="610">
        <v>28</v>
      </c>
      <c r="Q24" s="640">
        <f>'Planilla final'!R42</f>
        <v>9235679.2199999988</v>
      </c>
      <c r="R24" s="641">
        <f t="shared" si="3"/>
        <v>-992199.21999999881</v>
      </c>
      <c r="S24" s="610"/>
      <c r="T24" s="420">
        <v>8243480</v>
      </c>
      <c r="U24" s="635">
        <v>2284473</v>
      </c>
      <c r="V24" s="635"/>
      <c r="W24" s="670">
        <v>5959007</v>
      </c>
      <c r="X24" s="643">
        <v>773460</v>
      </c>
      <c r="Y24" s="667">
        <v>5185547</v>
      </c>
      <c r="Z24" s="635">
        <v>0</v>
      </c>
      <c r="AA24" s="631">
        <v>3572443</v>
      </c>
      <c r="AD24" s="648"/>
      <c r="AE24" s="648"/>
    </row>
    <row r="25" spans="1:35" ht="12" customHeight="1">
      <c r="A25" s="632" t="s">
        <v>519</v>
      </c>
      <c r="B25" s="633">
        <v>16</v>
      </c>
      <c r="C25" s="634">
        <f>'Planilla final'!R21</f>
        <v>42623206.109999999</v>
      </c>
      <c r="D25" s="626">
        <f t="shared" si="2"/>
        <v>-39036804.640000001</v>
      </c>
      <c r="E25" s="633"/>
      <c r="F25" s="420">
        <v>3586401.47</v>
      </c>
      <c r="G25" s="635">
        <v>-268373.46999999898</v>
      </c>
      <c r="H25" s="635"/>
      <c r="I25" s="636">
        <v>3318028</v>
      </c>
      <c r="J25" s="635"/>
      <c r="K25" s="637">
        <v>0</v>
      </c>
      <c r="L25" s="635"/>
      <c r="M25" s="638"/>
      <c r="N25" s="610"/>
      <c r="O25" s="639" t="s">
        <v>645</v>
      </c>
      <c r="P25" s="610">
        <v>26</v>
      </c>
      <c r="Q25" s="640">
        <f>'Planilla final'!R44</f>
        <v>16083778.210000001</v>
      </c>
      <c r="R25" s="641">
        <f t="shared" si="3"/>
        <v>17772467.789999999</v>
      </c>
      <c r="S25" s="610"/>
      <c r="T25" s="420">
        <v>33856246</v>
      </c>
      <c r="U25" s="635">
        <v>9060189</v>
      </c>
      <c r="V25" s="635"/>
      <c r="W25" s="670">
        <v>24796057</v>
      </c>
      <c r="X25" s="643">
        <v>3982851</v>
      </c>
      <c r="Y25" s="667">
        <v>20813206</v>
      </c>
      <c r="Z25" s="635"/>
      <c r="AA25" s="631"/>
      <c r="AD25" s="648"/>
      <c r="AE25" s="648"/>
    </row>
    <row r="26" spans="1:35" ht="12" customHeight="1">
      <c r="A26" s="632" t="s">
        <v>61</v>
      </c>
      <c r="B26" s="633"/>
      <c r="C26" s="634">
        <f>'Planilla final'!R24</f>
        <v>-13584996.640000001</v>
      </c>
      <c r="D26" s="626">
        <f t="shared" si="2"/>
        <v>13586596.640000001</v>
      </c>
      <c r="E26" s="633"/>
      <c r="F26" s="420">
        <v>1600</v>
      </c>
      <c r="G26" s="635">
        <v>3067865</v>
      </c>
      <c r="H26" s="635"/>
      <c r="I26" s="636">
        <v>3069465</v>
      </c>
      <c r="J26" s="635">
        <v>-261500</v>
      </c>
      <c r="K26" s="637">
        <v>0</v>
      </c>
      <c r="L26" s="635">
        <v>0</v>
      </c>
      <c r="M26" s="638">
        <v>0</v>
      </c>
      <c r="N26" s="426"/>
      <c r="O26" s="639" t="s">
        <v>658</v>
      </c>
      <c r="P26" s="610">
        <v>17</v>
      </c>
      <c r="Q26" s="640">
        <f>'Planilla final'!R43</f>
        <v>3687845.66</v>
      </c>
      <c r="R26" s="641">
        <f t="shared" si="3"/>
        <v>-883686.66000000015</v>
      </c>
      <c r="S26" s="610"/>
      <c r="T26" s="420">
        <v>2804159</v>
      </c>
      <c r="U26" s="635">
        <v>2804159</v>
      </c>
      <c r="V26" s="635"/>
      <c r="W26" s="671">
        <v>0</v>
      </c>
      <c r="X26" s="643">
        <v>-3572443</v>
      </c>
      <c r="Y26" s="667">
        <v>3572443</v>
      </c>
      <c r="Z26" s="635">
        <v>0</v>
      </c>
      <c r="AA26" s="672">
        <v>0</v>
      </c>
      <c r="AD26" s="648"/>
      <c r="AE26" s="648"/>
    </row>
    <row r="27" spans="1:35" ht="12" customHeight="1">
      <c r="A27" s="632" t="s">
        <v>521</v>
      </c>
      <c r="B27" s="633">
        <v>17</v>
      </c>
      <c r="C27" s="634">
        <f>'Planilla final'!R23</f>
        <v>24381785.52</v>
      </c>
      <c r="D27" s="626">
        <f t="shared" si="2"/>
        <v>-20234678.52</v>
      </c>
      <c r="E27" s="633"/>
      <c r="F27" s="420">
        <v>4147107</v>
      </c>
      <c r="G27" s="635">
        <v>-4147107</v>
      </c>
      <c r="H27" s="635"/>
      <c r="I27" s="636">
        <v>0</v>
      </c>
      <c r="K27" s="654">
        <v>140254410</v>
      </c>
      <c r="M27" s="654">
        <v>142314484</v>
      </c>
      <c r="N27" s="610"/>
      <c r="O27" s="639" t="s">
        <v>524</v>
      </c>
      <c r="P27" s="610">
        <v>29</v>
      </c>
      <c r="Q27" s="640">
        <f>'Planilla final'!R45</f>
        <v>0</v>
      </c>
      <c r="R27" s="641">
        <f t="shared" si="3"/>
        <v>2580000</v>
      </c>
      <c r="S27" s="610"/>
      <c r="T27" s="420">
        <v>2580000</v>
      </c>
      <c r="U27" s="635">
        <v>0</v>
      </c>
      <c r="V27" s="635"/>
      <c r="W27" s="670">
        <v>2580000</v>
      </c>
      <c r="X27" s="643">
        <v>2580000</v>
      </c>
      <c r="Y27" s="673">
        <v>0</v>
      </c>
      <c r="AA27" s="674">
        <v>69239881</v>
      </c>
      <c r="AD27" s="648"/>
      <c r="AE27" s="648"/>
    </row>
    <row r="28" spans="1:35" ht="12" customHeight="1">
      <c r="A28" s="632" t="s">
        <v>659</v>
      </c>
      <c r="B28" s="633"/>
      <c r="C28" s="634">
        <f>'Planilla final'!R22</f>
        <v>282308.98</v>
      </c>
      <c r="D28" s="626">
        <f t="shared" si="2"/>
        <v>-18695.979999999981</v>
      </c>
      <c r="E28" s="633"/>
      <c r="F28" s="420">
        <v>263613</v>
      </c>
      <c r="G28" s="635">
        <v>-2113</v>
      </c>
      <c r="H28" s="635"/>
      <c r="I28" s="636">
        <v>261500</v>
      </c>
      <c r="K28" s="426"/>
      <c r="M28" s="426"/>
      <c r="N28" s="426"/>
      <c r="O28" s="660" t="s">
        <v>144</v>
      </c>
      <c r="P28" s="661"/>
      <c r="Q28" s="675">
        <f>SUM(Q19:Q27)</f>
        <v>75157562.689999998</v>
      </c>
      <c r="R28" s="676"/>
      <c r="S28" s="661"/>
      <c r="T28" s="675">
        <v>63059836</v>
      </c>
      <c r="U28" s="606"/>
      <c r="V28" s="606"/>
      <c r="W28" s="677">
        <v>54624325</v>
      </c>
      <c r="X28" s="652"/>
      <c r="Y28" s="678">
        <v>61105176</v>
      </c>
      <c r="AA28" s="679">
        <v>140375149</v>
      </c>
      <c r="AD28" s="648"/>
      <c r="AE28" s="648"/>
    </row>
    <row r="29" spans="1:35" ht="12" customHeight="1">
      <c r="A29" s="625" t="s">
        <v>660</v>
      </c>
      <c r="B29" s="633"/>
      <c r="C29" s="656">
        <f>SUM(C19:C28)</f>
        <v>152223579</v>
      </c>
      <c r="D29" s="680"/>
      <c r="E29" s="633"/>
      <c r="F29" s="656">
        <v>110862864.47</v>
      </c>
      <c r="G29" s="654"/>
      <c r="H29" s="654"/>
      <c r="I29" s="657">
        <v>130856607</v>
      </c>
      <c r="K29" s="426"/>
      <c r="M29" s="426"/>
      <c r="N29" s="426"/>
      <c r="O29" s="660" t="s">
        <v>86</v>
      </c>
      <c r="P29" s="661"/>
      <c r="Q29" s="656">
        <f>Q16+Q28</f>
        <v>184059112.41000003</v>
      </c>
      <c r="R29" s="676"/>
      <c r="S29" s="661"/>
      <c r="T29" s="656">
        <v>122398073</v>
      </c>
      <c r="U29" s="606"/>
      <c r="V29" s="606"/>
      <c r="W29" s="681">
        <v>124873036</v>
      </c>
      <c r="X29" s="652"/>
      <c r="Y29" s="682">
        <v>127247534</v>
      </c>
      <c r="AA29" s="577"/>
      <c r="AD29" s="648"/>
      <c r="AE29" s="648"/>
    </row>
    <row r="30" spans="1:35" ht="12" customHeight="1">
      <c r="B30" s="653"/>
      <c r="C30" s="653"/>
      <c r="D30" s="680"/>
      <c r="E30" s="653"/>
      <c r="F30" s="420"/>
      <c r="G30" s="426"/>
      <c r="H30" s="426"/>
      <c r="I30" s="426"/>
      <c r="K30" s="426"/>
      <c r="M30" s="426"/>
      <c r="N30" s="610"/>
      <c r="O30" s="660"/>
      <c r="P30" s="661"/>
      <c r="Q30" s="420"/>
      <c r="R30" s="676"/>
      <c r="S30" s="661"/>
      <c r="T30" s="420"/>
      <c r="U30" s="606"/>
      <c r="V30" s="606"/>
      <c r="W30" s="683"/>
      <c r="X30" s="652"/>
      <c r="Y30" s="684"/>
      <c r="AA30" s="685"/>
      <c r="AD30" s="648"/>
      <c r="AE30" s="648"/>
    </row>
    <row r="31" spans="1:35" ht="12" customHeight="1">
      <c r="B31" s="653"/>
      <c r="C31" s="653"/>
      <c r="D31" s="680"/>
      <c r="E31" s="653"/>
      <c r="F31" s="420"/>
      <c r="G31" s="426"/>
      <c r="H31" s="426"/>
      <c r="I31" s="426"/>
      <c r="K31" s="426"/>
      <c r="M31" s="426"/>
      <c r="N31" s="426"/>
      <c r="O31" s="660" t="s">
        <v>661</v>
      </c>
      <c r="P31" s="661"/>
      <c r="Q31" s="420">
        <f>'Planilla final'!R57</f>
        <v>153646337.15000001</v>
      </c>
      <c r="R31" s="676"/>
      <c r="S31" s="661"/>
      <c r="T31" s="420">
        <v>88500897.469999999</v>
      </c>
      <c r="U31" s="606">
        <v>5522747.4699999997</v>
      </c>
      <c r="V31" s="606"/>
      <c r="W31" s="637">
        <v>82978150</v>
      </c>
      <c r="X31" s="652">
        <v>2652798</v>
      </c>
      <c r="Y31" s="686">
        <v>80325352</v>
      </c>
      <c r="Z31" s="606">
        <v>5629205</v>
      </c>
      <c r="AA31" s="645">
        <v>74696147</v>
      </c>
      <c r="AC31" s="432"/>
      <c r="AD31" s="648"/>
      <c r="AE31" s="648"/>
    </row>
    <row r="32" spans="1:35" ht="12" customHeight="1">
      <c r="B32" s="653"/>
      <c r="C32" s="653"/>
      <c r="D32" s="680"/>
      <c r="E32" s="653"/>
      <c r="F32" s="420"/>
      <c r="G32" s="426"/>
      <c r="H32" s="426"/>
      <c r="I32" s="426"/>
      <c r="K32" s="426"/>
      <c r="M32" s="426"/>
      <c r="N32" s="687"/>
      <c r="O32" s="426"/>
      <c r="P32" s="650"/>
      <c r="Q32" s="426"/>
      <c r="R32" s="688"/>
      <c r="S32" s="650"/>
      <c r="T32" s="426"/>
      <c r="U32" s="426"/>
      <c r="V32" s="426"/>
      <c r="W32" s="426"/>
      <c r="X32" s="652"/>
      <c r="Y32" s="423"/>
      <c r="AD32" s="648"/>
      <c r="AE32" s="648"/>
    </row>
    <row r="33" spans="1:31" ht="12" customHeight="1">
      <c r="A33" s="473" t="s">
        <v>662</v>
      </c>
      <c r="B33" s="633"/>
      <c r="C33" s="689">
        <f>C15+C29</f>
        <v>337705449.56</v>
      </c>
      <c r="D33" s="633"/>
      <c r="E33" s="633"/>
      <c r="F33" s="689">
        <v>210898970.47</v>
      </c>
      <c r="G33" s="669"/>
      <c r="H33" s="669"/>
      <c r="I33" s="689">
        <v>207851186</v>
      </c>
      <c r="J33" s="608"/>
      <c r="K33" s="669">
        <v>207572886</v>
      </c>
      <c r="L33" s="608"/>
      <c r="M33" s="669">
        <v>215071296</v>
      </c>
      <c r="N33" s="610"/>
      <c r="O33" s="690" t="s">
        <v>663</v>
      </c>
      <c r="P33" s="690"/>
      <c r="Q33" s="689">
        <f>Q29+Q31</f>
        <v>337705449.56000006</v>
      </c>
      <c r="R33" s="691"/>
      <c r="S33" s="690"/>
      <c r="T33" s="689">
        <v>210898970.47</v>
      </c>
      <c r="U33" s="669"/>
      <c r="V33" s="669"/>
      <c r="W33" s="692">
        <v>207851186</v>
      </c>
      <c r="X33" s="623"/>
      <c r="Y33" s="693">
        <v>207572886</v>
      </c>
      <c r="Z33" s="608"/>
      <c r="AA33" s="689">
        <v>215071296</v>
      </c>
      <c r="AD33" s="648"/>
      <c r="AE33" s="648"/>
    </row>
    <row r="34" spans="1:31" ht="5.0999999999999996" customHeight="1">
      <c r="B34" s="653"/>
      <c r="C34" s="653"/>
      <c r="D34" s="653"/>
      <c r="E34" s="653"/>
      <c r="F34" s="426"/>
      <c r="G34" s="426"/>
      <c r="H34" s="426"/>
      <c r="I34" s="426"/>
      <c r="K34" s="694"/>
      <c r="M34" s="426"/>
      <c r="N34" s="610"/>
      <c r="O34" s="685"/>
      <c r="P34" s="685"/>
      <c r="Q34" s="685"/>
      <c r="R34" s="685"/>
      <c r="S34" s="685"/>
      <c r="T34" s="426"/>
      <c r="U34" s="685"/>
      <c r="V34" s="685"/>
      <c r="W34" s="685"/>
      <c r="X34" s="695"/>
      <c r="Y34" s="431"/>
      <c r="AD34" s="685"/>
    </row>
    <row r="35" spans="1:31" ht="17.25" customHeight="1">
      <c r="A35" s="419" t="s">
        <v>664</v>
      </c>
      <c r="C35"/>
      <c r="F35" s="432"/>
      <c r="I35"/>
      <c r="K35" s="694"/>
      <c r="N35" s="610"/>
      <c r="O35" s="685"/>
      <c r="P35" s="685"/>
      <c r="Q35" s="685"/>
      <c r="R35" s="685"/>
      <c r="S35" s="685"/>
      <c r="T35" s="419"/>
      <c r="AD35" s="685"/>
    </row>
    <row r="36" spans="1:31" ht="11.85" customHeight="1">
      <c r="F36" s="432"/>
      <c r="K36" s="694"/>
      <c r="N36" s="610"/>
      <c r="O36" s="685"/>
      <c r="P36" s="685"/>
      <c r="Q36" s="685">
        <f>C33-Q33</f>
        <v>0</v>
      </c>
      <c r="R36" s="685"/>
      <c r="S36" s="685"/>
      <c r="T36" s="647">
        <v>0</v>
      </c>
      <c r="U36" s="647">
        <v>0</v>
      </c>
      <c r="V36" s="647"/>
      <c r="W36" s="647">
        <v>0</v>
      </c>
      <c r="AD36" s="685"/>
    </row>
    <row r="37" spans="1:31" ht="12" customHeight="1">
      <c r="F37" s="419"/>
      <c r="K37" s="685"/>
      <c r="N37" s="610"/>
      <c r="O37" s="685"/>
      <c r="P37" s="685"/>
      <c r="Q37" s="685"/>
      <c r="R37" s="685"/>
      <c r="S37" s="685"/>
      <c r="T37" s="419"/>
      <c r="U37" s="685"/>
      <c r="V37" s="685"/>
      <c r="W37" s="685"/>
      <c r="Y37" s="685"/>
      <c r="AA37" s="685"/>
      <c r="AD37" s="685"/>
    </row>
    <row r="38" spans="1:31" ht="12" customHeight="1">
      <c r="A38" s="696" t="s">
        <v>665</v>
      </c>
      <c r="B38" s="696"/>
      <c r="C38" s="696"/>
      <c r="D38" s="696"/>
      <c r="E38" s="696"/>
      <c r="F38" s="434"/>
      <c r="I38" s="418"/>
      <c r="J38" s="608"/>
      <c r="K38" s="685"/>
      <c r="L38" s="608"/>
      <c r="N38" s="610"/>
      <c r="O38" s="697" t="s">
        <v>666</v>
      </c>
      <c r="P38" s="697"/>
      <c r="Q38" s="697"/>
      <c r="R38" s="697"/>
      <c r="S38" s="697"/>
      <c r="T38" s="434"/>
      <c r="U38" s="685"/>
      <c r="V38" s="685"/>
      <c r="W38" s="685"/>
      <c r="X38" s="608"/>
      <c r="Z38" s="608"/>
      <c r="AD38" s="685"/>
    </row>
    <row r="39" spans="1:31" ht="12" customHeight="1">
      <c r="A39" s="698" t="s">
        <v>667</v>
      </c>
      <c r="B39" s="698"/>
      <c r="C39" s="698"/>
      <c r="D39" s="698"/>
      <c r="E39" s="698"/>
      <c r="F39" s="425">
        <v>-268472.46999999997</v>
      </c>
      <c r="G39" s="491"/>
      <c r="H39" s="491"/>
      <c r="I39" s="491"/>
      <c r="J39" s="608"/>
      <c r="K39" s="685"/>
      <c r="L39" s="608"/>
      <c r="M39" s="685"/>
      <c r="N39" s="610"/>
      <c r="O39" s="698" t="s">
        <v>348</v>
      </c>
      <c r="P39" s="698"/>
      <c r="Q39" s="698"/>
      <c r="R39" s="698"/>
      <c r="S39" s="698"/>
      <c r="T39" s="425">
        <v>12470870.470000001</v>
      </c>
      <c r="U39" s="685"/>
      <c r="V39" s="685"/>
      <c r="W39" s="685"/>
      <c r="X39" s="608"/>
      <c r="Z39" s="608"/>
      <c r="AD39" s="685"/>
    </row>
    <row r="40" spans="1:31" ht="12" customHeight="1">
      <c r="A40" s="452" t="s">
        <v>668</v>
      </c>
      <c r="B40" s="452"/>
      <c r="C40" s="452"/>
      <c r="D40" s="452"/>
      <c r="E40" s="452"/>
      <c r="F40" s="429">
        <v>99.000000001164196</v>
      </c>
      <c r="G40" s="420"/>
      <c r="H40" s="420"/>
      <c r="I40" s="420"/>
      <c r="J40" s="608"/>
      <c r="K40" s="685"/>
      <c r="L40" s="608"/>
      <c r="O40" s="699" t="s">
        <v>669</v>
      </c>
      <c r="P40" s="699"/>
      <c r="Q40" s="699"/>
      <c r="R40" s="699"/>
      <c r="S40" s="699"/>
      <c r="T40" s="425">
        <v>-5488035</v>
      </c>
      <c r="U40" s="700"/>
      <c r="V40" s="700"/>
      <c r="W40" s="700"/>
      <c r="X40" s="608"/>
      <c r="Z40" s="608"/>
      <c r="AD40" s="685"/>
    </row>
    <row r="41" spans="1:31" ht="12" customHeight="1">
      <c r="A41" s="701" t="s">
        <v>5</v>
      </c>
      <c r="B41" s="701"/>
      <c r="C41" s="701"/>
      <c r="D41" s="701"/>
      <c r="E41" s="701"/>
      <c r="F41" s="429">
        <v>-268373.46999999898</v>
      </c>
      <c r="G41" s="420"/>
      <c r="H41" s="420"/>
      <c r="I41" s="420"/>
      <c r="J41" s="608"/>
      <c r="K41" s="685"/>
      <c r="L41" s="608"/>
      <c r="N41" s="610"/>
      <c r="O41" s="699" t="s">
        <v>670</v>
      </c>
      <c r="P41" s="699"/>
      <c r="Q41" s="699"/>
      <c r="R41" s="699"/>
      <c r="S41" s="699"/>
      <c r="T41" s="425">
        <v>1188714</v>
      </c>
      <c r="U41" s="700"/>
      <c r="V41" s="700"/>
      <c r="W41" s="700"/>
      <c r="X41" s="608"/>
      <c r="Z41" s="608"/>
      <c r="AD41" s="685"/>
    </row>
    <row r="42" spans="1:31" ht="12" customHeight="1">
      <c r="F42" s="463">
        <v>0</v>
      </c>
      <c r="K42" s="685"/>
      <c r="N42" s="610"/>
      <c r="O42" s="423" t="s">
        <v>671</v>
      </c>
      <c r="P42" s="423"/>
      <c r="Q42" s="423"/>
      <c r="R42" s="423"/>
      <c r="S42" s="423"/>
      <c r="T42" s="425">
        <v>-1099700</v>
      </c>
      <c r="U42" s="685"/>
      <c r="V42" s="685"/>
      <c r="W42" s="685"/>
      <c r="Y42" s="685"/>
      <c r="AA42" s="685"/>
      <c r="AD42" s="685"/>
    </row>
    <row r="43" spans="1:31" ht="12" customHeight="1">
      <c r="A43" s="696" t="s">
        <v>672</v>
      </c>
      <c r="B43" s="696"/>
      <c r="C43" s="696"/>
      <c r="D43" s="696"/>
      <c r="E43" s="696"/>
      <c r="F43" s="434"/>
      <c r="J43" s="608"/>
      <c r="K43" s="685"/>
      <c r="L43" s="608"/>
      <c r="N43" s="610"/>
      <c r="O43" s="698" t="s">
        <v>673</v>
      </c>
      <c r="P43" s="698"/>
      <c r="Q43" s="698"/>
      <c r="R43" s="698"/>
      <c r="S43" s="698"/>
      <c r="T43" s="425">
        <v>-1770198</v>
      </c>
      <c r="U43" s="685"/>
      <c r="V43" s="685"/>
      <c r="W43" s="685"/>
      <c r="X43" s="608"/>
      <c r="Z43" s="608"/>
      <c r="AD43" s="685"/>
    </row>
    <row r="44" spans="1:31" ht="12" customHeight="1">
      <c r="A44" s="698" t="s">
        <v>674</v>
      </c>
      <c r="B44" s="698"/>
      <c r="C44" s="698"/>
      <c r="D44" s="698"/>
      <c r="E44" s="698"/>
      <c r="F44" s="425">
        <v>21515684</v>
      </c>
      <c r="G44" s="491"/>
      <c r="H44" s="491"/>
      <c r="I44" s="491"/>
      <c r="J44" s="608"/>
      <c r="K44" s="685"/>
      <c r="L44" s="608"/>
      <c r="M44" s="685"/>
      <c r="N44" s="610"/>
      <c r="O44" s="423" t="s">
        <v>675</v>
      </c>
      <c r="P44" s="423"/>
      <c r="Q44" s="423"/>
      <c r="R44" s="423"/>
      <c r="S44" s="423"/>
      <c r="T44" s="425"/>
      <c r="U44" s="685"/>
      <c r="V44" s="685"/>
      <c r="W44" s="685"/>
      <c r="X44" s="608"/>
      <c r="Z44" s="608"/>
      <c r="AD44" s="685"/>
    </row>
    <row r="45" spans="1:31" ht="12" customHeight="1">
      <c r="A45" s="452" t="s">
        <v>668</v>
      </c>
      <c r="B45" s="452"/>
      <c r="C45" s="452"/>
      <c r="D45" s="452"/>
      <c r="E45" s="452"/>
      <c r="F45" s="429">
        <v>-3842548</v>
      </c>
      <c r="G45" s="420"/>
      <c r="H45" s="420"/>
      <c r="I45" s="420"/>
      <c r="J45" s="608"/>
      <c r="K45" s="685"/>
      <c r="L45" s="608"/>
      <c r="O45" s="698" t="s">
        <v>676</v>
      </c>
      <c r="P45" s="698"/>
      <c r="Q45" s="698"/>
      <c r="R45" s="698"/>
      <c r="S45" s="698"/>
      <c r="T45" s="425">
        <v>221096</v>
      </c>
      <c r="U45" s="700"/>
      <c r="V45" s="700"/>
      <c r="W45" s="700"/>
      <c r="X45" s="608"/>
      <c r="Z45" s="608"/>
      <c r="AD45" s="685"/>
    </row>
    <row r="46" spans="1:31" ht="12" customHeight="1">
      <c r="A46" s="701" t="s">
        <v>5</v>
      </c>
      <c r="B46" s="701"/>
      <c r="C46" s="701"/>
      <c r="D46" s="701"/>
      <c r="E46" s="701"/>
      <c r="F46" s="429">
        <v>17673136</v>
      </c>
      <c r="G46" s="420"/>
      <c r="H46" s="420"/>
      <c r="I46" s="420"/>
      <c r="J46" s="608"/>
      <c r="K46" s="685"/>
      <c r="L46" s="608"/>
      <c r="N46" s="610"/>
      <c r="O46" s="702" t="s">
        <v>5</v>
      </c>
      <c r="P46" s="702"/>
      <c r="Q46" s="702"/>
      <c r="R46" s="702"/>
      <c r="S46" s="702"/>
      <c r="T46" s="441">
        <v>5522747.4699999997</v>
      </c>
      <c r="U46" s="700"/>
      <c r="V46" s="700"/>
      <c r="W46" s="700"/>
      <c r="X46" s="608"/>
      <c r="Z46" s="608"/>
      <c r="AD46" s="685"/>
    </row>
    <row r="47" spans="1:31" ht="12" customHeight="1">
      <c r="F47" s="420">
        <v>0</v>
      </c>
      <c r="G47" s="420"/>
      <c r="H47" s="420"/>
      <c r="I47" s="420"/>
      <c r="K47" s="694"/>
      <c r="O47" s="700"/>
      <c r="P47" s="700"/>
      <c r="Q47" s="700"/>
      <c r="R47" s="700"/>
      <c r="S47" s="700"/>
      <c r="T47" s="420">
        <v>0</v>
      </c>
      <c r="U47" s="700"/>
      <c r="V47" s="700"/>
      <c r="W47" s="700"/>
      <c r="AD47" s="685"/>
    </row>
    <row r="48" spans="1:31" ht="12" customHeight="1">
      <c r="A48" s="696" t="s">
        <v>677</v>
      </c>
      <c r="B48" s="696"/>
      <c r="C48" s="696"/>
      <c r="D48" s="696"/>
      <c r="E48" s="696"/>
      <c r="F48" s="434"/>
      <c r="J48" s="608"/>
      <c r="K48" s="685"/>
      <c r="L48" s="608"/>
      <c r="N48" s="610"/>
      <c r="O48" s="703" t="s">
        <v>348</v>
      </c>
      <c r="P48" s="703"/>
      <c r="Q48" s="703"/>
      <c r="R48" s="703"/>
      <c r="S48" s="703"/>
      <c r="T48" s="435">
        <v>12470870.470000001</v>
      </c>
      <c r="U48" s="685"/>
      <c r="V48" s="685"/>
      <c r="W48" s="685"/>
      <c r="X48" s="608"/>
      <c r="Z48" s="608"/>
      <c r="AD48" s="685"/>
    </row>
    <row r="49" spans="1:30" ht="12" customHeight="1">
      <c r="A49" s="698" t="s">
        <v>674</v>
      </c>
      <c r="B49" s="698"/>
      <c r="C49" s="698"/>
      <c r="D49" s="698"/>
      <c r="E49" s="698"/>
      <c r="F49" s="425">
        <v>1484293</v>
      </c>
      <c r="G49" s="491"/>
      <c r="H49" s="491"/>
      <c r="I49" s="491"/>
      <c r="J49" s="608"/>
      <c r="K49" s="685"/>
      <c r="L49" s="608"/>
      <c r="M49" s="685"/>
      <c r="N49" s="610"/>
      <c r="O49" s="704" t="s">
        <v>678</v>
      </c>
      <c r="P49" s="704"/>
      <c r="Q49" s="704"/>
      <c r="R49" s="704"/>
      <c r="S49" s="704"/>
      <c r="T49" s="429">
        <v>7566400</v>
      </c>
      <c r="U49" s="685"/>
      <c r="V49" s="685"/>
      <c r="W49" s="685"/>
      <c r="X49" s="608"/>
      <c r="Z49" s="608"/>
      <c r="AD49" s="685"/>
    </row>
    <row r="50" spans="1:30" ht="12" customHeight="1">
      <c r="A50" s="452" t="s">
        <v>679</v>
      </c>
      <c r="B50" s="452"/>
      <c r="C50" s="452"/>
      <c r="D50" s="452"/>
      <c r="E50" s="452"/>
      <c r="F50" s="425">
        <v>-5631400</v>
      </c>
      <c r="G50" s="420"/>
      <c r="H50" s="420"/>
      <c r="I50" s="420"/>
      <c r="J50" s="608"/>
      <c r="K50" s="685"/>
      <c r="L50" s="608"/>
      <c r="O50" s="705" t="s">
        <v>109</v>
      </c>
      <c r="P50" s="705"/>
      <c r="Q50" s="705"/>
      <c r="R50" s="705"/>
      <c r="S50" s="705"/>
      <c r="T50" s="458">
        <v>20037270.469999999</v>
      </c>
      <c r="U50" s="700"/>
      <c r="V50" s="700"/>
      <c r="W50" s="700"/>
      <c r="X50" s="608"/>
      <c r="Z50" s="608"/>
      <c r="AD50" s="685"/>
    </row>
    <row r="51" spans="1:30" ht="12" customHeight="1">
      <c r="A51" s="452" t="s">
        <v>680</v>
      </c>
      <c r="B51" s="452"/>
      <c r="C51" s="452"/>
      <c r="D51" s="452"/>
      <c r="E51" s="452"/>
      <c r="F51" s="429">
        <v>0</v>
      </c>
      <c r="G51" s="420"/>
      <c r="H51" s="420"/>
      <c r="I51" s="420"/>
      <c r="J51" s="608"/>
      <c r="K51" s="685"/>
      <c r="L51" s="608"/>
      <c r="O51" s="700"/>
      <c r="P51" s="700"/>
      <c r="Q51" s="700"/>
      <c r="R51" s="700"/>
      <c r="S51" s="700"/>
      <c r="T51" s="432">
        <v>0</v>
      </c>
      <c r="U51" s="700"/>
      <c r="V51" s="700"/>
      <c r="W51" s="700"/>
      <c r="X51" s="608"/>
      <c r="Z51" s="608"/>
      <c r="AD51" s="685"/>
    </row>
    <row r="52" spans="1:30" ht="12" customHeight="1">
      <c r="A52" s="701" t="s">
        <v>5</v>
      </c>
      <c r="B52" s="701"/>
      <c r="C52" s="701"/>
      <c r="D52" s="701"/>
      <c r="E52" s="701"/>
      <c r="F52" s="429">
        <v>-4147107</v>
      </c>
      <c r="G52" s="420"/>
      <c r="H52" s="420"/>
      <c r="I52" s="420"/>
      <c r="J52" s="608"/>
      <c r="K52" s="685"/>
      <c r="L52" s="608"/>
      <c r="N52" s="610"/>
      <c r="O52" s="700"/>
      <c r="P52" s="700"/>
      <c r="Q52" s="700"/>
      <c r="R52" s="700"/>
      <c r="S52" s="700"/>
      <c r="T52" s="419"/>
      <c r="U52" s="700"/>
      <c r="V52" s="700"/>
      <c r="W52" s="700"/>
      <c r="X52" s="608"/>
      <c r="Z52" s="608"/>
      <c r="AD52" s="685"/>
    </row>
    <row r="53" spans="1:30" ht="12" customHeight="1">
      <c r="A53" s="426"/>
      <c r="B53" s="426"/>
      <c r="C53" s="426"/>
      <c r="D53" s="426"/>
      <c r="E53" s="426"/>
      <c r="F53" s="420">
        <v>0</v>
      </c>
      <c r="G53" s="420"/>
      <c r="H53" s="420"/>
      <c r="I53" s="420"/>
      <c r="J53" s="608"/>
      <c r="K53" s="685"/>
      <c r="L53" s="608"/>
      <c r="N53" s="610"/>
      <c r="O53" s="700"/>
      <c r="P53" s="700"/>
      <c r="Q53" s="700"/>
      <c r="R53" s="700"/>
      <c r="S53" s="700"/>
      <c r="T53" s="419"/>
      <c r="U53" s="700"/>
      <c r="V53" s="700"/>
      <c r="W53" s="700"/>
      <c r="X53" s="608"/>
      <c r="Z53" s="608"/>
      <c r="AD53" s="685"/>
    </row>
    <row r="54" spans="1:30" ht="12" customHeight="1">
      <c r="A54" s="696" t="s">
        <v>681</v>
      </c>
      <c r="B54" s="696"/>
      <c r="C54" s="696"/>
      <c r="D54" s="696"/>
      <c r="E54" s="696"/>
      <c r="F54" s="434"/>
      <c r="G54" s="420"/>
      <c r="H54" s="420"/>
      <c r="I54" s="420"/>
      <c r="J54" s="608"/>
      <c r="K54" s="685"/>
      <c r="L54" s="608"/>
      <c r="N54" s="610"/>
      <c r="O54" s="700"/>
      <c r="P54" s="700"/>
      <c r="Q54" s="700"/>
      <c r="R54" s="700"/>
      <c r="S54" s="700"/>
      <c r="T54" s="419"/>
      <c r="U54" s="700"/>
      <c r="V54" s="700"/>
      <c r="W54" s="700"/>
      <c r="X54" s="608"/>
      <c r="Z54" s="608"/>
      <c r="AD54" s="685"/>
    </row>
    <row r="55" spans="1:30" ht="12" customHeight="1">
      <c r="A55" s="698" t="s">
        <v>682</v>
      </c>
      <c r="B55" s="698"/>
      <c r="C55" s="698"/>
      <c r="D55" s="698"/>
      <c r="E55" s="698"/>
      <c r="F55" s="425">
        <v>2973618</v>
      </c>
      <c r="G55" s="420"/>
      <c r="H55" s="420"/>
      <c r="I55" s="420"/>
      <c r="N55" s="610"/>
      <c r="O55" s="700"/>
      <c r="P55" s="700"/>
      <c r="Q55" s="700"/>
      <c r="R55" s="700"/>
      <c r="S55" s="700"/>
      <c r="T55" s="419"/>
      <c r="U55" s="700"/>
      <c r="V55" s="700"/>
      <c r="W55" s="700"/>
      <c r="AD55" s="685"/>
    </row>
    <row r="56" spans="1:30" ht="12" customHeight="1">
      <c r="A56" s="698" t="s">
        <v>683</v>
      </c>
      <c r="B56" s="698"/>
      <c r="C56" s="698"/>
      <c r="D56" s="698"/>
      <c r="E56" s="698"/>
      <c r="F56" s="425">
        <v>-1788845</v>
      </c>
      <c r="G56" s="420"/>
      <c r="H56" s="420"/>
      <c r="I56" s="420"/>
      <c r="N56" s="610"/>
      <c r="O56" s="700"/>
      <c r="P56" s="700"/>
      <c r="Q56" s="700"/>
      <c r="R56" s="700"/>
      <c r="S56" s="700"/>
      <c r="T56" s="419"/>
      <c r="U56" s="700"/>
      <c r="V56" s="700"/>
      <c r="W56" s="700"/>
      <c r="AD56" s="685"/>
    </row>
    <row r="57" spans="1:30" ht="12" customHeight="1">
      <c r="A57" s="698" t="s">
        <v>684</v>
      </c>
      <c r="B57" s="698"/>
      <c r="C57" s="698"/>
      <c r="D57" s="698"/>
      <c r="E57" s="698"/>
      <c r="F57" s="425">
        <v>1099700</v>
      </c>
      <c r="G57" s="420"/>
      <c r="H57" s="420"/>
      <c r="I57" s="420"/>
      <c r="N57" s="610"/>
      <c r="O57" s="700"/>
      <c r="P57" s="700"/>
      <c r="Q57" s="700"/>
      <c r="R57" s="700"/>
      <c r="S57" s="700"/>
      <c r="T57" s="419"/>
      <c r="U57" s="700"/>
      <c r="V57" s="700"/>
      <c r="W57" s="700"/>
      <c r="AD57" s="685"/>
    </row>
    <row r="58" spans="1:30" ht="12" customHeight="1">
      <c r="A58" s="452" t="s">
        <v>685</v>
      </c>
      <c r="B58" s="452"/>
      <c r="C58" s="452"/>
      <c r="D58" s="452"/>
      <c r="E58" s="452"/>
      <c r="F58" s="429"/>
      <c r="G58" s="420"/>
      <c r="H58" s="420"/>
      <c r="I58" s="420"/>
      <c r="J58" s="608"/>
      <c r="K58" s="685"/>
      <c r="L58" s="608"/>
      <c r="N58" s="610"/>
      <c r="O58" s="700"/>
      <c r="P58" s="700"/>
      <c r="Q58" s="700"/>
      <c r="R58" s="700"/>
      <c r="S58" s="700"/>
      <c r="T58" s="419"/>
      <c r="U58" s="700"/>
      <c r="V58" s="700"/>
      <c r="W58" s="700"/>
      <c r="X58" s="608"/>
      <c r="Z58" s="608"/>
      <c r="AD58" s="685"/>
    </row>
    <row r="59" spans="1:30" ht="12" customHeight="1">
      <c r="A59" s="701" t="s">
        <v>5</v>
      </c>
      <c r="B59" s="701"/>
      <c r="C59" s="701"/>
      <c r="D59" s="701"/>
      <c r="E59" s="701"/>
      <c r="F59" s="429">
        <v>2284473</v>
      </c>
      <c r="G59" s="420"/>
      <c r="H59" s="420"/>
      <c r="I59" s="420"/>
      <c r="J59" s="608"/>
      <c r="K59" s="685"/>
      <c r="L59" s="608"/>
      <c r="N59" s="610"/>
      <c r="O59" s="700"/>
      <c r="P59" s="700"/>
      <c r="Q59" s="700"/>
      <c r="R59" s="700"/>
      <c r="S59" s="700"/>
      <c r="T59" s="419"/>
      <c r="U59" s="700"/>
      <c r="V59" s="700"/>
      <c r="W59" s="700"/>
      <c r="X59" s="608"/>
      <c r="Z59" s="608"/>
      <c r="AD59" s="685"/>
    </row>
    <row r="60" spans="1:30" ht="12" customHeight="1">
      <c r="F60" s="420">
        <v>0</v>
      </c>
      <c r="G60" s="420"/>
      <c r="H60" s="420"/>
      <c r="I60" s="420"/>
      <c r="J60" s="608"/>
      <c r="K60" s="685"/>
      <c r="L60" s="608"/>
      <c r="N60" s="610"/>
      <c r="O60" s="700"/>
      <c r="P60" s="700"/>
      <c r="Q60" s="700"/>
      <c r="R60" s="700"/>
      <c r="S60" s="700"/>
      <c r="T60" s="419"/>
      <c r="U60" s="700"/>
      <c r="V60" s="700"/>
      <c r="W60" s="700"/>
      <c r="X60" s="608"/>
      <c r="Z60" s="608"/>
      <c r="AD60" s="685"/>
    </row>
    <row r="61" spans="1:30" ht="12" customHeight="1">
      <c r="A61" s="696" t="s">
        <v>686</v>
      </c>
      <c r="B61" s="696"/>
      <c r="C61" s="696"/>
      <c r="D61" s="696"/>
      <c r="E61" s="696"/>
      <c r="F61" s="434"/>
      <c r="G61" s="420"/>
      <c r="H61" s="420"/>
      <c r="I61" s="420"/>
      <c r="J61" s="608"/>
      <c r="K61" s="685"/>
      <c r="L61" s="608"/>
      <c r="N61" s="610"/>
      <c r="O61" s="700"/>
      <c r="P61" s="700"/>
      <c r="Q61" s="700"/>
      <c r="R61" s="700"/>
      <c r="S61" s="700"/>
      <c r="T61" s="419"/>
      <c r="U61" s="700"/>
      <c r="V61" s="700"/>
      <c r="W61" s="700"/>
      <c r="X61" s="608"/>
      <c r="Z61" s="608"/>
      <c r="AD61" s="685"/>
    </row>
    <row r="62" spans="1:30" ht="12" customHeight="1">
      <c r="A62" s="698" t="s">
        <v>687</v>
      </c>
      <c r="B62" s="698"/>
      <c r="C62" s="698"/>
      <c r="D62" s="698"/>
      <c r="E62" s="698"/>
      <c r="F62" s="425">
        <v>2627915</v>
      </c>
      <c r="G62" s="420"/>
      <c r="H62" s="420"/>
      <c r="I62" s="420"/>
      <c r="J62" s="608"/>
      <c r="K62" s="685"/>
      <c r="L62" s="608"/>
      <c r="O62" s="700"/>
      <c r="P62" s="700"/>
      <c r="Q62" s="700"/>
      <c r="R62" s="700"/>
      <c r="S62" s="700"/>
      <c r="T62" s="419"/>
      <c r="U62" s="700"/>
      <c r="V62" s="700"/>
      <c r="W62" s="700"/>
      <c r="X62" s="608"/>
      <c r="Z62" s="608"/>
      <c r="AD62" s="685"/>
    </row>
    <row r="63" spans="1:30" ht="12" customHeight="1">
      <c r="A63" s="452" t="s">
        <v>668</v>
      </c>
      <c r="B63" s="452"/>
      <c r="C63" s="452"/>
      <c r="D63" s="452"/>
      <c r="E63" s="452"/>
      <c r="F63" s="429">
        <v>-909058</v>
      </c>
      <c r="G63" s="420"/>
      <c r="H63" s="420"/>
      <c r="I63" s="420"/>
      <c r="J63" s="608"/>
      <c r="K63" s="685"/>
      <c r="L63" s="608"/>
      <c r="O63" s="700"/>
      <c r="P63" s="700"/>
      <c r="Q63" s="700"/>
      <c r="R63" s="700"/>
      <c r="S63" s="700"/>
      <c r="T63" s="419"/>
      <c r="U63" s="700"/>
      <c r="V63" s="700"/>
      <c r="W63" s="700"/>
      <c r="X63" s="608"/>
      <c r="Z63" s="608"/>
      <c r="AD63" s="685"/>
    </row>
    <row r="64" spans="1:30" ht="12" customHeight="1">
      <c r="A64" s="701" t="s">
        <v>5</v>
      </c>
      <c r="B64" s="701"/>
      <c r="C64" s="701"/>
      <c r="D64" s="701"/>
      <c r="E64" s="701"/>
      <c r="F64" s="429">
        <v>1718857</v>
      </c>
      <c r="G64" s="420"/>
      <c r="H64" s="420"/>
      <c r="I64" s="420"/>
      <c r="K64" s="700"/>
      <c r="O64" s="700"/>
      <c r="P64" s="700"/>
      <c r="Q64" s="700"/>
      <c r="R64" s="700"/>
      <c r="S64" s="700"/>
      <c r="T64" s="419"/>
      <c r="U64" s="700"/>
      <c r="V64" s="700"/>
      <c r="W64" s="700"/>
      <c r="AD64" s="685"/>
    </row>
    <row r="65" spans="1:30" ht="12" customHeight="1">
      <c r="F65" s="420">
        <v>0</v>
      </c>
      <c r="G65" s="420"/>
      <c r="H65" s="420"/>
      <c r="I65" s="420"/>
      <c r="K65" s="700"/>
      <c r="O65" s="700"/>
      <c r="P65" s="700"/>
      <c r="Q65" s="700"/>
      <c r="R65" s="700"/>
      <c r="S65" s="700"/>
      <c r="T65" s="419"/>
      <c r="U65" s="700"/>
      <c r="V65" s="700"/>
      <c r="W65" s="700"/>
      <c r="AD65" s="685"/>
    </row>
    <row r="66" spans="1:30" ht="12" customHeight="1">
      <c r="A66" s="696" t="s">
        <v>655</v>
      </c>
      <c r="B66" s="696"/>
      <c r="C66" s="696"/>
      <c r="D66" s="696"/>
      <c r="E66" s="696"/>
      <c r="F66" s="434"/>
      <c r="G66" s="420"/>
      <c r="H66" s="420"/>
      <c r="I66" s="420"/>
      <c r="O66" s="700"/>
      <c r="P66" s="700"/>
      <c r="Q66" s="700"/>
      <c r="R66" s="700"/>
      <c r="S66" s="700"/>
      <c r="T66" s="419"/>
      <c r="U66" s="700"/>
      <c r="V66" s="700"/>
      <c r="W66" s="700"/>
      <c r="AD66" s="685"/>
    </row>
    <row r="67" spans="1:30" ht="12" customHeight="1">
      <c r="A67" s="698" t="s">
        <v>688</v>
      </c>
      <c r="B67" s="698"/>
      <c r="C67" s="698"/>
      <c r="D67" s="698"/>
      <c r="E67" s="698"/>
      <c r="F67" s="425">
        <v>39210</v>
      </c>
      <c r="G67" s="420"/>
      <c r="H67" s="420"/>
      <c r="I67" s="420"/>
      <c r="O67" s="700"/>
      <c r="P67" s="700"/>
      <c r="Q67" s="700"/>
      <c r="R67" s="700"/>
      <c r="S67" s="700"/>
      <c r="T67" s="419"/>
      <c r="U67" s="700"/>
      <c r="V67" s="700"/>
      <c r="W67" s="700"/>
      <c r="AD67" s="685"/>
    </row>
    <row r="68" spans="1:30" ht="12" customHeight="1">
      <c r="A68" s="452" t="s">
        <v>668</v>
      </c>
      <c r="B68" s="452"/>
      <c r="C68" s="452"/>
      <c r="D68" s="452"/>
      <c r="E68" s="452"/>
      <c r="F68" s="429">
        <v>0</v>
      </c>
      <c r="G68" s="420"/>
      <c r="H68" s="420"/>
      <c r="I68" s="420"/>
      <c r="T68" s="419"/>
      <c r="AD68" s="685"/>
    </row>
    <row r="69" spans="1:30" ht="12" customHeight="1">
      <c r="A69" s="701" t="s">
        <v>5</v>
      </c>
      <c r="B69" s="701"/>
      <c r="C69" s="701"/>
      <c r="D69" s="701"/>
      <c r="E69" s="701"/>
      <c r="F69" s="429">
        <v>39210</v>
      </c>
      <c r="G69" s="420"/>
      <c r="H69" s="420"/>
      <c r="I69" s="420"/>
      <c r="T69" s="419"/>
      <c r="AD69" s="685"/>
    </row>
    <row r="70" spans="1:30" ht="12" customHeight="1">
      <c r="F70" s="420">
        <v>0</v>
      </c>
      <c r="G70" s="420"/>
      <c r="H70" s="420"/>
      <c r="I70" s="420"/>
      <c r="T70" s="419"/>
      <c r="AD70" s="685"/>
    </row>
    <row r="71" spans="1:30" ht="12" customHeight="1">
      <c r="A71" s="696" t="s">
        <v>689</v>
      </c>
      <c r="B71" s="696"/>
      <c r="C71" s="696"/>
      <c r="D71" s="696"/>
      <c r="E71" s="696"/>
      <c r="F71" s="435"/>
      <c r="G71" s="420"/>
      <c r="H71" s="420"/>
      <c r="I71" s="420"/>
      <c r="T71" s="419"/>
      <c r="AD71" s="685"/>
    </row>
    <row r="72" spans="1:30" ht="12" customHeight="1">
      <c r="A72" s="452" t="s">
        <v>690</v>
      </c>
      <c r="B72" s="452"/>
      <c r="C72" s="452"/>
      <c r="D72" s="452"/>
      <c r="E72" s="452"/>
      <c r="F72" s="425">
        <v>7566400</v>
      </c>
      <c r="T72" s="419"/>
      <c r="AD72" s="685"/>
    </row>
    <row r="73" spans="1:30" ht="12" customHeight="1">
      <c r="A73" s="452" t="s">
        <v>691</v>
      </c>
      <c r="B73" s="452"/>
      <c r="C73" s="452"/>
      <c r="D73" s="452"/>
      <c r="E73" s="452"/>
      <c r="F73" s="425">
        <v>-7316715</v>
      </c>
      <c r="T73" s="419"/>
      <c r="AD73" s="685"/>
    </row>
    <row r="74" spans="1:30" ht="12" customHeight="1">
      <c r="A74" s="452" t="s">
        <v>685</v>
      </c>
      <c r="B74" s="452"/>
      <c r="C74" s="452"/>
      <c r="D74" s="452"/>
      <c r="E74" s="452"/>
      <c r="F74" s="439">
        <v>848084</v>
      </c>
      <c r="T74" s="419"/>
      <c r="AD74" s="685"/>
    </row>
    <row r="75" spans="1:30" ht="12" customHeight="1">
      <c r="A75" s="701" t="s">
        <v>5</v>
      </c>
      <c r="B75" s="701"/>
      <c r="C75" s="701"/>
      <c r="D75" s="701"/>
      <c r="E75" s="701"/>
      <c r="F75" s="439">
        <v>1097769</v>
      </c>
      <c r="T75" s="419"/>
      <c r="AD75" s="685"/>
    </row>
    <row r="76" spans="1:30" ht="12" customHeight="1">
      <c r="F76" s="432">
        <v>0</v>
      </c>
      <c r="T76" s="419"/>
      <c r="AD76" s="685"/>
    </row>
    <row r="77" spans="1:30" ht="12" customHeight="1">
      <c r="A77" s="696" t="s">
        <v>692</v>
      </c>
      <c r="B77" s="696"/>
      <c r="C77" s="696"/>
      <c r="D77" s="696"/>
      <c r="E77" s="696"/>
      <c r="F77" s="435"/>
      <c r="T77" s="419"/>
      <c r="AD77" s="685"/>
    </row>
    <row r="78" spans="1:30" ht="12" customHeight="1">
      <c r="A78" s="452" t="s">
        <v>693</v>
      </c>
      <c r="B78" s="452"/>
      <c r="C78" s="452"/>
      <c r="D78" s="452"/>
      <c r="E78" s="452"/>
      <c r="F78" s="425">
        <v>4208157</v>
      </c>
      <c r="T78" s="419"/>
      <c r="AD78" s="685"/>
    </row>
    <row r="79" spans="1:30" ht="12" customHeight="1">
      <c r="A79" s="452" t="s">
        <v>694</v>
      </c>
      <c r="B79" s="452"/>
      <c r="C79" s="452"/>
      <c r="D79" s="452"/>
      <c r="E79" s="452"/>
      <c r="F79" s="453">
        <v>-2840226</v>
      </c>
      <c r="T79" s="419"/>
      <c r="AD79" s="685"/>
    </row>
    <row r="80" spans="1:30" ht="12" customHeight="1">
      <c r="A80" s="452" t="s">
        <v>685</v>
      </c>
      <c r="B80" s="452"/>
      <c r="C80" s="452"/>
      <c r="D80" s="452"/>
      <c r="E80" s="452"/>
      <c r="F80" s="439">
        <v>306465</v>
      </c>
      <c r="T80" s="419"/>
      <c r="AD80" s="685"/>
    </row>
    <row r="81" spans="1:30" ht="12" customHeight="1">
      <c r="A81" s="701" t="s">
        <v>5</v>
      </c>
      <c r="B81" s="701"/>
      <c r="C81" s="701"/>
      <c r="D81" s="701"/>
      <c r="E81" s="701"/>
      <c r="F81" s="439">
        <v>1674396</v>
      </c>
      <c r="T81" s="419"/>
      <c r="AD81" s="685"/>
    </row>
    <row r="82" spans="1:30" ht="12" customHeight="1">
      <c r="F82" s="432">
        <v>0</v>
      </c>
      <c r="T82" s="419"/>
      <c r="AD82" s="685"/>
    </row>
    <row r="83" spans="1:30" ht="12" customHeight="1">
      <c r="A83" s="696" t="s">
        <v>695</v>
      </c>
      <c r="B83" s="696"/>
      <c r="C83" s="696"/>
      <c r="D83" s="696"/>
      <c r="E83" s="696"/>
      <c r="F83" s="434"/>
      <c r="T83" s="419"/>
      <c r="AD83" s="685"/>
    </row>
    <row r="84" spans="1:30" ht="12" customHeight="1">
      <c r="A84" s="698" t="s">
        <v>696</v>
      </c>
      <c r="B84" s="698"/>
      <c r="C84" s="698"/>
      <c r="D84" s="698"/>
      <c r="E84" s="698"/>
      <c r="F84" s="425">
        <v>49654</v>
      </c>
      <c r="T84" s="419"/>
      <c r="AD84" s="685"/>
    </row>
    <row r="85" spans="1:30" ht="12" customHeight="1">
      <c r="A85" s="452" t="s">
        <v>697</v>
      </c>
      <c r="B85" s="452"/>
      <c r="C85" s="452"/>
      <c r="D85" s="452"/>
      <c r="E85" s="452"/>
      <c r="F85" s="429">
        <v>-1804677</v>
      </c>
      <c r="T85" s="419"/>
      <c r="AD85" s="685"/>
    </row>
    <row r="86" spans="1:30" ht="12" customHeight="1">
      <c r="A86" s="701" t="s">
        <v>5</v>
      </c>
      <c r="B86" s="701"/>
      <c r="C86" s="701"/>
      <c r="D86" s="701"/>
      <c r="E86" s="701"/>
      <c r="F86" s="429">
        <v>-1755023</v>
      </c>
      <c r="T86" s="419"/>
      <c r="AD86" s="685"/>
    </row>
    <row r="87" spans="1:30" ht="12" customHeight="1">
      <c r="F87" s="420">
        <v>0</v>
      </c>
      <c r="T87" s="419"/>
      <c r="AD87" s="685"/>
    </row>
    <row r="88" spans="1:30" ht="12" customHeight="1">
      <c r="A88" s="696" t="s">
        <v>698</v>
      </c>
      <c r="B88" s="696"/>
      <c r="C88" s="696"/>
      <c r="D88" s="696"/>
      <c r="E88" s="696"/>
      <c r="F88" s="434"/>
      <c r="T88" s="419"/>
      <c r="AD88" s="685"/>
    </row>
    <row r="89" spans="1:30" ht="12" customHeight="1">
      <c r="A89" s="698" t="s">
        <v>696</v>
      </c>
      <c r="B89" s="698"/>
      <c r="C89" s="698"/>
      <c r="D89" s="698"/>
      <c r="E89" s="698"/>
      <c r="F89" s="425">
        <v>1812247</v>
      </c>
      <c r="T89" s="419"/>
      <c r="AD89" s="685"/>
    </row>
    <row r="90" spans="1:30" ht="12" customHeight="1">
      <c r="A90" s="452" t="s">
        <v>699</v>
      </c>
      <c r="B90" s="452"/>
      <c r="C90" s="452"/>
      <c r="D90" s="452"/>
      <c r="E90" s="452"/>
      <c r="F90" s="429">
        <v>-12472591</v>
      </c>
      <c r="T90" s="419"/>
      <c r="AD90" s="685"/>
    </row>
    <row r="91" spans="1:30" ht="12" customHeight="1">
      <c r="A91" s="701" t="s">
        <v>5</v>
      </c>
      <c r="B91" s="701"/>
      <c r="C91" s="701"/>
      <c r="D91" s="701"/>
      <c r="E91" s="701"/>
      <c r="F91" s="429">
        <v>-10660344</v>
      </c>
      <c r="T91" s="419"/>
      <c r="AD91" s="685"/>
    </row>
    <row r="92" spans="1:30" ht="12" customHeight="1">
      <c r="A92" s="426"/>
      <c r="B92" s="426"/>
      <c r="C92" s="426"/>
      <c r="D92" s="426"/>
      <c r="E92" s="426"/>
      <c r="F92" s="420">
        <v>0</v>
      </c>
      <c r="G92" s="426"/>
      <c r="H92" s="426"/>
      <c r="T92" s="419"/>
      <c r="AD92" s="685"/>
    </row>
    <row r="93" spans="1:30" ht="12" customHeight="1">
      <c r="A93" s="696" t="s">
        <v>700</v>
      </c>
      <c r="B93" s="696"/>
      <c r="C93" s="696"/>
      <c r="D93" s="696"/>
      <c r="E93" s="696"/>
      <c r="F93" s="434"/>
      <c r="T93" s="419"/>
      <c r="AD93" s="685"/>
    </row>
    <row r="94" spans="1:30" ht="12" customHeight="1">
      <c r="A94" s="698" t="s">
        <v>701</v>
      </c>
      <c r="B94" s="698"/>
      <c r="C94" s="698"/>
      <c r="D94" s="698"/>
      <c r="E94" s="698"/>
      <c r="F94" s="425">
        <v>0</v>
      </c>
      <c r="T94" s="419"/>
      <c r="AD94" s="685"/>
    </row>
    <row r="95" spans="1:30" ht="12" customHeight="1">
      <c r="A95" s="452" t="s">
        <v>685</v>
      </c>
      <c r="B95" s="452"/>
      <c r="C95" s="452"/>
      <c r="D95" s="452"/>
      <c r="E95" s="452"/>
      <c r="F95" s="429">
        <v>-2113</v>
      </c>
    </row>
    <row r="96" spans="1:30" ht="12" customHeight="1">
      <c r="A96" s="701" t="s">
        <v>5</v>
      </c>
      <c r="B96" s="701"/>
      <c r="C96" s="701"/>
      <c r="D96" s="701"/>
      <c r="E96" s="701"/>
      <c r="F96" s="429">
        <v>-2113</v>
      </c>
    </row>
    <row r="97" spans="1:6" ht="12" customHeight="1">
      <c r="F97" s="446">
        <v>0</v>
      </c>
    </row>
    <row r="98" spans="1:6" ht="12" customHeight="1">
      <c r="A98" s="696" t="s">
        <v>702</v>
      </c>
      <c r="B98" s="696"/>
      <c r="C98" s="696"/>
      <c r="D98" s="696"/>
      <c r="E98" s="696"/>
      <c r="F98" s="434"/>
    </row>
    <row r="99" spans="1:6" ht="12" customHeight="1">
      <c r="A99" s="698" t="s">
        <v>703</v>
      </c>
      <c r="B99" s="698"/>
      <c r="C99" s="698"/>
      <c r="D99" s="698"/>
      <c r="E99" s="698"/>
      <c r="F99" s="425">
        <v>-1307540</v>
      </c>
    </row>
    <row r="100" spans="1:6" ht="12" customHeight="1">
      <c r="A100" s="698" t="s">
        <v>704</v>
      </c>
      <c r="B100" s="698"/>
      <c r="C100" s="698"/>
      <c r="D100" s="698"/>
      <c r="E100" s="698"/>
      <c r="F100" s="425">
        <v>5631400</v>
      </c>
    </row>
    <row r="101" spans="1:6" ht="12" customHeight="1">
      <c r="A101" s="452" t="s">
        <v>685</v>
      </c>
      <c r="B101" s="452"/>
      <c r="C101" s="452"/>
      <c r="D101" s="452"/>
      <c r="E101" s="452"/>
      <c r="F101" s="429">
        <v>0</v>
      </c>
    </row>
    <row r="102" spans="1:6" ht="12" customHeight="1">
      <c r="A102" s="701" t="s">
        <v>5</v>
      </c>
      <c r="B102" s="701"/>
      <c r="C102" s="701"/>
      <c r="D102" s="701"/>
      <c r="E102" s="701"/>
      <c r="F102" s="429">
        <v>4323860</v>
      </c>
    </row>
    <row r="103" spans="1:6" ht="12" customHeight="1">
      <c r="F103" s="446">
        <v>0</v>
      </c>
    </row>
    <row r="104" spans="1:6" ht="12" customHeight="1">
      <c r="A104" s="696" t="s">
        <v>705</v>
      </c>
      <c r="B104" s="696"/>
      <c r="C104" s="696"/>
      <c r="D104" s="696"/>
      <c r="E104" s="696"/>
      <c r="F104" s="434"/>
    </row>
    <row r="105" spans="1:6" ht="12" customHeight="1">
      <c r="A105" s="698" t="s">
        <v>76</v>
      </c>
      <c r="B105" s="698"/>
      <c r="C105" s="698"/>
      <c r="D105" s="698"/>
      <c r="E105" s="698"/>
      <c r="F105" s="425">
        <v>6346670</v>
      </c>
    </row>
    <row r="106" spans="1:6" ht="12" customHeight="1">
      <c r="A106" s="452" t="s">
        <v>685</v>
      </c>
      <c r="B106" s="452"/>
      <c r="C106" s="452"/>
      <c r="D106" s="452"/>
      <c r="E106" s="452"/>
      <c r="F106" s="429">
        <v>721539</v>
      </c>
    </row>
    <row r="107" spans="1:6" ht="12" customHeight="1">
      <c r="A107" s="701" t="s">
        <v>5</v>
      </c>
      <c r="B107" s="701"/>
      <c r="C107" s="701"/>
      <c r="D107" s="701"/>
      <c r="E107" s="701"/>
      <c r="F107" s="429">
        <v>7068209</v>
      </c>
    </row>
    <row r="108" spans="1:6" ht="12" customHeight="1">
      <c r="F108" s="446">
        <v>0</v>
      </c>
    </row>
    <row r="109" spans="1:6" ht="12" customHeight="1"/>
    <row r="110" spans="1:6" ht="12" customHeight="1"/>
    <row r="111" spans="1:6" ht="12" customHeight="1"/>
    <row r="112" spans="1:6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88" customWidth="1"/>
    <col min="2" max="2" width="7.28515625" style="88" customWidth="1"/>
    <col min="3" max="3" width="1" style="88" customWidth="1"/>
    <col min="4" max="4" width="15.140625" style="88" customWidth="1"/>
    <col min="5" max="5" width="1.7109375" style="88" customWidth="1"/>
    <col min="6" max="6" width="16.140625" style="88" customWidth="1"/>
    <col min="7" max="8" width="1.42578125" style="88" customWidth="1"/>
    <col min="9" max="9" width="15.42578125" style="88" hidden="1" customWidth="1"/>
    <col min="10" max="10" width="11.42578125" style="88"/>
    <col min="11" max="11" width="14.42578125" style="88" customWidth="1"/>
    <col min="12" max="1024" width="11.42578125" style="88"/>
  </cols>
  <sheetData>
    <row r="1" spans="1:9">
      <c r="B1" s="89"/>
      <c r="C1" s="89"/>
      <c r="D1" s="90"/>
      <c r="E1" s="91"/>
      <c r="F1" s="92" t="s">
        <v>118</v>
      </c>
      <c r="G1" s="92"/>
    </row>
    <row r="2" spans="1:9" ht="34.5">
      <c r="A2" s="93" t="s">
        <v>119</v>
      </c>
      <c r="B2" s="94" t="s">
        <v>120</v>
      </c>
      <c r="C2" s="89"/>
      <c r="D2" s="95" t="s">
        <v>121</v>
      </c>
      <c r="E2" s="91"/>
      <c r="F2" s="95" t="s">
        <v>122</v>
      </c>
      <c r="G2" s="91"/>
      <c r="H2" s="96"/>
    </row>
    <row r="3" spans="1:9" ht="6" customHeight="1">
      <c r="A3" s="96"/>
      <c r="B3" s="97"/>
      <c r="C3" s="98"/>
      <c r="E3" s="98"/>
      <c r="G3" s="98"/>
      <c r="H3" s="98"/>
    </row>
    <row r="4" spans="1:9">
      <c r="A4" s="99" t="s">
        <v>123</v>
      </c>
      <c r="B4" s="97"/>
      <c r="C4" s="98"/>
      <c r="E4" s="98"/>
      <c r="G4" s="98"/>
      <c r="H4" s="98"/>
    </row>
    <row r="5" spans="1:9">
      <c r="A5" s="100" t="s">
        <v>35</v>
      </c>
      <c r="B5" s="101">
        <v>6</v>
      </c>
      <c r="C5" s="98"/>
      <c r="D5" s="97">
        <v>10796157</v>
      </c>
      <c r="E5" s="98"/>
      <c r="F5" s="97">
        <v>2860714</v>
      </c>
      <c r="G5" s="98"/>
      <c r="H5" s="98"/>
    </row>
    <row r="6" spans="1:9">
      <c r="A6" s="100" t="s">
        <v>124</v>
      </c>
      <c r="B6" s="101">
        <v>7</v>
      </c>
      <c r="C6" s="98"/>
      <c r="D6" s="97">
        <v>5930789</v>
      </c>
      <c r="E6" s="98"/>
      <c r="F6" s="97">
        <f>6451966-2177033</f>
        <v>4274933</v>
      </c>
      <c r="G6" s="98"/>
      <c r="H6" s="98"/>
    </row>
    <row r="7" spans="1:9">
      <c r="A7" s="100" t="s">
        <v>36</v>
      </c>
      <c r="B7" s="101">
        <v>8</v>
      </c>
      <c r="C7" s="98"/>
      <c r="D7" s="97">
        <v>2050592</v>
      </c>
      <c r="E7" s="98"/>
      <c r="F7" s="97">
        <f>8326743-6451966</f>
        <v>1874777</v>
      </c>
      <c r="G7" s="98"/>
      <c r="H7" s="98"/>
    </row>
    <row r="8" spans="1:9">
      <c r="A8" s="100" t="s">
        <v>38</v>
      </c>
      <c r="B8" s="101">
        <v>9</v>
      </c>
      <c r="C8" s="98"/>
      <c r="D8" s="97">
        <f>15475559-75667-741007+24485</f>
        <v>14683370</v>
      </c>
      <c r="E8" s="98"/>
      <c r="F8" s="97">
        <v>18690745</v>
      </c>
      <c r="G8" s="98"/>
      <c r="H8" s="98"/>
      <c r="I8" s="88" t="s">
        <v>125</v>
      </c>
    </row>
    <row r="9" spans="1:9">
      <c r="A9" s="100" t="s">
        <v>126</v>
      </c>
      <c r="B9" s="101">
        <v>21</v>
      </c>
      <c r="C9" s="98"/>
      <c r="D9" s="97">
        <f>13533602-176970</f>
        <v>13356632</v>
      </c>
      <c r="E9" s="98"/>
      <c r="F9" s="97">
        <v>3629981</v>
      </c>
      <c r="G9" s="98"/>
      <c r="H9" s="98"/>
    </row>
    <row r="10" spans="1:9">
      <c r="A10" s="100" t="s">
        <v>42</v>
      </c>
      <c r="B10" s="101">
        <v>10</v>
      </c>
      <c r="C10" s="98"/>
      <c r="D10" s="97">
        <f>1782651+75667+741007-24485</f>
        <v>2574840</v>
      </c>
      <c r="E10" s="98"/>
      <c r="F10" s="97">
        <v>7066072</v>
      </c>
      <c r="G10" s="98"/>
      <c r="H10" s="98"/>
    </row>
    <row r="11" spans="1:9">
      <c r="A11" s="100" t="s">
        <v>43</v>
      </c>
      <c r="B11" s="101">
        <v>23</v>
      </c>
      <c r="C11" s="98"/>
      <c r="D11" s="97">
        <v>1809821</v>
      </c>
      <c r="E11" s="97"/>
      <c r="F11" s="97">
        <v>1863806</v>
      </c>
      <c r="G11" s="98"/>
      <c r="H11" s="98"/>
    </row>
    <row r="12" spans="1:9">
      <c r="A12" s="102" t="s">
        <v>45</v>
      </c>
      <c r="B12" s="97"/>
      <c r="D12" s="97">
        <v>2370903</v>
      </c>
      <c r="E12" s="97"/>
      <c r="F12" s="97">
        <v>2140317</v>
      </c>
      <c r="G12" s="98"/>
      <c r="H12" s="98"/>
    </row>
    <row r="13" spans="1:9">
      <c r="A13" s="100" t="s">
        <v>46</v>
      </c>
      <c r="B13" s="101">
        <v>11</v>
      </c>
      <c r="D13" s="97">
        <v>18940616</v>
      </c>
      <c r="E13" s="97"/>
      <c r="F13" s="97">
        <v>19594268</v>
      </c>
      <c r="G13" s="98"/>
      <c r="H13" s="98"/>
    </row>
    <row r="14" spans="1:9">
      <c r="A14" s="100" t="s">
        <v>47</v>
      </c>
      <c r="B14" s="101">
        <v>15</v>
      </c>
      <c r="C14" s="98"/>
      <c r="D14" s="103">
        <v>0</v>
      </c>
      <c r="E14" s="97"/>
      <c r="F14" s="97">
        <v>11189237</v>
      </c>
      <c r="G14" s="98"/>
      <c r="H14" s="98"/>
    </row>
    <row r="15" spans="1:9">
      <c r="A15" s="99" t="s">
        <v>127</v>
      </c>
      <c r="B15" s="97"/>
      <c r="C15" s="98"/>
      <c r="D15" s="104">
        <f>SUM(D5:D14)</f>
        <v>72513720</v>
      </c>
      <c r="E15" s="105" t="s">
        <v>44</v>
      </c>
      <c r="F15" s="106">
        <f>SUM(F5:F14)</f>
        <v>73184850</v>
      </c>
      <c r="G15" s="105" t="s">
        <v>44</v>
      </c>
      <c r="H15" s="105" t="s">
        <v>44</v>
      </c>
    </row>
    <row r="16" spans="1:9" ht="7.5" customHeight="1">
      <c r="A16" s="99"/>
      <c r="B16" s="97"/>
      <c r="C16" s="98"/>
      <c r="D16" s="103"/>
      <c r="E16" s="105"/>
      <c r="F16" s="105"/>
      <c r="G16" s="105"/>
      <c r="H16" s="105"/>
    </row>
    <row r="17" spans="1:9">
      <c r="A17" s="99" t="s">
        <v>128</v>
      </c>
      <c r="B17" s="97"/>
      <c r="C17" s="98"/>
      <c r="D17" s="107">
        <v>0</v>
      </c>
      <c r="E17" s="105"/>
      <c r="F17" s="107">
        <v>0</v>
      </c>
      <c r="G17" s="105"/>
      <c r="H17" s="105"/>
    </row>
    <row r="18" spans="1:9">
      <c r="A18" s="96"/>
      <c r="B18" s="97"/>
      <c r="C18" s="98"/>
      <c r="D18" s="97"/>
      <c r="E18" s="97"/>
      <c r="F18" s="97"/>
      <c r="G18" s="98"/>
      <c r="H18" s="98"/>
    </row>
    <row r="19" spans="1:9">
      <c r="A19" s="108" t="s">
        <v>129</v>
      </c>
      <c r="B19" s="97"/>
      <c r="C19" s="109"/>
      <c r="D19" s="97"/>
      <c r="E19" s="97"/>
      <c r="F19" s="97"/>
      <c r="G19" s="109"/>
      <c r="H19" s="109"/>
    </row>
    <row r="20" spans="1:9">
      <c r="A20" s="100" t="s">
        <v>126</v>
      </c>
      <c r="B20" s="101">
        <v>21</v>
      </c>
      <c r="C20" s="109"/>
      <c r="D20" s="110">
        <v>0</v>
      </c>
      <c r="E20" s="97"/>
      <c r="F20" s="103">
        <v>0</v>
      </c>
      <c r="G20" s="109"/>
      <c r="H20" s="109"/>
    </row>
    <row r="21" spans="1:9">
      <c r="A21" s="100" t="s">
        <v>42</v>
      </c>
      <c r="B21" s="101">
        <v>10</v>
      </c>
      <c r="C21" s="98"/>
      <c r="D21" s="97">
        <f>2830934-1610+176970</f>
        <v>3006294</v>
      </c>
      <c r="E21" s="98"/>
      <c r="F21" s="103">
        <v>2899664</v>
      </c>
      <c r="G21" s="111"/>
      <c r="H21" s="98"/>
    </row>
    <row r="22" spans="1:9">
      <c r="A22" s="100" t="s">
        <v>50</v>
      </c>
      <c r="B22" s="101">
        <v>12</v>
      </c>
      <c r="C22" s="98"/>
      <c r="D22" s="97">
        <v>115482884</v>
      </c>
      <c r="E22" s="98"/>
      <c r="F22" s="103">
        <v>61835159</v>
      </c>
      <c r="G22" s="111"/>
      <c r="H22" s="98"/>
      <c r="I22" s="88" t="s">
        <v>130</v>
      </c>
    </row>
    <row r="23" spans="1:9">
      <c r="A23" s="100" t="s">
        <v>131</v>
      </c>
      <c r="B23" s="101">
        <v>13</v>
      </c>
      <c r="C23" s="98"/>
      <c r="D23" s="97">
        <v>700965</v>
      </c>
      <c r="E23" s="98"/>
      <c r="F23" s="103">
        <v>860466</v>
      </c>
      <c r="G23" s="111"/>
      <c r="H23" s="98"/>
    </row>
    <row r="24" spans="1:9">
      <c r="A24" s="100" t="s">
        <v>54</v>
      </c>
      <c r="B24" s="101">
        <v>14</v>
      </c>
      <c r="C24" s="98"/>
      <c r="D24" s="97">
        <v>12117453</v>
      </c>
      <c r="E24" s="98"/>
      <c r="F24" s="103">
        <v>12384735</v>
      </c>
      <c r="G24" s="111"/>
      <c r="H24" s="98"/>
    </row>
    <row r="25" spans="1:9">
      <c r="A25" s="100" t="s">
        <v>47</v>
      </c>
      <c r="B25" s="101">
        <v>15</v>
      </c>
      <c r="C25" s="98"/>
      <c r="D25" s="103">
        <v>3030143</v>
      </c>
      <c r="E25" s="98"/>
      <c r="F25" s="103">
        <v>40281700</v>
      </c>
      <c r="G25" s="111"/>
      <c r="H25" s="98"/>
      <c r="I25" s="88" t="s">
        <v>132</v>
      </c>
    </row>
    <row r="26" spans="1:9">
      <c r="A26" s="100" t="s">
        <v>56</v>
      </c>
      <c r="B26" s="101">
        <v>16</v>
      </c>
      <c r="C26" s="98"/>
      <c r="D26" s="97">
        <v>1422229</v>
      </c>
      <c r="E26" s="98"/>
      <c r="F26" s="103">
        <v>1297229</v>
      </c>
      <c r="G26" s="111"/>
      <c r="H26" s="98"/>
    </row>
    <row r="27" spans="1:9">
      <c r="A27" s="100" t="s">
        <v>57</v>
      </c>
      <c r="B27" s="101">
        <v>17</v>
      </c>
      <c r="C27" s="98"/>
      <c r="D27" s="97">
        <f>5314208+1231351</f>
        <v>6545559</v>
      </c>
      <c r="E27" s="98"/>
      <c r="F27" s="103">
        <v>5317430</v>
      </c>
      <c r="G27" s="111"/>
      <c r="H27" s="98"/>
    </row>
    <row r="28" spans="1:9">
      <c r="A28" s="100" t="s">
        <v>61</v>
      </c>
      <c r="B28" s="101"/>
      <c r="C28" s="98"/>
      <c r="D28" s="112">
        <f>104399+1610</f>
        <v>106009</v>
      </c>
      <c r="E28" s="98"/>
      <c r="F28" s="103">
        <f>104394+1501</f>
        <v>105895</v>
      </c>
      <c r="G28" s="111"/>
      <c r="H28" s="98"/>
    </row>
    <row r="29" spans="1:9">
      <c r="A29" s="99" t="s">
        <v>133</v>
      </c>
      <c r="B29" s="97"/>
      <c r="C29" s="98"/>
      <c r="D29" s="113">
        <f>SUM(D20:D28)</f>
        <v>142411536</v>
      </c>
      <c r="E29" s="97"/>
      <c r="F29" s="114">
        <f>SUM(F20:F28)</f>
        <v>124982278</v>
      </c>
      <c r="G29" s="109"/>
      <c r="H29" s="109"/>
    </row>
    <row r="30" spans="1:9">
      <c r="A30" s="99" t="s">
        <v>63</v>
      </c>
      <c r="B30" s="97"/>
      <c r="C30" s="98"/>
      <c r="D30" s="115">
        <f>+D15+D29+D17</f>
        <v>214925256</v>
      </c>
      <c r="E30" s="97"/>
      <c r="F30" s="115">
        <f>+F15+F29+F17</f>
        <v>198167128</v>
      </c>
      <c r="G30" s="109"/>
      <c r="H30" s="109"/>
    </row>
    <row r="31" spans="1:9" ht="8.25" customHeight="1">
      <c r="A31" s="99"/>
      <c r="B31" s="97"/>
      <c r="C31" s="98"/>
      <c r="D31" s="105"/>
      <c r="E31" s="97"/>
      <c r="F31" s="105"/>
      <c r="G31" s="109"/>
      <c r="H31" s="109"/>
    </row>
    <row r="32" spans="1:9">
      <c r="A32" s="99"/>
      <c r="B32" s="97"/>
      <c r="C32" s="98"/>
      <c r="D32" s="105"/>
      <c r="E32" s="97"/>
      <c r="F32" s="105"/>
      <c r="G32" s="109"/>
      <c r="H32" s="109"/>
    </row>
    <row r="33" spans="1:9">
      <c r="B33" s="116"/>
      <c r="C33" s="116"/>
      <c r="D33" s="116"/>
      <c r="E33" s="117"/>
      <c r="F33" s="118" t="s">
        <v>118</v>
      </c>
    </row>
    <row r="34" spans="1:9" ht="34.5">
      <c r="A34" s="119" t="s">
        <v>134</v>
      </c>
      <c r="B34" s="120" t="s">
        <v>120</v>
      </c>
      <c r="C34" s="116"/>
      <c r="D34" s="121" t="s">
        <v>121</v>
      </c>
      <c r="E34" s="122"/>
      <c r="F34" s="121" t="s">
        <v>122</v>
      </c>
    </row>
    <row r="35" spans="1:9" ht="3.75" customHeight="1">
      <c r="A35" s="123"/>
      <c r="B35" s="97"/>
      <c r="C35" s="98"/>
      <c r="D35" s="97"/>
      <c r="E35" s="97"/>
      <c r="F35" s="97"/>
    </row>
    <row r="36" spans="1:9">
      <c r="A36" s="119" t="s">
        <v>135</v>
      </c>
      <c r="B36" s="97"/>
      <c r="C36" s="98"/>
      <c r="D36" s="97"/>
      <c r="E36" s="97"/>
      <c r="F36" s="97"/>
    </row>
    <row r="37" spans="1:9">
      <c r="A37" s="119"/>
      <c r="B37" s="97"/>
      <c r="C37" s="98"/>
      <c r="D37" s="97"/>
      <c r="E37" s="97"/>
      <c r="F37" s="97"/>
    </row>
    <row r="38" spans="1:9">
      <c r="A38" s="124" t="s">
        <v>136</v>
      </c>
      <c r="B38" s="97"/>
      <c r="C38" s="98"/>
      <c r="D38" s="97"/>
      <c r="E38" s="97"/>
      <c r="F38" s="97"/>
    </row>
    <row r="39" spans="1:9">
      <c r="A39" s="125" t="s">
        <v>137</v>
      </c>
      <c r="B39" s="126">
        <v>18</v>
      </c>
      <c r="C39" s="98"/>
      <c r="D39" s="103">
        <v>31524342</v>
      </c>
      <c r="E39" s="103"/>
      <c r="F39" s="103">
        <v>25934358</v>
      </c>
      <c r="I39" s="110"/>
    </row>
    <row r="40" spans="1:9">
      <c r="A40" s="125" t="s">
        <v>138</v>
      </c>
      <c r="B40" s="126">
        <v>19</v>
      </c>
      <c r="C40" s="98"/>
      <c r="D40" s="103">
        <v>18525384</v>
      </c>
      <c r="E40" s="103"/>
      <c r="F40" s="103">
        <v>24674706</v>
      </c>
      <c r="I40" s="110"/>
    </row>
    <row r="41" spans="1:9">
      <c r="A41" s="125" t="s">
        <v>139</v>
      </c>
      <c r="B41" s="126">
        <v>21</v>
      </c>
      <c r="C41" s="98"/>
      <c r="D41" s="103">
        <f>348539-86149</f>
        <v>262390</v>
      </c>
      <c r="E41" s="103"/>
      <c r="F41" s="103">
        <v>805431</v>
      </c>
      <c r="I41" s="110"/>
    </row>
    <row r="42" spans="1:9">
      <c r="A42" s="125" t="s">
        <v>70</v>
      </c>
      <c r="B42" s="126">
        <v>22</v>
      </c>
      <c r="C42" s="98"/>
      <c r="D42" s="103">
        <v>0</v>
      </c>
      <c r="E42" s="103"/>
      <c r="F42" s="103">
        <v>0</v>
      </c>
      <c r="I42" s="110"/>
    </row>
    <row r="43" spans="1:9">
      <c r="A43" s="125" t="s">
        <v>71</v>
      </c>
      <c r="B43" s="126">
        <v>23</v>
      </c>
      <c r="C43" s="98"/>
      <c r="D43" s="103">
        <v>4144395</v>
      </c>
      <c r="E43" s="103"/>
      <c r="F43" s="103">
        <v>2516445</v>
      </c>
      <c r="I43" s="110"/>
    </row>
    <row r="44" spans="1:9">
      <c r="A44" s="125" t="s">
        <v>72</v>
      </c>
      <c r="B44" s="97"/>
      <c r="C44" s="98"/>
      <c r="D44" s="103">
        <f>783153</f>
        <v>783153</v>
      </c>
      <c r="E44" s="111"/>
      <c r="F44" s="103">
        <v>926219</v>
      </c>
      <c r="I44" s="110"/>
    </row>
    <row r="45" spans="1:9">
      <c r="A45" s="125" t="s">
        <v>74</v>
      </c>
      <c r="B45" s="126">
        <v>20</v>
      </c>
      <c r="C45" s="98"/>
      <c r="D45" s="103">
        <v>4358272</v>
      </c>
      <c r="E45" s="111"/>
      <c r="F45" s="103">
        <v>10350691</v>
      </c>
    </row>
    <row r="46" spans="1:9">
      <c r="A46" s="125" t="s">
        <v>140</v>
      </c>
      <c r="B46" s="126">
        <v>24</v>
      </c>
      <c r="C46" s="98"/>
      <c r="D46" s="103">
        <v>4375344</v>
      </c>
      <c r="E46" s="103"/>
      <c r="F46" s="103">
        <v>4604646</v>
      </c>
      <c r="I46" s="110"/>
    </row>
    <row r="47" spans="1:9">
      <c r="A47" s="125" t="s">
        <v>76</v>
      </c>
      <c r="B47" s="126">
        <v>26</v>
      </c>
      <c r="C47" s="98"/>
      <c r="D47" s="103">
        <v>4225160</v>
      </c>
      <c r="E47" s="103"/>
      <c r="F47" s="103">
        <v>3530956</v>
      </c>
      <c r="I47" s="110"/>
    </row>
    <row r="48" spans="1:9">
      <c r="A48" s="124" t="s">
        <v>141</v>
      </c>
      <c r="B48" s="97"/>
      <c r="C48" s="98"/>
      <c r="D48" s="104">
        <f>SUM(D39:D47)</f>
        <v>68198440</v>
      </c>
      <c r="E48" s="103"/>
      <c r="F48" s="104">
        <f>SUM(F39:F47)</f>
        <v>73343452</v>
      </c>
    </row>
    <row r="49" spans="1:11">
      <c r="B49" s="97"/>
      <c r="C49" s="97"/>
      <c r="D49" s="103" t="s">
        <v>44</v>
      </c>
      <c r="E49" s="103"/>
      <c r="F49" s="103" t="s">
        <v>44</v>
      </c>
    </row>
    <row r="50" spans="1:11">
      <c r="A50" s="124" t="s">
        <v>142</v>
      </c>
      <c r="B50" s="97"/>
      <c r="C50" s="98"/>
      <c r="D50" s="103"/>
      <c r="E50" s="103"/>
      <c r="F50" s="103"/>
    </row>
    <row r="51" spans="1:11">
      <c r="A51" s="125" t="s">
        <v>137</v>
      </c>
      <c r="B51" s="126">
        <v>18</v>
      </c>
      <c r="C51" s="98"/>
      <c r="D51" s="103">
        <v>23039030</v>
      </c>
      <c r="E51" s="103"/>
      <c r="F51" s="103">
        <v>18334913</v>
      </c>
      <c r="I51" s="110"/>
      <c r="K51" s="127"/>
    </row>
    <row r="52" spans="1:11">
      <c r="A52" s="125" t="s">
        <v>138</v>
      </c>
      <c r="B52" s="126">
        <v>19</v>
      </c>
      <c r="C52" s="98"/>
      <c r="D52" s="103">
        <v>5713210</v>
      </c>
      <c r="E52" s="103"/>
      <c r="F52" s="103">
        <v>0</v>
      </c>
      <c r="I52" s="110"/>
    </row>
    <row r="53" spans="1:11">
      <c r="A53" s="125" t="s">
        <v>139</v>
      </c>
      <c r="B53" s="126">
        <v>21</v>
      </c>
      <c r="C53" s="98"/>
      <c r="D53" s="103">
        <v>10628878</v>
      </c>
      <c r="E53" s="103"/>
      <c r="F53" s="103">
        <v>14282894</v>
      </c>
      <c r="I53" s="110"/>
    </row>
    <row r="54" spans="1:11">
      <c r="A54" s="125" t="s">
        <v>72</v>
      </c>
      <c r="B54" s="126"/>
      <c r="C54" s="98"/>
      <c r="D54" s="103">
        <f>2680000+86149</f>
        <v>2766149</v>
      </c>
      <c r="E54" s="103"/>
      <c r="F54" s="103">
        <v>0</v>
      </c>
      <c r="I54" s="110"/>
      <c r="J54" s="128"/>
      <c r="K54" s="127"/>
    </row>
    <row r="55" spans="1:11">
      <c r="A55" s="125" t="s">
        <v>140</v>
      </c>
      <c r="B55" s="126">
        <v>25</v>
      </c>
      <c r="C55" s="98"/>
      <c r="D55" s="103">
        <v>5796127</v>
      </c>
      <c r="E55" s="103"/>
      <c r="F55" s="103">
        <v>4471614</v>
      </c>
      <c r="I55" s="110"/>
    </row>
    <row r="56" spans="1:11">
      <c r="A56" s="125" t="s">
        <v>74</v>
      </c>
      <c r="B56" s="126"/>
      <c r="C56" s="98"/>
      <c r="D56" s="103">
        <v>27717</v>
      </c>
      <c r="E56" s="103"/>
      <c r="F56" s="103">
        <v>0</v>
      </c>
      <c r="I56" s="103"/>
    </row>
    <row r="57" spans="1:11">
      <c r="A57" s="125" t="s">
        <v>143</v>
      </c>
      <c r="B57" s="126">
        <v>26</v>
      </c>
      <c r="C57" s="98"/>
      <c r="D57" s="103">
        <v>17696327</v>
      </c>
      <c r="E57" s="103"/>
      <c r="F57" s="103">
        <v>13213506</v>
      </c>
      <c r="I57" s="110"/>
    </row>
    <row r="58" spans="1:11">
      <c r="A58" s="125" t="s">
        <v>85</v>
      </c>
      <c r="B58" s="126">
        <v>27</v>
      </c>
      <c r="C58" s="98"/>
      <c r="D58" s="103">
        <v>3572443</v>
      </c>
      <c r="E58" s="103"/>
      <c r="F58" s="103">
        <v>5938109</v>
      </c>
      <c r="I58" s="110"/>
    </row>
    <row r="59" spans="1:11">
      <c r="A59" s="124" t="s">
        <v>144</v>
      </c>
      <c r="B59" s="97"/>
      <c r="C59" s="98"/>
      <c r="D59" s="104">
        <f>SUM(D51:D58)</f>
        <v>69239881</v>
      </c>
      <c r="E59" s="103"/>
      <c r="F59" s="104">
        <f>SUM(F51:F58)</f>
        <v>56241036</v>
      </c>
    </row>
    <row r="60" spans="1:11">
      <c r="A60" s="124" t="s">
        <v>86</v>
      </c>
      <c r="B60" s="97"/>
      <c r="C60" s="98"/>
      <c r="D60" s="104">
        <f>+D48+D59</f>
        <v>137438321</v>
      </c>
      <c r="E60" s="103"/>
      <c r="F60" s="104">
        <f>+F48+F59</f>
        <v>129584488</v>
      </c>
    </row>
    <row r="61" spans="1:11">
      <c r="A61" s="124"/>
      <c r="B61" s="97"/>
      <c r="C61" s="98"/>
      <c r="D61" s="103"/>
      <c r="E61" s="103"/>
      <c r="F61" s="103"/>
    </row>
    <row r="62" spans="1:11">
      <c r="A62" s="119" t="s">
        <v>145</v>
      </c>
      <c r="B62" s="97"/>
      <c r="C62" s="98"/>
      <c r="D62" s="103"/>
      <c r="E62" s="103"/>
      <c r="F62" s="103"/>
    </row>
    <row r="63" spans="1:11">
      <c r="A63" s="125" t="s">
        <v>146</v>
      </c>
      <c r="B63" s="126">
        <v>28</v>
      </c>
      <c r="C63" s="98"/>
      <c r="D63" s="103">
        <v>23879352</v>
      </c>
      <c r="E63" s="103"/>
      <c r="F63" s="103">
        <v>23879352</v>
      </c>
    </row>
    <row r="64" spans="1:11">
      <c r="A64" s="125" t="s">
        <v>147</v>
      </c>
      <c r="B64" s="126">
        <v>28</v>
      </c>
      <c r="C64" s="98"/>
      <c r="D64" s="103">
        <v>705936</v>
      </c>
      <c r="E64" s="103"/>
      <c r="F64" s="103">
        <v>705936</v>
      </c>
    </row>
    <row r="65" spans="1:6">
      <c r="A65" s="125" t="s">
        <v>148</v>
      </c>
      <c r="B65" s="97"/>
      <c r="C65" s="98"/>
      <c r="D65" s="103">
        <v>4016935</v>
      </c>
      <c r="E65" s="103"/>
      <c r="F65" s="103">
        <v>2675050</v>
      </c>
    </row>
    <row r="66" spans="1:6">
      <c r="A66" s="125" t="s">
        <v>149</v>
      </c>
      <c r="B66" s="97"/>
      <c r="C66" s="98"/>
      <c r="D66" s="112">
        <v>37723453</v>
      </c>
      <c r="E66" s="103"/>
      <c r="F66" s="112">
        <v>31964783</v>
      </c>
    </row>
    <row r="67" spans="1:6">
      <c r="A67" s="125"/>
      <c r="B67" s="97"/>
      <c r="C67" s="98"/>
      <c r="D67" s="103">
        <f>SUM(D63:D66)</f>
        <v>66325676</v>
      </c>
      <c r="E67" s="103"/>
      <c r="F67" s="103">
        <f>SUM(F63:F66)</f>
        <v>59225121</v>
      </c>
    </row>
    <row r="68" spans="1:6" s="134" customFormat="1" ht="11.25">
      <c r="A68" s="129" t="s">
        <v>150</v>
      </c>
      <c r="B68" s="130"/>
      <c r="C68" s="131"/>
      <c r="D68" s="132">
        <v>11161259</v>
      </c>
      <c r="E68" s="133"/>
      <c r="F68" s="132">
        <v>9357519</v>
      </c>
    </row>
    <row r="69" spans="1:6" s="134" customFormat="1" ht="7.5" customHeight="1">
      <c r="A69" s="129"/>
      <c r="B69" s="130"/>
      <c r="C69" s="131"/>
      <c r="D69" s="133"/>
      <c r="E69" s="133"/>
      <c r="F69" s="133"/>
    </row>
    <row r="70" spans="1:6" s="134" customFormat="1" ht="11.25">
      <c r="A70" s="135" t="s">
        <v>100</v>
      </c>
      <c r="B70" s="130"/>
      <c r="C70" s="131"/>
      <c r="D70" s="132">
        <f>SUM(D67:D68)</f>
        <v>77486935</v>
      </c>
      <c r="E70" s="133"/>
      <c r="F70" s="132">
        <f>SUM(F67:F68)</f>
        <v>68582640</v>
      </c>
    </row>
    <row r="71" spans="1:6" s="134" customFormat="1" ht="3" customHeight="1">
      <c r="A71" s="135"/>
      <c r="B71" s="130"/>
      <c r="C71" s="131"/>
      <c r="D71" s="133"/>
      <c r="E71" s="133"/>
      <c r="F71" s="133"/>
    </row>
    <row r="72" spans="1:6" s="134" customFormat="1" ht="11.25">
      <c r="A72" s="135" t="s">
        <v>151</v>
      </c>
      <c r="B72" s="130"/>
      <c r="C72" s="131"/>
      <c r="D72" s="136">
        <f>+D60+D70</f>
        <v>214925256</v>
      </c>
      <c r="E72" s="133"/>
      <c r="F72" s="136">
        <f>+F60+F70</f>
        <v>198167128</v>
      </c>
    </row>
    <row r="73" spans="1:6">
      <c r="D73" s="97"/>
      <c r="E73" s="97"/>
      <c r="F73" s="97"/>
    </row>
    <row r="74" spans="1:6">
      <c r="D74" s="97"/>
      <c r="E74" s="97"/>
      <c r="F74" s="97"/>
    </row>
    <row r="75" spans="1:6">
      <c r="D75" s="110">
        <f>D72-D30</f>
        <v>0</v>
      </c>
      <c r="E75" s="110"/>
      <c r="F75" s="110">
        <f>F72-F30</f>
        <v>0</v>
      </c>
    </row>
    <row r="76" spans="1:6">
      <c r="D76" s="97"/>
      <c r="E76" s="97"/>
      <c r="F76" s="97"/>
    </row>
    <row r="77" spans="1:6">
      <c r="D77" s="97"/>
      <c r="E77" s="97"/>
      <c r="F77" s="97"/>
    </row>
    <row r="78" spans="1:6">
      <c r="D78" s="97"/>
      <c r="E78" s="97"/>
      <c r="F78" s="97"/>
    </row>
    <row r="79" spans="1:6">
      <c r="D79" s="97"/>
      <c r="E79" s="97"/>
      <c r="F79" s="97"/>
    </row>
    <row r="80" spans="1:6">
      <c r="D80" s="97"/>
      <c r="E80" s="97"/>
      <c r="F80" s="97"/>
    </row>
    <row r="81" spans="4:6">
      <c r="D81" s="97"/>
      <c r="E81" s="97"/>
      <c r="F81" s="97"/>
    </row>
    <row r="82" spans="4:6">
      <c r="D82" s="97"/>
      <c r="E82" s="97"/>
      <c r="F82" s="97"/>
    </row>
    <row r="83" spans="4:6">
      <c r="D83" s="97"/>
      <c r="E83" s="97"/>
      <c r="F83" s="97"/>
    </row>
    <row r="84" spans="4:6">
      <c r="D84" s="97"/>
      <c r="E84" s="97"/>
      <c r="F84" s="97"/>
    </row>
    <row r="85" spans="4:6">
      <c r="D85" s="97"/>
      <c r="E85" s="97"/>
      <c r="F85" s="97"/>
    </row>
    <row r="86" spans="4:6">
      <c r="D86" s="97"/>
      <c r="E86" s="97"/>
      <c r="F86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81D41A"/>
  </sheetPr>
  <dimension ref="A1:AMJ39"/>
  <sheetViews>
    <sheetView showGridLines="0" zoomScaleNormal="100" workbookViewId="0">
      <selection activeCell="G16" sqref="G16"/>
    </sheetView>
  </sheetViews>
  <sheetFormatPr defaultColWidth="11.5703125" defaultRowHeight="15"/>
  <cols>
    <col min="1" max="1" width="2.42578125" style="706" customWidth="1"/>
    <col min="2" max="2" width="36" style="706" customWidth="1"/>
    <col min="3" max="3" width="9.85546875" style="706" customWidth="1"/>
    <col min="4" max="4" width="12.28515625" style="706" customWidth="1"/>
    <col min="5" max="5" width="11.5703125" style="706"/>
    <col min="6" max="6" width="12.28515625" style="706" customWidth="1"/>
    <col min="7" max="7" width="11.5703125" style="706"/>
    <col min="8" max="8" width="12.28515625" style="706" hidden="1" customWidth="1"/>
    <col min="9" max="9" width="11.5703125" style="706" hidden="1"/>
    <col min="10" max="10" width="12.7109375" style="706" hidden="1" customWidth="1"/>
    <col min="11" max="11" width="11.5703125" style="706" hidden="1"/>
    <col min="12" max="12" width="12" style="706" hidden="1" customWidth="1"/>
    <col min="13" max="13" width="11.5703125" style="707"/>
    <col min="14" max="1024" width="11.5703125" style="706"/>
  </cols>
  <sheetData>
    <row r="1" spans="1:15" s="714" customFormat="1" ht="12">
      <c r="A1" s="708"/>
      <c r="B1" s="709"/>
      <c r="C1" s="710" t="s">
        <v>632</v>
      </c>
      <c r="D1" s="710">
        <v>2020</v>
      </c>
      <c r="E1" s="710"/>
      <c r="F1" s="711">
        <v>2019</v>
      </c>
      <c r="G1" s="709"/>
      <c r="H1" s="711">
        <v>2018</v>
      </c>
      <c r="I1" s="712"/>
      <c r="J1" s="713">
        <v>2017</v>
      </c>
      <c r="K1" s="713"/>
      <c r="L1" s="713">
        <v>2016</v>
      </c>
      <c r="M1" s="708"/>
    </row>
    <row r="2" spans="1:15" ht="12" customHeight="1">
      <c r="A2" s="707"/>
      <c r="B2" s="715"/>
      <c r="C2" s="612" t="s">
        <v>634</v>
      </c>
      <c r="D2" s="612"/>
      <c r="E2" s="612"/>
      <c r="F2" s="715"/>
      <c r="G2" s="715"/>
      <c r="H2" s="715"/>
      <c r="I2" s="712"/>
      <c r="J2" s="713"/>
      <c r="K2" s="713"/>
      <c r="L2" s="713"/>
    </row>
    <row r="3" spans="1:15">
      <c r="A3" s="716" t="s">
        <v>706</v>
      </c>
      <c r="C3" s="717"/>
      <c r="D3" s="717">
        <f>'Planilla final'!R61</f>
        <v>397443274</v>
      </c>
      <c r="E3" s="717"/>
      <c r="F3" s="716">
        <v>191805258</v>
      </c>
      <c r="G3" s="716"/>
      <c r="H3" s="716">
        <v>159845498</v>
      </c>
      <c r="I3" s="718"/>
      <c r="J3" s="719">
        <v>155656071.41999999</v>
      </c>
      <c r="K3" s="720"/>
      <c r="L3" s="719">
        <v>146349769</v>
      </c>
      <c r="O3" s="721"/>
    </row>
    <row r="4" spans="1:15">
      <c r="A4" s="716" t="s">
        <v>707</v>
      </c>
      <c r="C4" s="717">
        <v>33</v>
      </c>
      <c r="D4" s="717">
        <f>'Planilla final'!R62</f>
        <v>-232819398.31</v>
      </c>
      <c r="E4" s="717"/>
      <c r="F4" s="716">
        <v>-121049688</v>
      </c>
      <c r="G4" s="716"/>
      <c r="H4" s="716">
        <v>-106153033</v>
      </c>
      <c r="I4" s="718"/>
      <c r="J4" s="722">
        <v>-103315253</v>
      </c>
      <c r="K4" s="720"/>
      <c r="L4" s="722">
        <v>-96949966</v>
      </c>
    </row>
    <row r="5" spans="1:15" ht="5.0999999999999996" customHeight="1">
      <c r="A5" s="707"/>
      <c r="C5" s="708"/>
      <c r="D5" s="708"/>
      <c r="E5" s="708"/>
      <c r="F5" s="707"/>
      <c r="G5" s="707"/>
      <c r="H5" s="707"/>
    </row>
    <row r="6" spans="1:15">
      <c r="A6" s="716" t="s">
        <v>708</v>
      </c>
      <c r="C6" s="717"/>
      <c r="D6" s="723">
        <f>D3+D4</f>
        <v>164623875.69</v>
      </c>
      <c r="E6" s="717"/>
      <c r="F6" s="723">
        <v>70755570</v>
      </c>
      <c r="G6" s="720"/>
      <c r="H6" s="723">
        <v>53692465</v>
      </c>
      <c r="I6" s="718"/>
      <c r="J6" s="720">
        <v>52340818.420000002</v>
      </c>
      <c r="K6" s="720"/>
      <c r="L6" s="720">
        <v>49399803</v>
      </c>
    </row>
    <row r="7" spans="1:15" ht="5.0999999999999996" customHeight="1">
      <c r="A7" s="716"/>
      <c r="C7" s="717"/>
      <c r="D7" s="717"/>
      <c r="E7" s="717"/>
      <c r="F7" s="716"/>
      <c r="G7" s="716"/>
      <c r="H7" s="716"/>
      <c r="I7" s="716"/>
      <c r="J7" s="720"/>
      <c r="K7" s="720"/>
      <c r="L7" s="720"/>
    </row>
    <row r="8" spans="1:15">
      <c r="A8" s="715" t="s">
        <v>709</v>
      </c>
      <c r="C8" s="709"/>
      <c r="D8" s="709"/>
      <c r="E8" s="709"/>
      <c r="F8" s="715"/>
      <c r="G8" s="715"/>
      <c r="H8" s="715"/>
      <c r="I8" s="716"/>
      <c r="J8" s="720"/>
      <c r="K8" s="720"/>
      <c r="L8" s="720"/>
    </row>
    <row r="9" spans="1:15">
      <c r="A9" s="716" t="s">
        <v>710</v>
      </c>
      <c r="C9" s="717">
        <v>33</v>
      </c>
      <c r="D9" s="717">
        <f>'Planilla final'!O64</f>
        <v>-111415454.18999998</v>
      </c>
      <c r="E9" s="717"/>
      <c r="F9" s="716">
        <v>-44400771</v>
      </c>
      <c r="G9" s="716"/>
      <c r="H9" s="716">
        <v>-37329669</v>
      </c>
      <c r="I9" s="716"/>
      <c r="J9" s="724">
        <v>-35713851.420000002</v>
      </c>
      <c r="K9" s="720"/>
      <c r="L9" s="724">
        <v>-31216849</v>
      </c>
    </row>
    <row r="10" spans="1:15" ht="5.0999999999999996" customHeight="1">
      <c r="A10" s="716"/>
      <c r="C10" s="717"/>
      <c r="D10" s="717"/>
      <c r="E10" s="717"/>
      <c r="F10" s="716"/>
      <c r="G10" s="716"/>
      <c r="H10" s="716"/>
      <c r="I10" s="716"/>
      <c r="J10" s="720"/>
      <c r="K10" s="720"/>
      <c r="L10" s="720"/>
    </row>
    <row r="11" spans="1:15">
      <c r="A11" s="716" t="s">
        <v>711</v>
      </c>
      <c r="C11" s="717"/>
      <c r="D11" s="723">
        <f>D6+D9</f>
        <v>53208421.500000015</v>
      </c>
      <c r="E11" s="717"/>
      <c r="F11" s="723">
        <v>26354799</v>
      </c>
      <c r="G11" s="720"/>
      <c r="H11" s="723">
        <v>16362796</v>
      </c>
      <c r="I11" s="716"/>
      <c r="J11" s="720">
        <v>16626967</v>
      </c>
      <c r="K11" s="720"/>
      <c r="L11" s="720">
        <v>18182954</v>
      </c>
    </row>
    <row r="12" spans="1:15" ht="5.0999999999999996" customHeight="1">
      <c r="A12" s="716"/>
      <c r="C12" s="717"/>
      <c r="D12" s="717"/>
      <c r="E12" s="717"/>
      <c r="F12" s="716"/>
      <c r="G12" s="716"/>
      <c r="H12" s="716"/>
      <c r="I12" s="716"/>
      <c r="J12" s="720"/>
      <c r="K12" s="720"/>
      <c r="L12" s="720"/>
    </row>
    <row r="13" spans="1:15">
      <c r="A13" s="725" t="s">
        <v>712</v>
      </c>
      <c r="C13" s="726"/>
      <c r="D13" s="726">
        <f>'Planilla final'!O67</f>
        <v>-846933.13</v>
      </c>
      <c r="E13" s="726"/>
      <c r="F13" s="725">
        <v>-2329066</v>
      </c>
      <c r="G13" s="725"/>
      <c r="H13" s="716">
        <v>-3672120</v>
      </c>
      <c r="I13" s="716"/>
      <c r="J13" s="720">
        <v>-5201733</v>
      </c>
      <c r="K13" s="720"/>
      <c r="L13" s="720">
        <v>-4584126</v>
      </c>
    </row>
    <row r="14" spans="1:15">
      <c r="A14" s="716" t="s">
        <v>713</v>
      </c>
      <c r="C14" s="717"/>
      <c r="D14" s="717">
        <f>'Planilla final'!O65</f>
        <v>670248.95999999996</v>
      </c>
      <c r="E14" s="717"/>
      <c r="F14" s="716">
        <v>219694.47</v>
      </c>
      <c r="G14" s="716"/>
      <c r="H14" s="716">
        <v>-1111670</v>
      </c>
      <c r="I14" s="716"/>
      <c r="J14" s="720">
        <v>-2320429.9500000002</v>
      </c>
      <c r="K14" s="720"/>
      <c r="L14" s="720">
        <v>-507141</v>
      </c>
      <c r="N14" s="721"/>
      <c r="O14" s="721"/>
    </row>
    <row r="15" spans="1:15" ht="5.45" customHeight="1">
      <c r="A15" s="716"/>
      <c r="C15" s="717"/>
      <c r="D15" s="717"/>
      <c r="E15" s="717"/>
      <c r="F15" s="716"/>
      <c r="G15" s="716"/>
      <c r="H15" s="716"/>
      <c r="I15" s="716"/>
      <c r="J15" s="724"/>
      <c r="K15" s="720"/>
      <c r="L15" s="724"/>
    </row>
    <row r="16" spans="1:15" ht="27.6" customHeight="1">
      <c r="B16" s="727" t="s">
        <v>714</v>
      </c>
      <c r="C16" s="728"/>
      <c r="D16" s="723">
        <f>D11+D13+D14</f>
        <v>53031737.330000013</v>
      </c>
      <c r="E16" s="728"/>
      <c r="F16" s="723">
        <v>24245427.469999999</v>
      </c>
      <c r="G16" s="720"/>
      <c r="H16" s="723">
        <v>11579006</v>
      </c>
      <c r="I16" s="716"/>
      <c r="J16" s="720">
        <v>9104804.0499999896</v>
      </c>
      <c r="K16" s="720"/>
      <c r="L16" s="720">
        <v>13091687</v>
      </c>
    </row>
    <row r="17" spans="1:17" ht="5.0999999999999996" customHeight="1">
      <c r="A17" s="716"/>
      <c r="C17" s="717"/>
      <c r="D17" s="717"/>
      <c r="E17" s="717"/>
      <c r="F17" s="716"/>
      <c r="G17" s="716"/>
      <c r="H17" s="716"/>
      <c r="I17" s="716"/>
      <c r="J17" s="720"/>
      <c r="K17" s="720"/>
      <c r="L17" s="720"/>
    </row>
    <row r="18" spans="1:17">
      <c r="A18" s="716" t="s">
        <v>110</v>
      </c>
      <c r="C18" s="717"/>
      <c r="D18" s="717">
        <f>'Planilla final'!O69</f>
        <v>0</v>
      </c>
      <c r="E18" s="717"/>
      <c r="F18" s="716">
        <v>-4208157</v>
      </c>
      <c r="G18" s="716"/>
      <c r="H18" s="716">
        <v>-2417615</v>
      </c>
      <c r="I18" s="716"/>
      <c r="J18" s="719">
        <v>-1591304</v>
      </c>
      <c r="K18" s="718"/>
      <c r="L18" s="719">
        <v>-1759101</v>
      </c>
    </row>
    <row r="19" spans="1:17" ht="5.45" customHeight="1">
      <c r="A19" s="716"/>
      <c r="C19" s="717"/>
      <c r="D19" s="717"/>
      <c r="E19" s="717"/>
      <c r="F19" s="716"/>
      <c r="G19" s="716"/>
      <c r="H19" s="716"/>
      <c r="I19" s="716"/>
      <c r="J19" s="720"/>
      <c r="K19" s="720"/>
      <c r="L19" s="720"/>
    </row>
    <row r="20" spans="1:17">
      <c r="A20" s="716" t="s">
        <v>715</v>
      </c>
      <c r="C20" s="717">
        <v>27</v>
      </c>
      <c r="D20" s="717">
        <f>'Planilla final'!N70</f>
        <v>0</v>
      </c>
      <c r="E20" s="717"/>
      <c r="F20" s="716">
        <v>-7566400</v>
      </c>
      <c r="G20" s="716"/>
      <c r="H20" s="716">
        <v>-4254413</v>
      </c>
      <c r="J20" s="720">
        <v>-3475906</v>
      </c>
      <c r="L20" s="720">
        <v>-3198548</v>
      </c>
    </row>
    <row r="21" spans="1:17" ht="5.0999999999999996" customHeight="1">
      <c r="A21" s="729"/>
      <c r="C21" s="728"/>
      <c r="D21" s="729"/>
      <c r="E21" s="728"/>
      <c r="F21" s="729"/>
      <c r="G21" s="729"/>
      <c r="H21" s="729"/>
      <c r="J21" s="707"/>
      <c r="L21" s="707"/>
    </row>
    <row r="22" spans="1:17">
      <c r="B22" s="716" t="s">
        <v>194</v>
      </c>
      <c r="C22" s="717"/>
      <c r="D22" s="730">
        <f>D16+D18+D20</f>
        <v>53031737.330000013</v>
      </c>
      <c r="E22" s="717"/>
      <c r="F22" s="730">
        <v>12470870.470000001</v>
      </c>
      <c r="G22" s="720"/>
      <c r="H22" s="730">
        <v>4906978</v>
      </c>
      <c r="J22" s="730">
        <v>4037594.04999999</v>
      </c>
      <c r="K22" s="720"/>
      <c r="L22" s="730">
        <v>8134038</v>
      </c>
      <c r="M22" s="720"/>
      <c r="N22" s="731"/>
      <c r="O22" s="732"/>
      <c r="P22" s="733"/>
      <c r="Q22" s="734"/>
    </row>
    <row r="23" spans="1:17">
      <c r="A23" s="707"/>
      <c r="C23" s="708"/>
      <c r="D23" s="707"/>
      <c r="E23" s="708"/>
      <c r="F23" s="707"/>
      <c r="G23" s="707"/>
      <c r="H23" s="707"/>
    </row>
    <row r="24" spans="1:17">
      <c r="A24" s="715" t="s">
        <v>716</v>
      </c>
      <c r="C24" s="709"/>
      <c r="D24" s="709"/>
      <c r="E24" s="709"/>
      <c r="F24" s="715"/>
      <c r="G24" s="715"/>
      <c r="H24" s="715"/>
    </row>
    <row r="25" spans="1:17" ht="5.0999999999999996" customHeight="1">
      <c r="A25" s="729"/>
      <c r="C25" s="728"/>
      <c r="D25" s="728"/>
      <c r="E25" s="728"/>
      <c r="F25" s="729"/>
      <c r="G25" s="729"/>
      <c r="H25" s="729"/>
      <c r="J25" s="707"/>
      <c r="L25" s="707"/>
    </row>
    <row r="26" spans="1:17" ht="25.5" customHeight="1">
      <c r="B26" s="735" t="s">
        <v>717</v>
      </c>
      <c r="C26" s="717"/>
      <c r="D26" s="736">
        <f>'Planilla final'!N72</f>
        <v>0</v>
      </c>
      <c r="E26" s="717"/>
      <c r="F26" s="736">
        <v>-1099700</v>
      </c>
      <c r="G26" s="736"/>
      <c r="H26" s="736">
        <v>70086</v>
      </c>
      <c r="J26" s="722">
        <v>1849659</v>
      </c>
      <c r="L26" s="722">
        <v>-495802</v>
      </c>
    </row>
    <row r="27" spans="1:17" ht="5.0999999999999996" customHeight="1">
      <c r="A27" s="729"/>
      <c r="C27" s="728"/>
      <c r="D27" s="729"/>
      <c r="E27" s="728"/>
      <c r="F27" s="729"/>
      <c r="G27" s="729"/>
      <c r="H27" s="729"/>
      <c r="J27" s="707"/>
      <c r="L27" s="707"/>
    </row>
    <row r="28" spans="1:17">
      <c r="A28" s="716" t="s">
        <v>98</v>
      </c>
      <c r="C28" s="717"/>
      <c r="D28" s="737">
        <f>D22+D26</f>
        <v>53031737.330000013</v>
      </c>
      <c r="E28" s="717"/>
      <c r="F28" s="737">
        <v>11371170.470000001</v>
      </c>
      <c r="G28" s="738"/>
      <c r="H28" s="737">
        <v>4977064</v>
      </c>
      <c r="J28" s="739">
        <v>5887253.0499999896</v>
      </c>
      <c r="L28" s="739">
        <v>7638236</v>
      </c>
    </row>
    <row r="29" spans="1:17" ht="5.0999999999999996" customHeight="1">
      <c r="A29" s="716"/>
      <c r="C29" s="717"/>
      <c r="D29" s="716"/>
      <c r="E29" s="717"/>
      <c r="F29" s="716"/>
      <c r="G29" s="716"/>
      <c r="H29" s="716"/>
    </row>
    <row r="30" spans="1:17" s="706" customFormat="1" ht="12" hidden="1">
      <c r="A30" s="707" t="s">
        <v>718</v>
      </c>
      <c r="C30" s="708"/>
      <c r="D30" s="645"/>
      <c r="E30" s="708"/>
      <c r="F30" s="645">
        <v>12631217.718596799</v>
      </c>
      <c r="G30" s="645"/>
      <c r="H30" s="720">
        <v>6002231</v>
      </c>
      <c r="J30" s="724">
        <v>6447471.9952226197</v>
      </c>
      <c r="K30" s="720"/>
      <c r="L30" s="724">
        <v>7246588</v>
      </c>
    </row>
    <row r="31" spans="1:17" s="706" customFormat="1" ht="5.0999999999999996" hidden="1" customHeight="1">
      <c r="A31" s="707"/>
      <c r="C31" s="708"/>
      <c r="D31" s="645"/>
      <c r="E31" s="708"/>
      <c r="F31" s="645"/>
      <c r="G31" s="645"/>
      <c r="H31" s="707"/>
      <c r="J31" s="740"/>
      <c r="K31" s="741"/>
      <c r="L31" s="740"/>
    </row>
    <row r="32" spans="1:17" s="706" customFormat="1" ht="12" hidden="1">
      <c r="A32" s="707" t="s">
        <v>719</v>
      </c>
      <c r="C32" s="708"/>
      <c r="D32" s="645"/>
      <c r="E32" s="708"/>
      <c r="F32" s="645">
        <v>-1260047.2485968301</v>
      </c>
      <c r="G32" s="645"/>
      <c r="H32" s="719">
        <v>-1025167</v>
      </c>
      <c r="J32" s="722">
        <v>-560218.94522262504</v>
      </c>
      <c r="L32" s="742">
        <v>391648</v>
      </c>
    </row>
    <row r="33" spans="1:12" s="706" customFormat="1" ht="5.0999999999999996" customHeight="1">
      <c r="A33" s="707"/>
      <c r="C33" s="708"/>
      <c r="D33" s="707"/>
      <c r="E33" s="708"/>
      <c r="F33" s="707"/>
      <c r="G33" s="707"/>
      <c r="H33" s="707"/>
    </row>
    <row r="34" spans="1:12">
      <c r="A34" s="707" t="s">
        <v>720</v>
      </c>
      <c r="C34" s="708"/>
      <c r="D34" s="547">
        <v>37143362</v>
      </c>
      <c r="E34" s="708"/>
      <c r="F34" s="547">
        <v>37143362</v>
      </c>
      <c r="G34" s="547"/>
      <c r="H34" s="547">
        <v>35042687</v>
      </c>
    </row>
    <row r="35" spans="1:12">
      <c r="A35" s="707" t="s">
        <v>721</v>
      </c>
      <c r="C35" s="707"/>
      <c r="D35" s="743">
        <f>D28/D34</f>
        <v>1.4277581369720924</v>
      </c>
      <c r="E35" s="707"/>
      <c r="F35" s="743">
        <v>0.306142736082964</v>
      </c>
      <c r="G35" s="707"/>
      <c r="H35" s="743">
        <v>0.14202860642507201</v>
      </c>
      <c r="J35" s="744"/>
      <c r="L35" s="744"/>
    </row>
    <row r="37" spans="1:12" s="706" customFormat="1" ht="12"/>
    <row r="38" spans="1:12" s="706" customFormat="1" ht="12">
      <c r="F38" s="745"/>
    </row>
    <row r="39" spans="1:12" s="706" customFormat="1" ht="12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69"/>
  <sheetViews>
    <sheetView showGridLines="0" zoomScaleNormal="100" workbookViewId="0">
      <pane xSplit="1" ySplit="4" topLeftCell="B54" activePane="bottomRight" state="frozen"/>
      <selection pane="topRight" activeCell="B1" sqref="B1"/>
      <selection pane="bottomLeft" activeCell="A54" sqref="A54"/>
      <selection pane="bottomRight" activeCell="P67" sqref="P67"/>
    </sheetView>
  </sheetViews>
  <sheetFormatPr defaultColWidth="11.42578125" defaultRowHeight="15"/>
  <cols>
    <col min="1" max="1" width="32.85546875" style="746" customWidth="1"/>
    <col min="2" max="2" width="10.5703125" style="746" customWidth="1"/>
    <col min="3" max="3" width="1" style="746" customWidth="1"/>
    <col min="4" max="4" width="12.85546875" style="746" customWidth="1"/>
    <col min="5" max="5" width="0.7109375" style="746" customWidth="1"/>
    <col min="6" max="6" width="9.7109375" style="746" customWidth="1"/>
    <col min="7" max="7" width="0.85546875" style="746" customWidth="1"/>
    <col min="8" max="8" width="10.42578125" style="746" customWidth="1"/>
    <col min="9" max="9" width="1" style="746" customWidth="1"/>
    <col min="10" max="10" width="10.5703125" style="746" customWidth="1"/>
    <col min="11" max="11" width="1" style="746" customWidth="1"/>
    <col min="12" max="12" width="8.5703125" style="746" customWidth="1"/>
    <col min="13" max="13" width="0.7109375" style="746" customWidth="1"/>
    <col min="14" max="14" width="10.5703125" style="746" customWidth="1"/>
    <col min="15" max="15" width="0.85546875" style="746" customWidth="1"/>
    <col min="16" max="16" width="11" style="746" customWidth="1"/>
    <col min="17" max="17" width="0.7109375" style="746" customWidth="1"/>
    <col min="18" max="18" width="11.42578125" style="746"/>
    <col min="19" max="19" width="0.7109375" style="746" customWidth="1"/>
    <col min="20" max="20" width="11.7109375" style="746" customWidth="1"/>
    <col min="21" max="21" width="4.7109375" style="746" customWidth="1"/>
    <col min="22" max="1024" width="11.42578125" style="746"/>
  </cols>
  <sheetData>
    <row r="1" spans="1:20" s="748" customFormat="1" ht="12">
      <c r="A1" s="747" t="s">
        <v>390</v>
      </c>
    </row>
    <row r="2" spans="1:20" s="748" customFormat="1" ht="24">
      <c r="A2" s="749" t="s">
        <v>722</v>
      </c>
    </row>
    <row r="3" spans="1:20" s="750" customFormat="1" ht="14.25" customHeight="1">
      <c r="B3" s="751"/>
      <c r="C3" s="751"/>
      <c r="D3" s="752"/>
      <c r="E3" s="752"/>
      <c r="F3" s="752"/>
      <c r="G3" s="752"/>
      <c r="H3" s="752"/>
      <c r="I3" s="752"/>
      <c r="J3" s="752"/>
      <c r="K3" s="752"/>
      <c r="L3" s="753" t="s">
        <v>149</v>
      </c>
      <c r="M3" s="754"/>
      <c r="N3" s="754"/>
      <c r="O3" s="754"/>
      <c r="P3" s="754"/>
      <c r="Q3" s="754"/>
      <c r="R3" s="751"/>
      <c r="S3" s="751"/>
      <c r="T3" s="751"/>
    </row>
    <row r="4" spans="1:20" s="750" customFormat="1" ht="48">
      <c r="B4" s="754" t="s">
        <v>172</v>
      </c>
      <c r="C4" s="754"/>
      <c r="D4" s="754" t="s">
        <v>723</v>
      </c>
      <c r="E4" s="754"/>
      <c r="F4" s="754" t="s">
        <v>542</v>
      </c>
      <c r="G4" s="754"/>
      <c r="H4" s="754" t="s">
        <v>724</v>
      </c>
      <c r="I4" s="754"/>
      <c r="J4" s="754" t="s">
        <v>94</v>
      </c>
      <c r="K4" s="754"/>
      <c r="L4" s="754" t="s">
        <v>436</v>
      </c>
      <c r="M4" s="754"/>
      <c r="N4" s="754" t="s">
        <v>725</v>
      </c>
      <c r="O4" s="754"/>
      <c r="P4" s="754" t="s">
        <v>149</v>
      </c>
      <c r="Q4" s="754"/>
      <c r="R4" s="754" t="s">
        <v>726</v>
      </c>
      <c r="S4" s="754"/>
      <c r="T4" s="754" t="s">
        <v>259</v>
      </c>
    </row>
    <row r="5" spans="1:20">
      <c r="B5" s="755"/>
      <c r="C5" s="755"/>
      <c r="D5" s="755"/>
      <c r="E5" s="755"/>
      <c r="F5" s="755"/>
      <c r="G5" s="755"/>
      <c r="H5" s="755"/>
      <c r="I5" s="755"/>
      <c r="J5" s="755"/>
      <c r="K5" s="755"/>
      <c r="L5" s="755"/>
      <c r="M5" s="755"/>
      <c r="N5" s="755"/>
      <c r="O5" s="755"/>
      <c r="P5" s="755"/>
      <c r="Q5" s="755"/>
      <c r="R5" s="755"/>
      <c r="S5" s="755"/>
      <c r="T5" s="755"/>
    </row>
    <row r="6" spans="1:20">
      <c r="A6" s="756" t="s">
        <v>727</v>
      </c>
      <c r="B6" s="757">
        <v>23879352</v>
      </c>
      <c r="C6" s="757"/>
      <c r="D6" s="757">
        <v>705936</v>
      </c>
      <c r="E6" s="757"/>
      <c r="F6" s="757">
        <v>2640253</v>
      </c>
      <c r="G6" s="757"/>
      <c r="H6" s="757">
        <v>34797</v>
      </c>
      <c r="I6" s="757"/>
      <c r="J6" s="757">
        <v>0</v>
      </c>
      <c r="K6" s="757"/>
      <c r="L6" s="757">
        <v>227072</v>
      </c>
      <c r="M6" s="757"/>
      <c r="N6" s="757">
        <v>-3202431</v>
      </c>
      <c r="O6" s="757"/>
      <c r="P6" s="757">
        <v>34940142</v>
      </c>
      <c r="Q6" s="757"/>
      <c r="R6" s="757">
        <v>9357519</v>
      </c>
      <c r="S6" s="757"/>
      <c r="T6" s="757">
        <v>68582640</v>
      </c>
    </row>
    <row r="7" spans="1:20">
      <c r="B7" s="758"/>
      <c r="C7" s="758"/>
      <c r="D7" s="758"/>
      <c r="E7" s="758"/>
      <c r="F7" s="758"/>
      <c r="G7" s="758"/>
      <c r="H7" s="758"/>
      <c r="I7" s="758"/>
      <c r="J7" s="758"/>
      <c r="K7" s="758"/>
      <c r="L7" s="758"/>
      <c r="M7" s="758"/>
      <c r="N7" s="758"/>
      <c r="O7" s="758"/>
      <c r="P7" s="758"/>
      <c r="Q7" s="758"/>
      <c r="R7" s="758"/>
      <c r="S7" s="758"/>
      <c r="T7" s="758"/>
    </row>
    <row r="8" spans="1:20" ht="24.75">
      <c r="A8" s="756" t="s">
        <v>728</v>
      </c>
      <c r="B8" s="757"/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757">
        <v>-2936828</v>
      </c>
      <c r="Q8" s="757"/>
      <c r="R8" s="757">
        <v>0</v>
      </c>
      <c r="S8" s="757"/>
      <c r="T8" s="757">
        <v>-2936828</v>
      </c>
    </row>
    <row r="9" spans="1:20">
      <c r="B9" s="758"/>
      <c r="C9" s="758"/>
      <c r="D9" s="758"/>
      <c r="E9" s="758"/>
      <c r="F9" s="758"/>
      <c r="G9" s="758"/>
      <c r="H9" s="758"/>
      <c r="I9" s="758"/>
      <c r="J9" s="758"/>
      <c r="K9" s="758"/>
      <c r="L9" s="758"/>
      <c r="M9" s="758"/>
      <c r="N9" s="758"/>
      <c r="O9" s="758"/>
      <c r="P9" s="758"/>
      <c r="Q9" s="758"/>
      <c r="R9" s="758"/>
      <c r="S9" s="758"/>
      <c r="T9" s="758"/>
    </row>
    <row r="10" spans="1:20">
      <c r="B10" s="758"/>
      <c r="C10" s="758"/>
      <c r="D10" s="758"/>
      <c r="E10" s="758"/>
      <c r="F10" s="758"/>
      <c r="G10" s="758"/>
      <c r="H10" s="758"/>
      <c r="I10" s="758"/>
      <c r="J10" s="758"/>
      <c r="K10" s="758"/>
      <c r="L10" s="758"/>
      <c r="M10" s="758"/>
      <c r="N10" s="758"/>
      <c r="O10" s="758"/>
      <c r="P10" s="758"/>
      <c r="Q10" s="758"/>
      <c r="R10" s="758"/>
      <c r="S10" s="758"/>
      <c r="T10" s="758"/>
    </row>
    <row r="11" spans="1:20" ht="24.75">
      <c r="A11" s="756" t="s">
        <v>729</v>
      </c>
      <c r="B11" s="757">
        <v>23879352</v>
      </c>
      <c r="C11" s="757"/>
      <c r="D11" s="757">
        <v>705936</v>
      </c>
      <c r="E11" s="757"/>
      <c r="F11" s="757">
        <v>2640253</v>
      </c>
      <c r="G11" s="757"/>
      <c r="H11" s="757">
        <v>34797</v>
      </c>
      <c r="I11" s="757"/>
      <c r="J11" s="757">
        <v>0</v>
      </c>
      <c r="K11" s="757"/>
      <c r="L11" s="757">
        <v>227072</v>
      </c>
      <c r="M11" s="757"/>
      <c r="N11" s="757">
        <v>-3202431</v>
      </c>
      <c r="O11" s="757"/>
      <c r="P11" s="757">
        <v>32003314</v>
      </c>
      <c r="Q11" s="757"/>
      <c r="R11" s="757">
        <v>9357519</v>
      </c>
      <c r="S11" s="757"/>
      <c r="T11" s="757">
        <v>65645812</v>
      </c>
    </row>
    <row r="12" spans="1:20">
      <c r="B12" s="758"/>
      <c r="C12" s="758"/>
      <c r="D12" s="758"/>
      <c r="E12" s="758"/>
      <c r="F12" s="758"/>
      <c r="G12" s="758"/>
      <c r="H12" s="758"/>
      <c r="I12" s="758"/>
      <c r="J12" s="758"/>
      <c r="K12" s="758"/>
      <c r="L12" s="758"/>
      <c r="M12" s="758"/>
      <c r="N12" s="758"/>
      <c r="O12" s="758"/>
      <c r="P12" s="758"/>
      <c r="Q12" s="758"/>
      <c r="R12" s="758"/>
      <c r="S12" s="758"/>
      <c r="T12" s="758"/>
    </row>
    <row r="13" spans="1:20">
      <c r="A13" s="756" t="s">
        <v>730</v>
      </c>
      <c r="B13" s="758"/>
      <c r="C13" s="758"/>
      <c r="D13" s="758"/>
      <c r="E13" s="758"/>
      <c r="F13" s="758"/>
      <c r="G13" s="758"/>
      <c r="H13" s="758"/>
      <c r="I13" s="758"/>
      <c r="J13" s="758"/>
      <c r="K13" s="758"/>
      <c r="L13" s="758"/>
      <c r="M13" s="758"/>
      <c r="N13" s="758"/>
      <c r="O13" s="758"/>
      <c r="P13" s="758"/>
      <c r="Q13" s="758"/>
      <c r="R13" s="757">
        <v>1412099</v>
      </c>
      <c r="S13" s="757"/>
      <c r="T13" s="757">
        <v>1412099</v>
      </c>
    </row>
    <row r="14" spans="1:20">
      <c r="B14" s="758"/>
      <c r="C14" s="758"/>
      <c r="D14" s="758"/>
      <c r="E14" s="758"/>
      <c r="F14" s="758"/>
      <c r="G14" s="758"/>
      <c r="H14" s="758"/>
      <c r="I14" s="758"/>
      <c r="J14" s="758"/>
      <c r="K14" s="758"/>
      <c r="L14" s="758"/>
      <c r="M14" s="758"/>
      <c r="N14" s="758"/>
      <c r="O14" s="758"/>
      <c r="P14" s="758"/>
      <c r="Q14" s="758"/>
      <c r="R14" s="758"/>
      <c r="S14" s="758"/>
      <c r="T14" s="758"/>
    </row>
    <row r="15" spans="1:20" ht="36.75">
      <c r="A15" s="756" t="s">
        <v>731</v>
      </c>
      <c r="B15" s="757"/>
      <c r="C15" s="757"/>
      <c r="D15" s="757"/>
      <c r="E15" s="757"/>
      <c r="F15" s="757">
        <v>1341885</v>
      </c>
      <c r="G15" s="757"/>
      <c r="H15" s="757"/>
      <c r="I15" s="757"/>
      <c r="J15" s="757"/>
      <c r="K15" s="757"/>
      <c r="L15" s="757"/>
      <c r="M15" s="757"/>
      <c r="N15" s="757"/>
      <c r="O15" s="757"/>
      <c r="P15" s="757">
        <v>-1341885</v>
      </c>
      <c r="Q15" s="757"/>
      <c r="R15" s="757"/>
      <c r="S15" s="757"/>
      <c r="T15" s="757">
        <v>0</v>
      </c>
    </row>
    <row r="16" spans="1:20">
      <c r="B16" s="758"/>
      <c r="C16" s="758"/>
      <c r="D16" s="758"/>
      <c r="E16" s="758"/>
      <c r="F16" s="758"/>
      <c r="G16" s="758"/>
      <c r="H16" s="758"/>
      <c r="I16" s="758"/>
      <c r="J16" s="758"/>
      <c r="K16" s="758"/>
      <c r="L16" s="758"/>
      <c r="M16" s="758"/>
      <c r="N16" s="758"/>
      <c r="O16" s="758"/>
      <c r="P16" s="758"/>
      <c r="Q16" s="758"/>
      <c r="R16" s="758"/>
      <c r="S16" s="758"/>
      <c r="T16" s="758"/>
    </row>
    <row r="17" spans="1:21" ht="24.75">
      <c r="A17" s="756" t="s">
        <v>732</v>
      </c>
      <c r="B17" s="759"/>
      <c r="C17" s="759"/>
      <c r="D17" s="757"/>
      <c r="E17" s="757"/>
      <c r="F17" s="757"/>
      <c r="G17" s="757"/>
      <c r="H17" s="757"/>
      <c r="I17" s="757"/>
      <c r="J17" s="757">
        <v>-495802</v>
      </c>
      <c r="K17" s="757"/>
      <c r="L17" s="757"/>
      <c r="M17" s="757"/>
      <c r="N17" s="757"/>
      <c r="O17" s="757"/>
      <c r="P17" s="757">
        <v>7742390</v>
      </c>
      <c r="Q17" s="757"/>
      <c r="R17" s="757">
        <v>391648</v>
      </c>
      <c r="S17" s="757"/>
      <c r="T17" s="757">
        <v>7638236</v>
      </c>
    </row>
    <row r="18" spans="1:21">
      <c r="B18" s="758"/>
      <c r="C18" s="758"/>
      <c r="D18" s="758"/>
      <c r="E18" s="758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758"/>
      <c r="Q18" s="758"/>
      <c r="R18" s="758"/>
      <c r="S18" s="758"/>
      <c r="T18" s="758"/>
    </row>
    <row r="19" spans="1:21">
      <c r="A19" s="756" t="s">
        <v>197</v>
      </c>
      <c r="B19" s="755">
        <v>23879352</v>
      </c>
      <c r="C19" s="755"/>
      <c r="D19" s="755">
        <v>705936</v>
      </c>
      <c r="E19" s="755"/>
      <c r="F19" s="755">
        <v>3982138</v>
      </c>
      <c r="G19" s="755"/>
      <c r="H19" s="755">
        <v>34797</v>
      </c>
      <c r="I19" s="755"/>
      <c r="J19" s="757">
        <v>-495802</v>
      </c>
      <c r="K19" s="757"/>
      <c r="L19" s="755">
        <v>227072</v>
      </c>
      <c r="M19" s="755"/>
      <c r="N19" s="757">
        <v>-3202431</v>
      </c>
      <c r="O19" s="757"/>
      <c r="P19" s="755">
        <v>38403819</v>
      </c>
      <c r="Q19" s="755"/>
      <c r="R19" s="755">
        <v>11161266</v>
      </c>
      <c r="S19" s="755"/>
      <c r="T19" s="755">
        <v>74696147</v>
      </c>
      <c r="U19" s="760"/>
    </row>
    <row r="20" spans="1:21">
      <c r="A20" s="761"/>
      <c r="B20" s="761"/>
      <c r="C20" s="761"/>
      <c r="D20" s="761"/>
      <c r="E20" s="761"/>
      <c r="F20" s="761"/>
      <c r="G20" s="761"/>
      <c r="H20" s="761"/>
      <c r="I20" s="761"/>
      <c r="J20" s="761"/>
      <c r="K20" s="761"/>
      <c r="L20" s="761"/>
      <c r="M20" s="761"/>
      <c r="N20" s="761"/>
      <c r="O20" s="761"/>
      <c r="P20" s="761"/>
      <c r="Q20" s="761"/>
      <c r="R20" s="761"/>
      <c r="S20" s="761"/>
      <c r="T20" s="761"/>
    </row>
    <row r="21" spans="1:21" ht="36">
      <c r="A21" s="762" t="s">
        <v>733</v>
      </c>
      <c r="B21" s="757">
        <v>6127345</v>
      </c>
      <c r="C21" s="757"/>
      <c r="D21" s="763"/>
      <c r="E21" s="763"/>
      <c r="F21" s="763"/>
      <c r="G21" s="763"/>
      <c r="H21" s="763"/>
      <c r="I21" s="763"/>
      <c r="J21" s="763"/>
      <c r="K21" s="763"/>
      <c r="L21" s="763"/>
      <c r="M21" s="763"/>
      <c r="N21" s="763"/>
      <c r="O21" s="763"/>
      <c r="P21" s="763">
        <v>-6127345</v>
      </c>
      <c r="Q21" s="763"/>
      <c r="R21" s="763">
        <v>0</v>
      </c>
      <c r="S21" s="763"/>
      <c r="T21" s="763">
        <v>0</v>
      </c>
    </row>
    <row r="22" spans="1:21">
      <c r="A22" s="761"/>
      <c r="B22" s="761"/>
      <c r="C22" s="761"/>
      <c r="D22" s="761"/>
      <c r="E22" s="761"/>
      <c r="F22" s="761"/>
      <c r="G22" s="761"/>
      <c r="H22" s="761"/>
      <c r="I22" s="761"/>
      <c r="J22" s="761"/>
      <c r="K22" s="761"/>
      <c r="L22" s="761"/>
      <c r="M22" s="761"/>
      <c r="N22" s="761"/>
      <c r="O22" s="761"/>
      <c r="P22" s="761"/>
      <c r="Q22" s="761"/>
      <c r="R22" s="761"/>
      <c r="S22" s="761"/>
      <c r="T22" s="761"/>
    </row>
    <row r="23" spans="1:21">
      <c r="A23" s="756" t="s">
        <v>734</v>
      </c>
      <c r="B23" s="759"/>
      <c r="C23" s="759"/>
      <c r="D23" s="757"/>
      <c r="E23" s="757"/>
      <c r="F23" s="757">
        <v>680816</v>
      </c>
      <c r="G23" s="757"/>
      <c r="H23" s="757"/>
      <c r="I23" s="757"/>
      <c r="J23" s="757"/>
      <c r="K23" s="757"/>
      <c r="L23" s="757"/>
      <c r="M23" s="757"/>
      <c r="N23" s="757"/>
      <c r="O23" s="757"/>
      <c r="P23" s="757">
        <v>-680816</v>
      </c>
      <c r="Q23" s="757"/>
      <c r="R23" s="757">
        <v>0</v>
      </c>
      <c r="S23" s="757"/>
      <c r="T23" s="763">
        <v>0</v>
      </c>
    </row>
    <row r="24" spans="1:21">
      <c r="B24" s="757"/>
      <c r="C24" s="757"/>
      <c r="D24" s="757"/>
      <c r="E24" s="757"/>
      <c r="F24" s="759"/>
      <c r="G24" s="759"/>
      <c r="H24" s="759"/>
      <c r="I24" s="759"/>
      <c r="J24" s="759"/>
      <c r="K24" s="759"/>
      <c r="L24" s="759"/>
      <c r="M24" s="759"/>
      <c r="N24" s="759"/>
      <c r="O24" s="759"/>
      <c r="P24" s="759"/>
      <c r="Q24" s="759"/>
      <c r="R24" s="755"/>
      <c r="S24" s="755"/>
      <c r="T24" s="755"/>
    </row>
    <row r="25" spans="1:21">
      <c r="A25" s="756" t="s">
        <v>675</v>
      </c>
      <c r="B25" s="759"/>
      <c r="C25" s="759"/>
      <c r="D25" s="757"/>
      <c r="E25" s="757"/>
      <c r="F25" s="757"/>
      <c r="G25" s="757"/>
      <c r="H25" s="757"/>
      <c r="I25" s="757"/>
      <c r="J25" s="757"/>
      <c r="K25" s="757"/>
      <c r="L25" s="757"/>
      <c r="M25" s="757"/>
      <c r="N25" s="757"/>
      <c r="O25" s="757"/>
      <c r="P25" s="757">
        <v>446968</v>
      </c>
      <c r="Q25" s="757"/>
      <c r="R25" s="757">
        <v>0</v>
      </c>
      <c r="S25" s="757"/>
      <c r="T25" s="763">
        <v>446968</v>
      </c>
    </row>
    <row r="26" spans="1:21">
      <c r="B26" s="757"/>
      <c r="C26" s="757"/>
      <c r="D26" s="757"/>
      <c r="E26" s="757"/>
      <c r="F26" s="759"/>
      <c r="G26" s="759"/>
      <c r="H26" s="759"/>
      <c r="I26" s="759"/>
      <c r="J26" s="759"/>
      <c r="K26" s="759"/>
      <c r="L26" s="759"/>
      <c r="M26" s="759"/>
      <c r="N26" s="759"/>
      <c r="O26" s="759"/>
      <c r="P26" s="759"/>
      <c r="Q26" s="759"/>
      <c r="R26" s="755"/>
      <c r="S26" s="755"/>
      <c r="T26" s="755"/>
    </row>
    <row r="27" spans="1:21" ht="48">
      <c r="A27" s="762" t="s">
        <v>735</v>
      </c>
      <c r="B27" s="759"/>
      <c r="C27" s="759"/>
      <c r="D27" s="757">
        <v>-705015</v>
      </c>
      <c r="E27" s="757"/>
      <c r="F27" s="757"/>
      <c r="G27" s="757"/>
      <c r="H27" s="757"/>
      <c r="I27" s="757"/>
      <c r="J27" s="757"/>
      <c r="K27" s="757"/>
      <c r="L27" s="757"/>
      <c r="M27" s="757"/>
      <c r="N27" s="757"/>
      <c r="O27" s="757"/>
      <c r="P27" s="757"/>
      <c r="Q27" s="757"/>
      <c r="R27" s="757">
        <v>0</v>
      </c>
      <c r="S27" s="757"/>
      <c r="T27" s="763">
        <v>-705015</v>
      </c>
    </row>
    <row r="28" spans="1:21">
      <c r="A28" s="762"/>
      <c r="B28" s="757"/>
      <c r="C28" s="757"/>
      <c r="D28" s="757"/>
      <c r="E28" s="757"/>
      <c r="F28" s="759"/>
      <c r="G28" s="759"/>
      <c r="H28" s="759"/>
      <c r="I28" s="759"/>
      <c r="J28" s="759"/>
      <c r="K28" s="759"/>
      <c r="L28" s="759"/>
      <c r="M28" s="759"/>
      <c r="N28" s="759"/>
      <c r="O28" s="759"/>
      <c r="P28" s="759"/>
      <c r="Q28" s="759"/>
      <c r="R28" s="755"/>
      <c r="S28" s="755"/>
      <c r="T28" s="755"/>
    </row>
    <row r="29" spans="1:21" ht="24">
      <c r="A29" s="762" t="s">
        <v>732</v>
      </c>
      <c r="B29" s="757"/>
      <c r="C29" s="757"/>
      <c r="D29" s="757"/>
      <c r="E29" s="757"/>
      <c r="F29" s="757"/>
      <c r="G29" s="757"/>
      <c r="H29" s="757"/>
      <c r="I29" s="757"/>
      <c r="J29" s="757">
        <v>1849659</v>
      </c>
      <c r="K29" s="757"/>
      <c r="L29" s="757"/>
      <c r="M29" s="757"/>
      <c r="N29" s="757"/>
      <c r="O29" s="757"/>
      <c r="P29" s="757">
        <v>4597812.9952226197</v>
      </c>
      <c r="Q29" s="757"/>
      <c r="R29" s="757">
        <v>-560218.94522262504</v>
      </c>
      <c r="S29" s="757"/>
      <c r="T29" s="763">
        <v>5887253.0499999998</v>
      </c>
    </row>
    <row r="30" spans="1:21">
      <c r="A30" s="762"/>
      <c r="B30" s="758"/>
      <c r="C30" s="758"/>
      <c r="D30" s="758"/>
      <c r="E30" s="758"/>
      <c r="F30" s="758"/>
      <c r="G30" s="758"/>
      <c r="H30" s="758"/>
      <c r="I30" s="758"/>
      <c r="J30" s="758"/>
      <c r="K30" s="758"/>
      <c r="L30" s="758"/>
      <c r="M30" s="758"/>
      <c r="N30" s="758"/>
      <c r="O30" s="758"/>
      <c r="P30" s="758"/>
      <c r="Q30" s="758"/>
      <c r="R30" s="758"/>
      <c r="S30" s="758"/>
      <c r="T30" s="758"/>
    </row>
    <row r="31" spans="1:21">
      <c r="A31" s="762" t="s">
        <v>736</v>
      </c>
      <c r="B31" s="757">
        <v>30006697</v>
      </c>
      <c r="C31" s="757"/>
      <c r="D31" s="757">
        <v>921</v>
      </c>
      <c r="E31" s="757"/>
      <c r="F31" s="757">
        <v>4662954</v>
      </c>
      <c r="G31" s="757"/>
      <c r="H31" s="757">
        <v>34797</v>
      </c>
      <c r="I31" s="757"/>
      <c r="J31" s="757">
        <v>1353857</v>
      </c>
      <c r="K31" s="757"/>
      <c r="L31" s="757">
        <v>227072</v>
      </c>
      <c r="M31" s="757"/>
      <c r="N31" s="757">
        <v>-3202431</v>
      </c>
      <c r="O31" s="757"/>
      <c r="P31" s="755">
        <v>36640438.995222598</v>
      </c>
      <c r="Q31" s="755"/>
      <c r="R31" s="755">
        <v>10601047.054777401</v>
      </c>
      <c r="S31" s="755"/>
      <c r="T31" s="755">
        <v>80325353.049999997</v>
      </c>
    </row>
    <row r="32" spans="1:21">
      <c r="A32" s="762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7"/>
      <c r="P32" s="755"/>
      <c r="Q32" s="755"/>
      <c r="R32" s="755"/>
      <c r="S32" s="755"/>
      <c r="T32" s="755"/>
    </row>
    <row r="33" spans="1:23">
      <c r="A33" s="762" t="s">
        <v>737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>
        <v>854455</v>
      </c>
      <c r="Q33" s="764"/>
      <c r="R33" s="764"/>
      <c r="S33" s="764"/>
      <c r="T33" s="764">
        <v>854455</v>
      </c>
    </row>
    <row r="34" spans="1:23" ht="3" customHeight="1">
      <c r="A34" s="762"/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</row>
    <row r="35" spans="1:23" ht="36">
      <c r="A35" s="762" t="s">
        <v>738</v>
      </c>
      <c r="B35" s="764">
        <v>5035990</v>
      </c>
      <c r="C35" s="764"/>
      <c r="D35" s="764"/>
      <c r="E35" s="764"/>
      <c r="F35" s="764"/>
      <c r="G35" s="764"/>
      <c r="H35" s="764"/>
      <c r="I35" s="764"/>
      <c r="J35" s="764"/>
      <c r="K35" s="764"/>
      <c r="L35" s="764"/>
      <c r="M35" s="764"/>
      <c r="N35" s="764"/>
      <c r="O35" s="764"/>
      <c r="P35" s="764">
        <v>-5035990</v>
      </c>
      <c r="Q35" s="764"/>
      <c r="R35" s="764"/>
      <c r="S35" s="764"/>
      <c r="T35" s="764">
        <v>0</v>
      </c>
    </row>
    <row r="36" spans="1:23" ht="3" customHeight="1">
      <c r="A36" s="762"/>
      <c r="B36" s="764"/>
      <c r="C36" s="764"/>
      <c r="D36" s="764"/>
      <c r="E36" s="764"/>
      <c r="F36" s="764"/>
      <c r="G36" s="764"/>
      <c r="H36" s="764"/>
      <c r="I36" s="764"/>
      <c r="J36" s="764"/>
      <c r="K36" s="764"/>
      <c r="L36" s="764"/>
      <c r="M36" s="764"/>
      <c r="N36" s="764"/>
      <c r="O36" s="764"/>
      <c r="P36" s="764"/>
      <c r="Q36" s="764"/>
      <c r="R36" s="764"/>
      <c r="S36" s="764"/>
      <c r="T36" s="764"/>
    </row>
    <row r="37" spans="1:23" ht="24">
      <c r="A37" s="762" t="s">
        <v>739</v>
      </c>
      <c r="B37" s="764"/>
      <c r="C37" s="764"/>
      <c r="D37" s="764"/>
      <c r="E37" s="764"/>
      <c r="F37" s="764"/>
      <c r="G37" s="764"/>
      <c r="H37" s="764"/>
      <c r="I37" s="764"/>
      <c r="J37" s="764"/>
      <c r="K37" s="764"/>
      <c r="L37" s="764"/>
      <c r="M37" s="764"/>
      <c r="N37" s="764"/>
      <c r="O37" s="764"/>
      <c r="P37" s="764"/>
      <c r="Q37" s="764"/>
      <c r="R37" s="764">
        <v>-1560840</v>
      </c>
      <c r="S37" s="764"/>
      <c r="T37" s="764">
        <v>-1560840</v>
      </c>
    </row>
    <row r="38" spans="1:23" ht="3" customHeight="1">
      <c r="A38" s="762"/>
      <c r="B38" s="764"/>
      <c r="C38" s="764"/>
      <c r="D38" s="764"/>
      <c r="E38" s="764"/>
      <c r="F38" s="764"/>
      <c r="G38" s="764"/>
      <c r="H38" s="764"/>
      <c r="I38" s="764"/>
      <c r="J38" s="764"/>
      <c r="K38" s="764"/>
      <c r="L38" s="764"/>
      <c r="M38" s="764"/>
      <c r="N38" s="764"/>
      <c r="O38" s="764"/>
      <c r="P38" s="764"/>
      <c r="Q38" s="764"/>
      <c r="R38" s="764"/>
      <c r="S38" s="764"/>
      <c r="T38" s="764"/>
    </row>
    <row r="39" spans="1:23">
      <c r="A39" s="762" t="s">
        <v>734</v>
      </c>
      <c r="B39" s="764"/>
      <c r="C39" s="764"/>
      <c r="D39" s="764"/>
      <c r="E39" s="764"/>
      <c r="F39" s="764">
        <v>559554.56000000006</v>
      </c>
      <c r="G39" s="764"/>
      <c r="H39" s="764"/>
      <c r="I39" s="764"/>
      <c r="J39" s="764"/>
      <c r="K39" s="764"/>
      <c r="L39" s="764"/>
      <c r="M39" s="764"/>
      <c r="N39" s="764"/>
      <c r="O39" s="764"/>
      <c r="P39" s="764">
        <v>-559554.56000000006</v>
      </c>
      <c r="Q39" s="764"/>
      <c r="R39" s="764"/>
      <c r="S39" s="764"/>
      <c r="T39" s="764">
        <v>0</v>
      </c>
    </row>
    <row r="40" spans="1:23" ht="3" customHeight="1">
      <c r="A40" s="762"/>
      <c r="B40" s="764"/>
      <c r="C40" s="764"/>
      <c r="D40" s="764"/>
      <c r="E40" s="764"/>
      <c r="F40" s="764"/>
      <c r="G40" s="764"/>
      <c r="H40" s="764"/>
      <c r="I40" s="764"/>
      <c r="J40" s="764"/>
      <c r="K40" s="764"/>
      <c r="L40" s="764"/>
      <c r="M40" s="764"/>
      <c r="N40" s="764"/>
      <c r="O40" s="764"/>
      <c r="P40" s="764"/>
      <c r="Q40" s="764"/>
      <c r="R40" s="764"/>
      <c r="S40" s="764"/>
      <c r="T40" s="764"/>
    </row>
    <row r="41" spans="1:23" ht="36">
      <c r="A41" s="762" t="s">
        <v>740</v>
      </c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4"/>
      <c r="P41" s="764">
        <v>-1644668.365</v>
      </c>
      <c r="Q41" s="764"/>
      <c r="R41" s="764">
        <v>-341647.63500000001</v>
      </c>
      <c r="S41" s="764"/>
      <c r="T41" s="764">
        <v>-1986316</v>
      </c>
    </row>
    <row r="42" spans="1:23" ht="3" customHeight="1">
      <c r="A42" s="762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4"/>
      <c r="P42" s="764"/>
      <c r="Q42" s="764"/>
      <c r="R42" s="764"/>
      <c r="S42" s="764"/>
      <c r="T42" s="764"/>
    </row>
    <row r="43" spans="1:23">
      <c r="A43" s="762" t="s">
        <v>741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>
        <v>368434</v>
      </c>
      <c r="Q43" s="764"/>
      <c r="R43" s="764"/>
      <c r="S43" s="764"/>
      <c r="T43" s="764">
        <v>368434</v>
      </c>
    </row>
    <row r="44" spans="1:23" ht="3" customHeight="1">
      <c r="A44" s="762"/>
      <c r="B44" s="764"/>
      <c r="C44" s="764"/>
      <c r="D44" s="764"/>
      <c r="E44" s="764"/>
      <c r="F44" s="764"/>
      <c r="G44" s="764"/>
      <c r="H44" s="764"/>
      <c r="I44" s="764"/>
      <c r="J44" s="764"/>
      <c r="K44" s="764"/>
      <c r="L44" s="764"/>
      <c r="M44" s="764"/>
      <c r="N44" s="764"/>
      <c r="O44" s="764"/>
      <c r="P44" s="764"/>
      <c r="Q44" s="764"/>
      <c r="R44" s="764"/>
      <c r="S44" s="764"/>
      <c r="T44" s="764"/>
    </row>
    <row r="45" spans="1:23" ht="24">
      <c r="A45" s="762" t="s">
        <v>732</v>
      </c>
      <c r="B45" s="764"/>
      <c r="C45" s="764"/>
      <c r="D45" s="764"/>
      <c r="E45" s="764"/>
      <c r="F45" s="764"/>
      <c r="G45" s="764"/>
      <c r="H45" s="764"/>
      <c r="I45" s="764"/>
      <c r="J45" s="764">
        <v>70086</v>
      </c>
      <c r="K45" s="764"/>
      <c r="L45" s="764"/>
      <c r="M45" s="764"/>
      <c r="N45" s="764"/>
      <c r="O45" s="764"/>
      <c r="P45" s="764">
        <v>5932145</v>
      </c>
      <c r="Q45" s="764"/>
      <c r="R45" s="764">
        <v>-1025167</v>
      </c>
      <c r="S45" s="764"/>
      <c r="T45" s="764">
        <v>4977064</v>
      </c>
    </row>
    <row r="46" spans="1:23">
      <c r="A46" s="762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4"/>
      <c r="P46" s="764"/>
      <c r="Q46" s="764"/>
      <c r="R46" s="764"/>
      <c r="S46" s="764"/>
      <c r="T46" s="764"/>
    </row>
    <row r="47" spans="1:23">
      <c r="A47" s="762" t="s">
        <v>742</v>
      </c>
      <c r="B47" s="765">
        <v>35042687</v>
      </c>
      <c r="C47" s="766"/>
      <c r="D47" s="765">
        <v>921</v>
      </c>
      <c r="E47" s="766"/>
      <c r="F47" s="765">
        <v>5222508.5599999996</v>
      </c>
      <c r="G47" s="766"/>
      <c r="H47" s="765">
        <v>34797</v>
      </c>
      <c r="I47" s="766"/>
      <c r="J47" s="765">
        <v>1423943</v>
      </c>
      <c r="K47" s="766"/>
      <c r="L47" s="765">
        <v>227072</v>
      </c>
      <c r="M47" s="766"/>
      <c r="N47" s="765">
        <v>-3202431</v>
      </c>
      <c r="O47" s="766"/>
      <c r="P47" s="765">
        <v>36555260.070222601</v>
      </c>
      <c r="Q47" s="766"/>
      <c r="R47" s="765">
        <v>7673392.4197773803</v>
      </c>
      <c r="S47" s="766"/>
      <c r="T47" s="765">
        <v>82978150.049999997</v>
      </c>
      <c r="U47" s="756"/>
      <c r="V47" s="756"/>
      <c r="W47" s="756"/>
    </row>
    <row r="48" spans="1:23">
      <c r="B48" s="758"/>
      <c r="C48" s="758"/>
      <c r="D48" s="758"/>
      <c r="E48" s="758"/>
      <c r="F48" s="758"/>
      <c r="G48" s="758"/>
      <c r="H48" s="758"/>
      <c r="I48" s="758"/>
      <c r="J48" s="767"/>
      <c r="K48" s="767"/>
      <c r="L48" s="767"/>
      <c r="M48" s="767"/>
      <c r="N48" s="767"/>
      <c r="O48" s="767"/>
      <c r="P48" s="767"/>
      <c r="Q48" s="767"/>
      <c r="R48" s="767"/>
      <c r="S48" s="767"/>
      <c r="T48" s="767"/>
    </row>
    <row r="49" spans="1:21">
      <c r="A49" s="746" t="s">
        <v>743</v>
      </c>
      <c r="B49" s="758"/>
      <c r="C49" s="758"/>
      <c r="D49" s="758"/>
      <c r="E49" s="758"/>
      <c r="F49" s="758"/>
      <c r="G49" s="758"/>
      <c r="H49" s="758"/>
      <c r="I49" s="758"/>
      <c r="J49" s="767"/>
      <c r="K49" s="767"/>
      <c r="L49" s="767"/>
      <c r="M49" s="767"/>
      <c r="N49" s="767"/>
      <c r="O49" s="767"/>
      <c r="P49" s="768">
        <v>-1770198</v>
      </c>
      <c r="Q49" s="768"/>
      <c r="R49" s="767"/>
      <c r="S49" s="767"/>
      <c r="T49" s="769">
        <v>-1770198</v>
      </c>
    </row>
    <row r="50" spans="1:21" ht="3" customHeight="1">
      <c r="B50" s="758"/>
      <c r="C50" s="758"/>
      <c r="D50" s="758"/>
      <c r="E50" s="758"/>
      <c r="F50" s="758"/>
      <c r="G50" s="758"/>
      <c r="H50" s="758"/>
      <c r="I50" s="758"/>
      <c r="J50" s="767"/>
      <c r="K50" s="767"/>
      <c r="L50" s="767"/>
      <c r="M50" s="767"/>
      <c r="N50" s="767"/>
      <c r="O50" s="767"/>
      <c r="P50" s="768"/>
      <c r="Q50" s="768"/>
      <c r="R50" s="767"/>
      <c r="S50" s="767"/>
      <c r="T50" s="769"/>
    </row>
    <row r="51" spans="1:21" ht="36">
      <c r="A51" s="762" t="s">
        <v>744</v>
      </c>
      <c r="B51" s="764">
        <v>8215675</v>
      </c>
      <c r="C51" s="764"/>
      <c r="D51" s="764"/>
      <c r="E51" s="764"/>
      <c r="F51" s="764"/>
      <c r="G51" s="764"/>
      <c r="H51" s="764"/>
      <c r="I51" s="764"/>
      <c r="J51" s="769"/>
      <c r="K51" s="769"/>
      <c r="L51" s="769"/>
      <c r="M51" s="769"/>
      <c r="N51" s="769"/>
      <c r="O51" s="769"/>
      <c r="P51" s="769">
        <v>-8215675</v>
      </c>
      <c r="Q51" s="769"/>
      <c r="R51" s="769"/>
      <c r="S51" s="769"/>
      <c r="T51" s="769">
        <v>0</v>
      </c>
    </row>
    <row r="52" spans="1:21" ht="3" customHeight="1">
      <c r="A52" s="762"/>
      <c r="B52" s="764"/>
      <c r="C52" s="764"/>
      <c r="D52" s="764"/>
      <c r="E52" s="764"/>
      <c r="F52" s="764"/>
      <c r="G52" s="764"/>
      <c r="H52" s="764"/>
      <c r="I52" s="764"/>
      <c r="J52" s="769"/>
      <c r="K52" s="769"/>
      <c r="L52" s="769"/>
      <c r="M52" s="769"/>
      <c r="N52" s="769"/>
      <c r="O52" s="769"/>
      <c r="P52" s="769"/>
      <c r="Q52" s="769"/>
      <c r="R52" s="769"/>
      <c r="S52" s="769"/>
      <c r="T52" s="769"/>
    </row>
    <row r="53" spans="1:21">
      <c r="A53" s="762" t="s">
        <v>745</v>
      </c>
      <c r="B53" s="764"/>
      <c r="C53" s="764"/>
      <c r="D53" s="758"/>
      <c r="E53" s="758"/>
      <c r="F53" s="764"/>
      <c r="G53" s="764"/>
      <c r="H53" s="764"/>
      <c r="I53" s="764"/>
      <c r="J53" s="769"/>
      <c r="K53" s="769"/>
      <c r="L53" s="769"/>
      <c r="M53" s="769"/>
      <c r="N53" s="769"/>
      <c r="O53" s="769"/>
      <c r="P53" s="769"/>
      <c r="Q53" s="769"/>
      <c r="R53" s="769">
        <v>1188714</v>
      </c>
      <c r="S53" s="769"/>
      <c r="T53" s="769">
        <v>1188714</v>
      </c>
      <c r="U53" s="770"/>
    </row>
    <row r="54" spans="1:21" ht="3" customHeight="1">
      <c r="A54" s="762"/>
      <c r="B54" s="764"/>
      <c r="C54" s="764"/>
      <c r="D54" s="758"/>
      <c r="E54" s="758"/>
      <c r="F54" s="764"/>
      <c r="G54" s="764"/>
      <c r="H54" s="764"/>
      <c r="I54" s="764"/>
      <c r="J54" s="769"/>
      <c r="K54" s="769"/>
      <c r="L54" s="769"/>
      <c r="M54" s="769"/>
      <c r="N54" s="769"/>
      <c r="O54" s="769"/>
      <c r="P54" s="769"/>
      <c r="Q54" s="769"/>
      <c r="R54" s="769"/>
      <c r="S54" s="769"/>
      <c r="T54" s="769"/>
      <c r="U54" s="770"/>
    </row>
    <row r="55" spans="1:21" ht="24">
      <c r="A55" s="762" t="s">
        <v>746</v>
      </c>
      <c r="B55" s="764">
        <v>-6115000</v>
      </c>
      <c r="C55" s="764"/>
      <c r="D55" s="764">
        <v>6115000</v>
      </c>
      <c r="E55" s="764"/>
      <c r="F55" s="764"/>
      <c r="G55" s="764"/>
      <c r="H55" s="764"/>
      <c r="I55" s="764"/>
      <c r="J55" s="769"/>
      <c r="K55" s="769"/>
      <c r="L55" s="769"/>
      <c r="M55" s="769"/>
      <c r="N55" s="769"/>
      <c r="O55" s="769"/>
      <c r="P55" s="769"/>
      <c r="Q55" s="769"/>
      <c r="S55" s="769"/>
      <c r="T55" s="769">
        <v>0</v>
      </c>
    </row>
    <row r="56" spans="1:21" ht="3" customHeight="1">
      <c r="A56" s="762"/>
      <c r="B56" s="764"/>
      <c r="C56" s="764"/>
      <c r="D56" s="764"/>
      <c r="E56" s="764"/>
      <c r="F56" s="764"/>
      <c r="G56" s="764"/>
      <c r="H56" s="764"/>
      <c r="I56" s="764"/>
      <c r="J56" s="769"/>
      <c r="K56" s="769"/>
      <c r="L56" s="769"/>
      <c r="M56" s="769"/>
      <c r="N56" s="769"/>
      <c r="O56" s="769"/>
      <c r="P56" s="769"/>
      <c r="Q56" s="769"/>
      <c r="R56" s="769"/>
      <c r="S56" s="769"/>
      <c r="T56" s="769"/>
    </row>
    <row r="57" spans="1:21" ht="24">
      <c r="A57" s="762" t="s">
        <v>747</v>
      </c>
      <c r="B57" s="758"/>
      <c r="C57" s="758"/>
      <c r="D57" s="764"/>
      <c r="E57" s="764"/>
      <c r="F57" s="764"/>
      <c r="G57" s="764"/>
      <c r="H57" s="764"/>
      <c r="I57" s="764"/>
      <c r="J57" s="769"/>
      <c r="K57" s="769"/>
      <c r="L57" s="769"/>
      <c r="M57" s="769"/>
      <c r="N57" s="769"/>
      <c r="O57" s="769"/>
      <c r="P57" s="769"/>
      <c r="Q57" s="769"/>
      <c r="R57" s="769"/>
      <c r="S57" s="769"/>
      <c r="T57" s="769"/>
    </row>
    <row r="58" spans="1:21" ht="3" customHeight="1">
      <c r="A58" s="762"/>
      <c r="B58" s="758"/>
      <c r="C58" s="758"/>
      <c r="D58" s="764"/>
      <c r="E58" s="764"/>
      <c r="F58" s="764"/>
      <c r="G58" s="764"/>
      <c r="H58" s="764"/>
      <c r="I58" s="764"/>
      <c r="J58" s="769"/>
      <c r="K58" s="769"/>
      <c r="L58" s="769"/>
      <c r="M58" s="769"/>
      <c r="N58" s="769"/>
      <c r="O58" s="769"/>
      <c r="P58" s="769"/>
      <c r="Q58" s="769"/>
      <c r="R58" s="769"/>
      <c r="S58" s="769"/>
      <c r="T58" s="769"/>
    </row>
    <row r="59" spans="1:21">
      <c r="A59" s="762" t="s">
        <v>748</v>
      </c>
      <c r="B59" s="758"/>
      <c r="C59" s="758"/>
      <c r="D59" s="764"/>
      <c r="E59" s="764"/>
      <c r="F59" s="764"/>
      <c r="G59" s="764"/>
      <c r="H59" s="764"/>
      <c r="I59" s="764"/>
      <c r="J59" s="769"/>
      <c r="K59" s="769"/>
      <c r="L59" s="769"/>
      <c r="M59" s="769"/>
      <c r="N59" s="769"/>
      <c r="O59" s="769"/>
      <c r="P59" s="769">
        <v>-5488035</v>
      </c>
      <c r="Q59" s="769"/>
      <c r="R59" s="769"/>
      <c r="S59" s="769"/>
      <c r="T59" s="769">
        <v>-5488035</v>
      </c>
    </row>
    <row r="60" spans="1:21" ht="3" customHeight="1">
      <c r="A60" s="762"/>
      <c r="B60" s="758"/>
      <c r="C60" s="758"/>
      <c r="D60" s="764"/>
      <c r="E60" s="764"/>
      <c r="F60" s="764"/>
      <c r="G60" s="764"/>
      <c r="H60" s="764"/>
      <c r="I60" s="764"/>
      <c r="J60" s="769"/>
      <c r="K60" s="769"/>
      <c r="L60" s="769"/>
      <c r="M60" s="769"/>
      <c r="N60" s="769"/>
      <c r="O60" s="769"/>
      <c r="P60" s="769"/>
      <c r="Q60" s="769"/>
      <c r="R60" s="769"/>
      <c r="S60" s="769"/>
      <c r="T60" s="769"/>
    </row>
    <row r="61" spans="1:21">
      <c r="A61" s="762" t="s">
        <v>749</v>
      </c>
      <c r="B61" s="764"/>
      <c r="C61" s="764"/>
      <c r="D61" s="764"/>
      <c r="E61" s="764"/>
      <c r="F61" s="764">
        <v>912853</v>
      </c>
      <c r="G61" s="764"/>
      <c r="H61" s="764"/>
      <c r="I61" s="764"/>
      <c r="J61" s="769"/>
      <c r="K61" s="769"/>
      <c r="L61" s="769"/>
      <c r="M61" s="769"/>
      <c r="N61" s="769"/>
      <c r="O61" s="769"/>
      <c r="P61" s="769">
        <v>-912853</v>
      </c>
      <c r="Q61" s="769"/>
      <c r="R61" s="769"/>
      <c r="S61" s="769"/>
      <c r="T61" s="769">
        <v>0</v>
      </c>
    </row>
    <row r="62" spans="1:21" ht="3" customHeight="1">
      <c r="A62" s="762"/>
      <c r="B62" s="764"/>
      <c r="C62" s="764"/>
      <c r="D62" s="764"/>
      <c r="E62" s="764"/>
      <c r="F62" s="764"/>
      <c r="G62" s="764"/>
      <c r="H62" s="764"/>
      <c r="I62" s="764"/>
      <c r="J62" s="769"/>
      <c r="K62" s="769"/>
      <c r="L62" s="769"/>
      <c r="M62" s="769"/>
      <c r="N62" s="769"/>
      <c r="O62" s="769"/>
      <c r="P62" s="769"/>
      <c r="Q62" s="769"/>
      <c r="R62" s="769"/>
      <c r="S62" s="769"/>
      <c r="T62" s="769"/>
    </row>
    <row r="63" spans="1:21" ht="24">
      <c r="A63" s="762" t="s">
        <v>750</v>
      </c>
      <c r="B63" s="764">
        <v>0</v>
      </c>
      <c r="C63" s="764"/>
      <c r="D63" s="764"/>
      <c r="E63" s="764"/>
      <c r="F63" s="769">
        <v>0</v>
      </c>
      <c r="G63" s="769"/>
      <c r="H63" s="769"/>
      <c r="I63" s="769"/>
      <c r="J63" s="769"/>
      <c r="K63" s="769"/>
      <c r="L63" s="769">
        <v>0</v>
      </c>
      <c r="M63" s="769"/>
      <c r="N63" s="769"/>
      <c r="O63" s="769"/>
      <c r="P63" s="769">
        <v>221095</v>
      </c>
      <c r="Q63" s="769"/>
      <c r="R63" s="769">
        <v>0</v>
      </c>
      <c r="S63" s="769"/>
      <c r="T63" s="769">
        <v>221095</v>
      </c>
    </row>
    <row r="64" spans="1:21" ht="3" customHeight="1">
      <c r="A64" s="762"/>
      <c r="B64" s="764"/>
      <c r="C64" s="764"/>
      <c r="D64" s="764"/>
      <c r="E64" s="764"/>
      <c r="F64" s="769"/>
      <c r="G64" s="769"/>
      <c r="H64" s="769"/>
      <c r="I64" s="769"/>
      <c r="J64" s="769"/>
      <c r="K64" s="769"/>
      <c r="L64" s="769"/>
      <c r="M64" s="769"/>
      <c r="N64" s="769"/>
      <c r="O64" s="769"/>
      <c r="P64" s="769"/>
      <c r="Q64" s="769"/>
      <c r="R64" s="769"/>
      <c r="S64" s="769"/>
      <c r="T64" s="769"/>
    </row>
    <row r="65" spans="1:23" ht="24">
      <c r="A65" s="762" t="s">
        <v>732</v>
      </c>
      <c r="B65" s="764"/>
      <c r="C65" s="764"/>
      <c r="D65" s="764"/>
      <c r="E65" s="764"/>
      <c r="F65" s="769"/>
      <c r="G65" s="769"/>
      <c r="H65" s="769"/>
      <c r="I65" s="769"/>
      <c r="J65" s="769">
        <v>-1099700</v>
      </c>
      <c r="K65" s="769"/>
      <c r="L65" s="769"/>
      <c r="M65" s="769"/>
      <c r="N65" s="769"/>
      <c r="O65" s="769"/>
      <c r="P65" s="769">
        <v>13730917.763660001</v>
      </c>
      <c r="Q65" s="769"/>
      <c r="R65" s="769">
        <v>-1260047.29366</v>
      </c>
      <c r="S65" s="769"/>
      <c r="T65" s="769">
        <v>11371170.470000001</v>
      </c>
    </row>
    <row r="66" spans="1:23">
      <c r="B66" s="758"/>
      <c r="C66" s="758"/>
      <c r="D66" s="758"/>
      <c r="E66" s="758"/>
      <c r="F66" s="758"/>
      <c r="G66" s="758"/>
      <c r="H66" s="758"/>
      <c r="I66" s="758"/>
      <c r="J66" s="758"/>
      <c r="K66" s="758"/>
      <c r="L66" s="758"/>
      <c r="M66" s="758"/>
      <c r="N66" s="758"/>
      <c r="O66" s="758"/>
      <c r="P66" s="758"/>
      <c r="Q66" s="758"/>
      <c r="R66" s="758"/>
      <c r="S66" s="758"/>
      <c r="T66" s="758"/>
    </row>
    <row r="67" spans="1:23">
      <c r="A67" s="762" t="s">
        <v>751</v>
      </c>
      <c r="B67" s="771">
        <v>37143362</v>
      </c>
      <c r="C67" s="766"/>
      <c r="D67" s="771">
        <v>6115921</v>
      </c>
      <c r="E67" s="766"/>
      <c r="F67" s="771">
        <v>6135361.5599999996</v>
      </c>
      <c r="G67" s="766"/>
      <c r="H67" s="771">
        <v>34797</v>
      </c>
      <c r="I67" s="766"/>
      <c r="J67" s="771">
        <v>324243</v>
      </c>
      <c r="K67" s="766"/>
      <c r="L67" s="771">
        <v>227072</v>
      </c>
      <c r="M67" s="766"/>
      <c r="N67" s="771">
        <v>-3202431</v>
      </c>
      <c r="O67" s="766"/>
      <c r="P67" s="771">
        <v>34120511.8338826</v>
      </c>
      <c r="Q67" s="766"/>
      <c r="R67" s="771">
        <v>7602059.1261173803</v>
      </c>
      <c r="S67" s="766"/>
      <c r="T67" s="771">
        <v>88500896.519999996</v>
      </c>
      <c r="U67" s="756"/>
      <c r="V67" s="756"/>
      <c r="W67" s="756"/>
    </row>
    <row r="68" spans="1:23">
      <c r="B68" s="758"/>
      <c r="C68" s="758"/>
      <c r="D68" s="758"/>
      <c r="E68" s="758"/>
      <c r="F68" s="758"/>
      <c r="G68" s="758"/>
      <c r="H68" s="758"/>
      <c r="I68" s="758"/>
      <c r="J68" s="758"/>
      <c r="K68" s="758"/>
      <c r="L68" s="758"/>
      <c r="M68" s="758"/>
      <c r="N68" s="758"/>
      <c r="O68" s="758"/>
      <c r="P68" s="758"/>
      <c r="Q68" s="758"/>
      <c r="R68" s="758"/>
      <c r="S68" s="758"/>
      <c r="T68" s="772"/>
    </row>
    <row r="69" spans="1:23" ht="12" customHeight="1">
      <c r="B69" s="773" t="s">
        <v>664</v>
      </c>
      <c r="C69" s="751"/>
      <c r="D69" s="751"/>
      <c r="E69" s="751"/>
      <c r="F69" s="751"/>
      <c r="G69" s="751"/>
      <c r="H69" s="751"/>
      <c r="I69" s="751"/>
      <c r="J69" s="751"/>
      <c r="K69" s="751"/>
      <c r="L69" s="751"/>
      <c r="M69" s="751"/>
      <c r="N69" s="751"/>
      <c r="O69" s="751"/>
      <c r="P69" s="751"/>
      <c r="Q69" s="751"/>
      <c r="R69" s="751"/>
      <c r="S69" s="758"/>
      <c r="T69" s="75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75"/>
  <sheetViews>
    <sheetView topLeftCell="A4" zoomScaleNormal="100" workbookViewId="0">
      <pane xSplit="1" ySplit="1" topLeftCell="K67" activePane="bottomRight" state="frozen"/>
      <selection activeCell="A4" sqref="A4"/>
      <selection pane="topRight" activeCell="K4" sqref="K4"/>
      <selection pane="bottomLeft" activeCell="A67" sqref="A67"/>
      <selection pane="bottomRight" activeCell="Q76" sqref="Q76"/>
    </sheetView>
  </sheetViews>
  <sheetFormatPr defaultColWidth="9.140625" defaultRowHeight="15" outlineLevelCol="1"/>
  <cols>
    <col min="1" max="1" width="37.7109375" style="415" customWidth="1"/>
    <col min="2" max="2" width="12.5703125" style="415" customWidth="1" outlineLevel="1"/>
    <col min="3" max="3" width="11.42578125" style="415" customWidth="1" outlineLevel="1"/>
    <col min="4" max="4" width="11.140625" style="415" customWidth="1" outlineLevel="1"/>
    <col min="5" max="5" width="10.28515625" style="415" customWidth="1" outlineLevel="1"/>
    <col min="6" max="6" width="11.28515625" style="415" customWidth="1" outlineLevel="1"/>
    <col min="7" max="7" width="10" style="415" customWidth="1" outlineLevel="1"/>
    <col min="8" max="8" width="11.140625" style="415" customWidth="1" outlineLevel="1"/>
    <col min="9" max="9" width="10.28515625" style="415" customWidth="1" outlineLevel="1"/>
    <col min="10" max="10" width="11" style="415" customWidth="1" outlineLevel="1"/>
    <col min="11" max="13" width="11.28515625" style="415" customWidth="1" outlineLevel="1"/>
    <col min="14" max="14" width="12.5703125" style="415" customWidth="1"/>
    <col min="15" max="15" width="12.28515625" style="415" customWidth="1"/>
    <col min="16" max="16" width="11.5703125" style="415" customWidth="1"/>
    <col min="17" max="17" width="12.5703125" style="415" customWidth="1"/>
    <col min="18" max="18" width="9.42578125" style="774" customWidth="1"/>
    <col min="19" max="19" width="10.5703125" style="415" customWidth="1"/>
    <col min="20" max="1024" width="9.140625" style="415"/>
  </cols>
  <sheetData>
    <row r="1" spans="1:18">
      <c r="A1" s="414" t="s">
        <v>390</v>
      </c>
    </row>
    <row r="2" spans="1:18">
      <c r="A2" s="416" t="s">
        <v>752</v>
      </c>
    </row>
    <row r="3" spans="1:18">
      <c r="A3" s="416" t="s">
        <v>457</v>
      </c>
    </row>
    <row r="4" spans="1:18" ht="60">
      <c r="B4" s="775" t="s">
        <v>753</v>
      </c>
      <c r="C4" s="775" t="s">
        <v>754</v>
      </c>
      <c r="D4" s="775" t="s">
        <v>755</v>
      </c>
      <c r="E4" s="775" t="s">
        <v>756</v>
      </c>
      <c r="F4" s="775" t="s">
        <v>757</v>
      </c>
      <c r="G4" s="775" t="s">
        <v>758</v>
      </c>
      <c r="H4" s="775" t="s">
        <v>759</v>
      </c>
      <c r="I4" s="775" t="s">
        <v>760</v>
      </c>
      <c r="J4" s="775" t="s">
        <v>761</v>
      </c>
      <c r="K4" s="775" t="s">
        <v>762</v>
      </c>
      <c r="L4" s="775" t="s">
        <v>763</v>
      </c>
      <c r="M4" s="775" t="s">
        <v>764</v>
      </c>
      <c r="N4" s="775" t="s">
        <v>501</v>
      </c>
      <c r="O4" s="776" t="s">
        <v>200</v>
      </c>
      <c r="P4" s="776" t="s">
        <v>201</v>
      </c>
      <c r="Q4" s="776" t="s">
        <v>454</v>
      </c>
    </row>
    <row r="5" spans="1:18">
      <c r="A5" s="777" t="s">
        <v>765</v>
      </c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1"/>
    </row>
    <row r="6" spans="1:18">
      <c r="A6" s="592" t="s">
        <v>766</v>
      </c>
      <c r="B6" s="778">
        <v>35042687</v>
      </c>
      <c r="C6" s="778">
        <v>5000</v>
      </c>
      <c r="D6" s="778">
        <v>1105000</v>
      </c>
      <c r="E6" s="778">
        <v>10000</v>
      </c>
      <c r="F6" s="778">
        <v>1000</v>
      </c>
      <c r="G6" s="778">
        <v>1000</v>
      </c>
      <c r="H6" s="778">
        <v>5000</v>
      </c>
      <c r="I6" s="778">
        <v>10000</v>
      </c>
      <c r="J6" s="778">
        <v>800</v>
      </c>
      <c r="K6" s="778">
        <v>800</v>
      </c>
      <c r="L6" s="778">
        <v>3661400</v>
      </c>
      <c r="M6" s="778">
        <v>10000</v>
      </c>
      <c r="N6" s="778">
        <f>SUM(B6:M6)</f>
        <v>39852687</v>
      </c>
      <c r="O6" s="778">
        <f>+'AD ESF'!D137+'AD ESF'!D161+'AD ESF'!D199</f>
        <v>4810000</v>
      </c>
      <c r="P6" s="778"/>
      <c r="Q6" s="454">
        <f>+N6+P6-O6</f>
        <v>35042687</v>
      </c>
      <c r="R6" s="779">
        <f>+Q6-'ECP19'!B47</f>
        <v>0</v>
      </c>
    </row>
    <row r="7" spans="1:18">
      <c r="A7" s="592" t="s">
        <v>767</v>
      </c>
      <c r="B7" s="778">
        <v>-6115000</v>
      </c>
      <c r="C7" s="778"/>
      <c r="D7" s="778"/>
      <c r="E7" s="778">
        <v>-3200</v>
      </c>
      <c r="F7" s="778"/>
      <c r="G7" s="778"/>
      <c r="H7" s="778"/>
      <c r="I7" s="778"/>
      <c r="J7" s="778"/>
      <c r="K7" s="778"/>
      <c r="L7" s="778"/>
      <c r="M7" s="778"/>
      <c r="N7" s="778">
        <f>SUM(B7:M7)</f>
        <v>-6118200</v>
      </c>
      <c r="O7" s="778"/>
      <c r="P7" s="778">
        <f>+'AD ESF'!E189</f>
        <v>3200</v>
      </c>
      <c r="Q7" s="454">
        <f>+N7+P7-O7</f>
        <v>-6115000</v>
      </c>
      <c r="R7" s="779"/>
    </row>
    <row r="8" spans="1:18">
      <c r="A8" s="592" t="s">
        <v>768</v>
      </c>
      <c r="B8" s="778"/>
      <c r="C8" s="778"/>
      <c r="D8" s="778"/>
      <c r="E8" s="778">
        <v>-6800</v>
      </c>
      <c r="F8" s="778"/>
      <c r="G8" s="778"/>
      <c r="H8" s="778"/>
      <c r="I8" s="778"/>
      <c r="J8" s="778"/>
      <c r="K8" s="778"/>
      <c r="L8" s="778"/>
      <c r="M8" s="778"/>
      <c r="N8" s="778">
        <f>SUM(B8:M8)</f>
        <v>-6800</v>
      </c>
      <c r="O8" s="778"/>
      <c r="P8" s="778">
        <f>+'AD ESF'!E225</f>
        <v>6800</v>
      </c>
      <c r="Q8" s="454">
        <f>+N8+P8-O8</f>
        <v>0</v>
      </c>
      <c r="R8" s="779"/>
    </row>
    <row r="9" spans="1:18" ht="30">
      <c r="A9" s="780" t="s">
        <v>769</v>
      </c>
      <c r="B9" s="778">
        <v>8215675</v>
      </c>
      <c r="C9" s="778"/>
      <c r="D9" s="778"/>
      <c r="E9" s="778"/>
      <c r="F9" s="778"/>
      <c r="G9" s="778"/>
      <c r="H9" s="778"/>
      <c r="I9" s="778"/>
      <c r="J9" s="778"/>
      <c r="K9" s="778"/>
      <c r="L9" s="778"/>
      <c r="M9" s="778"/>
      <c r="N9" s="778">
        <f>SUM(B9:M9)</f>
        <v>8215675</v>
      </c>
      <c r="O9" s="778"/>
      <c r="P9" s="778"/>
      <c r="Q9" s="454">
        <f>+N9+P9-O9</f>
        <v>8215675</v>
      </c>
    </row>
    <row r="10" spans="1:18">
      <c r="A10" s="781" t="s">
        <v>770</v>
      </c>
      <c r="B10" s="782">
        <f t="shared" ref="B10:Q10" si="0">SUM(B6:B9)</f>
        <v>37143362</v>
      </c>
      <c r="C10" s="782">
        <f t="shared" si="0"/>
        <v>5000</v>
      </c>
      <c r="D10" s="782">
        <f t="shared" si="0"/>
        <v>1105000</v>
      </c>
      <c r="E10" s="782">
        <f t="shared" si="0"/>
        <v>0</v>
      </c>
      <c r="F10" s="782">
        <f t="shared" si="0"/>
        <v>1000</v>
      </c>
      <c r="G10" s="782">
        <f t="shared" si="0"/>
        <v>1000</v>
      </c>
      <c r="H10" s="782">
        <f t="shared" si="0"/>
        <v>5000</v>
      </c>
      <c r="I10" s="782">
        <f t="shared" si="0"/>
        <v>10000</v>
      </c>
      <c r="J10" s="782">
        <f t="shared" si="0"/>
        <v>800</v>
      </c>
      <c r="K10" s="782">
        <f t="shared" si="0"/>
        <v>800</v>
      </c>
      <c r="L10" s="782">
        <f t="shared" si="0"/>
        <v>3661400</v>
      </c>
      <c r="M10" s="782">
        <f t="shared" si="0"/>
        <v>10000</v>
      </c>
      <c r="N10" s="782">
        <f t="shared" si="0"/>
        <v>41943362</v>
      </c>
      <c r="O10" s="782">
        <f t="shared" si="0"/>
        <v>4810000</v>
      </c>
      <c r="P10" s="782">
        <f t="shared" si="0"/>
        <v>10000</v>
      </c>
      <c r="Q10" s="782">
        <f t="shared" si="0"/>
        <v>37143362</v>
      </c>
      <c r="R10" s="779">
        <f>+Q10-'ECP19'!B67</f>
        <v>0</v>
      </c>
    </row>
    <row r="11" spans="1:18">
      <c r="B11" s="783">
        <f>+B10-'Planilla final'!B47</f>
        <v>15514180.82</v>
      </c>
      <c r="C11" s="783">
        <f>+C10-'Planilla final'!C47</f>
        <v>5000</v>
      </c>
      <c r="D11" s="783">
        <f>+D10-'Planilla final'!D47</f>
        <v>0</v>
      </c>
      <c r="E11" s="783">
        <f>+E10-'Planilla final'!E47</f>
        <v>0</v>
      </c>
      <c r="F11" s="783">
        <f>+F10-'Planilla final'!F47</f>
        <v>-7499000</v>
      </c>
      <c r="G11" s="783">
        <f>+G10-'Planilla final'!G47</f>
        <v>0</v>
      </c>
      <c r="H11" s="783">
        <f>+H10-'Planilla final'!H47</f>
        <v>5000</v>
      </c>
      <c r="I11" s="783">
        <f>+I10-'Planilla final'!I47</f>
        <v>10000</v>
      </c>
      <c r="J11" s="783">
        <f>+J10-'Planilla final'!K47</f>
        <v>800</v>
      </c>
      <c r="K11" s="783">
        <f>+K10-'Planilla final'!L47</f>
        <v>800</v>
      </c>
      <c r="L11" s="783">
        <f>+L10-'Planilla final'!M47</f>
        <v>0</v>
      </c>
      <c r="M11" s="783">
        <f>+M10-'Planilla final'!N47</f>
        <v>10000</v>
      </c>
      <c r="N11" s="783">
        <f>+N10-'Planilla final'!O47</f>
        <v>-10517377.18</v>
      </c>
      <c r="O11" s="783">
        <f>+O10-'Planilla final'!P47</f>
        <v>4810000</v>
      </c>
      <c r="P11" s="783">
        <f>+P10-'Planilla final'!Q47</f>
        <v>10000</v>
      </c>
      <c r="Q11" s="783">
        <f>+Q10-'Planilla final'!R47</f>
        <v>-15317377.18</v>
      </c>
    </row>
    <row r="12" spans="1:18">
      <c r="A12" s="777" t="s">
        <v>771</v>
      </c>
      <c r="B12" s="784"/>
      <c r="C12" s="784"/>
      <c r="D12" s="784"/>
      <c r="E12" s="784"/>
      <c r="F12" s="784"/>
      <c r="G12" s="784"/>
      <c r="H12" s="784"/>
      <c r="I12" s="784"/>
      <c r="J12" s="784"/>
      <c r="K12" s="784"/>
      <c r="L12" s="784"/>
      <c r="M12" s="784"/>
      <c r="N12" s="784"/>
      <c r="O12" s="784"/>
      <c r="P12" s="784"/>
      <c r="Q12" s="451"/>
    </row>
    <row r="13" spans="1:18">
      <c r="A13" s="592" t="s">
        <v>766</v>
      </c>
      <c r="B13" s="778">
        <v>920</v>
      </c>
      <c r="C13" s="778">
        <v>37142894.460000001</v>
      </c>
      <c r="D13" s="778">
        <v>877313.05</v>
      </c>
      <c r="E13" s="778">
        <v>0</v>
      </c>
      <c r="F13" s="778">
        <v>49015</v>
      </c>
      <c r="G13" s="778">
        <v>330450</v>
      </c>
      <c r="H13" s="778">
        <v>0</v>
      </c>
      <c r="I13" s="778">
        <v>0</v>
      </c>
      <c r="J13" s="778">
        <v>0</v>
      </c>
      <c r="K13" s="778">
        <v>1833417.66</v>
      </c>
      <c r="L13" s="778">
        <v>406799.86</v>
      </c>
      <c r="M13" s="778">
        <v>0</v>
      </c>
      <c r="N13" s="778">
        <f>SUM(B13:M13)</f>
        <v>40640810.029999994</v>
      </c>
      <c r="O13" s="778">
        <f>+'AD ESF'!D140+'AD ESF'!D162</f>
        <v>40639889</v>
      </c>
      <c r="P13" s="778"/>
      <c r="Q13" s="454">
        <f>+N13+P13-O13</f>
        <v>921.02999999374151</v>
      </c>
    </row>
    <row r="14" spans="1:18" ht="30">
      <c r="A14" s="780" t="s">
        <v>772</v>
      </c>
      <c r="B14" s="778">
        <v>6115000</v>
      </c>
      <c r="C14" s="778">
        <v>4797300</v>
      </c>
      <c r="D14" s="778"/>
      <c r="E14" s="778"/>
      <c r="F14" s="778"/>
      <c r="G14" s="778"/>
      <c r="H14" s="778"/>
      <c r="I14" s="778"/>
      <c r="J14" s="778"/>
      <c r="K14" s="778"/>
      <c r="L14" s="778"/>
      <c r="M14" s="778"/>
      <c r="N14" s="778">
        <f>SUM(B14:M14)</f>
        <v>10912300</v>
      </c>
      <c r="O14" s="778">
        <f>+'AD ESF'!D169+'AD ESF'!D197</f>
        <v>4797299</v>
      </c>
      <c r="P14" s="778"/>
      <c r="Q14" s="454">
        <f>+N14+P14-O14</f>
        <v>6115001</v>
      </c>
    </row>
    <row r="15" spans="1:18">
      <c r="A15" s="781" t="s">
        <v>770</v>
      </c>
      <c r="B15" s="782">
        <f>+B13+B14</f>
        <v>6115920</v>
      </c>
      <c r="C15" s="782">
        <f>+C13+C14</f>
        <v>41940194.460000001</v>
      </c>
      <c r="D15" s="782">
        <f>+'Planilla final'!D48</f>
        <v>877313.05</v>
      </c>
      <c r="E15" s="782">
        <f>+'Planilla final'!E48</f>
        <v>0</v>
      </c>
      <c r="F15" s="782">
        <f>+'Planilla final'!F48</f>
        <v>0</v>
      </c>
      <c r="G15" s="782">
        <f>+'Planilla final'!G48</f>
        <v>330450</v>
      </c>
      <c r="H15" s="782">
        <f>+'Planilla final'!H48</f>
        <v>0</v>
      </c>
      <c r="I15" s="782">
        <f>+'Planilla final'!I48</f>
        <v>0</v>
      </c>
      <c r="J15" s="782">
        <f>+'Planilla final'!K48</f>
        <v>0</v>
      </c>
      <c r="K15" s="782">
        <f>+'Planilla final'!L48</f>
        <v>0</v>
      </c>
      <c r="L15" s="782">
        <f>+'Planilla final'!M48</f>
        <v>406799.86</v>
      </c>
      <c r="M15" s="782">
        <f>+'Planilla final'!N48</f>
        <v>0</v>
      </c>
      <c r="N15" s="782">
        <f>SUM(B15:M15)</f>
        <v>49670677.369999997</v>
      </c>
      <c r="O15" s="782">
        <f>SUM(O13:O14)</f>
        <v>45437188</v>
      </c>
      <c r="P15" s="782">
        <f>SUM(P13:P14)</f>
        <v>0</v>
      </c>
      <c r="Q15" s="782">
        <f>+N15+P15-O15</f>
        <v>4233489.3699999973</v>
      </c>
      <c r="R15" s="779">
        <f>+Q15-'ECP19'!D67</f>
        <v>-1882431.6300000027</v>
      </c>
    </row>
    <row r="16" spans="1:18">
      <c r="B16" s="785"/>
      <c r="C16" s="783"/>
      <c r="D16" s="785"/>
      <c r="E16" s="785"/>
      <c r="F16" s="785"/>
      <c r="G16" s="785"/>
      <c r="H16" s="785"/>
      <c r="I16" s="785"/>
      <c r="J16" s="785"/>
      <c r="K16" s="785"/>
      <c r="L16" s="785"/>
      <c r="M16" s="785"/>
      <c r="N16" s="785"/>
      <c r="O16" s="17">
        <f>+'Planilla final'!P48-O15</f>
        <v>-45437188</v>
      </c>
      <c r="P16" s="785">
        <f>+'Planilla final'!Q48-P15</f>
        <v>0</v>
      </c>
    </row>
    <row r="17" spans="1:18">
      <c r="A17" s="786" t="s">
        <v>773</v>
      </c>
      <c r="B17" s="784"/>
      <c r="C17" s="784"/>
      <c r="D17" s="784"/>
      <c r="E17" s="784"/>
      <c r="F17" s="784"/>
      <c r="G17" s="784"/>
      <c r="H17" s="784"/>
      <c r="I17" s="784"/>
      <c r="J17" s="784"/>
      <c r="K17" s="784"/>
      <c r="L17" s="784"/>
      <c r="M17" s="784"/>
      <c r="N17" s="784"/>
      <c r="O17" s="784"/>
      <c r="P17" s="784"/>
      <c r="Q17" s="451"/>
    </row>
    <row r="18" spans="1:18">
      <c r="A18" s="455" t="s">
        <v>766</v>
      </c>
      <c r="B18" s="778">
        <v>5222508.5599999996</v>
      </c>
      <c r="C18" s="778">
        <v>0</v>
      </c>
      <c r="D18" s="778">
        <v>0</v>
      </c>
      <c r="E18" s="778">
        <v>74427</v>
      </c>
      <c r="F18" s="778">
        <v>500</v>
      </c>
      <c r="G18" s="778">
        <v>0</v>
      </c>
      <c r="H18" s="778"/>
      <c r="I18" s="778">
        <v>0</v>
      </c>
      <c r="J18" s="778">
        <v>0</v>
      </c>
      <c r="K18" s="778">
        <v>0</v>
      </c>
      <c r="L18" s="778">
        <v>0</v>
      </c>
      <c r="M18" s="778">
        <v>0</v>
      </c>
      <c r="N18" s="778">
        <f>SUM(B18:M18)</f>
        <v>5297435.5599999996</v>
      </c>
      <c r="O18" s="778">
        <f>+'AD ESF'!D138</f>
        <v>74927</v>
      </c>
      <c r="P18" s="778"/>
      <c r="Q18" s="454">
        <f>+N18+P18-O18</f>
        <v>5222508.5599999996</v>
      </c>
    </row>
    <row r="19" spans="1:18">
      <c r="A19" s="455" t="s">
        <v>774</v>
      </c>
      <c r="B19" s="778">
        <v>912853</v>
      </c>
      <c r="C19" s="778"/>
      <c r="D19" s="778"/>
      <c r="E19" s="778"/>
      <c r="F19" s="778"/>
      <c r="G19" s="778"/>
      <c r="H19" s="778"/>
      <c r="I19" s="778"/>
      <c r="J19" s="778"/>
      <c r="K19" s="778"/>
      <c r="L19" s="778"/>
      <c r="M19" s="778"/>
      <c r="N19" s="778">
        <f>SUM(B19:M19)</f>
        <v>912853</v>
      </c>
      <c r="O19" s="778"/>
      <c r="P19" s="778"/>
      <c r="Q19" s="454">
        <f>+N19+P19-O19</f>
        <v>912853</v>
      </c>
    </row>
    <row r="20" spans="1:18">
      <c r="A20" s="415" t="s">
        <v>741</v>
      </c>
      <c r="B20" s="605"/>
      <c r="C20" s="605"/>
      <c r="D20" s="605"/>
      <c r="E20" s="787">
        <v>-74427</v>
      </c>
      <c r="F20" s="605"/>
      <c r="G20" s="605"/>
      <c r="H20" s="787"/>
      <c r="I20" s="605"/>
      <c r="J20" s="605"/>
      <c r="K20" s="605"/>
      <c r="L20" s="605"/>
      <c r="M20" s="605"/>
      <c r="N20" s="778">
        <f>SUM(B20:M20)</f>
        <v>-74427</v>
      </c>
      <c r="O20" s="605"/>
      <c r="P20" s="787">
        <f>+'AD ESF'!E226</f>
        <v>74427</v>
      </c>
      <c r="Q20" s="454">
        <f>+N20+P20-O20</f>
        <v>0</v>
      </c>
    </row>
    <row r="21" spans="1:18">
      <c r="A21" s="788" t="s">
        <v>770</v>
      </c>
      <c r="B21" s="782">
        <f t="shared" ref="B21:Q21" si="1">SUM(B18:B20)</f>
        <v>6135361.5599999996</v>
      </c>
      <c r="C21" s="782">
        <f t="shared" si="1"/>
        <v>0</v>
      </c>
      <c r="D21" s="782">
        <f t="shared" si="1"/>
        <v>0</v>
      </c>
      <c r="E21" s="782">
        <f t="shared" si="1"/>
        <v>0</v>
      </c>
      <c r="F21" s="782">
        <f t="shared" si="1"/>
        <v>500</v>
      </c>
      <c r="G21" s="782">
        <f t="shared" si="1"/>
        <v>0</v>
      </c>
      <c r="H21" s="782">
        <f t="shared" si="1"/>
        <v>0</v>
      </c>
      <c r="I21" s="782">
        <f t="shared" si="1"/>
        <v>0</v>
      </c>
      <c r="J21" s="782">
        <f t="shared" si="1"/>
        <v>0</v>
      </c>
      <c r="K21" s="782">
        <f t="shared" si="1"/>
        <v>0</v>
      </c>
      <c r="L21" s="782">
        <f t="shared" si="1"/>
        <v>0</v>
      </c>
      <c r="M21" s="782">
        <f t="shared" si="1"/>
        <v>0</v>
      </c>
      <c r="N21" s="782">
        <f t="shared" si="1"/>
        <v>6135861.5599999996</v>
      </c>
      <c r="O21" s="782">
        <f t="shared" si="1"/>
        <v>74927</v>
      </c>
      <c r="P21" s="782">
        <f t="shared" si="1"/>
        <v>74427</v>
      </c>
      <c r="Q21" s="782">
        <f t="shared" si="1"/>
        <v>6135361.5599999996</v>
      </c>
      <c r="R21" s="779">
        <f>+Q21-'ECP19'!F67</f>
        <v>0</v>
      </c>
    </row>
    <row r="22" spans="1:18">
      <c r="B22" s="785"/>
      <c r="C22" s="785"/>
      <c r="D22" s="785"/>
      <c r="E22" s="785"/>
      <c r="F22" s="785"/>
      <c r="G22" s="785"/>
      <c r="H22" s="785"/>
      <c r="I22" s="785"/>
      <c r="J22" s="785"/>
      <c r="K22" s="785"/>
      <c r="L22" s="785"/>
      <c r="M22" s="785"/>
      <c r="N22" s="785"/>
      <c r="O22" s="785">
        <f>+O21-'Planilla final'!P49</f>
        <v>74927</v>
      </c>
      <c r="P22" s="785">
        <f>+P21-'Planilla final'!Q49</f>
        <v>74427</v>
      </c>
    </row>
    <row r="23" spans="1:18">
      <c r="A23" s="786" t="s">
        <v>775</v>
      </c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84"/>
      <c r="P23" s="784"/>
      <c r="Q23" s="451"/>
    </row>
    <row r="24" spans="1:18">
      <c r="A24" s="455" t="s">
        <v>766</v>
      </c>
      <c r="B24" s="778">
        <v>34797</v>
      </c>
      <c r="C24" s="778">
        <v>0</v>
      </c>
      <c r="D24" s="778">
        <v>0</v>
      </c>
      <c r="E24" s="778">
        <v>0</v>
      </c>
      <c r="F24" s="778">
        <v>0</v>
      </c>
      <c r="G24" s="778">
        <v>0</v>
      </c>
      <c r="H24" s="778">
        <v>0</v>
      </c>
      <c r="I24" s="778">
        <v>0</v>
      </c>
      <c r="J24" s="778">
        <v>0</v>
      </c>
      <c r="K24" s="778">
        <v>0</v>
      </c>
      <c r="L24" s="778">
        <v>0</v>
      </c>
      <c r="M24" s="778">
        <v>0</v>
      </c>
      <c r="N24" s="778">
        <f>SUM(B24:M24)</f>
        <v>34797</v>
      </c>
      <c r="O24" s="778"/>
      <c r="P24" s="778"/>
      <c r="Q24" s="454">
        <f>+N24+P24-O24</f>
        <v>34797</v>
      </c>
    </row>
    <row r="25" spans="1:18">
      <c r="A25" s="455"/>
      <c r="B25" s="778"/>
      <c r="C25" s="778"/>
      <c r="D25" s="778"/>
      <c r="E25" s="778"/>
      <c r="F25" s="778"/>
      <c r="G25" s="778"/>
      <c r="H25" s="778"/>
      <c r="I25" s="778"/>
      <c r="J25" s="778"/>
      <c r="K25" s="778"/>
      <c r="L25" s="778"/>
      <c r="M25" s="778"/>
      <c r="N25" s="778">
        <f>SUM(B25:M25)</f>
        <v>0</v>
      </c>
      <c r="O25" s="778"/>
      <c r="P25" s="778"/>
      <c r="Q25" s="454">
        <f>+N25+P25-O25</f>
        <v>0</v>
      </c>
    </row>
    <row r="26" spans="1:18">
      <c r="A26" s="788" t="s">
        <v>770</v>
      </c>
      <c r="B26" s="782">
        <f>+'Planilla final'!B50</f>
        <v>0</v>
      </c>
      <c r="C26" s="782">
        <f>+'Planilla final'!C50</f>
        <v>0</v>
      </c>
      <c r="D26" s="782">
        <f>+'Planilla final'!D50</f>
        <v>0</v>
      </c>
      <c r="E26" s="782">
        <f>+'Planilla final'!E50</f>
        <v>0</v>
      </c>
      <c r="F26" s="782">
        <f>+'Planilla final'!F50</f>
        <v>0</v>
      </c>
      <c r="G26" s="782">
        <f>+'Planilla final'!G50</f>
        <v>0</v>
      </c>
      <c r="H26" s="782">
        <f>+'Planilla final'!H50</f>
        <v>0</v>
      </c>
      <c r="I26" s="782">
        <f>+'Planilla final'!I50</f>
        <v>0</v>
      </c>
      <c r="J26" s="782">
        <f>+'Planilla final'!K50</f>
        <v>0</v>
      </c>
      <c r="K26" s="782">
        <f>+'Planilla final'!L50</f>
        <v>0</v>
      </c>
      <c r="L26" s="782">
        <f>+'Planilla final'!M50</f>
        <v>0</v>
      </c>
      <c r="M26" s="782">
        <f>+'Planilla final'!N50</f>
        <v>0</v>
      </c>
      <c r="N26" s="782">
        <f>SUM(B26:M26)</f>
        <v>0</v>
      </c>
      <c r="O26" s="782">
        <f>SUM(O24:O25)</f>
        <v>0</v>
      </c>
      <c r="P26" s="782">
        <f>SUM(P24:P25)</f>
        <v>0</v>
      </c>
      <c r="Q26" s="782">
        <f>+N26+P26-O26</f>
        <v>0</v>
      </c>
      <c r="R26" s="779">
        <f>+Q26-'ECP19'!H67</f>
        <v>-34797</v>
      </c>
    </row>
    <row r="27" spans="1:18">
      <c r="B27" s="785"/>
      <c r="C27" s="785"/>
      <c r="D27" s="785"/>
      <c r="E27" s="785"/>
      <c r="F27" s="785"/>
      <c r="G27" s="785"/>
      <c r="H27" s="785"/>
      <c r="I27" s="785"/>
      <c r="J27" s="785"/>
      <c r="K27" s="785"/>
      <c r="L27" s="785"/>
      <c r="M27" s="785"/>
      <c r="N27" s="785"/>
      <c r="O27" s="785">
        <f>+O26-'Planilla final'!P50</f>
        <v>0</v>
      </c>
      <c r="P27" s="785">
        <f>+P26-'Planilla final'!Q50</f>
        <v>0</v>
      </c>
    </row>
    <row r="28" spans="1:18">
      <c r="A28" s="786" t="s">
        <v>776</v>
      </c>
      <c r="B28" s="784"/>
      <c r="C28" s="784"/>
      <c r="D28" s="784"/>
      <c r="E28" s="784"/>
      <c r="F28" s="784"/>
      <c r="G28" s="784"/>
      <c r="H28" s="784"/>
      <c r="I28" s="784"/>
      <c r="J28" s="784"/>
      <c r="K28" s="784"/>
      <c r="L28" s="784"/>
      <c r="M28" s="784"/>
      <c r="N28" s="784"/>
      <c r="O28" s="784"/>
      <c r="P28" s="784"/>
      <c r="Q28" s="451"/>
    </row>
    <row r="29" spans="1:18">
      <c r="A29" s="455" t="s">
        <v>766</v>
      </c>
      <c r="B29" s="778">
        <v>227072</v>
      </c>
      <c r="C29" s="778">
        <v>0</v>
      </c>
      <c r="D29" s="778">
        <v>0</v>
      </c>
      <c r="E29" s="778">
        <v>0</v>
      </c>
      <c r="F29" s="778">
        <v>0</v>
      </c>
      <c r="G29" s="778">
        <v>109633</v>
      </c>
      <c r="H29" s="778">
        <v>1226</v>
      </c>
      <c r="I29" s="778">
        <v>0</v>
      </c>
      <c r="J29" s="778">
        <v>340</v>
      </c>
      <c r="K29" s="778">
        <v>0</v>
      </c>
      <c r="L29" s="778">
        <v>0</v>
      </c>
      <c r="M29" s="778">
        <v>0</v>
      </c>
      <c r="N29" s="778">
        <f>SUM(B29:M29)</f>
        <v>338271</v>
      </c>
      <c r="O29" s="778">
        <f>+'AD ESF'!D139</f>
        <v>111199</v>
      </c>
      <c r="P29" s="778"/>
      <c r="Q29" s="454">
        <f>+N29+P29-O29</f>
        <v>227072</v>
      </c>
    </row>
    <row r="30" spans="1:18">
      <c r="A30" s="455" t="s">
        <v>741</v>
      </c>
      <c r="B30" s="778"/>
      <c r="C30" s="778"/>
      <c r="D30" s="778"/>
      <c r="E30" s="778"/>
      <c r="F30" s="778"/>
      <c r="G30" s="778"/>
      <c r="H30" s="789">
        <v>-1226</v>
      </c>
      <c r="I30" s="778"/>
      <c r="J30" s="778"/>
      <c r="K30" s="778"/>
      <c r="L30" s="778"/>
      <c r="M30" s="778"/>
      <c r="N30" s="778">
        <f>SUM(B30:M30)</f>
        <v>-1226</v>
      </c>
      <c r="O30" s="778"/>
      <c r="P30" s="778">
        <f>+'AD ESF'!E227</f>
        <v>1226</v>
      </c>
      <c r="Q30" s="454">
        <f>+N30+P30-O30</f>
        <v>0</v>
      </c>
    </row>
    <row r="31" spans="1:18">
      <c r="A31" s="788" t="s">
        <v>770</v>
      </c>
      <c r="B31" s="782">
        <f>+'Planilla final'!B51</f>
        <v>0</v>
      </c>
      <c r="C31" s="782">
        <f>+'Planilla final'!C51</f>
        <v>0</v>
      </c>
      <c r="D31" s="782">
        <f>+'Planilla final'!D51</f>
        <v>0</v>
      </c>
      <c r="E31" s="782">
        <f>+'Planilla final'!E51</f>
        <v>0</v>
      </c>
      <c r="F31" s="782">
        <f>+'Planilla final'!F51</f>
        <v>0</v>
      </c>
      <c r="G31" s="782">
        <f>+'Planilla final'!G51</f>
        <v>0</v>
      </c>
      <c r="H31" s="782">
        <f>+'Planilla final'!H51</f>
        <v>0</v>
      </c>
      <c r="I31" s="782">
        <f>+'Planilla final'!I51</f>
        <v>0</v>
      </c>
      <c r="J31" s="782">
        <f>+J29+J30</f>
        <v>340</v>
      </c>
      <c r="K31" s="782">
        <f>+'Planilla final'!L51</f>
        <v>0</v>
      </c>
      <c r="L31" s="782">
        <f>+'Planilla final'!M51</f>
        <v>0</v>
      </c>
      <c r="M31" s="782">
        <f>+'Planilla final'!N51</f>
        <v>0</v>
      </c>
      <c r="N31" s="782">
        <f>SUM(B31:M31)</f>
        <v>340</v>
      </c>
      <c r="O31" s="782">
        <f>SUM(O29:O30)</f>
        <v>111199</v>
      </c>
      <c r="P31" s="782">
        <f>SUM(P29:P30)</f>
        <v>1226</v>
      </c>
      <c r="Q31" s="782">
        <f>+N31+P31-O31</f>
        <v>-109633</v>
      </c>
      <c r="R31" s="779">
        <f>+Q31-'ECP19'!L67</f>
        <v>-336705</v>
      </c>
    </row>
    <row r="32" spans="1:18">
      <c r="B32" s="785"/>
      <c r="C32" s="785"/>
      <c r="D32" s="785"/>
      <c r="E32" s="785"/>
      <c r="F32" s="785"/>
      <c r="G32" s="785"/>
      <c r="H32" s="785"/>
      <c r="I32" s="785"/>
      <c r="J32" s="785"/>
      <c r="K32" s="785"/>
      <c r="L32" s="785"/>
      <c r="M32" s="785"/>
      <c r="N32" s="785"/>
      <c r="O32" s="785">
        <f>+O31-'Planilla final'!P51</f>
        <v>111199</v>
      </c>
      <c r="P32" s="785">
        <f>+P31-'Planilla final'!Q51</f>
        <v>1226</v>
      </c>
    </row>
    <row r="33" spans="1:18">
      <c r="A33" s="786" t="s">
        <v>777</v>
      </c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84"/>
      <c r="P33" s="784"/>
      <c r="Q33" s="451"/>
    </row>
    <row r="34" spans="1:18">
      <c r="A34" s="455" t="s">
        <v>766</v>
      </c>
      <c r="B34" s="778">
        <v>1423943</v>
      </c>
      <c r="C34" s="778">
        <v>0</v>
      </c>
      <c r="D34" s="778">
        <v>0</v>
      </c>
      <c r="E34" s="778">
        <v>0</v>
      </c>
      <c r="F34" s="778">
        <v>0</v>
      </c>
      <c r="G34" s="778">
        <v>0</v>
      </c>
      <c r="H34" s="778">
        <v>0</v>
      </c>
      <c r="I34" s="778">
        <v>0</v>
      </c>
      <c r="J34" s="778">
        <v>0</v>
      </c>
      <c r="K34" s="778">
        <v>0</v>
      </c>
      <c r="L34" s="778">
        <v>0</v>
      </c>
      <c r="M34" s="778">
        <v>0</v>
      </c>
      <c r="N34" s="778">
        <f>SUM(B34:M34)</f>
        <v>1423943</v>
      </c>
      <c r="O34" s="778"/>
      <c r="P34" s="778"/>
      <c r="Q34" s="454">
        <f>+N34+P34-O34</f>
        <v>1423943</v>
      </c>
    </row>
    <row r="35" spans="1:18">
      <c r="A35" s="455" t="s">
        <v>778</v>
      </c>
      <c r="B35" s="778">
        <v>-1099700</v>
      </c>
      <c r="C35" s="778"/>
      <c r="D35" s="778"/>
      <c r="E35" s="778"/>
      <c r="F35" s="778"/>
      <c r="G35" s="778"/>
      <c r="H35" s="778"/>
      <c r="I35" s="778"/>
      <c r="J35" s="778"/>
      <c r="K35" s="778"/>
      <c r="L35" s="778"/>
      <c r="M35" s="778"/>
      <c r="N35" s="778">
        <f>SUM(B35:M35)</f>
        <v>-1099700</v>
      </c>
      <c r="O35" s="778"/>
      <c r="P35" s="778"/>
      <c r="Q35" s="454">
        <f>+N35+P35-O35</f>
        <v>-1099700</v>
      </c>
    </row>
    <row r="36" spans="1:18">
      <c r="A36" s="788" t="s">
        <v>770</v>
      </c>
      <c r="B36" s="782">
        <f>+B34+B35</f>
        <v>324243</v>
      </c>
      <c r="C36" s="782">
        <f>+'Planilla final'!C52</f>
        <v>0</v>
      </c>
      <c r="D36" s="782">
        <f>+'Planilla final'!D52</f>
        <v>399181.98</v>
      </c>
      <c r="E36" s="782">
        <f>+'Planilla final'!E52</f>
        <v>0</v>
      </c>
      <c r="F36" s="782">
        <f>+'Planilla final'!F52</f>
        <v>955363.77</v>
      </c>
      <c r="G36" s="782">
        <f>+'Planilla final'!G52</f>
        <v>331439.17</v>
      </c>
      <c r="H36" s="782">
        <f>+'Planilla final'!H52</f>
        <v>0</v>
      </c>
      <c r="I36" s="782">
        <f>+'Planilla final'!I52</f>
        <v>0</v>
      </c>
      <c r="J36" s="782">
        <f>+'Planilla final'!K52</f>
        <v>0</v>
      </c>
      <c r="K36" s="782">
        <f>+'Planilla final'!L52</f>
        <v>0</v>
      </c>
      <c r="L36" s="782">
        <f>+'Planilla final'!M52</f>
        <v>150408.57999999999</v>
      </c>
      <c r="M36" s="782">
        <f>+'Planilla final'!N52</f>
        <v>0</v>
      </c>
      <c r="N36" s="782">
        <f>SUM(B36:M36)</f>
        <v>2160636.5</v>
      </c>
      <c r="O36" s="782">
        <f>SUM(O34:O35)</f>
        <v>0</v>
      </c>
      <c r="P36" s="782">
        <f>SUM(P34:P35)</f>
        <v>0</v>
      </c>
      <c r="Q36" s="782">
        <f>+N36+P36-O36</f>
        <v>2160636.5</v>
      </c>
      <c r="R36" s="779">
        <f>+Q36-'ECP19'!J67</f>
        <v>1836393.5</v>
      </c>
    </row>
    <row r="37" spans="1:18"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>
        <f>+O36-'Planilla final'!P52</f>
        <v>0</v>
      </c>
      <c r="P37" s="785">
        <f>+P36-'Planilla final'!Q52</f>
        <v>0</v>
      </c>
    </row>
    <row r="38" spans="1:18">
      <c r="A38" s="786" t="s">
        <v>779</v>
      </c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84"/>
      <c r="P38" s="784"/>
      <c r="Q38" s="451"/>
    </row>
    <row r="39" spans="1:18">
      <c r="A39" s="455" t="s">
        <v>766</v>
      </c>
      <c r="B39" s="778">
        <v>0</v>
      </c>
      <c r="C39" s="778">
        <v>0</v>
      </c>
      <c r="D39" s="778">
        <v>0</v>
      </c>
      <c r="E39" s="778">
        <v>0</v>
      </c>
      <c r="F39" s="778">
        <v>0</v>
      </c>
      <c r="G39" s="778">
        <v>0</v>
      </c>
      <c r="H39" s="778">
        <v>0</v>
      </c>
      <c r="I39" s="778">
        <v>0</v>
      </c>
      <c r="J39" s="778">
        <v>1378712</v>
      </c>
      <c r="K39" s="778">
        <v>0</v>
      </c>
      <c r="L39" s="778">
        <v>274690.03999999998</v>
      </c>
      <c r="M39" s="778">
        <v>0</v>
      </c>
      <c r="N39" s="778">
        <f>SUM(B39:M39)</f>
        <v>1653402.04</v>
      </c>
      <c r="O39" s="778">
        <f>+'AD ESF'!D141+'AD ESF'!D152</f>
        <v>1653402</v>
      </c>
      <c r="P39" s="778"/>
      <c r="Q39" s="454">
        <f>+N39+P39-O39</f>
        <v>4.0000000037252903E-2</v>
      </c>
    </row>
    <row r="40" spans="1:18">
      <c r="A40" s="455" t="s">
        <v>780</v>
      </c>
      <c r="B40" s="778"/>
      <c r="C40" s="778"/>
      <c r="D40" s="778"/>
      <c r="E40" s="778"/>
      <c r="F40" s="778"/>
      <c r="G40" s="778"/>
      <c r="H40" s="778"/>
      <c r="I40" s="778"/>
      <c r="J40" s="778"/>
      <c r="K40" s="778"/>
      <c r="L40" s="778">
        <v>-151290</v>
      </c>
      <c r="M40" s="778"/>
      <c r="N40" s="778">
        <f>SUM(B40:M40)</f>
        <v>-151290</v>
      </c>
      <c r="O40" s="778"/>
      <c r="P40" s="778">
        <f>+'AD ESF'!E177</f>
        <v>151290</v>
      </c>
      <c r="Q40" s="454">
        <f>+N40+P40-O40</f>
        <v>0</v>
      </c>
    </row>
    <row r="41" spans="1:18">
      <c r="A41" s="788" t="s">
        <v>770</v>
      </c>
      <c r="B41" s="782">
        <f t="shared" ref="B41:M41" si="2">SUM(B39:B40)</f>
        <v>0</v>
      </c>
      <c r="C41" s="782">
        <f t="shared" si="2"/>
        <v>0</v>
      </c>
      <c r="D41" s="782">
        <f t="shared" si="2"/>
        <v>0</v>
      </c>
      <c r="E41" s="782">
        <f t="shared" si="2"/>
        <v>0</v>
      </c>
      <c r="F41" s="782">
        <f t="shared" si="2"/>
        <v>0</v>
      </c>
      <c r="G41" s="782">
        <f t="shared" si="2"/>
        <v>0</v>
      </c>
      <c r="H41" s="782">
        <f t="shared" si="2"/>
        <v>0</v>
      </c>
      <c r="I41" s="782">
        <f t="shared" si="2"/>
        <v>0</v>
      </c>
      <c r="J41" s="782">
        <f t="shared" si="2"/>
        <v>1378712</v>
      </c>
      <c r="K41" s="782">
        <f t="shared" si="2"/>
        <v>0</v>
      </c>
      <c r="L41" s="782">
        <f t="shared" si="2"/>
        <v>123400.03999999998</v>
      </c>
      <c r="M41" s="782">
        <f t="shared" si="2"/>
        <v>0</v>
      </c>
      <c r="N41" s="782">
        <f>SUM(B41:M41)</f>
        <v>1502112.04</v>
      </c>
      <c r="O41" s="782">
        <f>SUM(O39:O40)</f>
        <v>1653402</v>
      </c>
      <c r="P41" s="782">
        <f>SUM(P39:P40)</f>
        <v>151290</v>
      </c>
      <c r="Q41" s="782">
        <f>SUM(Q39:Q40)</f>
        <v>4.0000000037252903E-2</v>
      </c>
    </row>
    <row r="42" spans="1:18">
      <c r="B42" s="785"/>
      <c r="C42" s="785"/>
      <c r="D42" s="785"/>
      <c r="E42" s="785"/>
      <c r="F42" s="785"/>
      <c r="G42" s="785"/>
      <c r="H42" s="785"/>
      <c r="I42" s="785"/>
      <c r="J42" s="785"/>
      <c r="K42" s="785"/>
      <c r="L42" s="785"/>
      <c r="M42" s="785"/>
      <c r="N42" s="785"/>
      <c r="O42" s="785">
        <f>+O41-'Planilla final'!P53</f>
        <v>1653402</v>
      </c>
      <c r="P42" s="785">
        <f>+P41-'Planilla final'!Q53</f>
        <v>151290</v>
      </c>
    </row>
    <row r="43" spans="1:18">
      <c r="A43" s="786" t="s">
        <v>781</v>
      </c>
      <c r="B43" s="784"/>
      <c r="C43" s="784"/>
      <c r="D43" s="784"/>
      <c r="E43" s="784"/>
      <c r="F43" s="784"/>
      <c r="G43" s="784"/>
      <c r="H43" s="784"/>
      <c r="I43" s="784"/>
      <c r="J43" s="784"/>
      <c r="K43" s="784"/>
      <c r="L43" s="784"/>
      <c r="M43" s="784"/>
      <c r="N43" s="784"/>
      <c r="O43" s="784"/>
      <c r="P43" s="784"/>
      <c r="Q43" s="451"/>
    </row>
    <row r="44" spans="1:18">
      <c r="A44" s="455" t="s">
        <v>766</v>
      </c>
      <c r="B44" s="778">
        <v>-3202431</v>
      </c>
      <c r="C44" s="778">
        <v>0</v>
      </c>
      <c r="D44" s="778">
        <v>0</v>
      </c>
      <c r="E44" s="778">
        <v>0</v>
      </c>
      <c r="F44" s="778">
        <v>82150</v>
      </c>
      <c r="G44" s="778">
        <v>0</v>
      </c>
      <c r="H44" s="778">
        <v>0</v>
      </c>
      <c r="I44" s="778">
        <v>0</v>
      </c>
      <c r="J44" s="778">
        <v>0</v>
      </c>
      <c r="K44" s="778">
        <v>0</v>
      </c>
      <c r="L44" s="778">
        <v>-56932</v>
      </c>
      <c r="M44" s="778">
        <v>0</v>
      </c>
      <c r="N44" s="778">
        <f>SUM(B44:M44)</f>
        <v>-3177213</v>
      </c>
      <c r="O44" s="778"/>
      <c r="P44" s="778">
        <f>+'AD ESF'!E144</f>
        <v>-25218</v>
      </c>
      <c r="Q44" s="454">
        <f>+N44+P44-O44</f>
        <v>-3202431</v>
      </c>
      <c r="R44" s="779">
        <f>+Q44-'ECP19'!N47</f>
        <v>0</v>
      </c>
    </row>
    <row r="45" spans="1:18">
      <c r="A45" s="455"/>
      <c r="B45" s="778"/>
      <c r="C45" s="778"/>
      <c r="D45" s="778"/>
      <c r="E45" s="778"/>
      <c r="F45" s="778"/>
      <c r="G45" s="778"/>
      <c r="H45" s="778"/>
      <c r="I45" s="778"/>
      <c r="J45" s="778"/>
      <c r="K45" s="778"/>
      <c r="L45" s="778"/>
      <c r="M45" s="778"/>
      <c r="N45" s="778">
        <f>SUM(B45:M45)</f>
        <v>0</v>
      </c>
      <c r="O45" s="778"/>
      <c r="P45" s="778"/>
      <c r="Q45" s="454">
        <f>+N45+P45-O45</f>
        <v>0</v>
      </c>
    </row>
    <row r="46" spans="1:18">
      <c r="A46" s="788" t="s">
        <v>770</v>
      </c>
      <c r="B46" s="782">
        <f t="shared" ref="B46:Q46" si="3">SUM(B44:B45)</f>
        <v>-3202431</v>
      </c>
      <c r="C46" s="782">
        <f t="shared" si="3"/>
        <v>0</v>
      </c>
      <c r="D46" s="782">
        <f t="shared" si="3"/>
        <v>0</v>
      </c>
      <c r="E46" s="782">
        <f t="shared" si="3"/>
        <v>0</v>
      </c>
      <c r="F46" s="782">
        <f t="shared" si="3"/>
        <v>82150</v>
      </c>
      <c r="G46" s="782">
        <f t="shared" si="3"/>
        <v>0</v>
      </c>
      <c r="H46" s="782">
        <f t="shared" si="3"/>
        <v>0</v>
      </c>
      <c r="I46" s="782">
        <f t="shared" si="3"/>
        <v>0</v>
      </c>
      <c r="J46" s="782">
        <f t="shared" si="3"/>
        <v>0</v>
      </c>
      <c r="K46" s="782">
        <f t="shared" si="3"/>
        <v>0</v>
      </c>
      <c r="L46" s="782">
        <f t="shared" si="3"/>
        <v>-56932</v>
      </c>
      <c r="M46" s="782">
        <f t="shared" si="3"/>
        <v>0</v>
      </c>
      <c r="N46" s="782">
        <f t="shared" si="3"/>
        <v>-3177213</v>
      </c>
      <c r="O46" s="782">
        <f t="shared" si="3"/>
        <v>0</v>
      </c>
      <c r="P46" s="782">
        <f t="shared" si="3"/>
        <v>-25218</v>
      </c>
      <c r="Q46" s="782">
        <f t="shared" si="3"/>
        <v>-3202431</v>
      </c>
      <c r="R46" s="779">
        <f>+Q46-'ECP19'!N67</f>
        <v>0</v>
      </c>
    </row>
    <row r="47" spans="1:18"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>
        <f>+O46-'Planilla final'!P54</f>
        <v>0</v>
      </c>
      <c r="P47" s="785">
        <f>+P46-'Planilla final'!Q54</f>
        <v>-25218</v>
      </c>
    </row>
    <row r="48" spans="1:18">
      <c r="A48" s="777" t="s">
        <v>782</v>
      </c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84"/>
      <c r="P48" s="784"/>
      <c r="Q48" s="451"/>
    </row>
    <row r="49" spans="1:19">
      <c r="A49" s="592" t="s">
        <v>766</v>
      </c>
      <c r="B49" s="778">
        <v>42657482</v>
      </c>
      <c r="C49" s="778">
        <v>-4291030</v>
      </c>
      <c r="D49" s="778">
        <v>50053.89</v>
      </c>
      <c r="E49" s="778">
        <v>34764</v>
      </c>
      <c r="F49" s="790">
        <v>-1223180</v>
      </c>
      <c r="G49" s="778">
        <v>-80845</v>
      </c>
      <c r="H49" s="778">
        <v>1762.47</v>
      </c>
      <c r="I49" s="778">
        <v>0</v>
      </c>
      <c r="J49" s="790">
        <v>-201038</v>
      </c>
      <c r="K49" s="778">
        <v>-1012827</v>
      </c>
      <c r="L49" s="778">
        <v>-4780262</v>
      </c>
      <c r="M49" s="778">
        <v>-584524</v>
      </c>
      <c r="N49" s="778">
        <f t="shared" ref="N49:N55" si="4">SUM(B49:M49)</f>
        <v>30570356.359999999</v>
      </c>
      <c r="O49" s="778"/>
      <c r="P49" s="778">
        <f>+'AD ESF'!E145+'AD ESF'!E155+'AD ESF'!E163</f>
        <v>5984904</v>
      </c>
      <c r="Q49" s="454">
        <f t="shared" ref="Q49:Q55" si="5">+N49+P49-O49</f>
        <v>36555260.359999999</v>
      </c>
      <c r="R49" s="779">
        <f>+Q49-'ECP19'!P47</f>
        <v>0.28977739810943604</v>
      </c>
      <c r="S49" s="446"/>
    </row>
    <row r="50" spans="1:19">
      <c r="A50" s="592" t="s">
        <v>783</v>
      </c>
      <c r="B50" s="778">
        <v>-1770198</v>
      </c>
      <c r="C50" s="778"/>
      <c r="D50" s="778"/>
      <c r="E50" s="778"/>
      <c r="F50" s="790"/>
      <c r="G50" s="778"/>
      <c r="H50" s="778"/>
      <c r="I50" s="778"/>
      <c r="J50" s="790"/>
      <c r="K50" s="778"/>
      <c r="L50" s="778"/>
      <c r="M50" s="778"/>
      <c r="N50" s="778">
        <f t="shared" si="4"/>
        <v>-1770198</v>
      </c>
      <c r="O50" s="778"/>
      <c r="P50" s="778"/>
      <c r="Q50" s="454">
        <f t="shared" si="5"/>
        <v>-1770198</v>
      </c>
      <c r="R50" s="779"/>
      <c r="S50" s="446"/>
    </row>
    <row r="51" spans="1:19" ht="30">
      <c r="A51" s="780" t="s">
        <v>769</v>
      </c>
      <c r="B51" s="778">
        <v>-8215675</v>
      </c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>
        <f t="shared" si="4"/>
        <v>-8215675</v>
      </c>
      <c r="O51" s="778"/>
      <c r="P51" s="778"/>
      <c r="Q51" s="454">
        <f t="shared" si="5"/>
        <v>-8215675</v>
      </c>
      <c r="R51" s="779"/>
    </row>
    <row r="52" spans="1:19">
      <c r="A52" s="592" t="s">
        <v>784</v>
      </c>
      <c r="B52" s="778">
        <v>-912853</v>
      </c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>
        <f t="shared" si="4"/>
        <v>-912853</v>
      </c>
      <c r="O52" s="778"/>
      <c r="P52" s="778"/>
      <c r="Q52" s="454">
        <f t="shared" si="5"/>
        <v>-912853</v>
      </c>
    </row>
    <row r="53" spans="1:19">
      <c r="A53" s="592" t="s">
        <v>669</v>
      </c>
      <c r="B53" s="778">
        <v>-5488035</v>
      </c>
      <c r="C53" s="778"/>
      <c r="D53" s="778"/>
      <c r="E53" s="778"/>
      <c r="F53" s="778"/>
      <c r="G53" s="778"/>
      <c r="H53" s="778"/>
      <c r="I53" s="778"/>
      <c r="J53" s="778"/>
      <c r="K53" s="778"/>
      <c r="L53" s="778"/>
      <c r="M53" s="778"/>
      <c r="N53" s="778">
        <f t="shared" si="4"/>
        <v>-5488035</v>
      </c>
      <c r="O53" s="778"/>
      <c r="P53" s="778"/>
      <c r="Q53" s="454">
        <f t="shared" si="5"/>
        <v>-5488035</v>
      </c>
    </row>
    <row r="54" spans="1:19">
      <c r="A54" s="592" t="s">
        <v>741</v>
      </c>
      <c r="B54" s="778"/>
      <c r="C54" s="778">
        <v>37386</v>
      </c>
      <c r="D54" s="778"/>
      <c r="E54" s="778">
        <f>-34764</f>
        <v>-34764</v>
      </c>
      <c r="F54" s="778">
        <v>1173951</v>
      </c>
      <c r="G54" s="778"/>
      <c r="H54" s="778">
        <v>-1762</v>
      </c>
      <c r="I54" s="778"/>
      <c r="J54" s="778"/>
      <c r="K54" s="778">
        <v>-1728</v>
      </c>
      <c r="L54" s="778"/>
      <c r="M54" s="778">
        <v>-38152</v>
      </c>
      <c r="N54" s="778">
        <f t="shared" si="4"/>
        <v>1134931</v>
      </c>
      <c r="O54" s="778">
        <f>+'AD ESF'!D198</f>
        <v>950362</v>
      </c>
      <c r="P54" s="778">
        <f>+'AD ESF'!E228</f>
        <v>36526</v>
      </c>
      <c r="Q54" s="454">
        <f t="shared" si="5"/>
        <v>221095</v>
      </c>
    </row>
    <row r="55" spans="1:19">
      <c r="A55" s="592" t="s">
        <v>785</v>
      </c>
      <c r="B55" s="778">
        <f>+'Planilla final'!B71</f>
        <v>31376175.600000001</v>
      </c>
      <c r="C55" s="778">
        <v>-5325487</v>
      </c>
      <c r="D55" s="778">
        <v>181072</v>
      </c>
      <c r="E55" s="778"/>
      <c r="F55" s="778">
        <f>+'Planilla final'!F73</f>
        <v>955363.76999999909</v>
      </c>
      <c r="G55" s="778">
        <v>-13474</v>
      </c>
      <c r="H55" s="778"/>
      <c r="I55" s="778"/>
      <c r="J55" s="778">
        <v>-40586</v>
      </c>
      <c r="K55" s="778">
        <f>+'Planilla final'!$L$73</f>
        <v>0</v>
      </c>
      <c r="L55" s="778">
        <v>1634914</v>
      </c>
      <c r="M55" s="778">
        <f>+'Planilla final'!N73</f>
        <v>0</v>
      </c>
      <c r="N55" s="778">
        <f t="shared" si="4"/>
        <v>28767978.370000001</v>
      </c>
      <c r="O55" s="778">
        <f>+'Planilla final'!P73</f>
        <v>0</v>
      </c>
      <c r="P55" s="778">
        <f>+'AD ESF'!E183+'Planilla final'!Q73</f>
        <v>839638.00866000052</v>
      </c>
      <c r="Q55" s="454">
        <f t="shared" si="5"/>
        <v>29607616.378660001</v>
      </c>
    </row>
    <row r="56" spans="1:19">
      <c r="A56" s="781" t="s">
        <v>770</v>
      </c>
      <c r="B56" s="782">
        <f t="shared" ref="B56:Q56" si="6">SUM(B49:B55)</f>
        <v>57646896.600000001</v>
      </c>
      <c r="C56" s="782">
        <f t="shared" si="6"/>
        <v>-9579131</v>
      </c>
      <c r="D56" s="782">
        <f t="shared" si="6"/>
        <v>231125.89</v>
      </c>
      <c r="E56" s="782">
        <f t="shared" si="6"/>
        <v>0</v>
      </c>
      <c r="F56" s="782">
        <f t="shared" si="6"/>
        <v>906134.76999999909</v>
      </c>
      <c r="G56" s="782">
        <f t="shared" si="6"/>
        <v>-94319</v>
      </c>
      <c r="H56" s="782">
        <f t="shared" si="6"/>
        <v>0.47000000000002728</v>
      </c>
      <c r="I56" s="782">
        <f t="shared" si="6"/>
        <v>0</v>
      </c>
      <c r="J56" s="782">
        <f t="shared" si="6"/>
        <v>-241624</v>
      </c>
      <c r="K56" s="782">
        <f t="shared" si="6"/>
        <v>-1014555</v>
      </c>
      <c r="L56" s="782">
        <f t="shared" si="6"/>
        <v>-3145348</v>
      </c>
      <c r="M56" s="782">
        <f t="shared" si="6"/>
        <v>-622676</v>
      </c>
      <c r="N56" s="782">
        <f t="shared" si="6"/>
        <v>44086504.730000004</v>
      </c>
      <c r="O56" s="782">
        <f t="shared" si="6"/>
        <v>950362</v>
      </c>
      <c r="P56" s="782">
        <f t="shared" si="6"/>
        <v>6861068.0086600007</v>
      </c>
      <c r="Q56" s="782">
        <f t="shared" si="6"/>
        <v>49997210.73866</v>
      </c>
      <c r="R56" s="779">
        <f>+Q56-'ECP19'!P67</f>
        <v>15876698.9047774</v>
      </c>
    </row>
    <row r="57" spans="1:19">
      <c r="B57" s="791">
        <f>+B56-'Planilla final'!B55</f>
        <v>26270721</v>
      </c>
      <c r="C57" s="791">
        <f>+C56-'Planilla final'!C55</f>
        <v>-9579131</v>
      </c>
      <c r="D57" s="791">
        <f>+D56-'Planilla final'!D55</f>
        <v>-2417548.9099999997</v>
      </c>
      <c r="E57" s="791">
        <f>+E56-'Planilla final'!E55</f>
        <v>0</v>
      </c>
      <c r="F57" s="791">
        <f>+F56-'Planilla final'!F55</f>
        <v>-2607699.7700000009</v>
      </c>
      <c r="G57" s="791">
        <f>+G56-'Planilla final'!G55</f>
        <v>0.19000000000232831</v>
      </c>
      <c r="H57" s="791">
        <f>+H56-'Planilla final'!H55</f>
        <v>0.47000000000002728</v>
      </c>
      <c r="I57" s="791">
        <f>+I56-'Planilla final'!I55</f>
        <v>0</v>
      </c>
      <c r="J57" s="791">
        <f>+J56-'Planilla final'!K55</f>
        <v>-241624</v>
      </c>
      <c r="K57" s="791">
        <f>+K56-'Planilla final'!L55</f>
        <v>-1014555</v>
      </c>
      <c r="L57" s="791">
        <f>+L56-'Planilla final'!M55</f>
        <v>827925.83000000007</v>
      </c>
      <c r="M57" s="791">
        <f>+M56-'Planilla final'!N55</f>
        <v>-622676</v>
      </c>
      <c r="N57" s="791">
        <f>+N56-'Planilla final'!O55</f>
        <v>-3590074.1899999976</v>
      </c>
      <c r="O57" s="791">
        <f>+O56-'Planilla final'!P55</f>
        <v>950362</v>
      </c>
      <c r="P57" s="791">
        <f>+P56-'Planilla final'!Q55</f>
        <v>6861068.0086600007</v>
      </c>
      <c r="Q57" s="791">
        <f>+Q56-'Planilla final'!R55</f>
        <v>2320631.8186599985</v>
      </c>
      <c r="S57" s="446"/>
    </row>
    <row r="58" spans="1:19">
      <c r="A58" s="777" t="s">
        <v>786</v>
      </c>
      <c r="B58" s="451"/>
      <c r="C58" s="451"/>
      <c r="D58" s="451"/>
      <c r="E58" s="451"/>
      <c r="F58" s="451"/>
      <c r="G58" s="451"/>
      <c r="H58" s="451"/>
      <c r="I58" s="451"/>
      <c r="J58" s="451"/>
      <c r="K58" s="451"/>
      <c r="L58" s="451"/>
      <c r="M58" s="451"/>
      <c r="N58" s="451"/>
      <c r="O58" s="784"/>
      <c r="P58" s="784"/>
      <c r="Q58" s="451"/>
    </row>
    <row r="59" spans="1:19">
      <c r="A59" s="592" t="s">
        <v>766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>
        <f>SUM(B59:M59)</f>
        <v>0</v>
      </c>
      <c r="P59" s="778">
        <f>+'AD ESF'!E164</f>
        <v>7673392</v>
      </c>
      <c r="Q59" s="454">
        <f>+N59+P59-O59</f>
        <v>7673392</v>
      </c>
      <c r="R59" s="779">
        <f>+Q59-'ECP19'!R47</f>
        <v>-0.41977738030254841</v>
      </c>
    </row>
    <row r="60" spans="1:19">
      <c r="A60" s="592" t="s">
        <v>787</v>
      </c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785">
        <f>+'AD ESF'!D188</f>
        <v>3200</v>
      </c>
      <c r="P60" s="778">
        <f>+'AD ESF'!E224</f>
        <v>3200</v>
      </c>
      <c r="Q60" s="454">
        <f>+N60+P60-O60</f>
        <v>0</v>
      </c>
      <c r="R60" s="779"/>
    </row>
    <row r="61" spans="1:19" ht="30">
      <c r="A61" s="780" t="s">
        <v>788</v>
      </c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778">
        <f>+'AD ESF'!D182</f>
        <v>839638.00866000052</v>
      </c>
      <c r="P61" s="778"/>
      <c r="Q61" s="454">
        <f>+N61+P61-O61</f>
        <v>-839638.00866000052</v>
      </c>
    </row>
    <row r="62" spans="1:19">
      <c r="A62" s="592" t="s">
        <v>745</v>
      </c>
      <c r="B62" s="455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>
        <f>SUM(B62:M62)</f>
        <v>0</v>
      </c>
      <c r="O62" s="778"/>
      <c r="P62" s="778">
        <f>+'AD ESF'!E170</f>
        <v>1188714</v>
      </c>
      <c r="Q62" s="454">
        <f>+N62+P62-O62</f>
        <v>1188714</v>
      </c>
    </row>
    <row r="63" spans="1:19">
      <c r="A63" s="781" t="s">
        <v>770</v>
      </c>
      <c r="B63" s="788"/>
      <c r="C63" s="788"/>
      <c r="D63" s="788"/>
      <c r="E63" s="788">
        <f t="shared" ref="E63:N63" si="7">SUM(E59:E62)</f>
        <v>0</v>
      </c>
      <c r="F63" s="788">
        <f t="shared" si="7"/>
        <v>0</v>
      </c>
      <c r="G63" s="788">
        <f t="shared" si="7"/>
        <v>0</v>
      </c>
      <c r="H63" s="788">
        <f t="shared" si="7"/>
        <v>0</v>
      </c>
      <c r="I63" s="788">
        <f t="shared" si="7"/>
        <v>0</v>
      </c>
      <c r="J63" s="788">
        <f t="shared" si="7"/>
        <v>0</v>
      </c>
      <c r="K63" s="788">
        <f t="shared" si="7"/>
        <v>0</v>
      </c>
      <c r="L63" s="788">
        <f t="shared" si="7"/>
        <v>0</v>
      </c>
      <c r="M63" s="788">
        <f t="shared" si="7"/>
        <v>0</v>
      </c>
      <c r="N63" s="788">
        <f t="shared" si="7"/>
        <v>0</v>
      </c>
      <c r="O63" s="782">
        <f>SUM(O60:O62)</f>
        <v>842838.00866000052</v>
      </c>
      <c r="P63" s="782">
        <f>SUM(P59:P62)</f>
        <v>8865306</v>
      </c>
      <c r="Q63" s="782">
        <f>SUM(Q59:Q62)</f>
        <v>8022467.9913399993</v>
      </c>
    </row>
    <row r="64" spans="1:19">
      <c r="A64" s="600"/>
      <c r="B64" s="600"/>
      <c r="C64" s="600"/>
      <c r="D64" s="600"/>
      <c r="E64" s="600"/>
      <c r="F64" s="600"/>
      <c r="G64" s="600"/>
      <c r="H64" s="600"/>
      <c r="I64" s="600"/>
      <c r="J64" s="600"/>
      <c r="K64" s="600"/>
      <c r="L64" s="600"/>
      <c r="M64" s="600"/>
      <c r="N64" s="600"/>
      <c r="O64" s="792">
        <f>+O63-'Planilla final'!P56</f>
        <v>842838.00866000052</v>
      </c>
      <c r="P64" s="792">
        <f>+P63-'Planilla final'!Q56</f>
        <v>8865306</v>
      </c>
      <c r="Q64" s="793">
        <f>+Q63-'Planilla final'!R56</f>
        <v>8022467.9913399993</v>
      </c>
    </row>
    <row r="65" spans="1:19">
      <c r="A65" s="786" t="s">
        <v>789</v>
      </c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84"/>
      <c r="P65" s="784"/>
      <c r="Q65" s="451"/>
    </row>
    <row r="66" spans="1:19">
      <c r="A66" s="455" t="s">
        <v>766</v>
      </c>
      <c r="B66" s="778">
        <f t="shared" ref="B66:M66" si="8">+B6+B13+B18+B24+B29+B34+B44+B49+B39+B59</f>
        <v>81406978.560000002</v>
      </c>
      <c r="C66" s="778">
        <f t="shared" si="8"/>
        <v>32856864.460000001</v>
      </c>
      <c r="D66" s="778">
        <f t="shared" si="8"/>
        <v>2032366.94</v>
      </c>
      <c r="E66" s="778">
        <f t="shared" si="8"/>
        <v>119191</v>
      </c>
      <c r="F66" s="778">
        <f t="shared" si="8"/>
        <v>-1090515</v>
      </c>
      <c r="G66" s="778">
        <f t="shared" si="8"/>
        <v>360238</v>
      </c>
      <c r="H66" s="778">
        <f t="shared" si="8"/>
        <v>7988.47</v>
      </c>
      <c r="I66" s="778">
        <f t="shared" si="8"/>
        <v>10000</v>
      </c>
      <c r="J66" s="778">
        <f t="shared" si="8"/>
        <v>1178814</v>
      </c>
      <c r="K66" s="778">
        <f t="shared" si="8"/>
        <v>821390.65999999992</v>
      </c>
      <c r="L66" s="778">
        <f t="shared" si="8"/>
        <v>-494304.10000000015</v>
      </c>
      <c r="M66" s="778">
        <f t="shared" si="8"/>
        <v>-574524</v>
      </c>
      <c r="N66" s="778">
        <f>SUM(B66:M66)</f>
        <v>116634488.99000001</v>
      </c>
      <c r="O66" s="778">
        <f>+O6+O13+O18+O24+O29+O34+O44+O49+O39+O59</f>
        <v>47289417</v>
      </c>
      <c r="P66" s="778">
        <f>+P6+P13+P18+P24+P29+P34+P44+P49+P39+P59</f>
        <v>13633078</v>
      </c>
      <c r="Q66" s="778">
        <f>+P66+N66-O66</f>
        <v>82978149.99000001</v>
      </c>
      <c r="R66" s="779">
        <f>+Q66-'ECP19'!T47</f>
        <v>-5.9999987483024597E-2</v>
      </c>
    </row>
    <row r="67" spans="1:19">
      <c r="A67" s="592" t="s">
        <v>783</v>
      </c>
      <c r="B67" s="778">
        <v>-1770198</v>
      </c>
      <c r="C67" s="778"/>
      <c r="D67" s="778"/>
      <c r="E67" s="778"/>
      <c r="F67" s="790"/>
      <c r="G67" s="778"/>
      <c r="H67" s="778"/>
      <c r="I67" s="778"/>
      <c r="J67" s="790"/>
      <c r="K67" s="778"/>
      <c r="L67" s="778"/>
      <c r="M67" s="778"/>
      <c r="N67" s="778">
        <f>SUM(B67:M67)</f>
        <v>-1770198</v>
      </c>
      <c r="O67" s="778"/>
      <c r="P67" s="778"/>
      <c r="Q67" s="454">
        <f>+N67+P67-O67</f>
        <v>-1770198</v>
      </c>
      <c r="R67" s="779"/>
      <c r="S67" s="446"/>
    </row>
    <row r="68" spans="1:19">
      <c r="A68" s="455" t="s">
        <v>790</v>
      </c>
      <c r="B68" s="778">
        <f t="shared" ref="B68:M68" si="9">+B14</f>
        <v>6115000</v>
      </c>
      <c r="C68" s="778">
        <f t="shared" si="9"/>
        <v>4797300</v>
      </c>
      <c r="D68" s="778">
        <f t="shared" si="9"/>
        <v>0</v>
      </c>
      <c r="E68" s="778">
        <f t="shared" si="9"/>
        <v>0</v>
      </c>
      <c r="F68" s="778">
        <f t="shared" si="9"/>
        <v>0</v>
      </c>
      <c r="G68" s="778">
        <f t="shared" si="9"/>
        <v>0</v>
      </c>
      <c r="H68" s="778">
        <f t="shared" si="9"/>
        <v>0</v>
      </c>
      <c r="I68" s="778">
        <f t="shared" si="9"/>
        <v>0</v>
      </c>
      <c r="J68" s="778">
        <f t="shared" si="9"/>
        <v>0</v>
      </c>
      <c r="K68" s="778">
        <f t="shared" si="9"/>
        <v>0</v>
      </c>
      <c r="L68" s="778">
        <f t="shared" si="9"/>
        <v>0</v>
      </c>
      <c r="M68" s="778">
        <f t="shared" si="9"/>
        <v>0</v>
      </c>
      <c r="N68" s="778">
        <f>SUM(B68:M68)</f>
        <v>10912300</v>
      </c>
      <c r="O68" s="778">
        <f>+O14</f>
        <v>4797299</v>
      </c>
      <c r="P68" s="778">
        <f>+P62</f>
        <v>1188714</v>
      </c>
      <c r="Q68" s="778">
        <f>+P68+N68-O68</f>
        <v>7303715</v>
      </c>
    </row>
    <row r="69" spans="1:19">
      <c r="A69" s="455" t="s">
        <v>767</v>
      </c>
      <c r="B69" s="778">
        <f t="shared" ref="B69:N69" si="10">+B7</f>
        <v>-6115000</v>
      </c>
      <c r="C69" s="778">
        <f t="shared" si="10"/>
        <v>0</v>
      </c>
      <c r="D69" s="778">
        <f t="shared" si="10"/>
        <v>0</v>
      </c>
      <c r="E69" s="778">
        <f t="shared" si="10"/>
        <v>-3200</v>
      </c>
      <c r="F69" s="778">
        <f t="shared" si="10"/>
        <v>0</v>
      </c>
      <c r="G69" s="778">
        <f t="shared" si="10"/>
        <v>0</v>
      </c>
      <c r="H69" s="778">
        <f t="shared" si="10"/>
        <v>0</v>
      </c>
      <c r="I69" s="778">
        <f t="shared" si="10"/>
        <v>0</v>
      </c>
      <c r="J69" s="778">
        <f t="shared" si="10"/>
        <v>0</v>
      </c>
      <c r="K69" s="778">
        <f t="shared" si="10"/>
        <v>0</v>
      </c>
      <c r="L69" s="778">
        <f t="shared" si="10"/>
        <v>0</v>
      </c>
      <c r="M69" s="778">
        <f t="shared" si="10"/>
        <v>0</v>
      </c>
      <c r="N69" s="778">
        <f t="shared" si="10"/>
        <v>-6118200</v>
      </c>
      <c r="O69" s="778"/>
      <c r="P69" s="778"/>
      <c r="Q69" s="778">
        <f>+P69+N69-O69</f>
        <v>-6118200</v>
      </c>
    </row>
    <row r="70" spans="1:19">
      <c r="A70" s="455" t="s">
        <v>669</v>
      </c>
      <c r="B70" s="778">
        <f t="shared" ref="B70:M70" si="11">+B53</f>
        <v>-5488035</v>
      </c>
      <c r="C70" s="778">
        <f t="shared" si="11"/>
        <v>0</v>
      </c>
      <c r="D70" s="778">
        <f t="shared" si="11"/>
        <v>0</v>
      </c>
      <c r="E70" s="778">
        <f t="shared" si="11"/>
        <v>0</v>
      </c>
      <c r="F70" s="778">
        <f t="shared" si="11"/>
        <v>0</v>
      </c>
      <c r="G70" s="778">
        <f t="shared" si="11"/>
        <v>0</v>
      </c>
      <c r="H70" s="778">
        <f t="shared" si="11"/>
        <v>0</v>
      </c>
      <c r="I70" s="778">
        <f t="shared" si="11"/>
        <v>0</v>
      </c>
      <c r="J70" s="778">
        <f t="shared" si="11"/>
        <v>0</v>
      </c>
      <c r="K70" s="778">
        <f t="shared" si="11"/>
        <v>0</v>
      </c>
      <c r="L70" s="778">
        <f t="shared" si="11"/>
        <v>0</v>
      </c>
      <c r="M70" s="778">
        <f t="shared" si="11"/>
        <v>0</v>
      </c>
      <c r="N70" s="778">
        <f>SUM(B70:M70)</f>
        <v>-5488035</v>
      </c>
      <c r="O70" s="778"/>
      <c r="P70" s="778"/>
      <c r="Q70" s="778">
        <f>+P70+N70-O70</f>
        <v>-5488035</v>
      </c>
    </row>
    <row r="71" spans="1:19">
      <c r="A71" s="455" t="s">
        <v>791</v>
      </c>
      <c r="B71" s="778">
        <f>+B54</f>
        <v>0</v>
      </c>
      <c r="C71" s="778">
        <f>+C54</f>
        <v>37386</v>
      </c>
      <c r="D71" s="778">
        <f>+D54</f>
        <v>0</v>
      </c>
      <c r="E71" s="778">
        <f>+E54+E20+E8</f>
        <v>-115991</v>
      </c>
      <c r="F71" s="778">
        <f>+F54</f>
        <v>1173951</v>
      </c>
      <c r="G71" s="778">
        <f>+G54</f>
        <v>0</v>
      </c>
      <c r="H71" s="778">
        <f>H30+H54</f>
        <v>-2988</v>
      </c>
      <c r="I71" s="778">
        <f>+I54</f>
        <v>0</v>
      </c>
      <c r="J71" s="778">
        <f>+J54</f>
        <v>0</v>
      </c>
      <c r="K71" s="778">
        <f>+K54</f>
        <v>-1728</v>
      </c>
      <c r="L71" s="778">
        <f>+L40</f>
        <v>-151290</v>
      </c>
      <c r="M71" s="778">
        <f>+M54</f>
        <v>-38152</v>
      </c>
      <c r="N71" s="778">
        <f>SUM(B71:M71)</f>
        <v>901188</v>
      </c>
      <c r="O71" s="778">
        <f>+O60+O54</f>
        <v>953562</v>
      </c>
      <c r="P71" s="778">
        <f>+P40+P7+P20+P30+P60+P8+P54</f>
        <v>276669</v>
      </c>
      <c r="Q71" s="778">
        <f>+P71+N71-O71</f>
        <v>224295</v>
      </c>
    </row>
    <row r="72" spans="1:19" ht="30">
      <c r="A72" s="794" t="s">
        <v>788</v>
      </c>
      <c r="B72" s="778">
        <f t="shared" ref="B72:M72" si="12">+B55+B35</f>
        <v>30276475.600000001</v>
      </c>
      <c r="C72" s="778">
        <f t="shared" si="12"/>
        <v>-5325487</v>
      </c>
      <c r="D72" s="778">
        <f t="shared" si="12"/>
        <v>181072</v>
      </c>
      <c r="E72" s="778">
        <f t="shared" si="12"/>
        <v>0</v>
      </c>
      <c r="F72" s="778">
        <f t="shared" si="12"/>
        <v>955363.76999999909</v>
      </c>
      <c r="G72" s="778">
        <f t="shared" si="12"/>
        <v>-13474</v>
      </c>
      <c r="H72" s="778">
        <f t="shared" si="12"/>
        <v>0</v>
      </c>
      <c r="I72" s="778">
        <f t="shared" si="12"/>
        <v>0</v>
      </c>
      <c r="J72" s="778">
        <f t="shared" si="12"/>
        <v>-40586</v>
      </c>
      <c r="K72" s="778">
        <f t="shared" si="12"/>
        <v>0</v>
      </c>
      <c r="L72" s="778">
        <f t="shared" si="12"/>
        <v>1634914</v>
      </c>
      <c r="M72" s="778">
        <f t="shared" si="12"/>
        <v>0</v>
      </c>
      <c r="N72" s="778">
        <f>SUM(B72:M72)</f>
        <v>27668278.370000001</v>
      </c>
      <c r="O72" s="778">
        <f>+O55+O61</f>
        <v>839638.00866000052</v>
      </c>
      <c r="P72" s="778">
        <f>+P55</f>
        <v>839638.00866000052</v>
      </c>
      <c r="Q72" s="778">
        <f>+P72+N72-O72</f>
        <v>27668278.370000001</v>
      </c>
    </row>
    <row r="73" spans="1:19">
      <c r="A73" s="781" t="s">
        <v>770</v>
      </c>
      <c r="B73" s="782">
        <f t="shared" ref="B73:M73" si="13">SUM(B66:B72)</f>
        <v>104425221.16</v>
      </c>
      <c r="C73" s="782">
        <f t="shared" si="13"/>
        <v>32366063.460000001</v>
      </c>
      <c r="D73" s="782">
        <f t="shared" si="13"/>
        <v>2213438.94</v>
      </c>
      <c r="E73" s="782">
        <f t="shared" si="13"/>
        <v>0</v>
      </c>
      <c r="F73" s="782">
        <f t="shared" si="13"/>
        <v>1038799.7699999991</v>
      </c>
      <c r="G73" s="782">
        <f t="shared" si="13"/>
        <v>346764</v>
      </c>
      <c r="H73" s="782">
        <f t="shared" si="13"/>
        <v>5000.47</v>
      </c>
      <c r="I73" s="782">
        <f t="shared" si="13"/>
        <v>10000</v>
      </c>
      <c r="J73" s="782">
        <f t="shared" si="13"/>
        <v>1138228</v>
      </c>
      <c r="K73" s="782">
        <f t="shared" si="13"/>
        <v>819662.65999999992</v>
      </c>
      <c r="L73" s="782">
        <f t="shared" si="13"/>
        <v>989319.89999999991</v>
      </c>
      <c r="M73" s="782">
        <f t="shared" si="13"/>
        <v>-612676</v>
      </c>
      <c r="N73" s="782">
        <f>SUM(B73:M73)</f>
        <v>142739822.36000001</v>
      </c>
      <c r="O73" s="782">
        <f>SUM(O66:O72)</f>
        <v>53879916.008660004</v>
      </c>
      <c r="P73" s="782">
        <f>SUM(P66:P72)</f>
        <v>15938099.00866</v>
      </c>
      <c r="Q73" s="782">
        <f>SUM(Q66:Q72)</f>
        <v>104798005.36000001</v>
      </c>
      <c r="R73" s="779">
        <f>+Q73-'ECP19'!T67</f>
        <v>16297108.840000018</v>
      </c>
    </row>
    <row r="74" spans="1:19">
      <c r="A74" s="774"/>
      <c r="B74" s="779">
        <f>+B73-'Planilla final'!B57</f>
        <v>4455888.9600000083</v>
      </c>
      <c r="C74" s="779">
        <f>+C73-'Planilla final'!C57</f>
        <v>32366063.460000001</v>
      </c>
      <c r="D74" s="779">
        <f>+D73-'Planilla final'!D57</f>
        <v>-2816730.89</v>
      </c>
      <c r="E74" s="779">
        <f>+E73-'Planilla final'!E57</f>
        <v>0</v>
      </c>
      <c r="F74" s="779">
        <f>+F73-'Planilla final'!F57</f>
        <v>-10930398.539999999</v>
      </c>
      <c r="G74" s="779">
        <f>+G73-'Planilla final'!G57</f>
        <v>-331439.45999999996</v>
      </c>
      <c r="H74" s="779">
        <f>+H73-'Planilla final'!H57</f>
        <v>5000.47</v>
      </c>
      <c r="I74" s="779">
        <f>+I73-'Planilla final'!I57</f>
        <v>10000</v>
      </c>
      <c r="J74" s="779">
        <f>+J73-'Planilla final'!K57</f>
        <v>1138228</v>
      </c>
      <c r="K74" s="779">
        <f>+K73-'Planilla final'!L57</f>
        <v>819662.65999999992</v>
      </c>
      <c r="L74" s="779">
        <f>+L73-'Planilla final'!M57</f>
        <v>494826.55000000028</v>
      </c>
      <c r="M74" s="779">
        <f>+M73-'Planilla final'!N57</f>
        <v>-612676</v>
      </c>
      <c r="N74" s="779">
        <f>+N73-'Planilla final'!O57</f>
        <v>-10906514.789999992</v>
      </c>
      <c r="O74" s="779">
        <f>+O73-'Planilla final'!P57</f>
        <v>53879916.008660004</v>
      </c>
      <c r="P74" s="779">
        <f>+P73-'Planilla final'!Q57</f>
        <v>15938099.00866</v>
      </c>
      <c r="Q74" s="779">
        <f>+Q73-'Planilla final'!R57</f>
        <v>-48848331.789999992</v>
      </c>
    </row>
    <row r="75" spans="1:19">
      <c r="B75" s="4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80"/>
  <sheetViews>
    <sheetView showGridLines="0" topLeftCell="A4" zoomScaleNormal="100" workbookViewId="0">
      <pane xSplit="1" ySplit="1" topLeftCell="AB51" activePane="bottomRight" state="frozen"/>
      <selection activeCell="A4" sqref="A4"/>
      <selection pane="topRight" activeCell="AB4" sqref="AB4"/>
      <selection pane="bottomLeft" activeCell="A51" sqref="A51"/>
      <selection pane="bottomRight" activeCell="A67" sqref="A67"/>
    </sheetView>
  </sheetViews>
  <sheetFormatPr defaultColWidth="11.42578125" defaultRowHeight="15" outlineLevelCol="1"/>
  <cols>
    <col min="1" max="1" width="61.28515625" style="419" customWidth="1"/>
    <col min="2" max="2" width="9" style="419" customWidth="1"/>
    <col min="3" max="3" width="11.42578125" style="419"/>
    <col min="4" max="4" width="1" style="419" customWidth="1"/>
    <col min="5" max="5" width="11.42578125" style="419"/>
    <col min="6" max="7" width="11.5703125" style="419" hidden="1" customWidth="1"/>
    <col min="8" max="8" width="11.5703125" style="419" hidden="1" customWidth="1" outlineLevel="1"/>
    <col min="9" max="9" width="12.42578125" style="419" hidden="1" customWidth="1" outlineLevel="1"/>
    <col min="10" max="19" width="11.42578125" style="419" hidden="1" outlineLevel="1"/>
    <col min="20" max="20" width="12" style="419" hidden="1" customWidth="1" outlineLevel="1"/>
    <col min="21" max="22" width="11.42578125" style="419" hidden="1" outlineLevel="1"/>
    <col min="23" max="23" width="12.140625" style="419" hidden="1" customWidth="1" outlineLevel="1"/>
    <col min="24" max="24" width="11" style="419" customWidth="1"/>
    <col min="25" max="1024" width="11.42578125" style="419"/>
  </cols>
  <sheetData>
    <row r="1" spans="1:24">
      <c r="A1" s="795" t="s">
        <v>390</v>
      </c>
      <c r="B1" s="795"/>
    </row>
    <row r="2" spans="1:24">
      <c r="A2" s="796" t="s">
        <v>792</v>
      </c>
      <c r="B2" s="797"/>
      <c r="C2" s="798"/>
      <c r="D2" s="798"/>
      <c r="E2" s="798"/>
      <c r="F2" s="798"/>
      <c r="G2" s="798"/>
    </row>
    <row r="3" spans="1:24">
      <c r="A3" s="796" t="s">
        <v>457</v>
      </c>
      <c r="B3" s="797"/>
      <c r="C3" s="798"/>
      <c r="D3" s="798"/>
      <c r="E3" s="798"/>
      <c r="F3" s="798"/>
      <c r="G3" s="798"/>
    </row>
    <row r="4" spans="1:24" ht="24" customHeight="1">
      <c r="A4" s="798"/>
      <c r="B4" s="799" t="s">
        <v>793</v>
      </c>
      <c r="C4" s="800">
        <v>2019</v>
      </c>
      <c r="D4" s="800"/>
      <c r="E4" s="800">
        <v>2018</v>
      </c>
      <c r="F4" s="801">
        <v>2017</v>
      </c>
      <c r="G4" s="800">
        <v>2016</v>
      </c>
      <c r="H4" s="802" t="s">
        <v>794</v>
      </c>
      <c r="I4" s="803" t="s">
        <v>795</v>
      </c>
      <c r="J4" s="471" t="s">
        <v>796</v>
      </c>
      <c r="K4" s="471" t="s">
        <v>797</v>
      </c>
      <c r="L4" s="471" t="s">
        <v>798</v>
      </c>
      <c r="M4" s="471" t="s">
        <v>799</v>
      </c>
      <c r="N4" s="471" t="s">
        <v>800</v>
      </c>
      <c r="O4" s="471" t="s">
        <v>801</v>
      </c>
      <c r="P4" s="471" t="s">
        <v>802</v>
      </c>
      <c r="Q4" s="471" t="s">
        <v>803</v>
      </c>
      <c r="R4" s="471" t="s">
        <v>804</v>
      </c>
      <c r="S4" s="471" t="s">
        <v>805</v>
      </c>
      <c r="T4" s="471" t="s">
        <v>259</v>
      </c>
      <c r="U4" s="471" t="s">
        <v>18</v>
      </c>
      <c r="V4" s="471" t="s">
        <v>19</v>
      </c>
      <c r="W4" s="471" t="s">
        <v>806</v>
      </c>
    </row>
    <row r="5" spans="1:24">
      <c r="A5" s="796" t="s">
        <v>807</v>
      </c>
      <c r="B5" s="804"/>
      <c r="C5" s="796"/>
      <c r="D5" s="796"/>
      <c r="E5" s="796"/>
      <c r="F5" s="798"/>
      <c r="G5" s="798"/>
      <c r="H5" s="426"/>
      <c r="I5" s="426"/>
      <c r="J5" s="426"/>
      <c r="K5" s="426"/>
      <c r="L5" s="426"/>
      <c r="M5" s="426"/>
      <c r="N5" s="426"/>
      <c r="O5" s="426"/>
      <c r="P5" s="426"/>
      <c r="Q5" s="426"/>
      <c r="R5" s="426"/>
      <c r="S5" s="426"/>
      <c r="T5" s="426"/>
      <c r="U5" s="426"/>
      <c r="V5" s="426"/>
      <c r="W5" s="426"/>
      <c r="X5" s="426"/>
    </row>
    <row r="6" spans="1:24">
      <c r="A6" s="798" t="s">
        <v>808</v>
      </c>
      <c r="B6" s="804"/>
      <c r="C6" s="491">
        <f>+W6</f>
        <v>33287133.330000002</v>
      </c>
      <c r="D6" s="491"/>
      <c r="E6" s="491">
        <f>+'ERI19'!H16+'ERI19'!H18</f>
        <v>9161391</v>
      </c>
      <c r="F6" s="491">
        <f>+'ERI19'!J16+'ERI19'!J18</f>
        <v>7513500.0499999896</v>
      </c>
      <c r="G6" s="491">
        <f>+'ERI19'!L16+'ERI19'!L18</f>
        <v>11332586</v>
      </c>
      <c r="H6" s="420">
        <f>+'Planilla final'!B68+'Planilla final'!B69</f>
        <v>31376175.600000001</v>
      </c>
      <c r="I6" s="420">
        <f>+'Planilla final'!C68+'Planilla final'!C69</f>
        <v>0</v>
      </c>
      <c r="J6" s="420">
        <f>+'Planilla final'!D68+'Planilla final'!D69</f>
        <v>399181.97999999992</v>
      </c>
      <c r="K6" s="420">
        <f>+'Planilla final'!E68+'Planilla final'!E69</f>
        <v>0</v>
      </c>
      <c r="L6" s="420">
        <f>+'Planilla final'!F68+'Planilla final'!F69</f>
        <v>955363.76999999909</v>
      </c>
      <c r="M6" s="420">
        <f>+'Planilla final'!G68+'Planilla final'!G69</f>
        <v>331439.17</v>
      </c>
      <c r="N6" s="420">
        <f>+'Planilla final'!H68+'Planilla final'!H69</f>
        <v>0</v>
      </c>
      <c r="O6" s="420">
        <f>+'Planilla final'!I68+'Planilla final'!I69</f>
        <v>0</v>
      </c>
      <c r="P6" s="420">
        <f>+'Planilla final'!K68+'Planilla final'!K69</f>
        <v>0</v>
      </c>
      <c r="Q6" s="420">
        <f>+'Planilla final'!L68+'Planilla final'!L69</f>
        <v>0</v>
      </c>
      <c r="R6" s="420">
        <f>+'Planilla final'!M68+'Planilla final'!M69</f>
        <v>224972.81000000006</v>
      </c>
      <c r="S6" s="420">
        <f>+'Planilla final'!N68+'Planilla final'!N69</f>
        <v>0</v>
      </c>
      <c r="T6" s="420">
        <f t="shared" ref="T6:T20" si="0">SUM(H6:S6)</f>
        <v>33287133.330000002</v>
      </c>
      <c r="U6" s="420">
        <f>+'Planilla final'!P73</f>
        <v>0</v>
      </c>
      <c r="V6" s="420">
        <f>+'Planilla final'!Q73</f>
        <v>0</v>
      </c>
      <c r="W6" s="420">
        <f>+T6+V6-U6</f>
        <v>33287133.330000002</v>
      </c>
      <c r="X6" s="577"/>
    </row>
    <row r="7" spans="1:24">
      <c r="A7" s="805" t="s">
        <v>809</v>
      </c>
      <c r="B7" s="806"/>
      <c r="C7" s="491"/>
      <c r="D7" s="491"/>
      <c r="E7" s="807"/>
      <c r="F7" s="491"/>
      <c r="G7" s="491"/>
      <c r="H7" s="426"/>
      <c r="I7" s="420"/>
      <c r="J7" s="420"/>
      <c r="K7" s="420"/>
      <c r="L7" s="420"/>
      <c r="M7" s="420"/>
      <c r="N7" s="420"/>
      <c r="O7" s="420"/>
      <c r="P7" s="420"/>
      <c r="Q7" s="420"/>
      <c r="R7" s="420"/>
      <c r="S7" s="420"/>
      <c r="T7" s="420">
        <f t="shared" si="0"/>
        <v>0</v>
      </c>
      <c r="U7" s="420"/>
      <c r="V7" s="420"/>
      <c r="W7" s="420"/>
      <c r="X7" s="577"/>
    </row>
    <row r="8" spans="1:24">
      <c r="A8" s="808" t="s">
        <v>810</v>
      </c>
      <c r="B8" s="806">
        <v>8</v>
      </c>
      <c r="C8" s="491">
        <f t="shared" ref="C8:C14" si="1">+W8</f>
        <v>49654</v>
      </c>
      <c r="D8" s="491"/>
      <c r="E8" s="491">
        <v>23826</v>
      </c>
      <c r="F8" s="491">
        <v>200000</v>
      </c>
      <c r="G8" s="491">
        <v>1319177</v>
      </c>
      <c r="H8" s="420">
        <v>49654</v>
      </c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>
        <f t="shared" si="0"/>
        <v>49654</v>
      </c>
      <c r="U8" s="420"/>
      <c r="V8" s="420"/>
      <c r="W8" s="420">
        <f t="shared" ref="W8:W14" si="2">+T8+U8-V8</f>
        <v>49654</v>
      </c>
      <c r="X8" s="420"/>
    </row>
    <row r="9" spans="1:24">
      <c r="A9" s="808" t="s">
        <v>811</v>
      </c>
      <c r="B9" s="806">
        <v>10</v>
      </c>
      <c r="C9" s="491">
        <f t="shared" si="1"/>
        <v>1812247</v>
      </c>
      <c r="D9" s="491"/>
      <c r="E9" s="491">
        <v>2607519</v>
      </c>
      <c r="F9" s="491">
        <v>2268000</v>
      </c>
      <c r="G9" s="491">
        <v>812940</v>
      </c>
      <c r="H9" s="420">
        <v>1812247</v>
      </c>
      <c r="I9" s="420"/>
      <c r="J9" s="420"/>
      <c r="K9" s="420"/>
      <c r="L9" s="420"/>
      <c r="M9" s="420"/>
      <c r="N9" s="420"/>
      <c r="O9" s="420"/>
      <c r="P9" s="420"/>
      <c r="Q9" s="420"/>
      <c r="R9" s="420"/>
      <c r="S9" s="420"/>
      <c r="T9" s="420">
        <f t="shared" si="0"/>
        <v>1812247</v>
      </c>
      <c r="U9" s="420"/>
      <c r="V9" s="420"/>
      <c r="W9" s="420">
        <f t="shared" si="2"/>
        <v>1812247</v>
      </c>
      <c r="X9" s="577"/>
    </row>
    <row r="10" spans="1:24">
      <c r="A10" s="808" t="s">
        <v>812</v>
      </c>
      <c r="B10" s="806">
        <v>12</v>
      </c>
      <c r="C10" s="491">
        <f t="shared" si="1"/>
        <v>21515684</v>
      </c>
      <c r="D10" s="491"/>
      <c r="E10" s="491">
        <v>21563431</v>
      </c>
      <c r="F10" s="491">
        <v>17782846</v>
      </c>
      <c r="G10" s="491">
        <v>17607176</v>
      </c>
      <c r="H10" s="420">
        <v>18732617</v>
      </c>
      <c r="I10" s="420">
        <v>2330698</v>
      </c>
      <c r="J10" s="420">
        <v>178996</v>
      </c>
      <c r="K10" s="420"/>
      <c r="L10" s="420"/>
      <c r="M10" s="420">
        <v>13474</v>
      </c>
      <c r="N10" s="420"/>
      <c r="O10" s="420"/>
      <c r="P10" s="420">
        <v>40856</v>
      </c>
      <c r="Q10" s="420">
        <v>134304</v>
      </c>
      <c r="R10" s="420">
        <v>23512</v>
      </c>
      <c r="S10" s="420">
        <v>104244</v>
      </c>
      <c r="T10" s="420">
        <f t="shared" si="0"/>
        <v>21558701</v>
      </c>
      <c r="U10" s="420"/>
      <c r="V10" s="420">
        <f>21558701-21515684</f>
        <v>43017</v>
      </c>
      <c r="W10" s="420">
        <f t="shared" si="2"/>
        <v>21515684</v>
      </c>
      <c r="X10" s="420"/>
    </row>
    <row r="11" spans="1:24">
      <c r="A11" s="808" t="s">
        <v>813</v>
      </c>
      <c r="B11" s="806">
        <v>13</v>
      </c>
      <c r="C11" s="491">
        <f t="shared" si="1"/>
        <v>39210</v>
      </c>
      <c r="D11" s="491"/>
      <c r="E11" s="491">
        <v>37744</v>
      </c>
      <c r="F11" s="491">
        <v>39210</v>
      </c>
      <c r="G11" s="491">
        <v>39210</v>
      </c>
      <c r="H11" s="420">
        <v>39210</v>
      </c>
      <c r="I11" s="420"/>
      <c r="J11" s="420"/>
      <c r="K11" s="420"/>
      <c r="L11" s="420"/>
      <c r="M11" s="420"/>
      <c r="N11" s="420"/>
      <c r="O11" s="420"/>
      <c r="P11" s="420"/>
      <c r="Q11" s="420"/>
      <c r="R11" s="420"/>
      <c r="S11" s="420"/>
      <c r="T11" s="420">
        <f t="shared" si="0"/>
        <v>39210</v>
      </c>
      <c r="U11" s="420"/>
      <c r="V11" s="420"/>
      <c r="W11" s="420">
        <f t="shared" si="2"/>
        <v>39210</v>
      </c>
      <c r="X11" s="577"/>
    </row>
    <row r="12" spans="1:24">
      <c r="A12" s="808" t="s">
        <v>814</v>
      </c>
      <c r="B12" s="806">
        <v>17</v>
      </c>
      <c r="C12" s="809">
        <f t="shared" si="1"/>
        <v>1484293</v>
      </c>
      <c r="D12" s="809"/>
      <c r="E12" s="491">
        <v>0</v>
      </c>
      <c r="F12" s="491"/>
      <c r="G12" s="491"/>
      <c r="H12" s="420">
        <v>1484293</v>
      </c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>
        <f t="shared" si="0"/>
        <v>1484293</v>
      </c>
      <c r="U12" s="420"/>
      <c r="V12" s="420"/>
      <c r="W12" s="420">
        <f t="shared" si="2"/>
        <v>1484293</v>
      </c>
      <c r="X12" s="577"/>
    </row>
    <row r="13" spans="1:24" hidden="1">
      <c r="A13" s="808" t="s">
        <v>815</v>
      </c>
      <c r="B13" s="806"/>
      <c r="C13" s="491">
        <f t="shared" si="1"/>
        <v>0</v>
      </c>
      <c r="D13" s="491"/>
      <c r="E13" s="491"/>
      <c r="F13" s="491">
        <v>0</v>
      </c>
      <c r="G13" s="491">
        <v>169491</v>
      </c>
      <c r="H13" s="420"/>
      <c r="I13" s="420"/>
      <c r="J13" s="420"/>
      <c r="K13" s="420"/>
      <c r="L13" s="420"/>
      <c r="M13" s="420"/>
      <c r="N13" s="420"/>
      <c r="O13" s="420"/>
      <c r="P13" s="420"/>
      <c r="Q13" s="420"/>
      <c r="R13" s="420"/>
      <c r="S13" s="420"/>
      <c r="T13" s="420">
        <f t="shared" si="0"/>
        <v>0</v>
      </c>
      <c r="U13" s="420"/>
      <c r="V13" s="420"/>
      <c r="W13" s="420">
        <f t="shared" si="2"/>
        <v>0</v>
      </c>
      <c r="X13" s="426"/>
    </row>
    <row r="14" spans="1:24">
      <c r="A14" s="808" t="s">
        <v>816</v>
      </c>
      <c r="B14" s="806">
        <v>14</v>
      </c>
      <c r="C14" s="491">
        <f t="shared" si="1"/>
        <v>2627915</v>
      </c>
      <c r="D14" s="491"/>
      <c r="E14" s="491">
        <v>2185889</v>
      </c>
      <c r="F14" s="491">
        <v>2038777</v>
      </c>
      <c r="G14" s="491">
        <v>2759959</v>
      </c>
      <c r="H14" s="420">
        <v>2692522</v>
      </c>
      <c r="I14" s="420"/>
      <c r="J14" s="420"/>
      <c r="K14" s="420"/>
      <c r="L14" s="420"/>
      <c r="M14" s="420"/>
      <c r="N14" s="420"/>
      <c r="O14" s="420"/>
      <c r="P14" s="420"/>
      <c r="Q14" s="420"/>
      <c r="R14" s="420"/>
      <c r="S14" s="420"/>
      <c r="T14" s="420">
        <f t="shared" si="0"/>
        <v>2692522</v>
      </c>
      <c r="U14" s="420"/>
      <c r="V14" s="420">
        <f>2692522-2627915</f>
        <v>64607</v>
      </c>
      <c r="W14" s="420">
        <f t="shared" si="2"/>
        <v>2627915</v>
      </c>
      <c r="X14" s="426"/>
    </row>
    <row r="15" spans="1:24">
      <c r="A15" s="808" t="s">
        <v>817</v>
      </c>
      <c r="B15" s="806">
        <v>16</v>
      </c>
      <c r="C15" s="491">
        <f>+'ESF19'!F41</f>
        <v>-268373.46999999898</v>
      </c>
      <c r="D15" s="491"/>
      <c r="E15" s="491">
        <v>0</v>
      </c>
      <c r="F15" s="491">
        <v>-42502</v>
      </c>
      <c r="G15" s="491">
        <v>266232</v>
      </c>
      <c r="H15" s="420"/>
      <c r="I15" s="420"/>
      <c r="J15" s="420"/>
      <c r="K15" s="420"/>
      <c r="L15" s="420"/>
      <c r="M15" s="420"/>
      <c r="N15" s="420"/>
      <c r="O15" s="420"/>
      <c r="P15" s="420"/>
      <c r="Q15" s="420"/>
      <c r="R15" s="420"/>
      <c r="S15" s="420"/>
      <c r="T15" s="420">
        <f t="shared" si="0"/>
        <v>0</v>
      </c>
      <c r="U15" s="420"/>
      <c r="V15" s="420">
        <f>+'AD ESF'!E212</f>
        <v>268472.46999999997</v>
      </c>
      <c r="W15" s="420">
        <f>+T15+V15</f>
        <v>268472.46999999997</v>
      </c>
      <c r="X15" s="426"/>
    </row>
    <row r="16" spans="1:24">
      <c r="A16" s="808" t="s">
        <v>818</v>
      </c>
      <c r="B16" s="806"/>
      <c r="C16" s="491">
        <f>+W16</f>
        <v>0</v>
      </c>
      <c r="D16" s="491"/>
      <c r="E16" s="491">
        <v>2417615</v>
      </c>
      <c r="F16" s="491">
        <f>-'ERI19'!J18</f>
        <v>1591304</v>
      </c>
      <c r="G16" s="491">
        <v>1759101</v>
      </c>
      <c r="H16" s="420">
        <f>-'Planilla final'!B69</f>
        <v>0</v>
      </c>
      <c r="I16" s="420">
        <f>-'Planilla final'!C69</f>
        <v>0</v>
      </c>
      <c r="J16" s="420">
        <f>-'Planilla final'!D69</f>
        <v>0</v>
      </c>
      <c r="K16" s="420">
        <f>-'Planilla final'!E69</f>
        <v>0</v>
      </c>
      <c r="L16" s="420">
        <f>-'Planilla final'!F69</f>
        <v>0</v>
      </c>
      <c r="M16" s="420">
        <f>-'Planilla final'!G69</f>
        <v>0</v>
      </c>
      <c r="N16" s="420">
        <f>-'Planilla final'!H69</f>
        <v>0</v>
      </c>
      <c r="O16" s="420">
        <f>-'Planilla final'!I69</f>
        <v>0</v>
      </c>
      <c r="P16" s="420">
        <f>-'Planilla final'!K69</f>
        <v>0</v>
      </c>
      <c r="Q16" s="420">
        <f>-'Planilla final'!L69</f>
        <v>0</v>
      </c>
      <c r="R16" s="420">
        <f>-'Planilla final'!M69</f>
        <v>0</v>
      </c>
      <c r="S16" s="420">
        <f>-'Planilla final'!N69</f>
        <v>0</v>
      </c>
      <c r="T16" s="420">
        <f t="shared" si="0"/>
        <v>0</v>
      </c>
      <c r="U16" s="420"/>
      <c r="V16" s="420"/>
      <c r="W16" s="420">
        <f>+T16+U16-V16</f>
        <v>0</v>
      </c>
      <c r="X16" s="577"/>
    </row>
    <row r="17" spans="1:24">
      <c r="A17" s="808" t="s">
        <v>819</v>
      </c>
      <c r="B17" s="806">
        <v>25</v>
      </c>
      <c r="C17" s="491">
        <f>+W17</f>
        <v>2973618</v>
      </c>
      <c r="D17" s="491"/>
      <c r="E17" s="491">
        <v>1297753</v>
      </c>
      <c r="F17" s="491">
        <v>1546045</v>
      </c>
      <c r="G17" s="491">
        <v>1249002</v>
      </c>
      <c r="H17" s="420">
        <v>2973618</v>
      </c>
      <c r="I17" s="420"/>
      <c r="J17" s="420"/>
      <c r="K17" s="420"/>
      <c r="L17" s="420"/>
      <c r="M17" s="420"/>
      <c r="N17" s="420"/>
      <c r="O17" s="420"/>
      <c r="P17" s="420"/>
      <c r="Q17" s="420">
        <v>0</v>
      </c>
      <c r="R17" s="420"/>
      <c r="S17" s="420"/>
      <c r="T17" s="420">
        <f t="shared" si="0"/>
        <v>2973618</v>
      </c>
      <c r="U17" s="420"/>
      <c r="V17" s="420"/>
      <c r="W17" s="420">
        <f>+T17+U17-V17</f>
        <v>2973618</v>
      </c>
      <c r="X17" s="426"/>
    </row>
    <row r="18" spans="1:24">
      <c r="A18" s="808" t="s">
        <v>820</v>
      </c>
      <c r="B18" s="806"/>
      <c r="C18" s="491">
        <f>+W18</f>
        <v>6346670</v>
      </c>
      <c r="D18" s="491"/>
      <c r="E18" s="491">
        <v>7559526</v>
      </c>
      <c r="F18" s="491">
        <v>3074772</v>
      </c>
      <c r="G18" s="491">
        <v>5177025</v>
      </c>
      <c r="H18" s="547">
        <v>6346670</v>
      </c>
      <c r="I18" s="420"/>
      <c r="J18" s="420"/>
      <c r="K18" s="420"/>
      <c r="L18" s="420"/>
      <c r="M18" s="420"/>
      <c r="N18" s="420"/>
      <c r="O18" s="420"/>
      <c r="P18" s="420"/>
      <c r="Q18" s="420"/>
      <c r="R18" s="420"/>
      <c r="S18" s="420"/>
      <c r="T18" s="420">
        <f t="shared" si="0"/>
        <v>6346670</v>
      </c>
      <c r="U18" s="420"/>
      <c r="V18" s="420"/>
      <c r="W18" s="420">
        <f>+T18+U18-V18</f>
        <v>6346670</v>
      </c>
      <c r="X18" s="426"/>
    </row>
    <row r="19" spans="1:24">
      <c r="A19" s="808" t="s">
        <v>821</v>
      </c>
      <c r="B19" s="806"/>
      <c r="C19" s="491">
        <f>+'ESF19'!T43+'ESF19'!T44</f>
        <v>-1770198</v>
      </c>
      <c r="D19" s="491"/>
      <c r="E19" s="491">
        <f>368434-1986316</f>
        <v>-1617882</v>
      </c>
      <c r="F19" s="491">
        <v>446968</v>
      </c>
      <c r="G19" s="491">
        <v>0</v>
      </c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>
        <f t="shared" si="0"/>
        <v>0</v>
      </c>
      <c r="U19" s="420"/>
      <c r="V19" s="420"/>
      <c r="W19" s="420">
        <f>+T19+U19-V19</f>
        <v>0</v>
      </c>
      <c r="X19" s="426"/>
    </row>
    <row r="20" spans="1:24">
      <c r="A20" s="808" t="s">
        <v>659</v>
      </c>
      <c r="B20" s="806"/>
      <c r="C20" s="491">
        <v>0</v>
      </c>
      <c r="D20" s="491"/>
      <c r="E20" s="491">
        <v>-261500</v>
      </c>
      <c r="F20" s="491"/>
      <c r="G20" s="491">
        <v>0</v>
      </c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>
        <f t="shared" si="0"/>
        <v>0</v>
      </c>
      <c r="U20" s="420"/>
      <c r="V20" s="420"/>
      <c r="W20" s="420">
        <f>+T20+U20-V20</f>
        <v>0</v>
      </c>
      <c r="X20" s="426"/>
    </row>
    <row r="21" spans="1:24">
      <c r="A21" s="808"/>
      <c r="B21" s="806"/>
      <c r="C21" s="810">
        <f>+SUM(C6:C20)</f>
        <v>68097852.859999999</v>
      </c>
      <c r="D21" s="491"/>
      <c r="E21" s="810">
        <f t="shared" ref="E21:W21" si="3">+SUM(E6:E20)</f>
        <v>44975312</v>
      </c>
      <c r="F21" s="491">
        <f t="shared" si="3"/>
        <v>36458920.04999999</v>
      </c>
      <c r="G21" s="491">
        <f t="shared" si="3"/>
        <v>42491899</v>
      </c>
      <c r="H21" s="491">
        <f t="shared" si="3"/>
        <v>65507006.600000001</v>
      </c>
      <c r="I21" s="491">
        <f t="shared" si="3"/>
        <v>2330698</v>
      </c>
      <c r="J21" s="491">
        <f t="shared" si="3"/>
        <v>578177.98</v>
      </c>
      <c r="K21" s="491">
        <f t="shared" si="3"/>
        <v>0</v>
      </c>
      <c r="L21" s="491">
        <f t="shared" si="3"/>
        <v>955363.76999999909</v>
      </c>
      <c r="M21" s="491">
        <f t="shared" si="3"/>
        <v>344913.17</v>
      </c>
      <c r="N21" s="491">
        <f t="shared" si="3"/>
        <v>0</v>
      </c>
      <c r="O21" s="491">
        <f t="shared" si="3"/>
        <v>0</v>
      </c>
      <c r="P21" s="491">
        <f t="shared" si="3"/>
        <v>40856</v>
      </c>
      <c r="Q21" s="491">
        <f t="shared" si="3"/>
        <v>134304</v>
      </c>
      <c r="R21" s="491">
        <f t="shared" si="3"/>
        <v>248484.81000000006</v>
      </c>
      <c r="S21" s="491">
        <f t="shared" si="3"/>
        <v>104244</v>
      </c>
      <c r="T21" s="491">
        <f t="shared" si="3"/>
        <v>70244048.329999998</v>
      </c>
      <c r="U21" s="491">
        <f t="shared" si="3"/>
        <v>0</v>
      </c>
      <c r="V21" s="491">
        <f t="shared" si="3"/>
        <v>376096.47</v>
      </c>
      <c r="W21" s="491">
        <f t="shared" si="3"/>
        <v>70404896.799999997</v>
      </c>
      <c r="X21" s="426"/>
    </row>
    <row r="22" spans="1:24">
      <c r="A22" s="805" t="s">
        <v>822</v>
      </c>
      <c r="B22" s="806"/>
      <c r="C22" s="807"/>
      <c r="D22" s="807"/>
      <c r="E22" s="807"/>
      <c r="F22" s="491"/>
      <c r="G22" s="491"/>
      <c r="H22" s="426"/>
      <c r="I22" s="426"/>
      <c r="J22" s="426"/>
      <c r="K22" s="426"/>
      <c r="L22" s="426"/>
      <c r="M22" s="426"/>
      <c r="N22" s="426"/>
      <c r="O22" s="426"/>
      <c r="P22" s="426"/>
      <c r="Q22" s="426"/>
      <c r="R22" s="426"/>
      <c r="S22" s="426"/>
      <c r="T22" s="426"/>
      <c r="U22" s="426"/>
      <c r="V22" s="426"/>
      <c r="W22" s="426"/>
      <c r="X22" s="426"/>
    </row>
    <row r="23" spans="1:24">
      <c r="A23" s="808" t="s">
        <v>38</v>
      </c>
      <c r="B23" s="806"/>
      <c r="C23" s="807">
        <f>+'ESF19'!F85</f>
        <v>-1804677</v>
      </c>
      <c r="D23" s="807"/>
      <c r="E23" s="807">
        <f>+'ESF19'!J8-'EFE19'!E8</f>
        <v>6208046</v>
      </c>
      <c r="F23" s="491">
        <v>-1300909</v>
      </c>
      <c r="G23" s="491">
        <v>2909073</v>
      </c>
      <c r="H23" s="426"/>
      <c r="I23" s="426"/>
      <c r="J23" s="426"/>
      <c r="K23" s="426"/>
      <c r="L23" s="426"/>
      <c r="M23" s="426"/>
      <c r="N23" s="426"/>
      <c r="O23" s="426"/>
      <c r="P23" s="426"/>
      <c r="Q23" s="426"/>
      <c r="R23" s="426"/>
      <c r="S23" s="426"/>
      <c r="T23" s="426"/>
      <c r="U23" s="426"/>
      <c r="V23" s="426"/>
      <c r="W23" s="426"/>
      <c r="X23" s="426"/>
    </row>
    <row r="24" spans="1:24">
      <c r="A24" s="808" t="s">
        <v>126</v>
      </c>
      <c r="B24" s="806"/>
      <c r="C24" s="807">
        <f>+'ESF19'!G9+'ESF19'!G20</f>
        <v>2402819</v>
      </c>
      <c r="D24" s="807"/>
      <c r="E24" s="807">
        <f>+'ESF19'!J9+'ESF19'!J18</f>
        <v>-8058540</v>
      </c>
      <c r="F24" s="491">
        <v>-11254398</v>
      </c>
      <c r="G24" s="491">
        <v>-10190618</v>
      </c>
      <c r="H24" s="426"/>
      <c r="I24" s="426"/>
      <c r="J24" s="426"/>
      <c r="K24" s="426"/>
      <c r="L24" s="426"/>
      <c r="M24" s="426"/>
      <c r="N24" s="426"/>
      <c r="O24" s="426"/>
      <c r="P24" s="426"/>
      <c r="Q24" s="426"/>
      <c r="R24" s="426"/>
      <c r="S24" s="426"/>
      <c r="T24" s="426"/>
      <c r="U24" s="426"/>
      <c r="V24" s="426"/>
      <c r="W24" s="426"/>
      <c r="X24" s="426"/>
    </row>
    <row r="25" spans="1:24">
      <c r="A25" s="808" t="s">
        <v>42</v>
      </c>
      <c r="B25" s="806"/>
      <c r="C25" s="769">
        <f>+'ESF19'!F90</f>
        <v>-12472591</v>
      </c>
      <c r="D25" s="769"/>
      <c r="E25" s="769">
        <v>-1255245</v>
      </c>
      <c r="F25" s="491">
        <v>-5437748</v>
      </c>
      <c r="G25" s="491">
        <v>3571662</v>
      </c>
      <c r="H25" s="426"/>
      <c r="I25" s="426"/>
      <c r="J25" s="426"/>
      <c r="K25" s="426"/>
      <c r="L25" s="426"/>
      <c r="M25" s="426"/>
      <c r="N25" s="426"/>
      <c r="O25" s="426"/>
      <c r="P25" s="426"/>
      <c r="Q25" s="426"/>
      <c r="R25" s="426"/>
      <c r="S25" s="426"/>
      <c r="T25" s="426"/>
      <c r="U25" s="426"/>
      <c r="V25" s="426"/>
      <c r="W25" s="426"/>
      <c r="X25" s="426"/>
    </row>
    <row r="26" spans="1:24">
      <c r="A26" s="808" t="s">
        <v>43</v>
      </c>
      <c r="B26" s="806"/>
      <c r="C26" s="807">
        <f>+'ESF19'!G10</f>
        <v>228775</v>
      </c>
      <c r="D26" s="807"/>
      <c r="E26" s="807">
        <f>+'ESF19'!J10</f>
        <v>373975</v>
      </c>
      <c r="F26" s="491">
        <v>685042</v>
      </c>
      <c r="G26" s="491">
        <v>53985</v>
      </c>
      <c r="H26" s="426"/>
      <c r="I26" s="426"/>
      <c r="J26" s="426"/>
      <c r="K26" s="426"/>
      <c r="L26" s="426"/>
      <c r="M26" s="426"/>
      <c r="N26" s="426"/>
      <c r="O26" s="426"/>
      <c r="P26" s="426"/>
      <c r="Q26" s="426"/>
      <c r="R26" s="426"/>
      <c r="S26" s="426"/>
      <c r="T26" s="426"/>
      <c r="U26" s="426"/>
      <c r="V26" s="426"/>
      <c r="W26" s="426"/>
      <c r="X26" s="426"/>
    </row>
    <row r="27" spans="1:24">
      <c r="A27" s="808" t="s">
        <v>45</v>
      </c>
      <c r="B27" s="806"/>
      <c r="C27" s="807">
        <f>+'ESF19'!G12</f>
        <v>-233386</v>
      </c>
      <c r="D27" s="807"/>
      <c r="E27" s="807">
        <f>+'ESF19'!J12</f>
        <v>122526</v>
      </c>
      <c r="F27" s="491">
        <v>1728719</v>
      </c>
      <c r="G27" s="491">
        <v>-230586</v>
      </c>
      <c r="H27" s="426"/>
      <c r="I27" s="426"/>
      <c r="J27" s="426"/>
      <c r="K27" s="426"/>
      <c r="L27" s="426"/>
      <c r="M27" s="426"/>
      <c r="N27" s="426"/>
      <c r="O27" s="426"/>
      <c r="P27" s="426"/>
      <c r="Q27" s="426"/>
      <c r="R27" s="426"/>
      <c r="S27" s="426"/>
      <c r="T27" s="426"/>
      <c r="U27" s="426"/>
      <c r="V27" s="426"/>
      <c r="W27" s="426"/>
      <c r="X27" s="426"/>
    </row>
    <row r="28" spans="1:24">
      <c r="A28" s="808" t="s">
        <v>46</v>
      </c>
      <c r="B28" s="806"/>
      <c r="C28" s="807">
        <f>+'ESF19'!G13</f>
        <v>-4708564</v>
      </c>
      <c r="D28" s="807"/>
      <c r="E28" s="807">
        <f>+'ESF19'!J13</f>
        <v>-9322375</v>
      </c>
      <c r="F28" s="491">
        <v>4055589</v>
      </c>
      <c r="G28" s="491">
        <v>653652</v>
      </c>
      <c r="H28" s="426"/>
      <c r="I28" s="426"/>
      <c r="J28" s="426"/>
      <c r="K28" s="426"/>
      <c r="L28" s="426"/>
      <c r="M28" s="426"/>
      <c r="N28" s="426"/>
      <c r="O28" s="426"/>
      <c r="P28" s="426"/>
      <c r="Q28" s="426"/>
      <c r="R28" s="426"/>
      <c r="S28" s="426"/>
      <c r="T28" s="426"/>
      <c r="U28" s="426"/>
      <c r="V28" s="426"/>
      <c r="W28" s="426"/>
      <c r="X28" s="426"/>
    </row>
    <row r="29" spans="1:24" hidden="1">
      <c r="A29" s="808" t="s">
        <v>521</v>
      </c>
      <c r="B29" s="806"/>
      <c r="C29" s="807">
        <f>+'ESF19'!F51</f>
        <v>0</v>
      </c>
      <c r="D29" s="807"/>
      <c r="E29" s="807">
        <v>0</v>
      </c>
      <c r="F29" s="491">
        <v>0</v>
      </c>
      <c r="G29" s="491">
        <v>-4040714</v>
      </c>
      <c r="H29" s="426"/>
      <c r="I29" s="426"/>
      <c r="J29" s="426"/>
      <c r="K29" s="426"/>
      <c r="L29" s="426"/>
      <c r="M29" s="426"/>
      <c r="N29" s="426"/>
      <c r="O29" s="426"/>
      <c r="P29" s="426"/>
      <c r="Q29" s="426"/>
      <c r="R29" s="426"/>
      <c r="S29" s="426"/>
      <c r="T29" s="426"/>
      <c r="U29" s="426"/>
      <c r="V29" s="426"/>
      <c r="W29" s="426"/>
      <c r="X29" s="426"/>
    </row>
    <row r="30" spans="1:24">
      <c r="A30" s="808" t="s">
        <v>61</v>
      </c>
      <c r="B30" s="806"/>
      <c r="C30" s="807">
        <f>+'ESF19'!G26</f>
        <v>3067865</v>
      </c>
      <c r="D30" s="807"/>
      <c r="E30" s="807">
        <f>+'ESF19'!J24</f>
        <v>1257222</v>
      </c>
      <c r="F30" s="491">
        <f>-+'ESF19'!L24</f>
        <v>-1190535</v>
      </c>
      <c r="G30" s="491">
        <v>-114</v>
      </c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426"/>
    </row>
    <row r="31" spans="1:24">
      <c r="A31" s="808" t="s">
        <v>67</v>
      </c>
      <c r="B31" s="806"/>
      <c r="C31" s="807">
        <f>'ESF19'!U8+'ESF19'!U21</f>
        <v>3444203</v>
      </c>
      <c r="D31" s="807"/>
      <c r="E31" s="807">
        <f>+'ESF19'!X8+'ESF19'!X21</f>
        <v>-3543922</v>
      </c>
      <c r="F31" s="491">
        <f>+'ESF19'!Z8+'ESF19'!Z19</f>
        <v>-1598876</v>
      </c>
      <c r="G31" s="491">
        <v>-436112</v>
      </c>
      <c r="H31" s="426"/>
      <c r="I31" s="426"/>
      <c r="J31" s="426"/>
      <c r="K31" s="426"/>
      <c r="L31" s="426"/>
      <c r="M31" s="426"/>
      <c r="N31" s="426"/>
      <c r="O31" s="426"/>
      <c r="P31" s="426"/>
      <c r="Q31" s="426"/>
      <c r="R31" s="426"/>
      <c r="S31" s="426"/>
      <c r="T31" s="426"/>
      <c r="U31" s="426"/>
      <c r="V31" s="426"/>
      <c r="W31" s="426"/>
      <c r="X31" s="426"/>
    </row>
    <row r="32" spans="1:24">
      <c r="A32" s="808" t="s">
        <v>139</v>
      </c>
      <c r="B32" s="806"/>
      <c r="C32" s="807">
        <f>+'ESF19'!U9+'ESF19'!U22</f>
        <v>-11251354</v>
      </c>
      <c r="D32" s="807"/>
      <c r="E32" s="807">
        <f>+'ESF19'!X9+'ESF19'!X22</f>
        <v>960101</v>
      </c>
      <c r="F32" s="491">
        <f>+'ESF19'!Z9+'ESF19'!Z20-705016</f>
        <v>946225</v>
      </c>
      <c r="G32" s="491">
        <v>-4197057</v>
      </c>
      <c r="H32" s="426"/>
      <c r="I32" s="426"/>
      <c r="J32" s="426"/>
      <c r="K32" s="426"/>
      <c r="L32" s="426"/>
      <c r="M32" s="426"/>
      <c r="N32" s="426"/>
      <c r="O32" s="426"/>
      <c r="P32" s="426"/>
      <c r="Q32" s="426"/>
      <c r="R32" s="426"/>
      <c r="S32" s="426"/>
      <c r="T32" s="426"/>
      <c r="U32" s="426"/>
      <c r="V32" s="426"/>
      <c r="W32" s="426"/>
      <c r="X32" s="426"/>
    </row>
    <row r="33" spans="1:24">
      <c r="A33" s="808" t="s">
        <v>823</v>
      </c>
      <c r="B33" s="806"/>
      <c r="C33" s="807">
        <f>+'ESF19'!F74+'ESF19'!F96</f>
        <v>845971</v>
      </c>
      <c r="D33" s="807"/>
      <c r="E33" s="807">
        <f>+'ESF19'!X10</f>
        <v>2460744</v>
      </c>
      <c r="F33" s="491">
        <f>+'ESF19'!Z10</f>
        <v>130512</v>
      </c>
      <c r="G33" s="491">
        <f>1627958+392</f>
        <v>1628350</v>
      </c>
      <c r="H33" s="426"/>
      <c r="I33" s="426"/>
      <c r="J33" s="426"/>
      <c r="K33" s="426"/>
      <c r="L33" s="426"/>
      <c r="M33" s="426"/>
      <c r="N33" s="426"/>
      <c r="O33" s="426"/>
      <c r="P33" s="426"/>
      <c r="Q33" s="426"/>
      <c r="R33" s="426"/>
      <c r="S33" s="426"/>
      <c r="T33" s="426"/>
      <c r="U33" s="426"/>
      <c r="V33" s="426"/>
      <c r="W33" s="426"/>
      <c r="X33" s="426"/>
    </row>
    <row r="34" spans="1:24">
      <c r="A34" s="808" t="s">
        <v>72</v>
      </c>
      <c r="B34" s="806"/>
      <c r="C34" s="807">
        <f>+'ESF19'!U11+'ESF19'!U23</f>
        <v>11962398</v>
      </c>
      <c r="D34" s="807"/>
      <c r="E34" s="807">
        <f>+'ESF19'!X11+'ESF19'!X23</f>
        <v>-370553</v>
      </c>
      <c r="F34" s="491">
        <f>+'ESF19'!Z11+'ESF19'!Z21</f>
        <v>-509500</v>
      </c>
      <c r="G34" s="491">
        <v>2623083</v>
      </c>
      <c r="H34" s="426"/>
      <c r="I34" s="426"/>
      <c r="J34" s="426"/>
      <c r="K34" s="426"/>
      <c r="L34" s="426"/>
      <c r="M34" s="426"/>
      <c r="N34" s="426"/>
      <c r="O34" s="426"/>
      <c r="P34" s="426"/>
      <c r="Q34" s="426"/>
      <c r="R34" s="426"/>
      <c r="S34" s="426"/>
      <c r="T34" s="426"/>
      <c r="U34" s="426"/>
      <c r="V34" s="426"/>
      <c r="W34" s="426"/>
      <c r="X34" s="426"/>
    </row>
    <row r="35" spans="1:24">
      <c r="A35" s="808" t="s">
        <v>645</v>
      </c>
      <c r="B35" s="806"/>
      <c r="C35" s="807">
        <f>+'ESF19'!F106</f>
        <v>721539</v>
      </c>
      <c r="D35" s="807"/>
      <c r="E35" s="807">
        <v>-45316</v>
      </c>
      <c r="F35" s="769">
        <v>-2404770</v>
      </c>
      <c r="G35" s="491">
        <v>-5964702</v>
      </c>
      <c r="H35" s="426"/>
      <c r="I35" s="426"/>
      <c r="J35" s="426"/>
      <c r="K35" s="426"/>
      <c r="L35" s="426"/>
      <c r="M35" s="426"/>
      <c r="N35" s="426"/>
      <c r="O35" s="426"/>
      <c r="P35" s="426"/>
      <c r="Q35" s="426"/>
      <c r="R35" s="426"/>
      <c r="S35" s="426"/>
      <c r="T35" s="426"/>
      <c r="U35" s="426"/>
      <c r="V35" s="426"/>
      <c r="W35" s="426"/>
      <c r="X35" s="426"/>
    </row>
    <row r="36" spans="1:24" hidden="1">
      <c r="A36" s="808" t="s">
        <v>523</v>
      </c>
      <c r="B36" s="806"/>
      <c r="C36" s="807">
        <f>+'ESF19'!F101</f>
        <v>0</v>
      </c>
      <c r="D36" s="807"/>
      <c r="E36" s="807"/>
      <c r="F36" s="769"/>
      <c r="G36" s="491"/>
      <c r="H36" s="426"/>
      <c r="I36" s="426"/>
      <c r="J36" s="426"/>
      <c r="K36" s="426"/>
      <c r="L36" s="426"/>
      <c r="M36" s="426"/>
      <c r="N36" s="426"/>
      <c r="O36" s="426"/>
      <c r="P36" s="426"/>
      <c r="Q36" s="426"/>
      <c r="R36" s="426"/>
      <c r="S36" s="426"/>
      <c r="T36" s="426"/>
      <c r="U36" s="426"/>
      <c r="V36" s="426"/>
      <c r="W36" s="426"/>
      <c r="X36" s="426"/>
    </row>
    <row r="37" spans="1:24" hidden="1">
      <c r="A37" s="808" t="s">
        <v>524</v>
      </c>
      <c r="B37" s="806"/>
      <c r="C37" s="807">
        <f>+'ESF19'!U14+'ESF19'!U27</f>
        <v>0</v>
      </c>
      <c r="D37" s="807"/>
      <c r="E37" s="807"/>
      <c r="F37" s="769"/>
      <c r="G37" s="491"/>
      <c r="H37" s="426"/>
      <c r="I37" s="426"/>
      <c r="J37" s="426"/>
      <c r="K37" s="426"/>
      <c r="L37" s="426"/>
      <c r="M37" s="426"/>
      <c r="N37" s="426"/>
      <c r="O37" s="426"/>
      <c r="P37" s="426"/>
      <c r="Q37" s="426"/>
      <c r="R37" s="426"/>
      <c r="S37" s="426"/>
      <c r="T37" s="426"/>
      <c r="U37" s="426"/>
      <c r="V37" s="426"/>
      <c r="W37" s="426"/>
      <c r="X37" s="426"/>
    </row>
    <row r="38" spans="1:24">
      <c r="A38" s="808" t="s">
        <v>75</v>
      </c>
      <c r="B38" s="806"/>
      <c r="C38" s="807">
        <f>+'ESF19'!F80</f>
        <v>306465</v>
      </c>
      <c r="D38" s="807"/>
      <c r="E38" s="807">
        <f>+'ESF19'!X15-218884</f>
        <v>1447046</v>
      </c>
      <c r="F38" s="491">
        <f>+'ESF19'!Z13-199556+167797</f>
        <v>152364</v>
      </c>
      <c r="G38" s="491">
        <v>707123</v>
      </c>
      <c r="H38" s="769"/>
      <c r="I38" s="577"/>
      <c r="J38" s="426"/>
      <c r="K38" s="426"/>
      <c r="L38" s="426"/>
      <c r="M38" s="426"/>
      <c r="N38" s="426"/>
      <c r="O38" s="426"/>
      <c r="P38" s="426"/>
      <c r="Q38" s="426"/>
      <c r="R38" s="426"/>
      <c r="S38" s="426"/>
      <c r="T38" s="426"/>
      <c r="U38" s="426"/>
      <c r="V38" s="426"/>
      <c r="W38" s="426"/>
      <c r="X38" s="577"/>
    </row>
    <row r="39" spans="1:24">
      <c r="A39" s="808" t="s">
        <v>85</v>
      </c>
      <c r="B39" s="806"/>
      <c r="C39" s="807">
        <v>0</v>
      </c>
      <c r="D39" s="807"/>
      <c r="E39" s="807">
        <f>+'ESF19'!X26+'ESF19'!X27</f>
        <v>-992443</v>
      </c>
      <c r="F39" s="491">
        <f>+'ESF19'!Z24</f>
        <v>0</v>
      </c>
      <c r="G39" s="491">
        <v>-2365666</v>
      </c>
      <c r="H39" s="426"/>
      <c r="I39" s="426"/>
      <c r="J39" s="426"/>
      <c r="K39" s="426"/>
      <c r="L39" s="426"/>
      <c r="M39" s="426"/>
      <c r="N39" s="426"/>
      <c r="O39" s="426"/>
      <c r="P39" s="426"/>
      <c r="Q39" s="426"/>
      <c r="R39" s="426"/>
      <c r="S39" s="426"/>
      <c r="T39" s="426"/>
      <c r="U39" s="426"/>
      <c r="V39" s="426"/>
      <c r="W39" s="426"/>
      <c r="X39" s="426"/>
    </row>
    <row r="40" spans="1:24">
      <c r="A40" s="805" t="s">
        <v>824</v>
      </c>
      <c r="B40" s="806"/>
      <c r="C40" s="810">
        <f>+SUM(C21:C39)</f>
        <v>60607315.859999999</v>
      </c>
      <c r="D40" s="491"/>
      <c r="E40" s="810">
        <f>+SUM(E21:E39)</f>
        <v>34216578</v>
      </c>
      <c r="F40" s="491">
        <f>+SUM(F21:F39)</f>
        <v>20460635.04999999</v>
      </c>
      <c r="G40" s="491">
        <f>+SUM(G21:G39)</f>
        <v>27213258</v>
      </c>
      <c r="H40" s="426"/>
      <c r="I40" s="426"/>
      <c r="J40" s="426"/>
      <c r="K40" s="426"/>
      <c r="L40" s="426"/>
      <c r="M40" s="426"/>
      <c r="N40" s="426"/>
      <c r="O40" s="426"/>
      <c r="P40" s="426"/>
      <c r="Q40" s="426"/>
      <c r="R40" s="426"/>
      <c r="S40" s="426"/>
      <c r="T40" s="426"/>
      <c r="U40" s="426"/>
      <c r="V40" s="426"/>
      <c r="W40" s="426"/>
      <c r="X40" s="426"/>
    </row>
    <row r="41" spans="1:24">
      <c r="A41" s="808" t="s">
        <v>825</v>
      </c>
      <c r="B41" s="806"/>
      <c r="C41" s="807">
        <f>+W41</f>
        <v>-7316715</v>
      </c>
      <c r="D41" s="807"/>
      <c r="E41" s="807">
        <f>+'ERI19'!H20</f>
        <v>-4254413</v>
      </c>
      <c r="F41" s="491">
        <f>+'ERI19'!J20</f>
        <v>-3475906</v>
      </c>
      <c r="G41" s="491">
        <v>-3198548</v>
      </c>
      <c r="H41" s="420">
        <v>-7316715</v>
      </c>
      <c r="I41" s="420"/>
      <c r="J41" s="420"/>
      <c r="K41" s="420"/>
      <c r="L41" s="420"/>
      <c r="M41" s="420"/>
      <c r="N41" s="420"/>
      <c r="O41" s="420"/>
      <c r="P41" s="420"/>
      <c r="Q41" s="554"/>
      <c r="R41" s="420"/>
      <c r="S41" s="420"/>
      <c r="T41" s="420">
        <f>SUM(H41:S41)</f>
        <v>-7316715</v>
      </c>
      <c r="U41" s="420"/>
      <c r="V41" s="420"/>
      <c r="W41" s="420">
        <f>+T41+U41-V41</f>
        <v>-7316715</v>
      </c>
      <c r="X41" s="426"/>
    </row>
    <row r="42" spans="1:24">
      <c r="A42" s="808" t="s">
        <v>826</v>
      </c>
      <c r="B42" s="806"/>
      <c r="C42" s="807">
        <f>+'ESF19'!F79</f>
        <v>-2840226</v>
      </c>
      <c r="D42" s="807"/>
      <c r="E42" s="769">
        <v>-1591304</v>
      </c>
      <c r="F42" s="491">
        <v>-1759101</v>
      </c>
      <c r="G42" s="491">
        <v>-2644886</v>
      </c>
      <c r="H42" s="420">
        <v>-2404929</v>
      </c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0">
        <f>SUM(H42:S42)</f>
        <v>-2404929</v>
      </c>
      <c r="U42" s="426"/>
      <c r="V42" s="426"/>
      <c r="W42" s="420">
        <f>+T42+U42-V42</f>
        <v>-2404929</v>
      </c>
      <c r="X42" s="426"/>
    </row>
    <row r="43" spans="1:24">
      <c r="A43" s="808" t="s">
        <v>827</v>
      </c>
      <c r="B43" s="806">
        <v>25</v>
      </c>
      <c r="C43" s="807">
        <f>+'ESF19'!F56+'ESF19'!F58</f>
        <v>-1788845</v>
      </c>
      <c r="D43" s="807"/>
      <c r="E43" s="769">
        <v>-207177</v>
      </c>
      <c r="F43" s="491">
        <v>-107410</v>
      </c>
      <c r="G43" s="491">
        <v>-470931</v>
      </c>
      <c r="H43" s="420">
        <v>-639947</v>
      </c>
      <c r="I43" s="426"/>
      <c r="J43" s="426"/>
      <c r="K43" s="426"/>
      <c r="L43" s="426"/>
      <c r="M43" s="426"/>
      <c r="N43" s="426"/>
      <c r="O43" s="426"/>
      <c r="P43" s="426"/>
      <c r="Q43" s="426"/>
      <c r="R43" s="426"/>
      <c r="S43" s="426"/>
      <c r="T43" s="420">
        <f>SUM(H43:S43)</f>
        <v>-639947</v>
      </c>
      <c r="U43" s="426"/>
      <c r="V43" s="426"/>
      <c r="W43" s="420">
        <f>+T43+U43-V43</f>
        <v>-639947</v>
      </c>
      <c r="X43" s="426"/>
    </row>
    <row r="44" spans="1:24">
      <c r="A44" s="811" t="s">
        <v>828</v>
      </c>
      <c r="B44" s="812"/>
      <c r="C44" s="813">
        <f>+C40+C41+C42+C43</f>
        <v>48661529.859999999</v>
      </c>
      <c r="D44" s="814"/>
      <c r="E44" s="813">
        <f>+E40+E41+E42+E43</f>
        <v>28163684</v>
      </c>
      <c r="F44" s="815">
        <f>+F40+F41+F42+F43</f>
        <v>15118218.04999999</v>
      </c>
      <c r="G44" s="814">
        <f>+G40+G41+G42+G43</f>
        <v>20898893</v>
      </c>
      <c r="H44" s="426"/>
      <c r="I44" s="500"/>
      <c r="J44" s="426"/>
      <c r="K44" s="426"/>
      <c r="L44" s="426"/>
      <c r="M44" s="426"/>
      <c r="N44" s="426"/>
      <c r="O44" s="426"/>
      <c r="P44" s="426"/>
      <c r="Q44" s="426"/>
      <c r="R44" s="426"/>
      <c r="S44" s="426"/>
      <c r="T44" s="426"/>
      <c r="U44" s="426"/>
      <c r="V44" s="426"/>
      <c r="W44" s="426"/>
      <c r="X44" s="426"/>
    </row>
    <row r="45" spans="1:24" ht="5.0999999999999996" customHeight="1">
      <c r="A45" s="798"/>
      <c r="B45" s="804"/>
      <c r="C45" s="420"/>
      <c r="D45" s="420"/>
      <c r="E45" s="420"/>
      <c r="F45" s="420"/>
      <c r="G45" s="420"/>
      <c r="H45" s="426"/>
      <c r="I45" s="426"/>
      <c r="J45" s="426"/>
      <c r="K45" s="426"/>
      <c r="L45" s="426"/>
      <c r="M45" s="426"/>
      <c r="N45" s="426"/>
      <c r="O45" s="426"/>
      <c r="P45" s="426"/>
      <c r="Q45" s="426"/>
      <c r="R45" s="426"/>
      <c r="S45" s="426"/>
      <c r="T45" s="426"/>
      <c r="U45" s="426"/>
      <c r="V45" s="426"/>
      <c r="W45" s="426"/>
      <c r="X45" s="426"/>
    </row>
    <row r="46" spans="1:24">
      <c r="A46" s="796" t="s">
        <v>829</v>
      </c>
      <c r="B46" s="804"/>
      <c r="C46" s="816"/>
      <c r="D46" s="816"/>
      <c r="E46" s="816"/>
      <c r="F46" s="420"/>
      <c r="G46" s="420"/>
      <c r="H46" s="426"/>
      <c r="I46" s="426"/>
      <c r="J46" s="426"/>
      <c r="K46" s="426"/>
      <c r="L46" s="426"/>
      <c r="M46" s="426"/>
      <c r="N46" s="426"/>
      <c r="O46" s="426"/>
      <c r="P46" s="426"/>
      <c r="Q46" s="426"/>
      <c r="R46" s="426"/>
      <c r="S46" s="426"/>
      <c r="T46" s="426"/>
      <c r="U46" s="426"/>
      <c r="V46" s="426"/>
      <c r="W46" s="426"/>
      <c r="X46" s="426"/>
    </row>
    <row r="47" spans="1:24">
      <c r="A47" s="808" t="s">
        <v>830</v>
      </c>
      <c r="B47" s="806">
        <v>7</v>
      </c>
      <c r="C47" s="814">
        <f>+'ESF19'!G7</f>
        <v>-965345</v>
      </c>
      <c r="D47" s="814"/>
      <c r="E47" s="814">
        <f>+'ESF19'!J7</f>
        <v>251011</v>
      </c>
      <c r="F47" s="817">
        <v>-593863</v>
      </c>
      <c r="G47" s="814">
        <v>-175815</v>
      </c>
      <c r="H47" s="426"/>
      <c r="I47" s="426"/>
      <c r="J47" s="426"/>
      <c r="K47" s="426"/>
      <c r="L47" s="426"/>
      <c r="M47" s="426"/>
      <c r="N47" s="426"/>
      <c r="O47" s="426"/>
      <c r="P47" s="426"/>
      <c r="Q47" s="426"/>
      <c r="R47" s="426"/>
      <c r="S47" s="426"/>
      <c r="T47" s="426"/>
      <c r="U47" s="426"/>
      <c r="V47" s="426"/>
      <c r="W47" s="426"/>
      <c r="X47" s="426"/>
    </row>
    <row r="48" spans="1:24">
      <c r="A48" s="808" t="s">
        <v>831</v>
      </c>
      <c r="B48" s="806"/>
      <c r="C48" s="814">
        <f>+'ESF19'!G6</f>
        <v>60892</v>
      </c>
      <c r="D48" s="814"/>
      <c r="E48" s="814">
        <f>+'ESF19'!J6</f>
        <v>29809</v>
      </c>
      <c r="F48" s="817">
        <v>5828169</v>
      </c>
      <c r="G48" s="814">
        <v>-1655856</v>
      </c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  <c r="V48" s="426"/>
      <c r="W48" s="426"/>
      <c r="X48" s="426"/>
    </row>
    <row r="49" spans="1:24">
      <c r="A49" s="808" t="s">
        <v>832</v>
      </c>
      <c r="B49" s="806"/>
      <c r="C49" s="818">
        <f>+'ESF19'!G24</f>
        <v>-251355</v>
      </c>
      <c r="D49" s="818"/>
      <c r="E49" s="818">
        <v>0</v>
      </c>
      <c r="F49" s="444">
        <v>0</v>
      </c>
      <c r="G49" s="814">
        <v>-125000</v>
      </c>
      <c r="H49" s="426"/>
      <c r="I49" s="426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  <c r="V49" s="426"/>
      <c r="W49" s="426"/>
      <c r="X49" s="426"/>
    </row>
    <row r="50" spans="1:24" hidden="1">
      <c r="A50" s="808" t="s">
        <v>833</v>
      </c>
      <c r="B50" s="806"/>
      <c r="C50" s="818"/>
      <c r="D50" s="818"/>
      <c r="E50" s="818">
        <v>0</v>
      </c>
      <c r="F50" s="814">
        <v>119269</v>
      </c>
      <c r="G50" s="814">
        <v>-1494761</v>
      </c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  <c r="V50" s="426"/>
      <c r="W50" s="426"/>
      <c r="X50" s="426"/>
    </row>
    <row r="51" spans="1:24">
      <c r="A51" s="808" t="s">
        <v>834</v>
      </c>
      <c r="B51" s="806">
        <v>12</v>
      </c>
      <c r="C51" s="817">
        <f>+'ESF19'!F45</f>
        <v>-3842548</v>
      </c>
      <c r="D51" s="817"/>
      <c r="E51" s="817">
        <v>-12283237</v>
      </c>
      <c r="F51" s="814">
        <v>-15283415</v>
      </c>
      <c r="G51" s="814">
        <f>-19113929+437588</f>
        <v>-18676341</v>
      </c>
      <c r="H51" s="426"/>
      <c r="I51" s="426"/>
      <c r="J51" s="426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</row>
    <row r="52" spans="1:24" hidden="1">
      <c r="A52" s="808" t="s">
        <v>835</v>
      </c>
      <c r="B52" s="806"/>
      <c r="C52" s="818">
        <f>+'ESF19'!F68</f>
        <v>0</v>
      </c>
      <c r="D52" s="818"/>
      <c r="E52" s="818">
        <v>0</v>
      </c>
      <c r="F52" s="444">
        <v>0</v>
      </c>
      <c r="G52" s="814">
        <v>-49200</v>
      </c>
      <c r="H52" s="426"/>
      <c r="I52" s="426"/>
      <c r="J52" s="426"/>
      <c r="K52" s="426"/>
      <c r="L52" s="426"/>
      <c r="M52" s="426"/>
      <c r="N52" s="426"/>
      <c r="O52" s="426"/>
      <c r="P52" s="426"/>
      <c r="Q52" s="426"/>
      <c r="R52" s="426"/>
      <c r="S52" s="426"/>
      <c r="T52" s="426"/>
      <c r="U52" s="426"/>
      <c r="V52" s="426"/>
      <c r="W52" s="426"/>
      <c r="X52" s="426"/>
    </row>
    <row r="53" spans="1:24">
      <c r="A53" s="808" t="s">
        <v>836</v>
      </c>
      <c r="B53" s="806">
        <v>14</v>
      </c>
      <c r="C53" s="817">
        <f>+'ESF19'!F63</f>
        <v>-909058</v>
      </c>
      <c r="D53" s="817"/>
      <c r="E53" s="817">
        <v>-4862718</v>
      </c>
      <c r="F53" s="814">
        <f>-(1121449+75987)</f>
        <v>-1197436</v>
      </c>
      <c r="G53" s="814">
        <v>-2492677</v>
      </c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6"/>
      <c r="S53" s="426"/>
      <c r="T53" s="426"/>
      <c r="U53" s="426"/>
      <c r="V53" s="426"/>
      <c r="W53" s="426"/>
      <c r="X53" s="426"/>
    </row>
    <row r="54" spans="1:24">
      <c r="A54" s="811" t="s">
        <v>837</v>
      </c>
      <c r="B54" s="806"/>
      <c r="C54" s="819">
        <f>+SUM(C47:C53)</f>
        <v>-5907414</v>
      </c>
      <c r="D54" s="807"/>
      <c r="E54" s="819">
        <f>+SUM(E47:E53)</f>
        <v>-16865135</v>
      </c>
      <c r="F54" s="815">
        <f>+SUM(F47:F53)</f>
        <v>-11127276</v>
      </c>
      <c r="G54" s="814">
        <f>+SUM(G47:G53)</f>
        <v>-24669650</v>
      </c>
      <c r="H54" s="426"/>
      <c r="I54" s="426"/>
      <c r="J54" s="426"/>
      <c r="K54" s="426"/>
      <c r="L54" s="426"/>
      <c r="M54" s="426"/>
      <c r="N54" s="426"/>
      <c r="O54" s="426"/>
      <c r="P54" s="426"/>
      <c r="Q54" s="426"/>
      <c r="R54" s="426"/>
      <c r="S54" s="426"/>
      <c r="T54" s="426"/>
      <c r="U54" s="426"/>
      <c r="V54" s="426"/>
      <c r="W54" s="426"/>
      <c r="X54" s="426"/>
    </row>
    <row r="55" spans="1:24" ht="5.0999999999999996" customHeight="1">
      <c r="A55" s="426"/>
      <c r="B55" s="650"/>
      <c r="C55" s="420"/>
      <c r="D55" s="420"/>
      <c r="E55" s="420"/>
      <c r="F55" s="420"/>
      <c r="G55" s="420"/>
      <c r="H55" s="426"/>
      <c r="I55" s="426"/>
      <c r="J55" s="426"/>
      <c r="K55" s="426"/>
      <c r="L55" s="426"/>
      <c r="M55" s="426"/>
      <c r="N55" s="426"/>
      <c r="O55" s="426"/>
      <c r="P55" s="426"/>
      <c r="Q55" s="426"/>
      <c r="R55" s="426"/>
      <c r="S55" s="426"/>
      <c r="T55" s="426"/>
      <c r="U55" s="426"/>
      <c r="V55" s="426"/>
      <c r="W55" s="426"/>
      <c r="X55" s="426"/>
    </row>
    <row r="56" spans="1:24">
      <c r="A56" s="796" t="s">
        <v>838</v>
      </c>
      <c r="B56" s="804"/>
      <c r="C56" s="816"/>
      <c r="D56" s="816"/>
      <c r="E56" s="816"/>
      <c r="F56" s="420"/>
      <c r="G56" s="420"/>
      <c r="H56" s="426"/>
      <c r="I56" s="426"/>
      <c r="J56" s="426"/>
      <c r="K56" s="426"/>
      <c r="L56" s="426"/>
      <c r="M56" s="426"/>
      <c r="N56" s="426"/>
      <c r="O56" s="426"/>
      <c r="P56" s="426"/>
      <c r="Q56" s="426"/>
      <c r="R56" s="426"/>
      <c r="S56" s="426"/>
      <c r="T56" s="426"/>
      <c r="U56" s="426"/>
      <c r="V56" s="426"/>
      <c r="W56" s="426"/>
      <c r="X56" s="426"/>
    </row>
    <row r="57" spans="1:24">
      <c r="A57" s="798" t="s">
        <v>839</v>
      </c>
      <c r="B57" s="804"/>
      <c r="C57" s="420">
        <f>+W57</f>
        <v>-1307540</v>
      </c>
      <c r="D57" s="420"/>
      <c r="E57" s="816"/>
      <c r="F57" s="420"/>
      <c r="G57" s="420"/>
      <c r="H57" s="547">
        <v>-1307540</v>
      </c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577">
        <f>SUM(H57:S57)</f>
        <v>-1307540</v>
      </c>
      <c r="U57" s="426"/>
      <c r="V57" s="426"/>
      <c r="W57" s="577">
        <f>+T57+U57-V57</f>
        <v>-1307540</v>
      </c>
      <c r="X57" s="426"/>
    </row>
    <row r="58" spans="1:24">
      <c r="A58" s="808" t="s">
        <v>840</v>
      </c>
      <c r="B58" s="806"/>
      <c r="C58" s="817">
        <f>+'ESF19'!T45</f>
        <v>221096</v>
      </c>
      <c r="D58" s="817"/>
      <c r="E58" s="817">
        <v>-1560840</v>
      </c>
      <c r="F58" s="444">
        <v>0</v>
      </c>
      <c r="G58" s="814">
        <v>1412099</v>
      </c>
      <c r="H58" s="426"/>
      <c r="I58" s="426"/>
      <c r="J58" s="426"/>
      <c r="K58" s="426"/>
      <c r="L58" s="426"/>
      <c r="M58" s="426"/>
      <c r="N58" s="426"/>
      <c r="O58" s="426"/>
      <c r="P58" s="426"/>
      <c r="Q58" s="426"/>
      <c r="R58" s="426"/>
      <c r="S58" s="426"/>
      <c r="T58" s="426"/>
      <c r="U58" s="426"/>
      <c r="V58" s="426"/>
      <c r="W58" s="426"/>
      <c r="X58" s="426"/>
    </row>
    <row r="59" spans="1:24">
      <c r="A59" s="808" t="s">
        <v>841</v>
      </c>
      <c r="B59" s="806"/>
      <c r="C59" s="817">
        <f>+'ESF19'!T41</f>
        <v>1188714</v>
      </c>
      <c r="D59" s="817"/>
      <c r="E59" s="817">
        <v>0</v>
      </c>
      <c r="F59" s="444"/>
      <c r="G59" s="814"/>
      <c r="H59" s="426"/>
      <c r="I59" s="426"/>
      <c r="J59" s="426"/>
      <c r="K59" s="426"/>
      <c r="L59" s="426"/>
      <c r="M59" s="426"/>
      <c r="N59" s="426"/>
      <c r="O59" s="426"/>
      <c r="P59" s="426"/>
      <c r="Q59" s="426"/>
      <c r="R59" s="426"/>
      <c r="S59" s="426"/>
      <c r="T59" s="426"/>
      <c r="U59" s="426"/>
      <c r="V59" s="426"/>
      <c r="W59" s="426"/>
      <c r="X59" s="426"/>
    </row>
    <row r="60" spans="1:24">
      <c r="A60" s="808" t="s">
        <v>842</v>
      </c>
      <c r="B60" s="806"/>
      <c r="C60" s="817">
        <f>+'ESF19'!T40</f>
        <v>-5488035</v>
      </c>
      <c r="D60" s="817"/>
      <c r="E60" s="817">
        <v>0</v>
      </c>
      <c r="F60" s="444"/>
      <c r="G60" s="814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  <c r="V60" s="426"/>
      <c r="W60" s="426"/>
      <c r="X60" s="426"/>
    </row>
    <row r="61" spans="1:24">
      <c r="A61" s="808" t="s">
        <v>843</v>
      </c>
      <c r="B61" s="806"/>
      <c r="C61" s="807">
        <f>+'ESF19'!U19+'ESF19'!U6</f>
        <v>-10808637</v>
      </c>
      <c r="D61" s="807"/>
      <c r="E61" s="807">
        <f>+'ESF19'!X6+'ESF19'!X19</f>
        <v>-7240852</v>
      </c>
      <c r="F61" s="814">
        <f>+'ESF19'!Z6+'ESF19'!Z17</f>
        <v>-4735058</v>
      </c>
      <c r="G61" s="814">
        <f>15141796-13490379-198890+4596345</f>
        <v>6048872</v>
      </c>
      <c r="H61" s="426"/>
      <c r="I61" s="426"/>
      <c r="J61" s="426"/>
      <c r="K61" s="426"/>
      <c r="L61" s="426"/>
      <c r="M61" s="426"/>
      <c r="N61" s="426"/>
      <c r="O61" s="426"/>
      <c r="P61" s="426"/>
      <c r="Q61" s="426"/>
      <c r="R61" s="426"/>
      <c r="S61" s="426"/>
      <c r="T61" s="426"/>
      <c r="U61" s="426"/>
      <c r="V61" s="426"/>
      <c r="W61" s="426"/>
      <c r="X61" s="426"/>
    </row>
    <row r="62" spans="1:24">
      <c r="A62" s="808" t="s">
        <v>844</v>
      </c>
      <c r="B62" s="806"/>
      <c r="C62" s="807">
        <f>+'ESF19'!U7+'ESF19'!U20</f>
        <v>-8550313</v>
      </c>
      <c r="D62" s="807"/>
      <c r="E62" s="807">
        <f>+'ESF19'!X7+'ESF19'!X20</f>
        <v>-7134782</v>
      </c>
      <c r="F62" s="814">
        <f>+'ESF19'!Z7+'ESF19'!Z18</f>
        <v>-8370991</v>
      </c>
      <c r="G62" s="814">
        <f>13238971-9192632</f>
        <v>4046339</v>
      </c>
      <c r="H62" s="426"/>
      <c r="I62" s="426"/>
      <c r="J62" s="426"/>
      <c r="K62" s="426"/>
      <c r="L62" s="426"/>
      <c r="M62" s="426"/>
      <c r="N62" s="426"/>
      <c r="O62" s="426"/>
      <c r="P62" s="426"/>
      <c r="Q62" s="426"/>
      <c r="R62" s="426"/>
      <c r="S62" s="426"/>
      <c r="T62" s="426"/>
      <c r="U62" s="426"/>
      <c r="V62" s="426"/>
      <c r="W62" s="426"/>
      <c r="X62" s="426"/>
    </row>
    <row r="63" spans="1:24">
      <c r="A63" s="811" t="s">
        <v>845</v>
      </c>
      <c r="B63" s="812"/>
      <c r="C63" s="819">
        <f>+SUM(C57:C62)</f>
        <v>-24744715</v>
      </c>
      <c r="D63" s="807"/>
      <c r="E63" s="819">
        <f>+SUM(E58:E62)</f>
        <v>-15936474</v>
      </c>
      <c r="F63" s="820">
        <f>+SUM(F58:F62)</f>
        <v>-13106049</v>
      </c>
      <c r="G63" s="807">
        <f>+SUM(G58:G62)</f>
        <v>11507310</v>
      </c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</row>
    <row r="64" spans="1:24" ht="5.0999999999999996" customHeight="1">
      <c r="A64" s="821"/>
      <c r="B64" s="822"/>
      <c r="C64" s="818"/>
      <c r="D64" s="818"/>
      <c r="E64" s="818"/>
      <c r="F64" s="420"/>
      <c r="G64" s="420"/>
      <c r="H64" s="426"/>
      <c r="I64" s="426"/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  <c r="V64" s="426"/>
      <c r="W64" s="426"/>
      <c r="X64" s="426"/>
    </row>
    <row r="65" spans="1:24">
      <c r="A65" s="811" t="s">
        <v>846</v>
      </c>
      <c r="B65" s="806"/>
      <c r="C65" s="807">
        <f>+C63+C54+C44</f>
        <v>18009400.859999999</v>
      </c>
      <c r="D65" s="807"/>
      <c r="E65" s="807">
        <f>+E63+E54+E44</f>
        <v>-4637925</v>
      </c>
      <c r="F65" s="814">
        <f>+F63+F54+F44</f>
        <v>-9115106.9500000104</v>
      </c>
      <c r="G65" s="814">
        <f>+G63+G54+G44</f>
        <v>7736553</v>
      </c>
      <c r="H65" s="426"/>
      <c r="I65" s="426"/>
      <c r="J65" s="426"/>
      <c r="K65" s="426"/>
      <c r="L65" s="426"/>
      <c r="M65" s="426"/>
      <c r="N65" s="426"/>
      <c r="O65" s="426"/>
      <c r="P65" s="426"/>
      <c r="Q65" s="426"/>
      <c r="R65" s="426"/>
      <c r="S65" s="426"/>
      <c r="T65" s="426"/>
      <c r="U65" s="426"/>
      <c r="V65" s="426"/>
      <c r="W65" s="426"/>
      <c r="X65" s="426"/>
    </row>
    <row r="66" spans="1:24">
      <c r="A66" s="811" t="s">
        <v>847</v>
      </c>
      <c r="B66" s="806"/>
      <c r="C66" s="807">
        <f>+'ESF19'!I5-'ESF19'!W5</f>
        <v>-3155765</v>
      </c>
      <c r="D66" s="807"/>
      <c r="E66" s="807">
        <f>+F67</f>
        <v>1482160.0499999896</v>
      </c>
      <c r="F66" s="814">
        <f>+G67</f>
        <v>10597267</v>
      </c>
      <c r="G66" s="814">
        <v>2860714</v>
      </c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</row>
    <row r="67" spans="1:24">
      <c r="A67" s="811" t="s">
        <v>848</v>
      </c>
      <c r="B67" s="806">
        <v>6</v>
      </c>
      <c r="C67" s="823">
        <f>+C65+C66</f>
        <v>14853635.859999999</v>
      </c>
      <c r="D67" s="807"/>
      <c r="E67" s="823">
        <f>+E65+E66</f>
        <v>-3155764.9500000104</v>
      </c>
      <c r="F67" s="814">
        <f>+F65+F66</f>
        <v>1482160.0499999896</v>
      </c>
      <c r="G67" s="814">
        <f>+G65+G66</f>
        <v>10597267</v>
      </c>
      <c r="H67" s="426"/>
      <c r="I67" s="426"/>
      <c r="J67" s="426"/>
      <c r="K67" s="426"/>
      <c r="L67" s="426"/>
      <c r="M67" s="426"/>
      <c r="N67" s="426"/>
      <c r="O67" s="426"/>
      <c r="P67" s="426"/>
      <c r="Q67" s="426"/>
      <c r="R67" s="426"/>
      <c r="S67" s="426"/>
      <c r="T67" s="426"/>
      <c r="U67" s="426"/>
      <c r="V67" s="426"/>
      <c r="W67" s="426"/>
      <c r="X67" s="426"/>
    </row>
    <row r="68" spans="1:24" ht="5.0999999999999996" customHeight="1">
      <c r="A68" s="426"/>
      <c r="B68" s="426"/>
      <c r="C68" s="824"/>
      <c r="D68" s="824"/>
      <c r="E68" s="824"/>
      <c r="F68" s="824"/>
      <c r="G68" s="824"/>
      <c r="H68" s="426"/>
      <c r="I68" s="426"/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  <c r="V68" s="426"/>
      <c r="W68" s="426"/>
      <c r="X68" s="426"/>
    </row>
    <row r="69" spans="1:24" ht="11.25" customHeight="1">
      <c r="A69" s="426" t="s">
        <v>849</v>
      </c>
      <c r="B69" s="426"/>
      <c r="C69" s="824"/>
      <c r="D69" s="824"/>
      <c r="E69" s="824"/>
      <c r="F69" s="824"/>
      <c r="G69" s="824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</row>
    <row r="70" spans="1:24" ht="5.0999999999999996" customHeight="1">
      <c r="A70" s="426"/>
      <c r="B70" s="426"/>
      <c r="C70" s="824"/>
      <c r="D70" s="824"/>
      <c r="E70" s="824"/>
      <c r="F70" s="824"/>
      <c r="G70" s="824"/>
      <c r="H70" s="426"/>
      <c r="I70" s="426"/>
      <c r="J70" s="426"/>
      <c r="K70" s="426"/>
      <c r="L70" s="426"/>
      <c r="M70" s="426"/>
      <c r="N70" s="426"/>
      <c r="O70" s="426"/>
      <c r="P70" s="426"/>
      <c r="Q70" s="426"/>
      <c r="R70" s="426"/>
      <c r="S70" s="426"/>
      <c r="T70" s="426"/>
      <c r="U70" s="426"/>
      <c r="V70" s="426"/>
      <c r="W70" s="426"/>
      <c r="X70" s="426"/>
    </row>
    <row r="71" spans="1:24">
      <c r="C71" s="825">
        <f>+'ESF19'!F5-'ESF19'!T5-C67</f>
        <v>-9041705.8599999994</v>
      </c>
      <c r="D71" s="825"/>
      <c r="E71" s="824"/>
      <c r="F71" s="824"/>
      <c r="G71" s="824"/>
      <c r="H71" s="426"/>
      <c r="I71" s="426"/>
      <c r="J71" s="426"/>
      <c r="K71" s="426"/>
      <c r="L71" s="426"/>
      <c r="M71" s="426"/>
      <c r="N71" s="426"/>
      <c r="O71" s="426"/>
      <c r="P71" s="426"/>
      <c r="Q71" s="426"/>
      <c r="R71" s="426"/>
      <c r="S71" s="426"/>
      <c r="T71" s="426"/>
      <c r="U71" s="426"/>
      <c r="V71" s="426"/>
      <c r="W71" s="426"/>
      <c r="X71" s="426"/>
    </row>
    <row r="72" spans="1:24">
      <c r="C72" s="440"/>
      <c r="D72" s="440"/>
      <c r="E72" s="824"/>
      <c r="F72" s="824"/>
      <c r="G72" s="824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</row>
    <row r="73" spans="1:24">
      <c r="C73" s="440"/>
      <c r="D73" s="440"/>
      <c r="E73" s="824"/>
      <c r="F73" s="824"/>
      <c r="G73" s="824"/>
      <c r="H73" s="426"/>
      <c r="I73" s="426"/>
      <c r="J73" s="426"/>
      <c r="K73" s="426"/>
      <c r="L73" s="426"/>
      <c r="M73" s="426"/>
      <c r="N73" s="426"/>
      <c r="O73" s="426"/>
      <c r="P73" s="426"/>
      <c r="Q73" s="426"/>
      <c r="R73" s="426"/>
      <c r="S73" s="426"/>
      <c r="T73" s="426"/>
      <c r="U73" s="426"/>
      <c r="V73" s="426"/>
      <c r="W73" s="426"/>
      <c r="X73" s="426"/>
    </row>
    <row r="74" spans="1:24">
      <c r="E74" s="426"/>
      <c r="F74" s="671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</row>
    <row r="75" spans="1:24"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</row>
    <row r="76" spans="1:24"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</row>
    <row r="77" spans="1:24">
      <c r="E77" s="426"/>
      <c r="F77" s="426"/>
      <c r="G77" s="426"/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</row>
    <row r="78" spans="1:24"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</row>
    <row r="79" spans="1:24">
      <c r="E79" s="426"/>
      <c r="F79" s="426"/>
      <c r="G79" s="426"/>
      <c r="H79" s="426"/>
      <c r="I79" s="426"/>
      <c r="J79" s="426"/>
      <c r="K79" s="426"/>
      <c r="L79" s="426"/>
      <c r="M79" s="426"/>
      <c r="N79" s="426"/>
      <c r="O79" s="426"/>
      <c r="P79" s="426"/>
      <c r="Q79" s="426"/>
      <c r="R79" s="426"/>
      <c r="S79" s="426"/>
      <c r="T79" s="426"/>
      <c r="U79" s="426"/>
      <c r="V79" s="426"/>
      <c r="W79" s="426"/>
      <c r="X79" s="426"/>
    </row>
    <row r="80" spans="1:24">
      <c r="E80" s="426"/>
      <c r="F80" s="426"/>
      <c r="G80" s="426"/>
      <c r="H80" s="426"/>
      <c r="I80" s="426"/>
      <c r="J80" s="426"/>
      <c r="K80" s="426"/>
      <c r="L80" s="426"/>
      <c r="M80" s="426"/>
      <c r="N80" s="426"/>
      <c r="O80" s="426"/>
      <c r="P80" s="426"/>
      <c r="Q80" s="426"/>
      <c r="R80" s="426"/>
      <c r="S80" s="426"/>
      <c r="T80" s="426"/>
      <c r="U80" s="426"/>
      <c r="V80" s="426"/>
      <c r="W80" s="426"/>
      <c r="X80" s="426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826" customWidth="1"/>
    <col min="2" max="2" width="17.28515625" style="826" customWidth="1"/>
    <col min="3" max="3" width="17.140625" style="826" customWidth="1"/>
    <col min="4" max="4" width="19.140625" style="826" customWidth="1"/>
    <col min="5" max="5" width="14.140625" style="826" customWidth="1"/>
    <col min="6" max="6" width="14.7109375" style="826" customWidth="1"/>
    <col min="7" max="7" width="13.7109375" style="826" customWidth="1"/>
    <col min="8" max="8" width="16.28515625" style="826" customWidth="1"/>
    <col min="9" max="9" width="14.85546875" style="826" customWidth="1"/>
    <col min="10" max="10" width="15.85546875" style="826" customWidth="1"/>
    <col min="11" max="11" width="14.85546875" style="826" customWidth="1"/>
    <col min="12" max="12" width="14.42578125" style="826" customWidth="1"/>
    <col min="13" max="13" width="15.85546875" style="826" customWidth="1"/>
    <col min="14" max="14" width="18" style="826" customWidth="1"/>
    <col min="15" max="15" width="8.28515625" style="826" customWidth="1"/>
    <col min="16" max="17" width="16.28515625" style="826" customWidth="1"/>
    <col min="18" max="18" width="17.42578125" style="826" customWidth="1"/>
    <col min="19" max="19" width="14.28515625" style="826" customWidth="1"/>
    <col min="20" max="20" width="14.42578125" style="826" customWidth="1"/>
    <col min="21" max="21" width="11.42578125" style="826"/>
    <col min="22" max="22" width="14" style="826" customWidth="1"/>
    <col min="23" max="23" width="13.28515625" style="826" customWidth="1"/>
    <col min="24" max="1024" width="11.42578125" style="826"/>
  </cols>
  <sheetData>
    <row r="1" spans="1:22">
      <c r="A1" s="827" t="s">
        <v>0</v>
      </c>
      <c r="C1" s="828"/>
    </row>
    <row r="2" spans="1:22">
      <c r="A2" s="829" t="s">
        <v>1</v>
      </c>
      <c r="C2" s="830"/>
    </row>
    <row r="3" spans="1:22" ht="15" customHeight="1">
      <c r="A3" s="831"/>
      <c r="E3" s="828"/>
      <c r="P3" s="1" t="s">
        <v>2</v>
      </c>
      <c r="Q3" s="1"/>
    </row>
    <row r="4" spans="1:22" ht="38.25">
      <c r="A4" s="832" t="s">
        <v>3</v>
      </c>
      <c r="B4" s="833" t="s">
        <v>850</v>
      </c>
      <c r="C4" s="833" t="s">
        <v>851</v>
      </c>
      <c r="D4" s="833" t="s">
        <v>852</v>
      </c>
      <c r="E4" s="833" t="s">
        <v>853</v>
      </c>
      <c r="F4" s="833" t="s">
        <v>854</v>
      </c>
      <c r="G4" s="833" t="s">
        <v>855</v>
      </c>
      <c r="H4" s="833" t="s">
        <v>856</v>
      </c>
      <c r="I4" s="833" t="s">
        <v>857</v>
      </c>
      <c r="J4" s="833" t="s">
        <v>858</v>
      </c>
      <c r="K4" s="833" t="s">
        <v>859</v>
      </c>
      <c r="L4" s="833" t="s">
        <v>860</v>
      </c>
      <c r="M4" s="833" t="s">
        <v>861</v>
      </c>
      <c r="N4" s="833" t="s">
        <v>259</v>
      </c>
      <c r="O4" s="833" t="s">
        <v>17</v>
      </c>
      <c r="P4" s="833" t="s">
        <v>18</v>
      </c>
      <c r="Q4" s="833" t="s">
        <v>19</v>
      </c>
      <c r="R4" s="833" t="s">
        <v>33</v>
      </c>
    </row>
    <row r="5" spans="1:22" ht="15.75" customHeight="1">
      <c r="A5" s="834" t="s">
        <v>35</v>
      </c>
      <c r="B5" s="338">
        <v>1607132</v>
      </c>
      <c r="C5" s="338">
        <v>42926</v>
      </c>
      <c r="D5" s="338">
        <v>6856</v>
      </c>
      <c r="E5" s="338">
        <v>2227</v>
      </c>
      <c r="F5" s="338">
        <v>3845</v>
      </c>
      <c r="G5" s="338">
        <v>0</v>
      </c>
      <c r="H5" s="338">
        <v>0</v>
      </c>
      <c r="I5" s="338">
        <v>10000</v>
      </c>
      <c r="J5" s="338">
        <v>0</v>
      </c>
      <c r="K5" s="338">
        <v>5631</v>
      </c>
      <c r="L5" s="338">
        <v>10301</v>
      </c>
      <c r="M5" s="338">
        <v>53644</v>
      </c>
      <c r="N5" s="835">
        <f t="shared" ref="N5:N22" si="0">SUM(B5:M5)</f>
        <v>1742562</v>
      </c>
      <c r="O5" s="836"/>
      <c r="P5" s="338"/>
      <c r="Q5" s="338"/>
      <c r="R5" s="339">
        <f t="shared" ref="R5:R22" si="1">N5+P5-Q5</f>
        <v>1742562</v>
      </c>
    </row>
    <row r="6" spans="1:22" ht="27.75" customHeight="1">
      <c r="A6" s="834" t="s">
        <v>36</v>
      </c>
      <c r="B6" s="338">
        <v>2644455</v>
      </c>
      <c r="C6" s="338">
        <v>0</v>
      </c>
      <c r="D6" s="338">
        <v>0</v>
      </c>
      <c r="E6" s="338">
        <v>0</v>
      </c>
      <c r="F6" s="338">
        <v>0</v>
      </c>
      <c r="G6" s="338">
        <v>0</v>
      </c>
      <c r="H6" s="338">
        <v>0</v>
      </c>
      <c r="I6" s="338">
        <v>0</v>
      </c>
      <c r="J6" s="338">
        <v>0</v>
      </c>
      <c r="K6" s="338">
        <v>0</v>
      </c>
      <c r="L6" s="338">
        <v>0</v>
      </c>
      <c r="M6" s="338">
        <v>0</v>
      </c>
      <c r="N6" s="835">
        <f t="shared" si="0"/>
        <v>2644455</v>
      </c>
      <c r="O6" s="836"/>
      <c r="P6" s="338"/>
      <c r="Q6" s="338"/>
      <c r="R6" s="339">
        <f t="shared" si="1"/>
        <v>2644455</v>
      </c>
    </row>
    <row r="7" spans="1:22" ht="26.25" customHeight="1">
      <c r="A7" s="834" t="s">
        <v>37</v>
      </c>
      <c r="B7" s="338">
        <v>102620</v>
      </c>
      <c r="C7" s="338">
        <v>0</v>
      </c>
      <c r="D7" s="338">
        <v>0</v>
      </c>
      <c r="E7" s="338">
        <v>0</v>
      </c>
      <c r="F7" s="338">
        <v>0</v>
      </c>
      <c r="G7" s="338">
        <v>0</v>
      </c>
      <c r="H7" s="338">
        <v>0</v>
      </c>
      <c r="I7" s="338">
        <v>0</v>
      </c>
      <c r="J7" s="338">
        <v>0</v>
      </c>
      <c r="K7" s="338">
        <v>0</v>
      </c>
      <c r="L7" s="338">
        <v>0</v>
      </c>
      <c r="M7" s="338">
        <v>0</v>
      </c>
      <c r="N7" s="835">
        <f t="shared" si="0"/>
        <v>102620</v>
      </c>
      <c r="O7" s="836"/>
      <c r="P7" s="338"/>
      <c r="Q7" s="338"/>
      <c r="R7" s="339">
        <f t="shared" si="1"/>
        <v>102620</v>
      </c>
    </row>
    <row r="8" spans="1:22" ht="15.75" customHeight="1">
      <c r="A8" s="834" t="s">
        <v>38</v>
      </c>
      <c r="B8" s="338">
        <v>10565005</v>
      </c>
      <c r="C8" s="338">
        <v>4461516</v>
      </c>
      <c r="D8" s="338">
        <v>273861</v>
      </c>
      <c r="E8" s="338">
        <v>0</v>
      </c>
      <c r="F8" s="338">
        <v>18892</v>
      </c>
      <c r="G8" s="338">
        <v>0</v>
      </c>
      <c r="H8" s="338">
        <v>0</v>
      </c>
      <c r="I8" s="338">
        <v>0</v>
      </c>
      <c r="J8" s="338">
        <v>0</v>
      </c>
      <c r="K8" s="338">
        <v>41672</v>
      </c>
      <c r="L8" s="338">
        <f>81977-46414</f>
        <v>35563</v>
      </c>
      <c r="M8" s="338">
        <v>166895</v>
      </c>
      <c r="N8" s="835">
        <f t="shared" si="0"/>
        <v>15563404</v>
      </c>
      <c r="O8" s="836" t="s">
        <v>39</v>
      </c>
      <c r="P8" s="338"/>
      <c r="Q8" s="338">
        <f>+'Diarios Cxc Cxp relac (c)'!E36</f>
        <v>0</v>
      </c>
      <c r="R8" s="339">
        <f t="shared" si="1"/>
        <v>15563404</v>
      </c>
      <c r="T8" s="828"/>
    </row>
    <row r="9" spans="1:22">
      <c r="A9" s="834" t="s">
        <v>40</v>
      </c>
      <c r="B9" s="338">
        <v>32908556</v>
      </c>
      <c r="C9" s="338">
        <v>2044176</v>
      </c>
      <c r="D9" s="338">
        <v>717537</v>
      </c>
      <c r="E9" s="338">
        <v>990080</v>
      </c>
      <c r="F9" s="338">
        <v>0</v>
      </c>
      <c r="G9" s="338">
        <v>0</v>
      </c>
      <c r="H9" s="338">
        <v>0</v>
      </c>
      <c r="I9" s="338">
        <v>0</v>
      </c>
      <c r="J9" s="338">
        <v>0</v>
      </c>
      <c r="K9" s="338">
        <v>0</v>
      </c>
      <c r="L9" s="338">
        <v>0</v>
      </c>
      <c r="M9" s="338">
        <v>10000</v>
      </c>
      <c r="N9" s="835">
        <f t="shared" si="0"/>
        <v>36670349</v>
      </c>
      <c r="O9" s="836" t="s">
        <v>39</v>
      </c>
      <c r="P9" s="338"/>
      <c r="Q9" s="338">
        <v>11595352</v>
      </c>
      <c r="R9" s="339">
        <f t="shared" si="1"/>
        <v>25074997</v>
      </c>
    </row>
    <row r="10" spans="1:22" ht="15.75" customHeight="1">
      <c r="A10" s="834" t="s">
        <v>42</v>
      </c>
      <c r="B10" s="338">
        <v>5481731</v>
      </c>
      <c r="C10" s="338">
        <v>4477</v>
      </c>
      <c r="D10" s="338">
        <v>0</v>
      </c>
      <c r="E10" s="338">
        <v>0</v>
      </c>
      <c r="F10" s="338"/>
      <c r="G10" s="338">
        <v>0</v>
      </c>
      <c r="H10" s="338">
        <v>0</v>
      </c>
      <c r="I10" s="338">
        <v>0</v>
      </c>
      <c r="J10" s="338">
        <v>0</v>
      </c>
      <c r="K10" s="338">
        <v>448</v>
      </c>
      <c r="L10" s="338">
        <f>35886+1569+4835</f>
        <v>42290</v>
      </c>
      <c r="M10" s="338">
        <v>9502</v>
      </c>
      <c r="N10" s="835">
        <f t="shared" si="0"/>
        <v>5538448</v>
      </c>
      <c r="O10" s="836" t="s">
        <v>39</v>
      </c>
      <c r="P10" s="338"/>
      <c r="Q10" s="338">
        <f>'Diarios Cxc Cxp relac (c)'!E35</f>
        <v>0</v>
      </c>
      <c r="R10" s="339">
        <f t="shared" si="1"/>
        <v>5538448</v>
      </c>
    </row>
    <row r="11" spans="1:22" ht="15.75" customHeight="1">
      <c r="A11" s="834" t="s">
        <v>43</v>
      </c>
      <c r="B11" s="338">
        <v>480186</v>
      </c>
      <c r="C11" s="338">
        <v>0</v>
      </c>
      <c r="D11" s="338">
        <v>60656</v>
      </c>
      <c r="E11" s="338">
        <v>134914</v>
      </c>
      <c r="F11" s="338">
        <v>123577</v>
      </c>
      <c r="G11" s="338">
        <v>0</v>
      </c>
      <c r="H11" s="338">
        <v>7989</v>
      </c>
      <c r="I11" s="338">
        <v>0</v>
      </c>
      <c r="J11" s="338">
        <v>0</v>
      </c>
      <c r="K11" s="338">
        <v>242520</v>
      </c>
      <c r="L11" s="338">
        <v>74937</v>
      </c>
      <c r="M11" s="338" t="s">
        <v>44</v>
      </c>
      <c r="N11" s="835">
        <f t="shared" si="0"/>
        <v>1124779</v>
      </c>
      <c r="O11" s="836"/>
      <c r="P11" s="338"/>
      <c r="Q11" s="338"/>
      <c r="R11" s="339">
        <f t="shared" si="1"/>
        <v>1124779</v>
      </c>
    </row>
    <row r="12" spans="1:22" ht="15.75" customHeight="1">
      <c r="A12" s="834" t="s">
        <v>45</v>
      </c>
      <c r="B12" s="338">
        <v>625964</v>
      </c>
      <c r="C12" s="338">
        <v>0</v>
      </c>
      <c r="D12" s="338">
        <v>152</v>
      </c>
      <c r="E12" s="338">
        <v>0</v>
      </c>
      <c r="F12" s="338">
        <v>0</v>
      </c>
      <c r="G12" s="338">
        <v>0</v>
      </c>
      <c r="H12" s="338">
        <v>0</v>
      </c>
      <c r="I12" s="338">
        <v>0</v>
      </c>
      <c r="J12" s="338">
        <v>0</v>
      </c>
      <c r="K12" s="338">
        <v>16068</v>
      </c>
      <c r="L12" s="338">
        <v>0</v>
      </c>
      <c r="M12" s="338">
        <v>0</v>
      </c>
      <c r="N12" s="835">
        <f t="shared" si="0"/>
        <v>642184</v>
      </c>
      <c r="O12" s="836"/>
      <c r="P12" s="338"/>
      <c r="Q12" s="338"/>
      <c r="R12" s="339">
        <f t="shared" si="1"/>
        <v>642184</v>
      </c>
    </row>
    <row r="13" spans="1:22" ht="15.75" customHeight="1">
      <c r="A13" s="834" t="s">
        <v>46</v>
      </c>
      <c r="B13" s="338">
        <v>14883321</v>
      </c>
      <c r="C13" s="338">
        <v>0</v>
      </c>
      <c r="D13" s="338">
        <v>1706</v>
      </c>
      <c r="E13" s="338">
        <v>0</v>
      </c>
      <c r="F13" s="338">
        <v>0</v>
      </c>
      <c r="G13" s="338">
        <v>0</v>
      </c>
      <c r="H13" s="338">
        <v>0</v>
      </c>
      <c r="I13" s="338">
        <v>0</v>
      </c>
      <c r="J13" s="338">
        <v>0</v>
      </c>
      <c r="K13" s="338">
        <v>11306</v>
      </c>
      <c r="L13" s="338">
        <v>0</v>
      </c>
      <c r="M13" s="338">
        <v>0</v>
      </c>
      <c r="N13" s="835">
        <f t="shared" si="0"/>
        <v>14896333</v>
      </c>
      <c r="O13" s="836"/>
      <c r="P13" s="338"/>
      <c r="Q13" s="338">
        <f>'Ventas-Compras (d)'!E30</f>
        <v>11306</v>
      </c>
      <c r="R13" s="339">
        <f t="shared" si="1"/>
        <v>14885027</v>
      </c>
    </row>
    <row r="14" spans="1:22" ht="15.75" customHeight="1">
      <c r="A14" s="834" t="s">
        <v>48</v>
      </c>
      <c r="B14" s="338">
        <v>40694</v>
      </c>
      <c r="C14" s="338">
        <v>0</v>
      </c>
      <c r="D14" s="338">
        <v>0</v>
      </c>
      <c r="E14" s="338">
        <v>0</v>
      </c>
      <c r="F14" s="338">
        <v>0</v>
      </c>
      <c r="G14" s="338">
        <v>0</v>
      </c>
      <c r="H14" s="338">
        <v>0</v>
      </c>
      <c r="I14" s="338">
        <v>0</v>
      </c>
      <c r="J14" s="338">
        <v>0</v>
      </c>
      <c r="K14" s="338">
        <v>0</v>
      </c>
      <c r="L14" s="338">
        <v>0</v>
      </c>
      <c r="M14" s="338">
        <v>0</v>
      </c>
      <c r="N14" s="835">
        <f t="shared" si="0"/>
        <v>40694</v>
      </c>
      <c r="O14" s="836" t="s">
        <v>39</v>
      </c>
      <c r="P14" s="338">
        <v>3150764</v>
      </c>
      <c r="Q14" s="338">
        <f>'Diarios Cxc Cxp relac (c)'!E34</f>
        <v>40694</v>
      </c>
      <c r="R14" s="837">
        <f t="shared" si="1"/>
        <v>3150764</v>
      </c>
    </row>
    <row r="15" spans="1:22" ht="15.75" customHeight="1">
      <c r="A15" s="834" t="s">
        <v>49</v>
      </c>
      <c r="B15" s="338">
        <v>3212434</v>
      </c>
      <c r="C15" s="338">
        <v>0</v>
      </c>
      <c r="D15" s="338">
        <v>0</v>
      </c>
      <c r="E15" s="338">
        <v>0</v>
      </c>
      <c r="F15" s="338">
        <v>0</v>
      </c>
      <c r="G15" s="338">
        <v>0</v>
      </c>
      <c r="H15" s="338">
        <v>0</v>
      </c>
      <c r="I15" s="338">
        <v>0</v>
      </c>
      <c r="J15" s="338">
        <v>0</v>
      </c>
      <c r="K15" s="338">
        <v>0</v>
      </c>
      <c r="L15" s="338">
        <v>0</v>
      </c>
      <c r="M15" s="338">
        <v>0</v>
      </c>
      <c r="N15" s="835">
        <f t="shared" si="0"/>
        <v>3212434</v>
      </c>
      <c r="O15" s="836"/>
      <c r="P15" s="338"/>
      <c r="Q15" s="338"/>
      <c r="R15" s="339">
        <f t="shared" si="1"/>
        <v>3212434</v>
      </c>
      <c r="V15" s="828">
        <f>B15-R15</f>
        <v>0</v>
      </c>
    </row>
    <row r="16" spans="1:22" ht="14.25" customHeight="1">
      <c r="A16" s="834" t="s">
        <v>50</v>
      </c>
      <c r="B16" s="338">
        <v>66573020</v>
      </c>
      <c r="C16" s="338">
        <v>44671913</v>
      </c>
      <c r="D16" s="338">
        <v>3233810</v>
      </c>
      <c r="E16" s="338">
        <v>33545</v>
      </c>
      <c r="F16" s="338">
        <v>218631</v>
      </c>
      <c r="G16" s="338">
        <v>373713</v>
      </c>
      <c r="H16" s="338">
        <v>0</v>
      </c>
      <c r="I16" s="338">
        <v>0</v>
      </c>
      <c r="J16" s="338">
        <v>1140</v>
      </c>
      <c r="K16" s="338">
        <v>1718909</v>
      </c>
      <c r="L16" s="338">
        <v>367967</v>
      </c>
      <c r="M16" s="338">
        <v>204656</v>
      </c>
      <c r="N16" s="835">
        <f t="shared" si="0"/>
        <v>117397304</v>
      </c>
      <c r="O16" s="836" t="s">
        <v>52</v>
      </c>
      <c r="P16" s="338">
        <f>'Diario 2015 (a)'!C10</f>
        <v>881973.00000000605</v>
      </c>
      <c r="Q16" s="338">
        <v>5392876</v>
      </c>
      <c r="R16" s="339">
        <f t="shared" si="1"/>
        <v>112886401</v>
      </c>
      <c r="S16" s="828"/>
    </row>
    <row r="17" spans="1:20" ht="15.75" customHeight="1">
      <c r="A17" s="834" t="s">
        <v>53</v>
      </c>
      <c r="B17" s="338">
        <v>661755</v>
      </c>
      <c r="C17" s="338">
        <v>0</v>
      </c>
      <c r="D17" s="338">
        <v>0</v>
      </c>
      <c r="E17" s="338">
        <v>0</v>
      </c>
      <c r="F17" s="338">
        <v>0</v>
      </c>
      <c r="G17" s="338">
        <v>0</v>
      </c>
      <c r="H17" s="338">
        <v>0</v>
      </c>
      <c r="I17" s="338">
        <v>0</v>
      </c>
      <c r="J17" s="338">
        <v>0</v>
      </c>
      <c r="K17" s="338">
        <v>0</v>
      </c>
      <c r="L17" s="338"/>
      <c r="M17" s="338">
        <v>0</v>
      </c>
      <c r="N17" s="835">
        <f t="shared" si="0"/>
        <v>661755</v>
      </c>
      <c r="O17" s="836"/>
      <c r="P17" s="338"/>
      <c r="Q17" s="338"/>
      <c r="R17" s="339">
        <f t="shared" si="1"/>
        <v>661755</v>
      </c>
    </row>
    <row r="18" spans="1:20" ht="15.75" customHeight="1">
      <c r="A18" s="834" t="s">
        <v>54</v>
      </c>
      <c r="B18" s="338">
        <v>11586243</v>
      </c>
      <c r="C18" s="838">
        <v>0</v>
      </c>
      <c r="D18" s="338">
        <v>0</v>
      </c>
      <c r="E18" s="338">
        <v>0</v>
      </c>
      <c r="F18" s="338">
        <v>0</v>
      </c>
      <c r="G18" s="338">
        <v>0</v>
      </c>
      <c r="H18" s="338">
        <v>0</v>
      </c>
      <c r="I18" s="338">
        <v>0</v>
      </c>
      <c r="J18" s="338">
        <v>0</v>
      </c>
      <c r="K18" s="338">
        <v>0</v>
      </c>
      <c r="L18" s="338">
        <v>117971</v>
      </c>
      <c r="M18" s="338">
        <v>0</v>
      </c>
      <c r="N18" s="835">
        <f t="shared" si="0"/>
        <v>11704214</v>
      </c>
      <c r="O18" s="836" t="s">
        <v>51</v>
      </c>
      <c r="P18" s="338">
        <v>394335</v>
      </c>
      <c r="Q18" s="338">
        <v>822437</v>
      </c>
      <c r="R18" s="339">
        <f t="shared" si="1"/>
        <v>11276112</v>
      </c>
      <c r="T18" s="828"/>
    </row>
    <row r="19" spans="1:20">
      <c r="A19" s="834" t="s">
        <v>56</v>
      </c>
      <c r="B19" s="338">
        <v>1422229</v>
      </c>
      <c r="C19" s="338">
        <v>0</v>
      </c>
      <c r="D19" s="338">
        <v>0</v>
      </c>
      <c r="E19" s="338">
        <v>0</v>
      </c>
      <c r="F19" s="338">
        <v>0</v>
      </c>
      <c r="G19" s="338">
        <v>0</v>
      </c>
      <c r="H19" s="338">
        <v>0</v>
      </c>
      <c r="I19" s="338">
        <v>0</v>
      </c>
      <c r="J19" s="338">
        <v>0</v>
      </c>
      <c r="K19" s="338">
        <v>0</v>
      </c>
      <c r="L19" s="338">
        <v>0</v>
      </c>
      <c r="M19" s="338">
        <v>0</v>
      </c>
      <c r="N19" s="835">
        <f t="shared" si="0"/>
        <v>1422229</v>
      </c>
      <c r="O19" s="836"/>
      <c r="P19" s="338"/>
      <c r="Q19" s="338"/>
      <c r="R19" s="339">
        <f t="shared" si="1"/>
        <v>1422229</v>
      </c>
    </row>
    <row r="20" spans="1:20">
      <c r="A20" s="834" t="s">
        <v>57</v>
      </c>
      <c r="B20" s="338">
        <v>44513438</v>
      </c>
      <c r="C20" s="338">
        <v>100</v>
      </c>
      <c r="D20" s="338">
        <v>0</v>
      </c>
      <c r="E20" s="338">
        <v>0</v>
      </c>
      <c r="F20" s="338">
        <v>0</v>
      </c>
      <c r="G20" s="338">
        <v>0</v>
      </c>
      <c r="H20" s="338">
        <v>0</v>
      </c>
      <c r="I20" s="338">
        <v>0</v>
      </c>
      <c r="J20" s="338">
        <v>0</v>
      </c>
      <c r="K20" s="338">
        <v>0</v>
      </c>
      <c r="L20" s="338">
        <v>0</v>
      </c>
      <c r="M20" s="338">
        <v>0</v>
      </c>
      <c r="N20" s="835">
        <f t="shared" si="0"/>
        <v>44513538</v>
      </c>
      <c r="O20" s="836" t="s">
        <v>59</v>
      </c>
      <c r="P20" s="338">
        <f>1231351+42502+8000</f>
        <v>1281853</v>
      </c>
      <c r="Q20" s="338">
        <f>-(-1982263-800-943459-147840-462500-140052-1834157-31550577-6000-644000-10000-1113036-340-266632-224942-1)+3150764</f>
        <v>42477363</v>
      </c>
      <c r="R20" s="339">
        <f t="shared" si="1"/>
        <v>3318028</v>
      </c>
    </row>
    <row r="21" spans="1:20">
      <c r="A21" s="834" t="s">
        <v>60</v>
      </c>
      <c r="B21" s="839">
        <v>0</v>
      </c>
      <c r="C21" s="839">
        <v>883849</v>
      </c>
      <c r="D21" s="338">
        <v>0</v>
      </c>
      <c r="E21" s="338">
        <v>0</v>
      </c>
      <c r="F21" s="338">
        <v>0</v>
      </c>
      <c r="G21" s="338">
        <v>0</v>
      </c>
      <c r="H21" s="338">
        <v>0</v>
      </c>
      <c r="I21" s="338">
        <v>0</v>
      </c>
      <c r="J21" s="338">
        <v>0</v>
      </c>
      <c r="L21" s="338">
        <v>0</v>
      </c>
      <c r="M21" s="338">
        <v>0</v>
      </c>
      <c r="N21" s="835">
        <f t="shared" si="0"/>
        <v>883849</v>
      </c>
      <c r="O21" s="836"/>
      <c r="P21" s="338"/>
      <c r="Q21" s="338"/>
      <c r="R21" s="339">
        <f t="shared" si="1"/>
        <v>883849</v>
      </c>
    </row>
    <row r="22" spans="1:20">
      <c r="A22" s="834" t="s">
        <v>61</v>
      </c>
      <c r="B22" s="839">
        <v>105894</v>
      </c>
      <c r="C22" s="338">
        <v>0</v>
      </c>
      <c r="D22" s="338">
        <v>373443</v>
      </c>
      <c r="E22" s="338">
        <v>0</v>
      </c>
      <c r="F22" s="338">
        <v>0</v>
      </c>
      <c r="G22" s="338">
        <v>0</v>
      </c>
      <c r="H22" s="338">
        <v>0</v>
      </c>
      <c r="I22" s="338">
        <v>0</v>
      </c>
      <c r="J22" s="338">
        <v>0</v>
      </c>
      <c r="K22" s="338">
        <v>2963501</v>
      </c>
      <c r="L22" s="338">
        <v>0</v>
      </c>
      <c r="M22" s="338">
        <v>0</v>
      </c>
      <c r="N22" s="835">
        <f t="shared" si="0"/>
        <v>3442838</v>
      </c>
      <c r="O22" s="836"/>
      <c r="P22" s="338"/>
      <c r="Q22" s="338"/>
      <c r="R22" s="339">
        <f t="shared" si="1"/>
        <v>3442838</v>
      </c>
    </row>
    <row r="23" spans="1:20">
      <c r="A23" s="840" t="s">
        <v>63</v>
      </c>
      <c r="B23" s="841">
        <f t="shared" ref="B23:N23" si="2">SUM(B5:B22)</f>
        <v>197414677</v>
      </c>
      <c r="C23" s="841">
        <f t="shared" si="2"/>
        <v>52108957</v>
      </c>
      <c r="D23" s="841">
        <f t="shared" si="2"/>
        <v>4668021</v>
      </c>
      <c r="E23" s="841">
        <f t="shared" si="2"/>
        <v>1160766</v>
      </c>
      <c r="F23" s="841">
        <f t="shared" si="2"/>
        <v>364945</v>
      </c>
      <c r="G23" s="841">
        <f t="shared" si="2"/>
        <v>373713</v>
      </c>
      <c r="H23" s="841">
        <f t="shared" si="2"/>
        <v>7989</v>
      </c>
      <c r="I23" s="841">
        <f t="shared" si="2"/>
        <v>10000</v>
      </c>
      <c r="J23" s="841">
        <f t="shared" si="2"/>
        <v>1140</v>
      </c>
      <c r="K23" s="841">
        <f t="shared" si="2"/>
        <v>5000055</v>
      </c>
      <c r="L23" s="841">
        <f t="shared" si="2"/>
        <v>649029</v>
      </c>
      <c r="M23" s="841">
        <f t="shared" si="2"/>
        <v>444697</v>
      </c>
      <c r="N23" s="841">
        <f t="shared" si="2"/>
        <v>262203989</v>
      </c>
      <c r="O23" s="842"/>
      <c r="P23" s="841">
        <f>+SUM(P5:P22)</f>
        <v>5708925.0000000056</v>
      </c>
      <c r="Q23" s="841">
        <f>+SUM(Q5:Q22)</f>
        <v>60340028</v>
      </c>
      <c r="R23" s="841">
        <f>SUM(R5:R22)</f>
        <v>207572886</v>
      </c>
    </row>
    <row r="24" spans="1:20">
      <c r="A24" s="834" t="s">
        <v>64</v>
      </c>
      <c r="B24" s="338">
        <v>260402</v>
      </c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35">
        <f t="shared" ref="N24:N41" si="3">SUM(B24:M24)</f>
        <v>260402</v>
      </c>
      <c r="O24" s="836"/>
      <c r="P24" s="843">
        <v>0</v>
      </c>
      <c r="Q24" s="843">
        <v>0</v>
      </c>
      <c r="R24" s="844">
        <f t="shared" ref="R24:R41" si="4">N24-P24+Q24</f>
        <v>260402</v>
      </c>
    </row>
    <row r="25" spans="1:20">
      <c r="A25" s="834" t="s">
        <v>65</v>
      </c>
      <c r="B25" s="338">
        <v>13413675</v>
      </c>
      <c r="C25" s="338">
        <v>0</v>
      </c>
      <c r="D25" s="338">
        <v>0</v>
      </c>
      <c r="E25" s="338">
        <v>0</v>
      </c>
      <c r="F25" s="338">
        <v>0</v>
      </c>
      <c r="G25" s="338">
        <v>0</v>
      </c>
      <c r="H25" s="338">
        <v>0</v>
      </c>
      <c r="I25" s="338">
        <v>0</v>
      </c>
      <c r="J25" s="338">
        <v>0</v>
      </c>
      <c r="K25" s="338">
        <v>0</v>
      </c>
      <c r="L25" s="338">
        <v>0</v>
      </c>
      <c r="M25" s="338">
        <v>0</v>
      </c>
      <c r="N25" s="835">
        <f t="shared" si="3"/>
        <v>13413675</v>
      </c>
      <c r="O25" s="836"/>
      <c r="P25" s="338"/>
      <c r="Q25" s="338"/>
      <c r="R25" s="844">
        <f t="shared" si="4"/>
        <v>13413675</v>
      </c>
    </row>
    <row r="26" spans="1:20">
      <c r="A26" s="834" t="s">
        <v>66</v>
      </c>
      <c r="B26" s="338">
        <v>11459310</v>
      </c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835">
        <f t="shared" si="3"/>
        <v>11459310</v>
      </c>
      <c r="O26" s="836"/>
      <c r="P26" s="338"/>
      <c r="Q26" s="338"/>
      <c r="R26" s="844">
        <f t="shared" si="4"/>
        <v>11459310</v>
      </c>
    </row>
    <row r="27" spans="1:20" ht="15.75" customHeight="1">
      <c r="A27" s="834" t="s">
        <v>67</v>
      </c>
      <c r="B27" s="338">
        <v>18438625</v>
      </c>
      <c r="C27" s="338">
        <v>2041083</v>
      </c>
      <c r="D27" s="338">
        <v>42437</v>
      </c>
      <c r="E27" s="338">
        <v>0</v>
      </c>
      <c r="F27" s="338"/>
      <c r="G27" s="338">
        <v>0</v>
      </c>
      <c r="H27" s="338">
        <v>0</v>
      </c>
      <c r="I27" s="338">
        <v>0</v>
      </c>
      <c r="J27" s="338">
        <v>0</v>
      </c>
      <c r="K27" s="338">
        <v>24357</v>
      </c>
      <c r="L27" s="338">
        <v>10173</v>
      </c>
      <c r="M27" s="338">
        <v>55288</v>
      </c>
      <c r="N27" s="835">
        <f t="shared" si="3"/>
        <v>20611963</v>
      </c>
      <c r="O27" s="836" t="s">
        <v>39</v>
      </c>
      <c r="P27" s="338">
        <v>175918</v>
      </c>
      <c r="Q27" s="338"/>
      <c r="R27" s="844">
        <f t="shared" si="4"/>
        <v>20436045</v>
      </c>
    </row>
    <row r="28" spans="1:20" ht="15.75" customHeight="1">
      <c r="A28" s="834" t="s">
        <v>68</v>
      </c>
      <c r="B28" s="338">
        <v>1314903</v>
      </c>
      <c r="C28" s="338">
        <f>4733+865104+5397853+278023</f>
        <v>6545713</v>
      </c>
      <c r="D28" s="338">
        <v>0</v>
      </c>
      <c r="E28" s="338">
        <v>180603</v>
      </c>
      <c r="F28" s="338">
        <v>1296079</v>
      </c>
      <c r="G28" s="338">
        <v>0</v>
      </c>
      <c r="H28" s="338">
        <v>0</v>
      </c>
      <c r="I28" s="338">
        <v>0</v>
      </c>
      <c r="J28" s="338">
        <v>0</v>
      </c>
      <c r="K28" s="338">
        <v>0</v>
      </c>
      <c r="L28" s="338">
        <v>125748</v>
      </c>
      <c r="M28" s="338">
        <v>901340</v>
      </c>
      <c r="N28" s="835">
        <f t="shared" si="3"/>
        <v>10364386</v>
      </c>
      <c r="O28" s="836" t="s">
        <v>69</v>
      </c>
      <c r="P28" s="338">
        <f>8450783-26</f>
        <v>8450757</v>
      </c>
      <c r="Q28" s="338"/>
      <c r="R28" s="844">
        <f t="shared" si="4"/>
        <v>1913629</v>
      </c>
    </row>
    <row r="29" spans="1:20" ht="15.75" customHeight="1">
      <c r="A29" s="834" t="s">
        <v>71</v>
      </c>
      <c r="B29" s="338">
        <v>4228478</v>
      </c>
      <c r="C29" s="338">
        <v>0</v>
      </c>
      <c r="D29" s="338">
        <v>39874</v>
      </c>
      <c r="E29" s="338">
        <v>0</v>
      </c>
      <c r="F29" s="338">
        <v>0</v>
      </c>
      <c r="G29" s="338">
        <v>0</v>
      </c>
      <c r="H29" s="338">
        <v>0</v>
      </c>
      <c r="I29" s="338">
        <v>0</v>
      </c>
      <c r="J29" s="338">
        <v>0</v>
      </c>
      <c r="K29" s="338">
        <v>0</v>
      </c>
      <c r="L29" s="338">
        <v>6555</v>
      </c>
      <c r="M29" s="338">
        <v>0</v>
      </c>
      <c r="N29" s="835">
        <f t="shared" si="3"/>
        <v>4274907</v>
      </c>
      <c r="O29" s="836"/>
      <c r="P29" s="338"/>
      <c r="Q29" s="338"/>
      <c r="R29" s="844">
        <f t="shared" si="4"/>
        <v>4274907</v>
      </c>
    </row>
    <row r="30" spans="1:20" ht="15.75" customHeight="1">
      <c r="A30" s="834" t="s">
        <v>72</v>
      </c>
      <c r="B30" s="338">
        <v>4870701</v>
      </c>
      <c r="C30" s="338">
        <v>0</v>
      </c>
      <c r="D30" s="338">
        <v>19615</v>
      </c>
      <c r="E30" s="338">
        <v>0</v>
      </c>
      <c r="F30" s="338">
        <v>0</v>
      </c>
      <c r="G30" s="338">
        <v>0</v>
      </c>
      <c r="H30" s="338">
        <v>0</v>
      </c>
      <c r="I30" s="338">
        <v>0</v>
      </c>
      <c r="J30" s="338">
        <v>0</v>
      </c>
      <c r="K30" s="338">
        <v>551</v>
      </c>
      <c r="L30" s="338">
        <f>26629+15462+477</f>
        <v>42568</v>
      </c>
      <c r="M30" s="338">
        <v>22519</v>
      </c>
      <c r="N30" s="835">
        <f t="shared" si="3"/>
        <v>4955954</v>
      </c>
      <c r="O30" s="836" t="s">
        <v>73</v>
      </c>
      <c r="P30" s="338">
        <f>1380360+25</f>
        <v>1380385</v>
      </c>
      <c r="Q30" s="338" t="e">
        <f>+#REF!</f>
        <v>#REF!</v>
      </c>
      <c r="R30" s="844" t="e">
        <f t="shared" si="4"/>
        <v>#REF!</v>
      </c>
    </row>
    <row r="31" spans="1:20" ht="15.75" customHeight="1">
      <c r="A31" s="834" t="s">
        <v>74</v>
      </c>
      <c r="B31" s="338">
        <v>1953502</v>
      </c>
      <c r="C31" s="338">
        <f>6540980-865104-5397853-278023</f>
        <v>0</v>
      </c>
      <c r="D31" s="338">
        <v>0</v>
      </c>
      <c r="E31" s="338">
        <v>0</v>
      </c>
      <c r="F31" s="338">
        <v>0</v>
      </c>
      <c r="G31" s="338">
        <v>0</v>
      </c>
      <c r="H31" s="338">
        <v>0</v>
      </c>
      <c r="I31" s="338">
        <v>0</v>
      </c>
      <c r="J31" s="338">
        <v>0</v>
      </c>
      <c r="K31" s="338">
        <v>0</v>
      </c>
      <c r="L31" s="338">
        <v>0</v>
      </c>
      <c r="M31" s="338">
        <v>0</v>
      </c>
      <c r="N31" s="835">
        <f t="shared" si="3"/>
        <v>1953502</v>
      </c>
      <c r="O31" s="836"/>
      <c r="P31" s="338"/>
      <c r="Q31" s="338"/>
      <c r="R31" s="844">
        <f t="shared" si="4"/>
        <v>1953502</v>
      </c>
    </row>
    <row r="32" spans="1:20" ht="15.75" customHeight="1">
      <c r="A32" s="834" t="s">
        <v>75</v>
      </c>
      <c r="B32" s="338">
        <v>4524107</v>
      </c>
      <c r="C32" s="338">
        <v>0</v>
      </c>
      <c r="D32" s="338">
        <v>14447</v>
      </c>
      <c r="E32" s="338">
        <v>0</v>
      </c>
      <c r="F32" s="338">
        <v>0</v>
      </c>
      <c r="G32" s="338">
        <v>0</v>
      </c>
      <c r="H32" s="338">
        <v>0</v>
      </c>
      <c r="I32" s="338">
        <v>0</v>
      </c>
      <c r="J32" s="338">
        <v>0</v>
      </c>
      <c r="K32" s="338">
        <v>6596</v>
      </c>
      <c r="L32" s="338">
        <f>11535+2782</f>
        <v>14317</v>
      </c>
      <c r="M32" s="338">
        <v>0</v>
      </c>
      <c r="N32" s="835">
        <f t="shared" si="3"/>
        <v>4559467</v>
      </c>
      <c r="O32" s="836"/>
      <c r="P32" s="338"/>
      <c r="Q32" s="338"/>
      <c r="R32" s="844">
        <f t="shared" si="4"/>
        <v>4559467</v>
      </c>
    </row>
    <row r="33" spans="1:23" ht="15.75" customHeight="1">
      <c r="A33" s="834" t="s">
        <v>76</v>
      </c>
      <c r="B33" s="839">
        <v>4183053</v>
      </c>
      <c r="C33" s="338">
        <v>0</v>
      </c>
      <c r="D33" s="338">
        <v>0</v>
      </c>
      <c r="E33" s="338">
        <v>0</v>
      </c>
      <c r="F33" s="338">
        <v>0</v>
      </c>
      <c r="G33" s="338">
        <v>0</v>
      </c>
      <c r="H33" s="338">
        <v>0</v>
      </c>
      <c r="I33" s="338">
        <v>0</v>
      </c>
      <c r="J33" s="338">
        <v>0</v>
      </c>
      <c r="K33" s="338">
        <v>0</v>
      </c>
      <c r="L33" s="338">
        <v>0</v>
      </c>
      <c r="M33" s="338">
        <v>0</v>
      </c>
      <c r="N33" s="835">
        <f t="shared" si="3"/>
        <v>4183053</v>
      </c>
      <c r="O33" s="836"/>
      <c r="P33" s="338"/>
      <c r="Q33" s="338"/>
      <c r="R33" s="844">
        <f t="shared" si="4"/>
        <v>4183053</v>
      </c>
    </row>
    <row r="34" spans="1:23" ht="15.75" customHeight="1">
      <c r="A34" s="834" t="s">
        <v>77</v>
      </c>
      <c r="B34" s="839">
        <v>9674932</v>
      </c>
      <c r="C34" s="338">
        <v>0</v>
      </c>
      <c r="D34" s="338">
        <v>0</v>
      </c>
      <c r="E34" s="338">
        <v>0</v>
      </c>
      <c r="F34" s="338">
        <v>0</v>
      </c>
      <c r="G34" s="338">
        <v>0</v>
      </c>
      <c r="H34" s="338">
        <v>0</v>
      </c>
      <c r="I34" s="338">
        <v>0</v>
      </c>
      <c r="J34" s="338">
        <v>0</v>
      </c>
      <c r="K34" s="338">
        <v>0</v>
      </c>
      <c r="L34" s="338">
        <v>0</v>
      </c>
      <c r="M34" s="338">
        <v>0</v>
      </c>
      <c r="N34" s="835">
        <f t="shared" si="3"/>
        <v>9674932</v>
      </c>
      <c r="O34" s="836"/>
      <c r="P34" s="338"/>
      <c r="Q34" s="338"/>
      <c r="R34" s="844">
        <f t="shared" si="4"/>
        <v>9674932</v>
      </c>
    </row>
    <row r="35" spans="1:23" ht="15.75" customHeight="1">
      <c r="A35" s="834" t="s">
        <v>78</v>
      </c>
      <c r="B35" s="839">
        <v>6710516</v>
      </c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835">
        <f t="shared" si="3"/>
        <v>6710516</v>
      </c>
      <c r="O35" s="836"/>
      <c r="P35" s="338"/>
      <c r="Q35" s="338"/>
      <c r="R35" s="844">
        <f t="shared" si="4"/>
        <v>6710516</v>
      </c>
    </row>
    <row r="36" spans="1:23" ht="15.75" customHeight="1">
      <c r="A36" s="834" t="s">
        <v>79</v>
      </c>
      <c r="B36" s="839">
        <v>2203673</v>
      </c>
      <c r="C36" s="338">
        <v>0</v>
      </c>
      <c r="D36" s="338">
        <v>0</v>
      </c>
      <c r="E36" s="338">
        <v>0</v>
      </c>
      <c r="F36" s="338">
        <v>0</v>
      </c>
      <c r="G36" s="338">
        <v>0</v>
      </c>
      <c r="H36" s="338">
        <v>0</v>
      </c>
      <c r="I36" s="338">
        <v>0</v>
      </c>
      <c r="J36" s="338">
        <v>0</v>
      </c>
      <c r="K36" s="338">
        <v>0</v>
      </c>
      <c r="L36" s="338">
        <v>0</v>
      </c>
      <c r="M36" s="338">
        <v>0</v>
      </c>
      <c r="N36" s="835">
        <f t="shared" si="3"/>
        <v>2203673</v>
      </c>
      <c r="O36" s="836"/>
      <c r="P36" s="338"/>
      <c r="Q36" s="338"/>
      <c r="R36" s="844">
        <f t="shared" si="4"/>
        <v>2203673</v>
      </c>
    </row>
    <row r="37" spans="1:23" ht="15.75" customHeight="1">
      <c r="A37" s="834" t="s">
        <v>80</v>
      </c>
      <c r="B37" s="839">
        <v>10628880</v>
      </c>
      <c r="C37" s="338">
        <v>0</v>
      </c>
      <c r="D37" s="839">
        <v>2566935</v>
      </c>
      <c r="E37" s="338">
        <v>0</v>
      </c>
      <c r="F37" s="338">
        <v>0</v>
      </c>
      <c r="G37" s="338">
        <v>0</v>
      </c>
      <c r="H37" s="338">
        <v>0</v>
      </c>
      <c r="I37" s="338">
        <v>0</v>
      </c>
      <c r="J37" s="338">
        <v>0</v>
      </c>
      <c r="K37" s="839">
        <v>3477854</v>
      </c>
      <c r="L37" s="338">
        <v>507600</v>
      </c>
      <c r="M37" s="338">
        <v>0</v>
      </c>
      <c r="N37" s="835">
        <f t="shared" si="3"/>
        <v>17181269</v>
      </c>
      <c r="O37" s="836" t="s">
        <v>39</v>
      </c>
      <c r="P37" s="338">
        <v>6552389</v>
      </c>
      <c r="Q37" s="338"/>
      <c r="R37" s="844">
        <f t="shared" si="4"/>
        <v>10628880</v>
      </c>
    </row>
    <row r="38" spans="1:23" ht="15.75" customHeight="1">
      <c r="A38" s="834" t="s">
        <v>81</v>
      </c>
      <c r="B38" s="839">
        <v>3182459</v>
      </c>
      <c r="C38" s="338">
        <v>0</v>
      </c>
      <c r="D38" s="338">
        <v>0</v>
      </c>
      <c r="E38" s="338">
        <v>0</v>
      </c>
      <c r="F38" s="338">
        <v>0</v>
      </c>
      <c r="G38" s="338">
        <v>0</v>
      </c>
      <c r="H38" s="338">
        <v>0</v>
      </c>
      <c r="I38" s="338">
        <v>0</v>
      </c>
      <c r="J38" s="338">
        <v>0</v>
      </c>
      <c r="K38" s="338">
        <v>16045</v>
      </c>
      <c r="L38" s="338">
        <v>0</v>
      </c>
      <c r="M38" s="338">
        <v>0</v>
      </c>
      <c r="N38" s="835">
        <f t="shared" si="3"/>
        <v>3198504</v>
      </c>
      <c r="O38" s="836" t="s">
        <v>39</v>
      </c>
      <c r="P38" s="338">
        <v>882525</v>
      </c>
      <c r="Q38" s="338"/>
      <c r="R38" s="844">
        <f t="shared" si="4"/>
        <v>2315979</v>
      </c>
    </row>
    <row r="39" spans="1:23" ht="15.75" customHeight="1">
      <c r="A39" s="834" t="s">
        <v>83</v>
      </c>
      <c r="B39" s="839">
        <v>5140510</v>
      </c>
      <c r="C39" s="338">
        <v>0</v>
      </c>
      <c r="D39" s="338">
        <v>0</v>
      </c>
      <c r="E39" s="338">
        <v>0</v>
      </c>
      <c r="F39" s="338">
        <v>0</v>
      </c>
      <c r="G39" s="338">
        <v>0</v>
      </c>
      <c r="H39" s="338">
        <v>0</v>
      </c>
      <c r="I39" s="338">
        <v>0</v>
      </c>
      <c r="J39" s="338">
        <v>0</v>
      </c>
      <c r="K39" s="839">
        <v>0</v>
      </c>
      <c r="L39" s="839">
        <v>45037</v>
      </c>
      <c r="M39" s="338">
        <v>0</v>
      </c>
      <c r="N39" s="835">
        <f t="shared" si="3"/>
        <v>5185547</v>
      </c>
      <c r="O39" s="836"/>
      <c r="P39" s="338"/>
      <c r="Q39" s="338"/>
      <c r="R39" s="844">
        <f t="shared" si="4"/>
        <v>5185547</v>
      </c>
    </row>
    <row r="40" spans="1:23" ht="15.75" customHeight="1">
      <c r="A40" s="834" t="s">
        <v>84</v>
      </c>
      <c r="B40" s="839">
        <v>20813206</v>
      </c>
      <c r="C40" s="338">
        <v>0</v>
      </c>
      <c r="D40" s="338">
        <v>0</v>
      </c>
      <c r="E40" s="338">
        <v>0</v>
      </c>
      <c r="F40" s="338">
        <v>0</v>
      </c>
      <c r="G40" s="338">
        <v>0</v>
      </c>
      <c r="H40" s="338">
        <v>0</v>
      </c>
      <c r="I40" s="338">
        <v>0</v>
      </c>
      <c r="J40" s="338">
        <v>0</v>
      </c>
      <c r="K40" s="839">
        <v>0</v>
      </c>
      <c r="L40" s="338">
        <v>0</v>
      </c>
      <c r="M40" s="338">
        <v>0</v>
      </c>
      <c r="N40" s="835">
        <f t="shared" si="3"/>
        <v>20813206</v>
      </c>
      <c r="O40" s="836"/>
      <c r="P40" s="338"/>
      <c r="Q40" s="338"/>
      <c r="R40" s="844">
        <f t="shared" si="4"/>
        <v>20813206</v>
      </c>
    </row>
    <row r="41" spans="1:23" ht="15.75" customHeight="1">
      <c r="A41" s="834" t="s">
        <v>85</v>
      </c>
      <c r="B41" s="845">
        <v>3572443</v>
      </c>
      <c r="C41" s="845">
        <v>0</v>
      </c>
      <c r="D41" s="845">
        <v>0</v>
      </c>
      <c r="E41" s="845">
        <v>0</v>
      </c>
      <c r="F41" s="845">
        <v>0</v>
      </c>
      <c r="G41" s="845">
        <v>0</v>
      </c>
      <c r="H41" s="845">
        <v>0</v>
      </c>
      <c r="I41" s="845">
        <v>0</v>
      </c>
      <c r="J41" s="845">
        <v>0</v>
      </c>
      <c r="K41" s="845">
        <v>0</v>
      </c>
      <c r="L41" s="845">
        <v>0</v>
      </c>
      <c r="M41" s="845">
        <v>0</v>
      </c>
      <c r="N41" s="846">
        <f t="shared" si="3"/>
        <v>3572443</v>
      </c>
      <c r="O41" s="836"/>
      <c r="P41" s="338"/>
      <c r="Q41" s="338"/>
      <c r="R41" s="847">
        <f t="shared" si="4"/>
        <v>3572443</v>
      </c>
    </row>
    <row r="42" spans="1:23">
      <c r="A42" s="840" t="s">
        <v>86</v>
      </c>
      <c r="B42" s="841">
        <f>SUM(B24:B41)</f>
        <v>126573375</v>
      </c>
      <c r="C42" s="841">
        <f t="shared" ref="C42:M42" si="5">SUM(C25:C41)</f>
        <v>8586796</v>
      </c>
      <c r="D42" s="841">
        <f t="shared" si="5"/>
        <v>2683308</v>
      </c>
      <c r="E42" s="841">
        <f t="shared" si="5"/>
        <v>180603</v>
      </c>
      <c r="F42" s="841">
        <f t="shared" si="5"/>
        <v>1296079</v>
      </c>
      <c r="G42" s="841">
        <f t="shared" si="5"/>
        <v>0</v>
      </c>
      <c r="H42" s="841">
        <f t="shared" si="5"/>
        <v>0</v>
      </c>
      <c r="I42" s="841">
        <f t="shared" si="5"/>
        <v>0</v>
      </c>
      <c r="J42" s="841">
        <f t="shared" si="5"/>
        <v>0</v>
      </c>
      <c r="K42" s="841">
        <f t="shared" si="5"/>
        <v>3525403</v>
      </c>
      <c r="L42" s="841">
        <f t="shared" si="5"/>
        <v>751998</v>
      </c>
      <c r="M42" s="841">
        <f t="shared" si="5"/>
        <v>979147</v>
      </c>
      <c r="N42" s="841">
        <f>SUM(N24:N41)</f>
        <v>144576709</v>
      </c>
      <c r="O42" s="842"/>
      <c r="P42" s="841"/>
      <c r="Q42" s="841"/>
      <c r="R42" s="841" t="e">
        <f>SUM(R24:R41)</f>
        <v>#REF!</v>
      </c>
    </row>
    <row r="43" spans="1:23" ht="15.75" customHeight="1">
      <c r="A43" s="834" t="s">
        <v>87</v>
      </c>
      <c r="B43" s="338">
        <v>30006697</v>
      </c>
      <c r="C43" s="848">
        <v>5000</v>
      </c>
      <c r="D43" s="848">
        <v>1105000</v>
      </c>
      <c r="E43" s="848">
        <v>10000</v>
      </c>
      <c r="F43" s="338">
        <v>1000</v>
      </c>
      <c r="G43" s="338">
        <v>1000</v>
      </c>
      <c r="H43" s="338">
        <v>5000</v>
      </c>
      <c r="I43" s="338">
        <v>10000</v>
      </c>
      <c r="J43" s="338">
        <v>800</v>
      </c>
      <c r="K43" s="338">
        <v>800</v>
      </c>
      <c r="L43" s="338">
        <v>3661400</v>
      </c>
      <c r="M43" s="338">
        <v>10000</v>
      </c>
      <c r="N43" s="835">
        <f t="shared" ref="N43:N50" si="6">SUM(B43:M43)</f>
        <v>34816697</v>
      </c>
      <c r="O43" s="836" t="s">
        <v>59</v>
      </c>
      <c r="P43" s="338">
        <f>-(-1104950-800-6800-500-750-4640-740-3751-6000-3624786-10000)</f>
        <v>4763717</v>
      </c>
      <c r="Q43" s="338"/>
      <c r="R43" s="844">
        <f t="shared" ref="R43:R50" si="7">N43-P43+Q43</f>
        <v>30052980</v>
      </c>
      <c r="S43" s="828"/>
    </row>
    <row r="44" spans="1:23" ht="15.75" customHeight="1">
      <c r="A44" s="834" t="s">
        <v>88</v>
      </c>
      <c r="B44" s="338">
        <v>920</v>
      </c>
      <c r="C44" s="848">
        <v>42340052</v>
      </c>
      <c r="D44" s="848">
        <v>877313</v>
      </c>
      <c r="E44" s="338">
        <v>0</v>
      </c>
      <c r="F44" s="338">
        <v>49015</v>
      </c>
      <c r="G44" s="338">
        <v>330450</v>
      </c>
      <c r="H44" s="338">
        <v>0</v>
      </c>
      <c r="I44" s="338">
        <v>0</v>
      </c>
      <c r="J44" s="338">
        <v>0</v>
      </c>
      <c r="K44" s="338">
        <v>1833417</v>
      </c>
      <c r="L44" s="338">
        <v>406800</v>
      </c>
      <c r="M44" s="338">
        <v>0</v>
      </c>
      <c r="N44" s="835">
        <f t="shared" si="6"/>
        <v>45837967</v>
      </c>
      <c r="O44" s="836" t="s">
        <v>59</v>
      </c>
      <c r="P44" s="338">
        <f>-(-877313-49015-330450-1833417-31546825-292500)</f>
        <v>34929520</v>
      </c>
      <c r="Q44" s="338"/>
      <c r="R44" s="844">
        <f t="shared" si="7"/>
        <v>10908447</v>
      </c>
      <c r="S44" s="828"/>
      <c r="V44" s="849"/>
    </row>
    <row r="45" spans="1:23" ht="15.75" customHeight="1">
      <c r="A45" s="834" t="s">
        <v>90</v>
      </c>
      <c r="B45" s="338">
        <v>4662954</v>
      </c>
      <c r="C45" s="338">
        <v>0</v>
      </c>
      <c r="D45" s="338">
        <v>0</v>
      </c>
      <c r="E45" s="848">
        <v>0</v>
      </c>
      <c r="F45" s="338">
        <v>500</v>
      </c>
      <c r="G45" s="338">
        <v>0</v>
      </c>
      <c r="H45" s="338">
        <v>0</v>
      </c>
      <c r="I45" s="338">
        <v>0</v>
      </c>
      <c r="J45" s="338">
        <v>340</v>
      </c>
      <c r="K45" s="338">
        <v>0</v>
      </c>
      <c r="L45" s="338">
        <v>0</v>
      </c>
      <c r="M45" s="338">
        <v>0</v>
      </c>
      <c r="N45" s="835">
        <f t="shared" si="6"/>
        <v>4663794</v>
      </c>
      <c r="O45" s="836" t="s">
        <v>52</v>
      </c>
      <c r="P45" s="338">
        <f>-(-500-340)</f>
        <v>840</v>
      </c>
      <c r="Q45" s="338"/>
      <c r="R45" s="844">
        <f t="shared" si="7"/>
        <v>4662954</v>
      </c>
      <c r="S45" s="828"/>
    </row>
    <row r="46" spans="1:23" ht="15.75" customHeight="1">
      <c r="A46" s="834" t="s">
        <v>91</v>
      </c>
      <c r="B46" s="338">
        <v>34797</v>
      </c>
      <c r="C46" s="338">
        <v>0</v>
      </c>
      <c r="D46" s="338">
        <v>0</v>
      </c>
      <c r="E46" s="338">
        <v>0</v>
      </c>
      <c r="F46" s="338">
        <v>0</v>
      </c>
      <c r="G46" s="338">
        <v>0</v>
      </c>
      <c r="H46" s="338">
        <v>0</v>
      </c>
      <c r="I46" s="338">
        <v>0</v>
      </c>
      <c r="J46" s="338">
        <v>0</v>
      </c>
      <c r="K46" s="338">
        <v>0</v>
      </c>
      <c r="L46" s="338">
        <v>0</v>
      </c>
      <c r="M46" s="338">
        <v>0</v>
      </c>
      <c r="N46" s="835">
        <f t="shared" si="6"/>
        <v>34797</v>
      </c>
      <c r="O46" s="836"/>
      <c r="P46" s="338"/>
      <c r="Q46" s="338"/>
      <c r="R46" s="844">
        <f t="shared" si="7"/>
        <v>34797</v>
      </c>
      <c r="S46" s="828"/>
    </row>
    <row r="47" spans="1:23" ht="15.75" customHeight="1">
      <c r="A47" s="834" t="s">
        <v>92</v>
      </c>
      <c r="B47" s="338">
        <v>227072</v>
      </c>
      <c r="C47" s="338">
        <v>0</v>
      </c>
      <c r="D47" s="338">
        <v>0</v>
      </c>
      <c r="E47" s="848">
        <v>74426</v>
      </c>
      <c r="F47" s="338">
        <v>0</v>
      </c>
      <c r="G47" s="338">
        <v>109633</v>
      </c>
      <c r="H47" s="338">
        <v>1226</v>
      </c>
      <c r="I47" s="338">
        <v>0</v>
      </c>
      <c r="J47" s="338">
        <v>0</v>
      </c>
      <c r="K47" s="338">
        <v>0</v>
      </c>
      <c r="L47" s="338">
        <v>274690</v>
      </c>
      <c r="M47" s="338">
        <v>0</v>
      </c>
      <c r="N47" s="835">
        <f t="shared" si="6"/>
        <v>687047</v>
      </c>
      <c r="O47" s="836" t="s">
        <v>52</v>
      </c>
      <c r="P47" s="338">
        <f>-(-74426-109633-1226-274690)</f>
        <v>459975</v>
      </c>
      <c r="Q47" s="338"/>
      <c r="R47" s="844">
        <f t="shared" si="7"/>
        <v>227072</v>
      </c>
      <c r="S47" s="828"/>
      <c r="V47" s="828"/>
    </row>
    <row r="48" spans="1:23" ht="15.75" customHeight="1">
      <c r="A48" s="834" t="s">
        <v>93</v>
      </c>
      <c r="B48" s="338">
        <v>-3202431</v>
      </c>
      <c r="C48" s="338">
        <v>0</v>
      </c>
      <c r="D48" s="338">
        <v>0</v>
      </c>
      <c r="E48" s="338">
        <v>0</v>
      </c>
      <c r="F48" s="338">
        <v>0</v>
      </c>
      <c r="G48" s="338">
        <v>0</v>
      </c>
      <c r="H48" s="338">
        <v>0</v>
      </c>
      <c r="I48" s="338">
        <v>0</v>
      </c>
      <c r="J48" s="338">
        <v>0</v>
      </c>
      <c r="K48" s="338">
        <v>0</v>
      </c>
      <c r="L48" s="338">
        <v>-56932</v>
      </c>
      <c r="M48" s="338">
        <v>0</v>
      </c>
      <c r="N48" s="835">
        <f t="shared" si="6"/>
        <v>-3259363</v>
      </c>
      <c r="O48" s="836" t="s">
        <v>59</v>
      </c>
      <c r="P48" s="338"/>
      <c r="Q48" s="338">
        <v>56932</v>
      </c>
      <c r="R48" s="844">
        <f t="shared" si="7"/>
        <v>-3202431</v>
      </c>
      <c r="S48" s="828"/>
      <c r="W48" s="830"/>
    </row>
    <row r="49" spans="1:23" ht="15.75" customHeight="1">
      <c r="A49" s="834" t="s">
        <v>94</v>
      </c>
      <c r="B49" s="338">
        <f>1849659-495802</f>
        <v>1353857</v>
      </c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835">
        <f t="shared" si="6"/>
        <v>1353857</v>
      </c>
      <c r="O49" s="836"/>
      <c r="P49" s="338"/>
      <c r="Q49" s="338"/>
      <c r="R49" s="844">
        <f t="shared" si="7"/>
        <v>1353857</v>
      </c>
      <c r="S49" s="828"/>
      <c r="W49" s="830"/>
    </row>
    <row r="50" spans="1:23" ht="15.75" customHeight="1">
      <c r="A50" s="834" t="s">
        <v>95</v>
      </c>
      <c r="B50" s="338">
        <f>31666289+495802-200+5595545</f>
        <v>37757436</v>
      </c>
      <c r="C50" s="848">
        <f>2254833-1077724</f>
        <v>1177109</v>
      </c>
      <c r="D50" s="848">
        <f>-16937+19337</f>
        <v>2400</v>
      </c>
      <c r="E50" s="848">
        <f>911628-15891</f>
        <v>895737</v>
      </c>
      <c r="F50" s="338">
        <f>-488265-493384</f>
        <v>-981649</v>
      </c>
      <c r="G50" s="338">
        <f>-53896-13474</f>
        <v>-67370</v>
      </c>
      <c r="H50" s="338">
        <v>1763</v>
      </c>
      <c r="I50" s="338">
        <v>0</v>
      </c>
      <c r="J50" s="338">
        <v>0</v>
      </c>
      <c r="K50" s="338">
        <f>-15422-344143</f>
        <v>-359565</v>
      </c>
      <c r="L50" s="338">
        <f>-3886526-502401</f>
        <v>-4388927</v>
      </c>
      <c r="M50" s="338">
        <f>-142959-401491</f>
        <v>-544450</v>
      </c>
      <c r="N50" s="835">
        <f t="shared" si="6"/>
        <v>33492484</v>
      </c>
      <c r="O50" s="836" t="s">
        <v>97</v>
      </c>
      <c r="P50" s="338">
        <f>-(-862233-97825-21667-1763-822437-266632-224942)</f>
        <v>2297499</v>
      </c>
      <c r="Q50" s="338">
        <f>3491044+394445+42502+1160144+4556</f>
        <v>5092691</v>
      </c>
      <c r="R50" s="338">
        <f t="shared" si="7"/>
        <v>36287676</v>
      </c>
      <c r="S50" s="828"/>
      <c r="T50" s="828"/>
      <c r="V50" s="828"/>
      <c r="W50" s="830"/>
    </row>
    <row r="51" spans="1:23">
      <c r="A51" s="840" t="s">
        <v>100</v>
      </c>
      <c r="B51" s="841">
        <f t="shared" ref="B51:N51" si="8">SUM(B43:B50)</f>
        <v>70841302</v>
      </c>
      <c r="C51" s="841">
        <f t="shared" si="8"/>
        <v>43522161</v>
      </c>
      <c r="D51" s="841">
        <f t="shared" si="8"/>
        <v>1984713</v>
      </c>
      <c r="E51" s="841">
        <f t="shared" si="8"/>
        <v>980163</v>
      </c>
      <c r="F51" s="841">
        <f t="shared" si="8"/>
        <v>-931134</v>
      </c>
      <c r="G51" s="841">
        <f t="shared" si="8"/>
        <v>373713</v>
      </c>
      <c r="H51" s="841">
        <f t="shared" si="8"/>
        <v>7989</v>
      </c>
      <c r="I51" s="841">
        <f t="shared" si="8"/>
        <v>10000</v>
      </c>
      <c r="J51" s="841">
        <f t="shared" si="8"/>
        <v>1140</v>
      </c>
      <c r="K51" s="841">
        <f t="shared" si="8"/>
        <v>1474652</v>
      </c>
      <c r="L51" s="841">
        <f t="shared" si="8"/>
        <v>-102969</v>
      </c>
      <c r="M51" s="841">
        <f t="shared" si="8"/>
        <v>-534450</v>
      </c>
      <c r="N51" s="841">
        <f t="shared" si="8"/>
        <v>117627280</v>
      </c>
      <c r="O51" s="842"/>
      <c r="P51" s="841">
        <f>+SUM(P24:P50)</f>
        <v>59893525</v>
      </c>
      <c r="Q51" s="841" t="e">
        <f>+SUM(Q24:Q50)</f>
        <v>#REF!</v>
      </c>
      <c r="R51" s="841">
        <f>SUM(R43:R50)</f>
        <v>80325352</v>
      </c>
    </row>
    <row r="52" spans="1:23" s="854" customFormat="1" ht="15.75" customHeight="1">
      <c r="A52" s="850"/>
      <c r="B52" s="851">
        <f t="shared" ref="B52:N52" si="9">B23-B42-B51</f>
        <v>0</v>
      </c>
      <c r="C52" s="851">
        <f t="shared" si="9"/>
        <v>0</v>
      </c>
      <c r="D52" s="851">
        <f t="shared" si="9"/>
        <v>0</v>
      </c>
      <c r="E52" s="851">
        <f t="shared" si="9"/>
        <v>0</v>
      </c>
      <c r="F52" s="851">
        <f t="shared" si="9"/>
        <v>0</v>
      </c>
      <c r="G52" s="851">
        <f t="shared" si="9"/>
        <v>0</v>
      </c>
      <c r="H52" s="851">
        <f t="shared" si="9"/>
        <v>0</v>
      </c>
      <c r="I52" s="851">
        <f t="shared" si="9"/>
        <v>0</v>
      </c>
      <c r="J52" s="851">
        <f t="shared" si="9"/>
        <v>0</v>
      </c>
      <c r="K52" s="851">
        <f t="shared" si="9"/>
        <v>0</v>
      </c>
      <c r="L52" s="851">
        <f t="shared" si="9"/>
        <v>0</v>
      </c>
      <c r="M52" s="851">
        <f t="shared" si="9"/>
        <v>0</v>
      </c>
      <c r="N52" s="851">
        <f t="shared" si="9"/>
        <v>0</v>
      </c>
      <c r="O52" s="852"/>
      <c r="P52" s="851">
        <f>P23-P42-P51</f>
        <v>-54184599.999999993</v>
      </c>
      <c r="Q52" s="851" t="e">
        <f>Q23-Q42-Q51</f>
        <v>#REF!</v>
      </c>
      <c r="R52" s="851" t="e">
        <f>R23-R42-R51</f>
        <v>#REF!</v>
      </c>
      <c r="S52" s="853" t="e">
        <f>+R51+R42</f>
        <v>#REF!</v>
      </c>
      <c r="T52" s="853" t="e">
        <f>+S52-R23</f>
        <v>#REF!</v>
      </c>
    </row>
    <row r="53" spans="1:23" s="854" customFormat="1" ht="15.75" customHeight="1">
      <c r="A53" s="850"/>
      <c r="B53" s="851"/>
      <c r="C53" s="851"/>
      <c r="D53" s="851"/>
      <c r="E53" s="851"/>
      <c r="F53" s="851"/>
      <c r="G53" s="851"/>
      <c r="H53" s="851"/>
      <c r="I53" s="851"/>
      <c r="J53" s="851"/>
      <c r="K53" s="851"/>
      <c r="L53" s="851"/>
      <c r="M53" s="851"/>
      <c r="N53" s="851"/>
      <c r="O53" s="852"/>
      <c r="P53" s="851">
        <f>+Q23-P23</f>
        <v>54631102.999999993</v>
      </c>
      <c r="Q53" s="855" t="e">
        <f>+P51-Q51</f>
        <v>#REF!</v>
      </c>
      <c r="R53" s="851"/>
      <c r="S53" s="853"/>
      <c r="T53" s="853"/>
    </row>
    <row r="54" spans="1:23" ht="78" customHeight="1">
      <c r="A54" s="832" t="s">
        <v>3</v>
      </c>
      <c r="B54" s="833" t="s">
        <v>850</v>
      </c>
      <c r="C54" s="833" t="s">
        <v>851</v>
      </c>
      <c r="D54" s="833" t="s">
        <v>852</v>
      </c>
      <c r="E54" s="833" t="s">
        <v>853</v>
      </c>
      <c r="F54" s="833" t="s">
        <v>854</v>
      </c>
      <c r="G54" s="833" t="s">
        <v>855</v>
      </c>
      <c r="H54" s="833" t="s">
        <v>856</v>
      </c>
      <c r="I54" s="833" t="s">
        <v>857</v>
      </c>
      <c r="J54" s="833" t="s">
        <v>858</v>
      </c>
      <c r="K54" s="833" t="s">
        <v>859</v>
      </c>
      <c r="L54" s="833" t="s">
        <v>860</v>
      </c>
      <c r="M54" s="833" t="s">
        <v>861</v>
      </c>
      <c r="N54" s="833" t="s">
        <v>259</v>
      </c>
      <c r="O54" s="833" t="s">
        <v>17</v>
      </c>
      <c r="P54" s="833" t="s">
        <v>18</v>
      </c>
      <c r="Q54" s="833" t="s">
        <v>19</v>
      </c>
      <c r="R54" s="833" t="s">
        <v>33</v>
      </c>
    </row>
    <row r="55" spans="1:23" ht="15.75" customHeight="1">
      <c r="A55" s="856" t="s">
        <v>101</v>
      </c>
      <c r="B55" s="857">
        <v>152924768</v>
      </c>
      <c r="C55" s="857">
        <v>1907995</v>
      </c>
      <c r="D55" s="857">
        <v>636407</v>
      </c>
      <c r="E55" s="857">
        <v>0</v>
      </c>
      <c r="F55" s="857">
        <v>0</v>
      </c>
      <c r="G55" s="857">
        <v>0</v>
      </c>
      <c r="H55" s="857">
        <v>0</v>
      </c>
      <c r="I55" s="857">
        <v>0</v>
      </c>
      <c r="J55" s="857">
        <v>0</v>
      </c>
      <c r="K55" s="857">
        <v>120923</v>
      </c>
      <c r="L55" s="857">
        <v>280002</v>
      </c>
      <c r="M55" s="857">
        <v>162445</v>
      </c>
      <c r="N55" s="858">
        <f>SUM(B55:M55)</f>
        <v>156032540</v>
      </c>
      <c r="O55" s="859" t="s">
        <v>41</v>
      </c>
      <c r="P55" s="857">
        <f>'Ventas-Compras (d)'!D26</f>
        <v>376468.58</v>
      </c>
      <c r="Q55" s="857"/>
      <c r="R55" s="860">
        <f>N55-P55+Q55</f>
        <v>155656071.41999999</v>
      </c>
    </row>
    <row r="56" spans="1:23" ht="15.75" customHeight="1">
      <c r="A56" s="834" t="s">
        <v>102</v>
      </c>
      <c r="B56" s="861">
        <v>-100189814</v>
      </c>
      <c r="C56" s="861">
        <v>-2677882</v>
      </c>
      <c r="D56" s="861">
        <v>-187557</v>
      </c>
      <c r="E56" s="861">
        <v>0</v>
      </c>
      <c r="F56" s="861">
        <v>0</v>
      </c>
      <c r="G56" s="861">
        <v>0</v>
      </c>
      <c r="H56" s="861">
        <v>0</v>
      </c>
      <c r="I56" s="861">
        <v>0</v>
      </c>
      <c r="J56" s="861">
        <v>0</v>
      </c>
      <c r="K56" s="861">
        <v>-299751</v>
      </c>
      <c r="L56" s="861">
        <v>-199020</v>
      </c>
      <c r="M56" s="861">
        <v>-118573</v>
      </c>
      <c r="N56" s="846">
        <f>SUM(B56:M56)</f>
        <v>-103672597</v>
      </c>
      <c r="O56" s="862" t="s">
        <v>41</v>
      </c>
      <c r="P56" s="861"/>
      <c r="Q56" s="861">
        <f>'Ventas-Compras (d)'!E27</f>
        <v>357344</v>
      </c>
      <c r="R56" s="845">
        <f>N56-P56+Q56</f>
        <v>-103315253</v>
      </c>
    </row>
    <row r="57" spans="1:23" ht="15.75" customHeight="1">
      <c r="A57" s="834" t="s">
        <v>103</v>
      </c>
      <c r="B57" s="863">
        <f t="shared" ref="B57:N57" si="10">SUM(B55:B56)</f>
        <v>52734954</v>
      </c>
      <c r="C57" s="863">
        <f t="shared" si="10"/>
        <v>-769887</v>
      </c>
      <c r="D57" s="863">
        <f t="shared" si="10"/>
        <v>448850</v>
      </c>
      <c r="E57" s="863">
        <f t="shared" si="10"/>
        <v>0</v>
      </c>
      <c r="F57" s="863">
        <f t="shared" si="10"/>
        <v>0</v>
      </c>
      <c r="G57" s="863">
        <f t="shared" si="10"/>
        <v>0</v>
      </c>
      <c r="H57" s="863">
        <f t="shared" si="10"/>
        <v>0</v>
      </c>
      <c r="I57" s="863">
        <f t="shared" si="10"/>
        <v>0</v>
      </c>
      <c r="J57" s="863">
        <f t="shared" si="10"/>
        <v>0</v>
      </c>
      <c r="K57" s="863">
        <f t="shared" si="10"/>
        <v>-178828</v>
      </c>
      <c r="L57" s="863">
        <f t="shared" si="10"/>
        <v>80982</v>
      </c>
      <c r="M57" s="863">
        <f t="shared" si="10"/>
        <v>43872</v>
      </c>
      <c r="N57" s="863">
        <f t="shared" si="10"/>
        <v>52359943</v>
      </c>
      <c r="O57" s="862"/>
      <c r="P57" s="863">
        <f>SUM(P55:P56)</f>
        <v>376468.58</v>
      </c>
      <c r="Q57" s="863">
        <f>SUM(Q55:Q56)</f>
        <v>357344</v>
      </c>
      <c r="R57" s="863">
        <f>SUM(R55:R56)</f>
        <v>52340818.419999987</v>
      </c>
    </row>
    <row r="58" spans="1:23" ht="15.75" customHeight="1">
      <c r="A58" s="864"/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35"/>
      <c r="O58" s="862"/>
      <c r="P58" s="865"/>
      <c r="Q58" s="865"/>
      <c r="R58" s="338"/>
    </row>
    <row r="59" spans="1:23" ht="15.75" customHeight="1">
      <c r="A59" s="834" t="s">
        <v>104</v>
      </c>
      <c r="B59" s="865">
        <v>-33320786</v>
      </c>
      <c r="C59" s="865">
        <v>-306890</v>
      </c>
      <c r="D59" s="865">
        <f>-429513+54059</f>
        <v>-375454</v>
      </c>
      <c r="E59" s="865">
        <v>-15891</v>
      </c>
      <c r="F59" s="865">
        <v>-493384</v>
      </c>
      <c r="G59" s="865">
        <v>-13474</v>
      </c>
      <c r="H59" s="865">
        <v>0</v>
      </c>
      <c r="I59" s="865">
        <v>0</v>
      </c>
      <c r="J59" s="865">
        <v>0</v>
      </c>
      <c r="K59" s="865">
        <f>-165338+23</f>
        <v>-165315</v>
      </c>
      <c r="L59" s="865">
        <v>-586188</v>
      </c>
      <c r="M59" s="865">
        <v>-444288</v>
      </c>
      <c r="N59" s="835">
        <f>SUM(B59:M59)</f>
        <v>-35721670</v>
      </c>
      <c r="O59" s="862"/>
      <c r="P59" s="865"/>
      <c r="Q59" s="865">
        <f>'Ventas-Compras (d)'!E28</f>
        <v>7818.58</v>
      </c>
      <c r="R59" s="338">
        <f>N59-P59+Q59</f>
        <v>-35713851.420000002</v>
      </c>
    </row>
    <row r="60" spans="1:23" ht="15.75" customHeight="1">
      <c r="A60" s="866" t="s">
        <v>105</v>
      </c>
      <c r="B60" s="861">
        <v>-3618624</v>
      </c>
      <c r="C60" s="861">
        <v>-947</v>
      </c>
      <c r="D60" s="861">
        <v>0</v>
      </c>
      <c r="E60" s="861">
        <v>0</v>
      </c>
      <c r="F60" s="861">
        <v>0</v>
      </c>
      <c r="G60" s="861">
        <v>0</v>
      </c>
      <c r="H60" s="861">
        <v>0</v>
      </c>
      <c r="I60" s="861">
        <v>0</v>
      </c>
      <c r="J60" s="861">
        <v>0</v>
      </c>
      <c r="K60" s="861">
        <v>0</v>
      </c>
      <c r="L60" s="861">
        <v>17690</v>
      </c>
      <c r="M60" s="861">
        <v>4857</v>
      </c>
      <c r="N60" s="846">
        <f>SUM(B60:M60)</f>
        <v>-3597024</v>
      </c>
      <c r="O60" s="862" t="s">
        <v>51</v>
      </c>
      <c r="P60" s="861" t="e">
        <f>#REF!</f>
        <v>#REF!</v>
      </c>
      <c r="Q60" s="861" t="e">
        <f>#REF!</f>
        <v>#REF!</v>
      </c>
      <c r="R60" s="845" t="e">
        <f>N60-P60+Q60</f>
        <v>#REF!</v>
      </c>
    </row>
    <row r="61" spans="1:23" ht="15.75" customHeight="1">
      <c r="A61" s="866" t="s">
        <v>107</v>
      </c>
      <c r="B61" s="863">
        <f t="shared" ref="B61:N61" si="11">SUM(B57:B60)</f>
        <v>15795544</v>
      </c>
      <c r="C61" s="863">
        <f t="shared" si="11"/>
        <v>-1077724</v>
      </c>
      <c r="D61" s="863">
        <f t="shared" si="11"/>
        <v>73396</v>
      </c>
      <c r="E61" s="863">
        <f t="shared" si="11"/>
        <v>-15891</v>
      </c>
      <c r="F61" s="863">
        <f t="shared" si="11"/>
        <v>-493384</v>
      </c>
      <c r="G61" s="863">
        <f t="shared" si="11"/>
        <v>-13474</v>
      </c>
      <c r="H61" s="863">
        <f t="shared" si="11"/>
        <v>0</v>
      </c>
      <c r="I61" s="863">
        <f t="shared" si="11"/>
        <v>0</v>
      </c>
      <c r="J61" s="863">
        <f t="shared" si="11"/>
        <v>0</v>
      </c>
      <c r="K61" s="863">
        <f t="shared" si="11"/>
        <v>-344143</v>
      </c>
      <c r="L61" s="863">
        <f t="shared" si="11"/>
        <v>-487516</v>
      </c>
      <c r="M61" s="863">
        <f t="shared" si="11"/>
        <v>-395559</v>
      </c>
      <c r="N61" s="863">
        <f t="shared" si="11"/>
        <v>13041249</v>
      </c>
      <c r="O61" s="862"/>
      <c r="P61" s="863" t="e">
        <f>SUM(P57:P60)</f>
        <v>#REF!</v>
      </c>
      <c r="Q61" s="863" t="e">
        <f>SUM(Q57:Q60)</f>
        <v>#REF!</v>
      </c>
      <c r="R61" s="863" t="e">
        <f>SUM(R57:R60)</f>
        <v>#REF!</v>
      </c>
    </row>
    <row r="62" spans="1:23" ht="15.75" customHeight="1">
      <c r="A62" s="866"/>
      <c r="B62" s="865"/>
      <c r="C62" s="865"/>
      <c r="D62" s="865"/>
      <c r="E62" s="865"/>
      <c r="F62" s="865"/>
      <c r="G62" s="865"/>
      <c r="H62" s="865"/>
      <c r="I62" s="865"/>
      <c r="J62" s="865"/>
      <c r="K62" s="865"/>
      <c r="L62" s="865"/>
      <c r="M62" s="865"/>
      <c r="N62" s="835"/>
      <c r="O62" s="862"/>
      <c r="P62" s="865"/>
      <c r="Q62" s="865"/>
      <c r="R62" s="338"/>
      <c r="S62" s="828" t="e">
        <f>Q60+Q59+Q56</f>
        <v>#REF!</v>
      </c>
    </row>
    <row r="63" spans="1:23" ht="15.75" customHeight="1">
      <c r="A63" s="866" t="s">
        <v>108</v>
      </c>
      <c r="B63" s="861">
        <f>-5186848</f>
        <v>-5186848</v>
      </c>
      <c r="C63" s="861">
        <v>0</v>
      </c>
      <c r="D63" s="861">
        <v>0</v>
      </c>
      <c r="E63" s="861">
        <v>0</v>
      </c>
      <c r="F63" s="861">
        <v>0</v>
      </c>
      <c r="G63" s="861">
        <v>0</v>
      </c>
      <c r="H63" s="861">
        <v>0</v>
      </c>
      <c r="I63" s="861">
        <v>0</v>
      </c>
      <c r="J63" s="861">
        <v>0</v>
      </c>
      <c r="K63" s="861">
        <v>0</v>
      </c>
      <c r="L63" s="861">
        <v>-14885</v>
      </c>
      <c r="M63" s="861">
        <v>0</v>
      </c>
      <c r="N63" s="846">
        <f>SUM(B63:M63)</f>
        <v>-5201733</v>
      </c>
      <c r="O63" s="862"/>
      <c r="P63" s="861"/>
      <c r="Q63" s="861"/>
      <c r="R63" s="845">
        <f>N63-P63+Q63</f>
        <v>-5201733</v>
      </c>
      <c r="S63" s="828">
        <f>P55</f>
        <v>376468.58</v>
      </c>
    </row>
    <row r="64" spans="1:23" ht="15.75" customHeight="1">
      <c r="A64" s="866" t="s">
        <v>109</v>
      </c>
      <c r="B64" s="863">
        <f t="shared" ref="B64:N64" si="12">+B61+B63</f>
        <v>10608696</v>
      </c>
      <c r="C64" s="863">
        <f t="shared" si="12"/>
        <v>-1077724</v>
      </c>
      <c r="D64" s="863">
        <f t="shared" si="12"/>
        <v>73396</v>
      </c>
      <c r="E64" s="863">
        <f t="shared" si="12"/>
        <v>-15891</v>
      </c>
      <c r="F64" s="863">
        <f t="shared" si="12"/>
        <v>-493384</v>
      </c>
      <c r="G64" s="863">
        <f t="shared" si="12"/>
        <v>-13474</v>
      </c>
      <c r="H64" s="863">
        <f t="shared" si="12"/>
        <v>0</v>
      </c>
      <c r="I64" s="863">
        <f t="shared" si="12"/>
        <v>0</v>
      </c>
      <c r="J64" s="863">
        <f t="shared" si="12"/>
        <v>0</v>
      </c>
      <c r="K64" s="863">
        <f t="shared" si="12"/>
        <v>-344143</v>
      </c>
      <c r="L64" s="863">
        <f t="shared" si="12"/>
        <v>-502401</v>
      </c>
      <c r="M64" s="863">
        <f t="shared" si="12"/>
        <v>-395559</v>
      </c>
      <c r="N64" s="863">
        <f t="shared" si="12"/>
        <v>7839516</v>
      </c>
      <c r="O64" s="862"/>
      <c r="P64" s="863" t="e">
        <f>+P61+P63</f>
        <v>#REF!</v>
      </c>
      <c r="Q64" s="863" t="e">
        <f>+Q61+Q63</f>
        <v>#REF!</v>
      </c>
      <c r="R64" s="863" t="e">
        <f>+R61+R63</f>
        <v>#REF!</v>
      </c>
      <c r="S64" s="828" t="e">
        <f>S63-S62</f>
        <v>#REF!</v>
      </c>
    </row>
    <row r="65" spans="1:22" ht="15.75" customHeight="1">
      <c r="A65" s="866"/>
      <c r="B65" s="863"/>
      <c r="C65" s="863"/>
      <c r="D65" s="863"/>
      <c r="E65" s="863"/>
      <c r="F65" s="863"/>
      <c r="G65" s="863"/>
      <c r="H65" s="863"/>
      <c r="I65" s="863"/>
      <c r="J65" s="863"/>
      <c r="K65" s="863"/>
      <c r="L65" s="863"/>
      <c r="M65" s="863"/>
      <c r="N65" s="863"/>
      <c r="O65" s="862"/>
      <c r="P65" s="865"/>
      <c r="Q65" s="865"/>
      <c r="R65" s="863"/>
    </row>
    <row r="66" spans="1:22" ht="15.75" customHeight="1">
      <c r="A66" s="866" t="s">
        <v>110</v>
      </c>
      <c r="B66" s="865">
        <v>-1591304</v>
      </c>
      <c r="C66" s="865"/>
      <c r="D66" s="865"/>
      <c r="E66" s="865"/>
      <c r="F66" s="865"/>
      <c r="G66" s="865"/>
      <c r="H66" s="865"/>
      <c r="I66" s="865"/>
      <c r="J66" s="865"/>
      <c r="K66" s="865"/>
      <c r="L66" s="865"/>
      <c r="M66" s="865"/>
      <c r="N66" s="835">
        <f>SUM(B66:M66)</f>
        <v>-1591304</v>
      </c>
      <c r="O66" s="862"/>
      <c r="P66" s="865"/>
      <c r="Q66" s="865"/>
      <c r="R66" s="338">
        <f>N66-P66+Q66</f>
        <v>-1591304</v>
      </c>
    </row>
    <row r="67" spans="1:22" ht="15.75" customHeight="1">
      <c r="A67" s="834" t="s">
        <v>111</v>
      </c>
      <c r="B67" s="338">
        <v>-3421847</v>
      </c>
      <c r="C67" s="338">
        <v>0</v>
      </c>
      <c r="D67" s="338">
        <v>-54059</v>
      </c>
      <c r="E67" s="338"/>
      <c r="F67" s="845">
        <v>0</v>
      </c>
      <c r="G67" s="845">
        <v>0</v>
      </c>
      <c r="H67" s="845">
        <v>0</v>
      </c>
      <c r="I67" s="845">
        <v>0</v>
      </c>
      <c r="J67" s="845">
        <v>0</v>
      </c>
      <c r="K67" s="845">
        <v>0</v>
      </c>
      <c r="L67" s="845">
        <v>0</v>
      </c>
      <c r="M67" s="845">
        <v>0</v>
      </c>
      <c r="N67" s="846">
        <f>SUM(B67:M67)</f>
        <v>-3475906</v>
      </c>
      <c r="O67" s="836"/>
      <c r="P67" s="845"/>
      <c r="Q67" s="861"/>
      <c r="R67" s="845">
        <f>N67-P67+Q67</f>
        <v>-3475906</v>
      </c>
    </row>
    <row r="68" spans="1:22">
      <c r="A68" s="834" t="s">
        <v>112</v>
      </c>
      <c r="B68" s="843">
        <f t="shared" ref="B68:G68" si="13">+B64+B66+B67</f>
        <v>5595545</v>
      </c>
      <c r="C68" s="843">
        <f t="shared" si="13"/>
        <v>-1077724</v>
      </c>
      <c r="D68" s="843">
        <f t="shared" si="13"/>
        <v>19337</v>
      </c>
      <c r="E68" s="843">
        <f t="shared" si="13"/>
        <v>-15891</v>
      </c>
      <c r="F68" s="867">
        <f t="shared" si="13"/>
        <v>-493384</v>
      </c>
      <c r="G68" s="867">
        <f t="shared" si="13"/>
        <v>-13474</v>
      </c>
      <c r="H68" s="867">
        <f>+H64+H67</f>
        <v>0</v>
      </c>
      <c r="I68" s="867">
        <f>+I64+I67</f>
        <v>0</v>
      </c>
      <c r="J68" s="867">
        <f>+J64+J67</f>
        <v>0</v>
      </c>
      <c r="K68" s="867">
        <f>+K64+K66+K67</f>
        <v>-344143</v>
      </c>
      <c r="L68" s="867">
        <f>+L64+L66+L67</f>
        <v>-502401</v>
      </c>
      <c r="M68" s="867">
        <f>+M64+M66+M67</f>
        <v>-395559</v>
      </c>
      <c r="N68" s="867">
        <f>+N64+N66+N67</f>
        <v>2772306</v>
      </c>
      <c r="O68" s="836"/>
      <c r="P68" s="867" t="e">
        <f>+P64+P66+P67</f>
        <v>#REF!</v>
      </c>
      <c r="Q68" s="867" t="e">
        <f>+Q64+Q66+Q67</f>
        <v>#REF!</v>
      </c>
      <c r="R68" s="867" t="e">
        <f>+R64+R66+R67</f>
        <v>#REF!</v>
      </c>
    </row>
    <row r="69" spans="1:22">
      <c r="A69" s="834"/>
      <c r="B69" s="843"/>
      <c r="C69" s="843"/>
      <c r="D69" s="843"/>
      <c r="E69" s="843"/>
      <c r="F69" s="843"/>
      <c r="G69" s="843"/>
      <c r="H69" s="843"/>
      <c r="I69" s="843"/>
      <c r="J69" s="843"/>
      <c r="K69" s="843"/>
      <c r="L69" s="843"/>
      <c r="M69" s="843"/>
      <c r="N69" s="843"/>
      <c r="O69" s="836"/>
      <c r="P69" s="843"/>
      <c r="Q69" s="843"/>
      <c r="R69" s="843"/>
    </row>
    <row r="70" spans="1:22">
      <c r="A70" s="834" t="s">
        <v>113</v>
      </c>
      <c r="B70" s="338">
        <f>'ECP19'!J29</f>
        <v>1849659</v>
      </c>
      <c r="C70" s="843"/>
      <c r="D70" s="843"/>
      <c r="E70" s="843"/>
      <c r="F70" s="843"/>
      <c r="G70" s="843"/>
      <c r="H70" s="843"/>
      <c r="I70" s="843"/>
      <c r="J70" s="843"/>
      <c r="K70" s="843"/>
      <c r="L70" s="843"/>
      <c r="M70" s="843"/>
      <c r="N70" s="835">
        <f>SUM(B70:M70)</f>
        <v>1849659</v>
      </c>
      <c r="O70" s="836"/>
      <c r="P70" s="843"/>
      <c r="Q70" s="843"/>
      <c r="R70" s="338">
        <f>N70-P70+Q70</f>
        <v>1849659</v>
      </c>
    </row>
    <row r="71" spans="1:22">
      <c r="A71" s="840" t="s">
        <v>98</v>
      </c>
      <c r="B71" s="841">
        <f t="shared" ref="B71:N71" si="14">B68+B70</f>
        <v>7445204</v>
      </c>
      <c r="C71" s="841">
        <f t="shared" si="14"/>
        <v>-1077724</v>
      </c>
      <c r="D71" s="841">
        <f t="shared" si="14"/>
        <v>19337</v>
      </c>
      <c r="E71" s="841">
        <f t="shared" si="14"/>
        <v>-15891</v>
      </c>
      <c r="F71" s="841">
        <f t="shared" si="14"/>
        <v>-493384</v>
      </c>
      <c r="G71" s="841">
        <f t="shared" si="14"/>
        <v>-13474</v>
      </c>
      <c r="H71" s="841">
        <f t="shared" si="14"/>
        <v>0</v>
      </c>
      <c r="I71" s="841">
        <f t="shared" si="14"/>
        <v>0</v>
      </c>
      <c r="J71" s="841">
        <f t="shared" si="14"/>
        <v>0</v>
      </c>
      <c r="K71" s="841">
        <f t="shared" si="14"/>
        <v>-344143</v>
      </c>
      <c r="L71" s="841">
        <f t="shared" si="14"/>
        <v>-502401</v>
      </c>
      <c r="M71" s="841">
        <f t="shared" si="14"/>
        <v>-395559</v>
      </c>
      <c r="N71" s="841">
        <f t="shared" si="14"/>
        <v>4621965</v>
      </c>
      <c r="O71" s="842"/>
      <c r="P71" s="841" t="e">
        <f>P68+P70</f>
        <v>#REF!</v>
      </c>
      <c r="Q71" s="841" t="e">
        <f>Q68+Q70</f>
        <v>#REF!</v>
      </c>
      <c r="R71" s="841" t="e">
        <f>R68+R70</f>
        <v>#REF!</v>
      </c>
    </row>
    <row r="72" spans="1:22">
      <c r="A72" s="850"/>
      <c r="B72" s="868"/>
      <c r="C72" s="868"/>
      <c r="D72" s="868"/>
      <c r="E72" s="869"/>
      <c r="F72" s="868"/>
      <c r="G72" s="868"/>
      <c r="H72" s="868"/>
      <c r="I72" s="868"/>
      <c r="J72" s="868"/>
      <c r="K72" s="868"/>
      <c r="L72" s="868"/>
      <c r="M72" s="868"/>
      <c r="N72" s="868"/>
      <c r="O72" s="870"/>
      <c r="P72" s="868"/>
      <c r="Q72" s="868"/>
      <c r="R72" s="868"/>
    </row>
    <row r="73" spans="1:22" ht="21.75" customHeight="1">
      <c r="A73" s="871"/>
      <c r="B73" s="828"/>
    </row>
    <row r="74" spans="1:22" ht="21.75" customHeight="1">
      <c r="A74" s="872"/>
      <c r="B74" s="873">
        <f t="shared" ref="B74:N74" si="15">+B51+B42-B23</f>
        <v>0</v>
      </c>
      <c r="C74" s="873">
        <f t="shared" si="15"/>
        <v>0</v>
      </c>
      <c r="D74" s="873">
        <f t="shared" si="15"/>
        <v>0</v>
      </c>
      <c r="E74" s="873">
        <f t="shared" si="15"/>
        <v>0</v>
      </c>
      <c r="F74" s="873">
        <f t="shared" si="15"/>
        <v>0</v>
      </c>
      <c r="G74" s="873">
        <f t="shared" si="15"/>
        <v>0</v>
      </c>
      <c r="H74" s="873">
        <f t="shared" si="15"/>
        <v>0</v>
      </c>
      <c r="I74" s="873">
        <f t="shared" si="15"/>
        <v>0</v>
      </c>
      <c r="J74" s="873">
        <f t="shared" si="15"/>
        <v>0</v>
      </c>
      <c r="K74" s="873">
        <f t="shared" si="15"/>
        <v>0</v>
      </c>
      <c r="L74" s="873">
        <f t="shared" si="15"/>
        <v>0</v>
      </c>
      <c r="M74" s="873">
        <f t="shared" si="15"/>
        <v>0</v>
      </c>
      <c r="N74" s="873">
        <f t="shared" si="15"/>
        <v>0</v>
      </c>
      <c r="P74" s="828" t="e">
        <f>SUM(P5:P73)</f>
        <v>#REF!</v>
      </c>
      <c r="Q74" s="828" t="e">
        <f>SUM(Q5:Q73)</f>
        <v>#REF!</v>
      </c>
      <c r="R74" s="873" t="e">
        <f>+R51+R42-R23</f>
        <v>#REF!</v>
      </c>
    </row>
    <row r="75" spans="1:22">
      <c r="B75" s="828"/>
      <c r="C75" s="828"/>
      <c r="D75" s="828"/>
      <c r="E75" s="828"/>
      <c r="F75" s="828"/>
      <c r="G75" s="828"/>
      <c r="H75" s="828"/>
      <c r="I75" s="828"/>
      <c r="J75" s="828"/>
      <c r="K75" s="828"/>
      <c r="L75" s="828"/>
      <c r="M75" s="828"/>
      <c r="Q75" s="828"/>
      <c r="T75" s="828"/>
    </row>
    <row r="76" spans="1:22">
      <c r="A76" s="874" t="s">
        <v>115</v>
      </c>
      <c r="B76" s="830">
        <f>+B71*100%</f>
        <v>7445204</v>
      </c>
      <c r="C76" s="830">
        <f>+C71*'Variación Patrimonio 2017-2016'!L4</f>
        <v>-808508.54480000003</v>
      </c>
      <c r="D76" s="830">
        <f>+D71*'Variación Patrimonio 2017-2016'!L21</f>
        <v>19336.125022624434</v>
      </c>
      <c r="E76" s="828">
        <f>+E71*'Variación Patrimonio 2017-2016'!L40</f>
        <v>-10805.880000000001</v>
      </c>
      <c r="F76" s="828">
        <f>+F71*'Variación Patrimonio 2017-2016'!L56</f>
        <v>-246692</v>
      </c>
      <c r="G76" s="828">
        <f>+G71*'Variación Patrimonio 2017-2016'!L74</f>
        <v>-10105.5</v>
      </c>
      <c r="H76" s="830">
        <v>0</v>
      </c>
      <c r="I76" s="830">
        <v>0</v>
      </c>
      <c r="J76" s="830">
        <v>0</v>
      </c>
      <c r="K76" s="830">
        <f>+K71*'Variación Patrimonio 2017-2016'!L143</f>
        <v>-318332.27500000002</v>
      </c>
      <c r="L76" s="830">
        <f>+L71*'Variación Patrimonio 2017-2016'!L160</f>
        <v>-492352.98</v>
      </c>
      <c r="M76" s="830">
        <f>+M71*'Variación Patrimonio 2017-2016'!L185</f>
        <v>-395559</v>
      </c>
      <c r="N76" s="875">
        <f>SUM(B76:M76)</f>
        <v>5182183.9452226236</v>
      </c>
      <c r="P76" s="828" t="e">
        <f>+P60+P55</f>
        <v>#REF!</v>
      </c>
      <c r="Q76" s="875" t="e">
        <f>Q56+Q60+Q59</f>
        <v>#REF!</v>
      </c>
      <c r="R76" s="875" t="e">
        <f>+N76-P76+Q76</f>
        <v>#REF!</v>
      </c>
      <c r="S76" s="876"/>
    </row>
    <row r="77" spans="1:22">
      <c r="A77" s="874" t="s">
        <v>117</v>
      </c>
      <c r="B77" s="830">
        <f t="shared" ref="B77:M77" si="16">+B71-B76</f>
        <v>0</v>
      </c>
      <c r="C77" s="849">
        <f t="shared" si="16"/>
        <v>-269215.45519999997</v>
      </c>
      <c r="D77" s="849">
        <f t="shared" si="16"/>
        <v>0.87497737556623179</v>
      </c>
      <c r="E77" s="830">
        <f t="shared" si="16"/>
        <v>-5085.119999999999</v>
      </c>
      <c r="F77" s="830">
        <f t="shared" si="16"/>
        <v>-246692</v>
      </c>
      <c r="G77" s="830">
        <f t="shared" si="16"/>
        <v>-3368.5</v>
      </c>
      <c r="H77" s="830">
        <f t="shared" si="16"/>
        <v>0</v>
      </c>
      <c r="I77" s="830">
        <f t="shared" si="16"/>
        <v>0</v>
      </c>
      <c r="J77" s="830">
        <f t="shared" si="16"/>
        <v>0</v>
      </c>
      <c r="K77" s="849">
        <f t="shared" si="16"/>
        <v>-25810.724999999977</v>
      </c>
      <c r="L77" s="849">
        <f t="shared" si="16"/>
        <v>-10048.020000000019</v>
      </c>
      <c r="M77" s="830">
        <f t="shared" si="16"/>
        <v>0</v>
      </c>
      <c r="N77" s="875">
        <f>SUM(B77:M77)</f>
        <v>-560218.94522262446</v>
      </c>
      <c r="Q77" s="875"/>
      <c r="R77" s="875">
        <f>+N77-P77+Q77</f>
        <v>-560218.94522262446</v>
      </c>
      <c r="U77" s="830"/>
      <c r="V77" s="875"/>
    </row>
    <row r="78" spans="1:22">
      <c r="C78" s="876">
        <f>+C76+C77</f>
        <v>-1077724</v>
      </c>
      <c r="D78" s="876">
        <f>+D76+D77</f>
        <v>19337</v>
      </c>
      <c r="E78" s="876">
        <f>+E76+E77</f>
        <v>-15891</v>
      </c>
      <c r="F78" s="876">
        <f>+F76+F77</f>
        <v>-493384</v>
      </c>
      <c r="G78" s="876">
        <f>+G76+G77</f>
        <v>-13474</v>
      </c>
      <c r="K78" s="876">
        <f>+K76+K77</f>
        <v>-344143</v>
      </c>
      <c r="L78" s="876">
        <f>+L76+L77</f>
        <v>-502401</v>
      </c>
      <c r="M78" s="876">
        <f>+M76+M77</f>
        <v>-395559</v>
      </c>
    </row>
    <row r="80" spans="1:22">
      <c r="Q80" s="849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66" customWidth="1"/>
    <col min="2" max="2" width="1.7109375" style="366" customWidth="1"/>
    <col min="3" max="3" width="11" style="366" customWidth="1"/>
    <col min="4" max="4" width="1.7109375" style="366" customWidth="1"/>
    <col min="5" max="5" width="11" style="366" customWidth="1"/>
    <col min="6" max="6" width="1.7109375" style="366" customWidth="1"/>
    <col min="7" max="7" width="13.28515625" style="366" customWidth="1"/>
    <col min="8" max="8" width="1.7109375" style="366" customWidth="1"/>
    <col min="9" max="9" width="9.28515625" style="366" customWidth="1"/>
    <col min="10" max="10" width="1.7109375" style="366" customWidth="1"/>
    <col min="11" max="11" width="9.140625" style="366" customWidth="1"/>
    <col min="12" max="12" width="1.7109375" style="366" customWidth="1"/>
    <col min="13" max="13" width="8.5703125" style="366" customWidth="1"/>
    <col min="14" max="14" width="1.7109375" style="366" customWidth="1"/>
    <col min="15" max="15" width="11.42578125" style="366"/>
    <col min="16" max="16" width="1.7109375" style="366" customWidth="1"/>
    <col min="17" max="17" width="12.42578125" style="366" customWidth="1"/>
    <col min="18" max="18" width="1.7109375" style="366" customWidth="1"/>
    <col min="19" max="19" width="12.42578125" style="366" customWidth="1"/>
    <col min="20" max="20" width="1.7109375" style="366" customWidth="1"/>
    <col min="21" max="21" width="10" style="366" customWidth="1"/>
    <col min="22" max="22" width="1.7109375" style="366" customWidth="1"/>
    <col min="23" max="23" width="10.5703125" style="366" customWidth="1"/>
    <col min="24" max="24" width="1.7109375" style="366" customWidth="1"/>
    <col min="25" max="25" width="8.85546875" style="366" customWidth="1"/>
    <col min="26" max="26" width="1.7109375" style="366" customWidth="1"/>
    <col min="27" max="27" width="12" style="366" customWidth="1"/>
    <col min="28" max="28" width="1.7109375" style="366" customWidth="1"/>
    <col min="29" max="29" width="11.5703125" style="366" customWidth="1"/>
    <col min="30" max="30" width="1.7109375" style="366" customWidth="1"/>
    <col min="31" max="31" width="11.5703125" style="366" customWidth="1"/>
    <col min="32" max="32" width="1.7109375" style="366" customWidth="1"/>
    <col min="33" max="33" width="12" style="367" customWidth="1"/>
    <col min="34" max="1024" width="11.42578125" style="366"/>
  </cols>
  <sheetData>
    <row r="1" spans="1:35" s="368" customFormat="1" ht="21">
      <c r="C1" s="368" t="s">
        <v>212</v>
      </c>
      <c r="E1" s="368" t="s">
        <v>430</v>
      </c>
      <c r="G1" s="368" t="s">
        <v>431</v>
      </c>
      <c r="I1" s="368" t="s">
        <v>280</v>
      </c>
      <c r="K1" s="368" t="s">
        <v>281</v>
      </c>
      <c r="M1" s="368" t="s">
        <v>432</v>
      </c>
      <c r="O1" s="368" t="s">
        <v>282</v>
      </c>
      <c r="Q1" s="368" t="s">
        <v>433</v>
      </c>
      <c r="S1" s="368" t="s">
        <v>434</v>
      </c>
      <c r="U1" s="368" t="s">
        <v>245</v>
      </c>
      <c r="W1" s="368" t="s">
        <v>247</v>
      </c>
      <c r="Y1" s="368" t="s">
        <v>32</v>
      </c>
      <c r="AA1" s="368" t="s">
        <v>259</v>
      </c>
      <c r="AC1" s="368" t="s">
        <v>200</v>
      </c>
      <c r="AE1" s="368" t="s">
        <v>201</v>
      </c>
      <c r="AG1" s="368" t="s">
        <v>259</v>
      </c>
    </row>
    <row r="3" spans="1:35">
      <c r="A3" s="369" t="s">
        <v>172</v>
      </c>
      <c r="B3" s="369"/>
      <c r="C3" s="370">
        <v>30006697</v>
      </c>
      <c r="D3" s="371"/>
      <c r="E3" s="370">
        <v>5000</v>
      </c>
      <c r="F3" s="371"/>
      <c r="G3" s="370">
        <v>1105000</v>
      </c>
      <c r="H3" s="371"/>
      <c r="I3" s="370">
        <v>10000</v>
      </c>
      <c r="J3" s="371"/>
      <c r="K3" s="370">
        <v>1000</v>
      </c>
      <c r="L3" s="371"/>
      <c r="M3" s="370">
        <v>1000</v>
      </c>
      <c r="N3" s="371"/>
      <c r="O3" s="370">
        <v>5000</v>
      </c>
      <c r="P3" s="371"/>
      <c r="Q3" s="370">
        <v>10000</v>
      </c>
      <c r="R3" s="371"/>
      <c r="S3" s="370">
        <v>800</v>
      </c>
      <c r="T3" s="371"/>
      <c r="U3" s="370">
        <v>800</v>
      </c>
      <c r="V3" s="372"/>
      <c r="W3" s="370">
        <v>3661400</v>
      </c>
      <c r="X3" s="372"/>
      <c r="Y3" s="370">
        <v>10000</v>
      </c>
      <c r="Z3" s="371"/>
      <c r="AA3" s="371">
        <f t="shared" ref="AA3:AA11" si="0">+SUM(C3:Y3)</f>
        <v>34816697</v>
      </c>
      <c r="AB3" s="371"/>
      <c r="AC3" s="371">
        <f>-1104950-800-6800-500-750-4640-740-3751-6000-3624786-10000</f>
        <v>-4763717</v>
      </c>
      <c r="AD3" s="371"/>
      <c r="AE3" s="371"/>
      <c r="AF3" s="371"/>
      <c r="AG3" s="373">
        <f t="shared" ref="AG3:AG11" si="1">+AA3+AC3+AE3</f>
        <v>30052980</v>
      </c>
      <c r="AI3" s="374"/>
    </row>
    <row r="4" spans="1:35">
      <c r="A4" s="369" t="s">
        <v>435</v>
      </c>
      <c r="B4" s="369"/>
      <c r="C4" s="371">
        <v>920</v>
      </c>
      <c r="D4" s="371"/>
      <c r="E4" s="371">
        <v>42340052</v>
      </c>
      <c r="F4" s="371"/>
      <c r="G4" s="371">
        <v>877313</v>
      </c>
      <c r="H4" s="371"/>
      <c r="I4" s="371">
        <v>0</v>
      </c>
      <c r="J4" s="371"/>
      <c r="K4" s="371">
        <v>49015</v>
      </c>
      <c r="L4" s="371"/>
      <c r="M4" s="371">
        <v>330450</v>
      </c>
      <c r="N4" s="371"/>
      <c r="O4" s="371">
        <v>0</v>
      </c>
      <c r="P4" s="371"/>
      <c r="Q4" s="371">
        <v>0</v>
      </c>
      <c r="R4" s="371"/>
      <c r="S4" s="371">
        <v>0</v>
      </c>
      <c r="T4" s="371"/>
      <c r="U4" s="371">
        <v>1833417</v>
      </c>
      <c r="V4" s="372"/>
      <c r="W4" s="371">
        <v>406800</v>
      </c>
      <c r="X4" s="372"/>
      <c r="Y4" s="371">
        <v>0</v>
      </c>
      <c r="Z4" s="371"/>
      <c r="AA4" s="371">
        <f t="shared" si="0"/>
        <v>45837967</v>
      </c>
      <c r="AB4" s="371"/>
      <c r="AC4" s="371">
        <f>-877313-49015-330450-1833417-31546825-292500</f>
        <v>-34929520</v>
      </c>
      <c r="AD4" s="371"/>
      <c r="AE4" s="371"/>
      <c r="AF4" s="371"/>
      <c r="AG4" s="373">
        <f t="shared" si="1"/>
        <v>10908447</v>
      </c>
    </row>
    <row r="5" spans="1:35">
      <c r="A5" s="369" t="s">
        <v>90</v>
      </c>
      <c r="B5" s="375"/>
      <c r="C5" s="371">
        <v>4662954</v>
      </c>
      <c r="D5" s="371"/>
      <c r="E5" s="371">
        <v>0</v>
      </c>
      <c r="F5" s="371"/>
      <c r="G5" s="371">
        <v>0</v>
      </c>
      <c r="H5" s="371"/>
      <c r="I5" s="371">
        <v>0</v>
      </c>
      <c r="J5" s="371"/>
      <c r="K5" s="371">
        <v>500</v>
      </c>
      <c r="L5" s="371"/>
      <c r="M5" s="371">
        <v>0</v>
      </c>
      <c r="N5" s="371"/>
      <c r="O5" s="371">
        <v>0</v>
      </c>
      <c r="P5" s="371"/>
      <c r="Q5" s="371">
        <v>0</v>
      </c>
      <c r="R5" s="371"/>
      <c r="S5" s="371">
        <v>340</v>
      </c>
      <c r="T5" s="371"/>
      <c r="U5" s="371">
        <v>0</v>
      </c>
      <c r="V5" s="372"/>
      <c r="W5" s="371">
        <v>0</v>
      </c>
      <c r="X5" s="372"/>
      <c r="Y5" s="371">
        <v>0</v>
      </c>
      <c r="Z5" s="371"/>
      <c r="AA5" s="371">
        <f t="shared" si="0"/>
        <v>4663794</v>
      </c>
      <c r="AB5" s="371"/>
      <c r="AC5" s="371">
        <f>-500-340</f>
        <v>-840</v>
      </c>
      <c r="AD5" s="371"/>
      <c r="AE5" s="371"/>
      <c r="AF5" s="371"/>
      <c r="AG5" s="373">
        <f t="shared" si="1"/>
        <v>4662954</v>
      </c>
    </row>
    <row r="6" spans="1:35">
      <c r="A6" s="369" t="s">
        <v>91</v>
      </c>
      <c r="B6" s="375"/>
      <c r="C6" s="371">
        <v>34797</v>
      </c>
      <c r="D6" s="371"/>
      <c r="E6" s="371">
        <v>0</v>
      </c>
      <c r="F6" s="371"/>
      <c r="G6" s="371">
        <v>0</v>
      </c>
      <c r="H6" s="371"/>
      <c r="I6" s="371">
        <v>0</v>
      </c>
      <c r="J6" s="371"/>
      <c r="K6" s="371">
        <v>0</v>
      </c>
      <c r="L6" s="371"/>
      <c r="M6" s="371">
        <v>0</v>
      </c>
      <c r="N6" s="371"/>
      <c r="O6" s="371">
        <v>0</v>
      </c>
      <c r="P6" s="371"/>
      <c r="Q6" s="371">
        <v>0</v>
      </c>
      <c r="R6" s="371"/>
      <c r="S6" s="371">
        <v>0</v>
      </c>
      <c r="T6" s="371"/>
      <c r="U6" s="371">
        <v>0</v>
      </c>
      <c r="V6" s="372"/>
      <c r="W6" s="371">
        <v>0</v>
      </c>
      <c r="X6" s="372"/>
      <c r="Y6" s="371">
        <v>0</v>
      </c>
      <c r="Z6" s="371"/>
      <c r="AA6" s="371">
        <f t="shared" si="0"/>
        <v>34797</v>
      </c>
      <c r="AB6" s="371"/>
      <c r="AC6" s="371">
        <v>0</v>
      </c>
      <c r="AD6" s="371"/>
      <c r="AE6" s="371"/>
      <c r="AF6" s="371"/>
      <c r="AG6" s="373">
        <f t="shared" si="1"/>
        <v>34797</v>
      </c>
    </row>
    <row r="7" spans="1:35">
      <c r="A7" s="369" t="s">
        <v>437</v>
      </c>
      <c r="B7" s="375"/>
      <c r="C7" s="371">
        <v>1353857</v>
      </c>
      <c r="D7" s="371"/>
      <c r="E7" s="371">
        <v>0</v>
      </c>
      <c r="F7" s="371"/>
      <c r="G7" s="371">
        <v>0</v>
      </c>
      <c r="H7" s="371"/>
      <c r="I7" s="371">
        <v>0</v>
      </c>
      <c r="J7" s="371"/>
      <c r="K7" s="371">
        <v>0</v>
      </c>
      <c r="L7" s="371"/>
      <c r="M7" s="371">
        <v>0</v>
      </c>
      <c r="N7" s="371"/>
      <c r="O7" s="371">
        <v>0</v>
      </c>
      <c r="P7" s="371"/>
      <c r="Q7" s="371">
        <v>0</v>
      </c>
      <c r="R7" s="371"/>
      <c r="S7" s="371">
        <v>0</v>
      </c>
      <c r="T7" s="371"/>
      <c r="U7" s="371">
        <v>0</v>
      </c>
      <c r="V7" s="372"/>
      <c r="W7" s="371">
        <v>0</v>
      </c>
      <c r="X7" s="372"/>
      <c r="Y7" s="371">
        <v>0</v>
      </c>
      <c r="Z7" s="371"/>
      <c r="AA7" s="371">
        <f t="shared" si="0"/>
        <v>1353857</v>
      </c>
      <c r="AB7" s="371"/>
      <c r="AC7" s="371">
        <v>0</v>
      </c>
      <c r="AD7" s="371"/>
      <c r="AE7" s="371"/>
      <c r="AF7" s="371"/>
      <c r="AG7" s="373">
        <f t="shared" si="1"/>
        <v>1353857</v>
      </c>
    </row>
    <row r="8" spans="1:35">
      <c r="A8" s="369" t="s">
        <v>436</v>
      </c>
      <c r="B8" s="375"/>
      <c r="C8" s="371">
        <v>227072</v>
      </c>
      <c r="D8" s="371"/>
      <c r="E8" s="371">
        <v>0</v>
      </c>
      <c r="F8" s="371"/>
      <c r="G8" s="371">
        <v>0</v>
      </c>
      <c r="H8" s="371"/>
      <c r="I8" s="371">
        <v>74426</v>
      </c>
      <c r="J8" s="371"/>
      <c r="K8" s="371">
        <v>0</v>
      </c>
      <c r="L8" s="371"/>
      <c r="M8" s="371">
        <v>109633</v>
      </c>
      <c r="N8" s="371"/>
      <c r="O8" s="371">
        <v>1226</v>
      </c>
      <c r="P8" s="371"/>
      <c r="Q8" s="371">
        <v>0</v>
      </c>
      <c r="R8" s="371"/>
      <c r="S8" s="371">
        <v>0</v>
      </c>
      <c r="T8" s="371"/>
      <c r="U8" s="371">
        <v>0</v>
      </c>
      <c r="V8" s="372"/>
      <c r="W8" s="371">
        <v>0</v>
      </c>
      <c r="X8" s="372"/>
      <c r="Y8" s="371">
        <v>0</v>
      </c>
      <c r="Z8" s="371"/>
      <c r="AA8" s="371">
        <f t="shared" si="0"/>
        <v>412357</v>
      </c>
      <c r="AB8" s="371"/>
      <c r="AC8" s="371">
        <f>-74426-109633-1226</f>
        <v>-185285</v>
      </c>
      <c r="AD8" s="371"/>
      <c r="AE8" s="371"/>
      <c r="AF8" s="371"/>
      <c r="AG8" s="373">
        <f t="shared" si="1"/>
        <v>227072</v>
      </c>
    </row>
    <row r="9" spans="1:35">
      <c r="A9" s="369" t="s">
        <v>439</v>
      </c>
      <c r="B9" s="375"/>
      <c r="C9" s="371">
        <v>-3202431</v>
      </c>
      <c r="D9" s="371"/>
      <c r="E9" s="371">
        <v>0</v>
      </c>
      <c r="F9" s="371"/>
      <c r="G9" s="371">
        <v>0</v>
      </c>
      <c r="H9" s="371"/>
      <c r="I9" s="371">
        <v>0</v>
      </c>
      <c r="J9" s="371"/>
      <c r="K9" s="371">
        <v>0</v>
      </c>
      <c r="L9" s="371"/>
      <c r="M9" s="371">
        <v>0</v>
      </c>
      <c r="N9" s="371"/>
      <c r="O9" s="371">
        <v>0</v>
      </c>
      <c r="P9" s="371"/>
      <c r="Q9" s="371">
        <v>0</v>
      </c>
      <c r="R9" s="371"/>
      <c r="S9" s="371">
        <v>0</v>
      </c>
      <c r="T9" s="371"/>
      <c r="U9" s="371">
        <v>0</v>
      </c>
      <c r="V9" s="372"/>
      <c r="W9" s="371">
        <v>-56932</v>
      </c>
      <c r="X9" s="372"/>
      <c r="Y9" s="371">
        <v>0</v>
      </c>
      <c r="Z9" s="371"/>
      <c r="AA9" s="371">
        <f t="shared" si="0"/>
        <v>-3259363</v>
      </c>
      <c r="AB9" s="371"/>
      <c r="AC9" s="371">
        <v>0</v>
      </c>
      <c r="AD9" s="371"/>
      <c r="AE9" s="371">
        <v>56932</v>
      </c>
      <c r="AF9" s="371"/>
      <c r="AG9" s="373">
        <f t="shared" si="1"/>
        <v>-3202431</v>
      </c>
    </row>
    <row r="10" spans="1:35">
      <c r="A10" s="369" t="s">
        <v>862</v>
      </c>
      <c r="B10" s="375"/>
      <c r="C10" s="371">
        <v>0</v>
      </c>
      <c r="D10" s="371"/>
      <c r="E10" s="371">
        <v>0</v>
      </c>
      <c r="F10" s="371"/>
      <c r="G10" s="371">
        <v>0</v>
      </c>
      <c r="H10" s="371"/>
      <c r="I10" s="371">
        <v>0</v>
      </c>
      <c r="J10" s="371"/>
      <c r="K10" s="371">
        <v>0</v>
      </c>
      <c r="L10" s="371"/>
      <c r="M10" s="371">
        <v>0</v>
      </c>
      <c r="N10" s="371"/>
      <c r="O10" s="371">
        <v>0</v>
      </c>
      <c r="P10" s="371"/>
      <c r="Q10" s="371">
        <v>0</v>
      </c>
      <c r="R10" s="371"/>
      <c r="S10" s="371">
        <v>0</v>
      </c>
      <c r="T10" s="371"/>
      <c r="U10" s="371">
        <v>0</v>
      </c>
      <c r="V10" s="372"/>
      <c r="W10" s="371">
        <v>274690</v>
      </c>
      <c r="X10" s="372"/>
      <c r="Y10" s="371">
        <v>0</v>
      </c>
      <c r="Z10" s="371"/>
      <c r="AA10" s="371">
        <f t="shared" si="0"/>
        <v>274690</v>
      </c>
      <c r="AB10" s="371"/>
      <c r="AC10" s="371">
        <v>-274690</v>
      </c>
      <c r="AD10" s="371"/>
      <c r="AE10" s="371"/>
      <c r="AF10" s="371"/>
      <c r="AG10" s="373">
        <f t="shared" si="1"/>
        <v>0</v>
      </c>
    </row>
    <row r="11" spans="1:35">
      <c r="A11" s="369" t="s">
        <v>149</v>
      </c>
      <c r="B11" s="375"/>
      <c r="C11" s="371">
        <v>37757436</v>
      </c>
      <c r="D11" s="371"/>
      <c r="E11" s="371">
        <f>2254833-1077724</f>
        <v>1177109</v>
      </c>
      <c r="F11" s="371"/>
      <c r="G11" s="371">
        <f>-16938+19337+1</f>
        <v>2400</v>
      </c>
      <c r="H11" s="371"/>
      <c r="I11" s="371">
        <f>911628-15891</f>
        <v>895737</v>
      </c>
      <c r="J11" s="371"/>
      <c r="K11" s="371">
        <f>-488265-493384</f>
        <v>-981649</v>
      </c>
      <c r="L11" s="371"/>
      <c r="M11" s="371">
        <f>-53896-13474</f>
        <v>-67370</v>
      </c>
      <c r="N11" s="371"/>
      <c r="O11" s="371">
        <v>1763</v>
      </c>
      <c r="P11" s="371"/>
      <c r="Q11" s="371">
        <v>0</v>
      </c>
      <c r="R11" s="371"/>
      <c r="S11" s="371">
        <v>0</v>
      </c>
      <c r="T11" s="371"/>
      <c r="U11" s="371">
        <v>-359565</v>
      </c>
      <c r="V11" s="372"/>
      <c r="W11" s="371">
        <v>-4388927</v>
      </c>
      <c r="X11" s="372"/>
      <c r="Y11" s="371">
        <f>-(142959+401491)</f>
        <v>-544450</v>
      </c>
      <c r="Z11" s="371"/>
      <c r="AA11" s="371">
        <f t="shared" si="0"/>
        <v>33492484</v>
      </c>
      <c r="AB11" s="371"/>
      <c r="AC11" s="371">
        <f>-862233-97825-21667-1763-822437-266632-224942</f>
        <v>-2297499</v>
      </c>
      <c r="AD11" s="371"/>
      <c r="AE11" s="371">
        <f>3491044+394445+42502+1160144+4556</f>
        <v>5092691</v>
      </c>
      <c r="AF11" s="371"/>
      <c r="AG11" s="373">
        <f t="shared" si="1"/>
        <v>36287676</v>
      </c>
    </row>
    <row r="12" spans="1:35" ht="5.0999999999999996" customHeight="1"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2"/>
      <c r="W12" s="371"/>
      <c r="X12" s="372"/>
      <c r="Y12" s="371"/>
      <c r="Z12" s="371"/>
      <c r="AA12" s="371"/>
      <c r="AB12" s="371"/>
      <c r="AC12" s="371"/>
      <c r="AD12" s="371"/>
      <c r="AE12" s="371"/>
      <c r="AF12" s="371"/>
      <c r="AG12" s="373"/>
    </row>
    <row r="13" spans="1:35">
      <c r="A13" s="366" t="s">
        <v>863</v>
      </c>
      <c r="C13" s="376">
        <f>+SUM(C3:C11)</f>
        <v>70841302</v>
      </c>
      <c r="D13" s="371"/>
      <c r="E13" s="376">
        <f>+SUM(E3:E11)</f>
        <v>43522161</v>
      </c>
      <c r="F13" s="371"/>
      <c r="G13" s="376">
        <f>+SUM(G3:G11)</f>
        <v>1984713</v>
      </c>
      <c r="H13" s="371"/>
      <c r="I13" s="376">
        <f>+SUM(I3:I11)</f>
        <v>980163</v>
      </c>
      <c r="J13" s="371"/>
      <c r="K13" s="376">
        <f>+SUM(K3:K11)</f>
        <v>-931134</v>
      </c>
      <c r="L13" s="371"/>
      <c r="M13" s="376">
        <f>+SUM(M3:M11)</f>
        <v>373713</v>
      </c>
      <c r="N13" s="371"/>
      <c r="O13" s="376">
        <f>+SUM(O3:O11)</f>
        <v>7989</v>
      </c>
      <c r="P13" s="371"/>
      <c r="Q13" s="376">
        <f>+SUM(Q3:Q11)</f>
        <v>10000</v>
      </c>
      <c r="R13" s="371"/>
      <c r="S13" s="376">
        <f>+SUM(S3:S11)</f>
        <v>1140</v>
      </c>
      <c r="T13" s="371"/>
      <c r="U13" s="376">
        <f>+SUM(U3:U11)</f>
        <v>1474652</v>
      </c>
      <c r="V13" s="372"/>
      <c r="W13" s="376">
        <f>+SUM(W3:W11)</f>
        <v>-102969</v>
      </c>
      <c r="X13" s="372"/>
      <c r="Y13" s="376">
        <f>+SUM(Y3:Y11)</f>
        <v>-534450</v>
      </c>
      <c r="Z13" s="371"/>
      <c r="AA13" s="376">
        <f>+SUM(AA3:AA11)</f>
        <v>117627280</v>
      </c>
      <c r="AB13" s="371"/>
      <c r="AC13" s="376">
        <f>+SUM(AC3:AC11)</f>
        <v>-42451551</v>
      </c>
      <c r="AD13" s="371"/>
      <c r="AE13" s="376">
        <f>+SUM(AE3:AE11)</f>
        <v>5149623</v>
      </c>
      <c r="AF13" s="371"/>
      <c r="AG13" s="377">
        <f>+SUM(AG3:AG11)</f>
        <v>80325352</v>
      </c>
    </row>
    <row r="14" spans="1:35" ht="5.0999999999999996" customHeight="1"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2"/>
      <c r="W14" s="371"/>
      <c r="X14" s="372"/>
      <c r="Y14" s="371"/>
      <c r="Z14" s="371"/>
      <c r="AA14" s="371"/>
      <c r="AB14" s="371"/>
      <c r="AC14" s="371"/>
      <c r="AD14" s="371"/>
      <c r="AE14" s="371"/>
      <c r="AF14" s="371"/>
      <c r="AG14" s="373"/>
    </row>
    <row r="15" spans="1:35" ht="5.0999999999999996" customHeight="1">
      <c r="V15" s="378"/>
      <c r="X15" s="378"/>
      <c r="AC15" s="379"/>
      <c r="AE15" s="379"/>
    </row>
    <row r="16" spans="1:35" s="380" customFormat="1" ht="9.75">
      <c r="A16" s="380" t="s">
        <v>440</v>
      </c>
      <c r="C16" s="380">
        <v>1</v>
      </c>
      <c r="E16" s="380">
        <v>0.75019999999999998</v>
      </c>
      <c r="G16" s="380">
        <f>+(1104950/1105000)</f>
        <v>0.99995475113122168</v>
      </c>
      <c r="I16" s="380">
        <f>+(0.68)*100%</f>
        <v>0.68</v>
      </c>
      <c r="K16" s="380">
        <v>0.5</v>
      </c>
      <c r="M16" s="380">
        <v>0.75</v>
      </c>
      <c r="O16" s="380">
        <f>+(0.928)*100%</f>
        <v>0.92800000000000005</v>
      </c>
      <c r="Q16" s="380">
        <v>0.6</v>
      </c>
      <c r="S16" s="380">
        <f>+(799.96/800)*100%</f>
        <v>0.99995000000000001</v>
      </c>
      <c r="U16" s="380">
        <v>0.92500000000000004</v>
      </c>
      <c r="V16" s="383"/>
      <c r="W16" s="380">
        <v>0.99</v>
      </c>
      <c r="X16" s="383"/>
      <c r="Y16" s="380">
        <v>1</v>
      </c>
      <c r="AE16" s="384"/>
      <c r="AG16" s="385"/>
    </row>
    <row r="17" spans="1:33" ht="5.0999999999999996" customHeight="1">
      <c r="C17" s="379"/>
      <c r="E17" s="379"/>
      <c r="I17" s="379"/>
      <c r="K17" s="379"/>
      <c r="M17" s="379"/>
      <c r="O17" s="379"/>
      <c r="Q17" s="379"/>
      <c r="S17" s="379"/>
      <c r="U17" s="379"/>
      <c r="V17" s="378"/>
      <c r="W17" s="379"/>
      <c r="X17" s="378"/>
      <c r="Y17" s="379"/>
      <c r="AC17" s="379"/>
      <c r="AG17" s="386"/>
    </row>
    <row r="18" spans="1:33">
      <c r="A18" s="387" t="s">
        <v>441</v>
      </c>
      <c r="C18" s="379"/>
      <c r="E18" s="379"/>
      <c r="I18" s="379"/>
      <c r="K18" s="379"/>
      <c r="M18" s="379"/>
      <c r="O18" s="379"/>
      <c r="Q18" s="379"/>
      <c r="S18" s="379"/>
      <c r="U18" s="379"/>
      <c r="V18" s="378"/>
      <c r="W18" s="379"/>
      <c r="X18" s="378"/>
      <c r="Y18" s="379"/>
      <c r="AC18" s="379"/>
      <c r="AE18" s="379"/>
      <c r="AG18" s="386"/>
    </row>
    <row r="19" spans="1:33">
      <c r="A19" s="369" t="s">
        <v>172</v>
      </c>
      <c r="C19" s="371">
        <f t="shared" ref="C19:C25" si="2">+C3*C$16</f>
        <v>30006697</v>
      </c>
      <c r="D19" s="371"/>
      <c r="E19" s="371">
        <f>+E3*E$16</f>
        <v>3751</v>
      </c>
      <c r="F19" s="371"/>
      <c r="G19" s="371">
        <f>+G3*G$16</f>
        <v>1104950</v>
      </c>
      <c r="H19" s="371"/>
      <c r="I19" s="371">
        <f>+I3*I$16</f>
        <v>6800.0000000000009</v>
      </c>
      <c r="J19" s="371"/>
      <c r="K19" s="371">
        <f>+K3*K$16</f>
        <v>500</v>
      </c>
      <c r="L19" s="371"/>
      <c r="M19" s="371">
        <f>+M3*M$16</f>
        <v>750</v>
      </c>
      <c r="N19" s="371"/>
      <c r="O19" s="371">
        <f>+O3*O$16</f>
        <v>4640</v>
      </c>
      <c r="P19" s="371"/>
      <c r="Q19" s="371">
        <f t="shared" ref="Q19:Q25" si="3">+Q3*Q$16</f>
        <v>6000</v>
      </c>
      <c r="R19" s="371"/>
      <c r="S19" s="371">
        <f t="shared" ref="S19:S25" si="4">+S3*S$16</f>
        <v>799.96</v>
      </c>
      <c r="T19" s="371"/>
      <c r="U19" s="371">
        <f>+U3*U$16</f>
        <v>740</v>
      </c>
      <c r="V19" s="372"/>
      <c r="W19" s="371">
        <f>+W3*W$16</f>
        <v>3624786</v>
      </c>
      <c r="X19" s="372"/>
      <c r="Y19" s="371">
        <f t="shared" ref="Y19:Y25" si="5">+Y3*Y$16</f>
        <v>10000</v>
      </c>
      <c r="Z19" s="371"/>
      <c r="AA19" s="371">
        <f t="shared" ref="AA19:AA25" si="6">+SUM(C19:Z19)</f>
        <v>34770413.960000001</v>
      </c>
      <c r="AC19" s="379">
        <f t="shared" ref="AC19:AC25" si="7">+AC3</f>
        <v>-4763717</v>
      </c>
      <c r="AE19" s="388">
        <f t="shared" ref="AE19:AE25" si="8">+AE3</f>
        <v>0</v>
      </c>
      <c r="AG19" s="373">
        <f t="shared" ref="AG19:AG27" si="9">+AA19+AC19+AE19</f>
        <v>30006696.960000001</v>
      </c>
    </row>
    <row r="20" spans="1:33">
      <c r="A20" s="369" t="s">
        <v>435</v>
      </c>
      <c r="C20" s="371">
        <f t="shared" si="2"/>
        <v>920</v>
      </c>
      <c r="D20" s="371"/>
      <c r="E20" s="371">
        <v>31546825</v>
      </c>
      <c r="F20" s="371"/>
      <c r="G20" s="371">
        <v>877313</v>
      </c>
      <c r="H20" s="371"/>
      <c r="I20" s="371">
        <f>+I4*I$16</f>
        <v>0</v>
      </c>
      <c r="J20" s="371"/>
      <c r="K20" s="371">
        <v>49015</v>
      </c>
      <c r="L20" s="371"/>
      <c r="M20" s="371">
        <v>330450</v>
      </c>
      <c r="N20" s="371"/>
      <c r="O20" s="371">
        <f>+O4*O$16</f>
        <v>0</v>
      </c>
      <c r="P20" s="371"/>
      <c r="Q20" s="371">
        <f t="shared" si="3"/>
        <v>0</v>
      </c>
      <c r="R20" s="371"/>
      <c r="S20" s="371">
        <f t="shared" si="4"/>
        <v>0</v>
      </c>
      <c r="T20" s="371"/>
      <c r="U20" s="371">
        <v>1833417</v>
      </c>
      <c r="V20" s="372"/>
      <c r="W20" s="371">
        <v>292500</v>
      </c>
      <c r="X20" s="372"/>
      <c r="Y20" s="371">
        <f t="shared" si="5"/>
        <v>0</v>
      </c>
      <c r="Z20" s="371"/>
      <c r="AA20" s="371">
        <f t="shared" si="6"/>
        <v>34930440</v>
      </c>
      <c r="AC20" s="379">
        <f t="shared" si="7"/>
        <v>-34929520</v>
      </c>
      <c r="AE20" s="388">
        <f t="shared" si="8"/>
        <v>0</v>
      </c>
      <c r="AG20" s="373">
        <f t="shared" si="9"/>
        <v>920</v>
      </c>
    </row>
    <row r="21" spans="1:33">
      <c r="A21" s="369" t="s">
        <v>90</v>
      </c>
      <c r="C21" s="371">
        <f t="shared" si="2"/>
        <v>4662954</v>
      </c>
      <c r="D21" s="371"/>
      <c r="E21" s="371">
        <f>+E5*E$16</f>
        <v>0</v>
      </c>
      <c r="F21" s="371"/>
      <c r="G21" s="371">
        <f>+G5*G$16</f>
        <v>0</v>
      </c>
      <c r="H21" s="371"/>
      <c r="I21" s="371">
        <f>+I5*I$16</f>
        <v>0</v>
      </c>
      <c r="J21" s="371"/>
      <c r="K21" s="371">
        <v>500</v>
      </c>
      <c r="L21" s="371"/>
      <c r="M21" s="371">
        <f>+M5*M$16</f>
        <v>0</v>
      </c>
      <c r="N21" s="371"/>
      <c r="O21" s="371">
        <f>+O5*O$16</f>
        <v>0</v>
      </c>
      <c r="P21" s="371"/>
      <c r="Q21" s="371">
        <f t="shared" si="3"/>
        <v>0</v>
      </c>
      <c r="R21" s="371"/>
      <c r="S21" s="371">
        <f t="shared" si="4"/>
        <v>339.983</v>
      </c>
      <c r="T21" s="371"/>
      <c r="U21" s="371">
        <f>+U5*U$16</f>
        <v>0</v>
      </c>
      <c r="V21" s="372"/>
      <c r="W21" s="371">
        <f>+W5*W$16</f>
        <v>0</v>
      </c>
      <c r="X21" s="372"/>
      <c r="Y21" s="371">
        <f t="shared" si="5"/>
        <v>0</v>
      </c>
      <c r="Z21" s="371"/>
      <c r="AA21" s="371">
        <f t="shared" si="6"/>
        <v>4663793.983</v>
      </c>
      <c r="AC21" s="379">
        <f t="shared" si="7"/>
        <v>-840</v>
      </c>
      <c r="AE21" s="388">
        <f t="shared" si="8"/>
        <v>0</v>
      </c>
      <c r="AG21" s="373">
        <f t="shared" si="9"/>
        <v>4662953.983</v>
      </c>
    </row>
    <row r="22" spans="1:33">
      <c r="A22" s="369" t="s">
        <v>438</v>
      </c>
      <c r="C22" s="371">
        <f t="shared" si="2"/>
        <v>34797</v>
      </c>
      <c r="D22" s="371"/>
      <c r="E22" s="371">
        <f>+E6*E$16</f>
        <v>0</v>
      </c>
      <c r="F22" s="371"/>
      <c r="G22" s="371">
        <f>+G6*G$16</f>
        <v>0</v>
      </c>
      <c r="H22" s="371"/>
      <c r="I22" s="371">
        <f>+I6*I$16</f>
        <v>0</v>
      </c>
      <c r="J22" s="371"/>
      <c r="K22" s="371">
        <f>+K6*K$16</f>
        <v>0</v>
      </c>
      <c r="L22" s="371"/>
      <c r="M22" s="371">
        <f>+M6*M$16</f>
        <v>0</v>
      </c>
      <c r="N22" s="371"/>
      <c r="O22" s="371">
        <f>+O6*O$16</f>
        <v>0</v>
      </c>
      <c r="P22" s="371"/>
      <c r="Q22" s="371">
        <f t="shared" si="3"/>
        <v>0</v>
      </c>
      <c r="R22" s="371"/>
      <c r="S22" s="371">
        <f t="shared" si="4"/>
        <v>0</v>
      </c>
      <c r="T22" s="371"/>
      <c r="U22" s="371">
        <f>+U6*U$16</f>
        <v>0</v>
      </c>
      <c r="V22" s="372"/>
      <c r="W22" s="371">
        <f>+W6*W$16</f>
        <v>0</v>
      </c>
      <c r="X22" s="372"/>
      <c r="Y22" s="371">
        <f t="shared" si="5"/>
        <v>0</v>
      </c>
      <c r="Z22" s="371"/>
      <c r="AA22" s="371">
        <f t="shared" si="6"/>
        <v>34797</v>
      </c>
      <c r="AC22" s="379">
        <f t="shared" si="7"/>
        <v>0</v>
      </c>
      <c r="AE22" s="388">
        <f t="shared" si="8"/>
        <v>0</v>
      </c>
      <c r="AG22" s="373">
        <f t="shared" si="9"/>
        <v>34797</v>
      </c>
    </row>
    <row r="23" spans="1:33">
      <c r="A23" s="369" t="s">
        <v>437</v>
      </c>
      <c r="C23" s="371">
        <f t="shared" si="2"/>
        <v>1353857</v>
      </c>
      <c r="D23" s="371"/>
      <c r="E23" s="371">
        <f>+E7*E$16</f>
        <v>0</v>
      </c>
      <c r="F23" s="371"/>
      <c r="G23" s="371">
        <f>+G7*G$16</f>
        <v>0</v>
      </c>
      <c r="H23" s="371"/>
      <c r="I23" s="371">
        <f>+I7*I$16</f>
        <v>0</v>
      </c>
      <c r="J23" s="371"/>
      <c r="K23" s="371">
        <f>+K7*K$16</f>
        <v>0</v>
      </c>
      <c r="L23" s="371"/>
      <c r="M23" s="371">
        <f>+M7*M$16</f>
        <v>0</v>
      </c>
      <c r="N23" s="371"/>
      <c r="O23" s="371">
        <f>+O7*O$16</f>
        <v>0</v>
      </c>
      <c r="P23" s="371"/>
      <c r="Q23" s="371">
        <f t="shared" si="3"/>
        <v>0</v>
      </c>
      <c r="R23" s="371"/>
      <c r="S23" s="371">
        <f t="shared" si="4"/>
        <v>0</v>
      </c>
      <c r="T23" s="371"/>
      <c r="U23" s="371">
        <f>+U7*U$16</f>
        <v>0</v>
      </c>
      <c r="V23" s="372"/>
      <c r="W23" s="371">
        <f>+W7*W$16</f>
        <v>0</v>
      </c>
      <c r="X23" s="372"/>
      <c r="Y23" s="371">
        <f t="shared" si="5"/>
        <v>0</v>
      </c>
      <c r="Z23" s="371"/>
      <c r="AA23" s="371">
        <f t="shared" si="6"/>
        <v>1353857</v>
      </c>
      <c r="AC23" s="379">
        <f t="shared" si="7"/>
        <v>0</v>
      </c>
      <c r="AE23" s="388">
        <f t="shared" si="8"/>
        <v>0</v>
      </c>
      <c r="AG23" s="373">
        <f t="shared" si="9"/>
        <v>1353857</v>
      </c>
    </row>
    <row r="24" spans="1:33">
      <c r="A24" s="369" t="s">
        <v>436</v>
      </c>
      <c r="C24" s="371">
        <f t="shared" si="2"/>
        <v>227072</v>
      </c>
      <c r="D24" s="371"/>
      <c r="E24" s="371">
        <f>+E8*E$16</f>
        <v>0</v>
      </c>
      <c r="F24" s="371"/>
      <c r="G24" s="371">
        <f>+G8*G$16</f>
        <v>0</v>
      </c>
      <c r="H24" s="371"/>
      <c r="I24" s="371">
        <v>74426</v>
      </c>
      <c r="J24" s="371"/>
      <c r="K24" s="371">
        <f>+K8*K$16</f>
        <v>0</v>
      </c>
      <c r="L24" s="371"/>
      <c r="M24" s="371">
        <v>109633</v>
      </c>
      <c r="N24" s="371"/>
      <c r="O24" s="371">
        <v>1226</v>
      </c>
      <c r="P24" s="371"/>
      <c r="Q24" s="371">
        <f t="shared" si="3"/>
        <v>0</v>
      </c>
      <c r="R24" s="371"/>
      <c r="S24" s="371">
        <f t="shared" si="4"/>
        <v>0</v>
      </c>
      <c r="T24" s="371"/>
      <c r="U24" s="371">
        <f>+U8*U$16</f>
        <v>0</v>
      </c>
      <c r="V24" s="372"/>
      <c r="W24" s="371">
        <f>+W8*W$16</f>
        <v>0</v>
      </c>
      <c r="X24" s="372"/>
      <c r="Y24" s="371">
        <f t="shared" si="5"/>
        <v>0</v>
      </c>
      <c r="Z24" s="371"/>
      <c r="AA24" s="371">
        <f t="shared" si="6"/>
        <v>412357</v>
      </c>
      <c r="AC24" s="379">
        <f t="shared" si="7"/>
        <v>-185285</v>
      </c>
      <c r="AE24" s="388">
        <f t="shared" si="8"/>
        <v>0</v>
      </c>
      <c r="AG24" s="373">
        <f t="shared" si="9"/>
        <v>227072</v>
      </c>
    </row>
    <row r="25" spans="1:33">
      <c r="A25" s="369" t="s">
        <v>442</v>
      </c>
      <c r="C25" s="371">
        <f t="shared" si="2"/>
        <v>-3202431</v>
      </c>
      <c r="D25" s="371"/>
      <c r="E25" s="371">
        <f>+E9*E$16</f>
        <v>0</v>
      </c>
      <c r="F25" s="371"/>
      <c r="G25" s="371">
        <f>+G9*G$16</f>
        <v>0</v>
      </c>
      <c r="H25" s="371"/>
      <c r="I25" s="371">
        <f>+I9*I$16</f>
        <v>0</v>
      </c>
      <c r="J25" s="371"/>
      <c r="K25" s="371">
        <f>+K9*K$16</f>
        <v>0</v>
      </c>
      <c r="L25" s="371"/>
      <c r="M25" s="371">
        <f>+M9*M$16</f>
        <v>0</v>
      </c>
      <c r="N25" s="371"/>
      <c r="O25" s="371">
        <f>+O9*O$16</f>
        <v>0</v>
      </c>
      <c r="P25" s="371"/>
      <c r="Q25" s="371">
        <f t="shared" si="3"/>
        <v>0</v>
      </c>
      <c r="R25" s="371"/>
      <c r="S25" s="371">
        <f t="shared" si="4"/>
        <v>0</v>
      </c>
      <c r="T25" s="371"/>
      <c r="U25" s="371">
        <f>+U9*U$16</f>
        <v>0</v>
      </c>
      <c r="V25" s="372"/>
      <c r="W25" s="371">
        <v>-56932</v>
      </c>
      <c r="X25" s="372"/>
      <c r="Y25" s="371">
        <f t="shared" si="5"/>
        <v>0</v>
      </c>
      <c r="Z25" s="371"/>
      <c r="AA25" s="371">
        <f t="shared" si="6"/>
        <v>-3259363</v>
      </c>
      <c r="AC25" s="379">
        <f t="shared" si="7"/>
        <v>0</v>
      </c>
      <c r="AE25" s="371">
        <f t="shared" si="8"/>
        <v>56932</v>
      </c>
      <c r="AG25" s="373">
        <f t="shared" si="9"/>
        <v>-3202431</v>
      </c>
    </row>
    <row r="26" spans="1:33">
      <c r="A26" s="369" t="s">
        <v>862</v>
      </c>
      <c r="B26" s="375"/>
      <c r="C26" s="371">
        <v>0</v>
      </c>
      <c r="D26" s="371"/>
      <c r="E26" s="371">
        <v>0</v>
      </c>
      <c r="F26" s="371"/>
      <c r="G26" s="371">
        <v>0</v>
      </c>
      <c r="H26" s="371"/>
      <c r="I26" s="371">
        <v>0</v>
      </c>
      <c r="J26" s="371"/>
      <c r="K26" s="371">
        <v>0</v>
      </c>
      <c r="L26" s="371"/>
      <c r="M26" s="371">
        <v>0</v>
      </c>
      <c r="N26" s="371"/>
      <c r="O26" s="371">
        <v>0</v>
      </c>
      <c r="P26" s="371"/>
      <c r="Q26" s="371">
        <v>0</v>
      </c>
      <c r="R26" s="371"/>
      <c r="S26" s="371">
        <v>0</v>
      </c>
      <c r="T26" s="371"/>
      <c r="U26" s="371">
        <v>0</v>
      </c>
      <c r="V26" s="372"/>
      <c r="W26" s="371">
        <v>274690</v>
      </c>
      <c r="X26" s="372"/>
      <c r="Y26" s="371">
        <v>0</v>
      </c>
      <c r="Z26" s="371"/>
      <c r="AA26" s="371">
        <f>+SUM(C26:Y26)</f>
        <v>274690</v>
      </c>
      <c r="AB26" s="371"/>
      <c r="AC26" s="371">
        <v>-274690</v>
      </c>
      <c r="AD26" s="371"/>
      <c r="AE26" s="371">
        <v>0</v>
      </c>
      <c r="AF26" s="371"/>
      <c r="AG26" s="373">
        <f t="shared" si="9"/>
        <v>0</v>
      </c>
    </row>
    <row r="27" spans="1:33">
      <c r="A27" s="369" t="s">
        <v>149</v>
      </c>
      <c r="C27" s="389">
        <f>+C11*C$16</f>
        <v>37757436</v>
      </c>
      <c r="D27" s="371"/>
      <c r="E27" s="389">
        <f>+E11*E$16</f>
        <v>883067.17180000001</v>
      </c>
      <c r="F27" s="371"/>
      <c r="G27" s="389">
        <f>+G11*G$16</f>
        <v>2399.8914027149322</v>
      </c>
      <c r="H27" s="371"/>
      <c r="I27" s="389">
        <f>+I11*I$16</f>
        <v>609101.16</v>
      </c>
      <c r="J27" s="371"/>
      <c r="K27" s="389">
        <f>+K11*K$16</f>
        <v>-490824.5</v>
      </c>
      <c r="L27" s="371"/>
      <c r="M27" s="389">
        <f>+M11*M$16</f>
        <v>-50527.5</v>
      </c>
      <c r="N27" s="371"/>
      <c r="O27" s="389">
        <f>+O11*O$16</f>
        <v>1636.0640000000001</v>
      </c>
      <c r="P27" s="371"/>
      <c r="Q27" s="389">
        <f>+Q11*Q$16</f>
        <v>0</v>
      </c>
      <c r="R27" s="371"/>
      <c r="S27" s="389">
        <f>+S11*S$16</f>
        <v>0</v>
      </c>
      <c r="T27" s="371"/>
      <c r="U27" s="389">
        <f>+U11*U$16</f>
        <v>-332597.625</v>
      </c>
      <c r="V27" s="372"/>
      <c r="W27" s="389">
        <f>+W11*W$16</f>
        <v>-4345037.7299999995</v>
      </c>
      <c r="X27" s="372"/>
      <c r="Y27" s="389">
        <f>+Y11*Y$16</f>
        <v>-544450</v>
      </c>
      <c r="Z27" s="371"/>
      <c r="AA27" s="389">
        <f>+SUM(C27:Z27)</f>
        <v>33490202.932202719</v>
      </c>
      <c r="AC27" s="379">
        <f>+AC11+560219</f>
        <v>-1737280</v>
      </c>
      <c r="AE27" s="371">
        <f>+AE11-205175</f>
        <v>4887516</v>
      </c>
      <c r="AG27" s="392">
        <f t="shared" si="9"/>
        <v>36640438.932202719</v>
      </c>
    </row>
    <row r="28" spans="1:33">
      <c r="A28" s="369"/>
      <c r="C28" s="379">
        <f>+SUM(C19:C27)</f>
        <v>70841302</v>
      </c>
      <c r="E28" s="379">
        <f>+SUM(E19:E27)</f>
        <v>32433643.171799999</v>
      </c>
      <c r="G28" s="379">
        <f>+SUM(G19:G27)</f>
        <v>1984662.8914027149</v>
      </c>
      <c r="I28" s="379">
        <f>+SUM(I19:I27)</f>
        <v>690327.16</v>
      </c>
      <c r="K28" s="379">
        <f>+SUM(K19:K27)</f>
        <v>-440809.5</v>
      </c>
      <c r="M28" s="379">
        <f>+SUM(M19:M27)</f>
        <v>390305.5</v>
      </c>
      <c r="O28" s="379">
        <f>+SUM(O19:O27)</f>
        <v>7502.0640000000003</v>
      </c>
      <c r="Q28" s="379">
        <f>+SUM(Q19:Q27)</f>
        <v>6000</v>
      </c>
      <c r="S28" s="379">
        <f>+SUM(S19:S27)</f>
        <v>1139.943</v>
      </c>
      <c r="U28" s="379">
        <f>+SUM(U19:U27)</f>
        <v>1501559.375</v>
      </c>
      <c r="V28" s="378"/>
      <c r="W28" s="379">
        <f>+SUM(W19:W27)</f>
        <v>-209993.72999999952</v>
      </c>
      <c r="X28" s="378"/>
      <c r="Y28" s="379">
        <f>+SUM(Y19:Y27)</f>
        <v>-534450</v>
      </c>
      <c r="AA28" s="379">
        <f>+SUM(AA19:AA27)</f>
        <v>106671188.87520272</v>
      </c>
      <c r="AC28" s="379"/>
      <c r="AG28" s="373">
        <f>+SUM(AG19:AG27)</f>
        <v>69724304.875202715</v>
      </c>
    </row>
    <row r="29" spans="1:33" ht="5.0999999999999996" customHeight="1">
      <c r="C29" s="379"/>
      <c r="E29" s="379"/>
      <c r="I29" s="379"/>
      <c r="K29" s="379"/>
      <c r="M29" s="379"/>
      <c r="O29" s="379"/>
      <c r="Q29" s="379"/>
      <c r="S29" s="379"/>
      <c r="U29" s="379"/>
      <c r="V29" s="378"/>
      <c r="W29" s="379"/>
      <c r="X29" s="378"/>
      <c r="Y29" s="379"/>
      <c r="AC29" s="379"/>
      <c r="AG29" s="386"/>
    </row>
    <row r="30" spans="1:33">
      <c r="A30" s="387" t="s">
        <v>443</v>
      </c>
      <c r="C30" s="379"/>
      <c r="E30" s="379"/>
      <c r="I30" s="379"/>
      <c r="K30" s="379"/>
      <c r="M30" s="379"/>
      <c r="O30" s="379"/>
      <c r="Q30" s="379"/>
      <c r="S30" s="379"/>
      <c r="U30" s="379"/>
      <c r="V30" s="378"/>
      <c r="W30" s="379"/>
      <c r="X30" s="378"/>
      <c r="Y30" s="379"/>
      <c r="AC30" s="379"/>
      <c r="AG30" s="386"/>
    </row>
    <row r="31" spans="1:33">
      <c r="A31" s="369" t="s">
        <v>172</v>
      </c>
      <c r="C31" s="379">
        <f t="shared" ref="C31:C37" si="10">+C3-C19</f>
        <v>0</v>
      </c>
      <c r="E31" s="379">
        <f t="shared" ref="E31:E37" si="11">+E3-E19</f>
        <v>1249</v>
      </c>
      <c r="G31" s="379">
        <f t="shared" ref="G31:G37" si="12">+G3-G19</f>
        <v>50</v>
      </c>
      <c r="I31" s="379">
        <f t="shared" ref="I31:I37" si="13">+I3-I19</f>
        <v>3199.9999999999991</v>
      </c>
      <c r="K31" s="379">
        <f t="shared" ref="K31:K37" si="14">+K3-K19</f>
        <v>500</v>
      </c>
      <c r="M31" s="379">
        <f t="shared" ref="M31:M37" si="15">+M3-M19</f>
        <v>250</v>
      </c>
      <c r="O31" s="379">
        <f t="shared" ref="O31:O37" si="16">+O3-O19</f>
        <v>360</v>
      </c>
      <c r="Q31" s="379">
        <f t="shared" ref="Q31:Q37" si="17">+Q3-Q19</f>
        <v>4000</v>
      </c>
      <c r="S31" s="379">
        <f t="shared" ref="S31:S37" si="18">+S3-S19</f>
        <v>3.999999999996362E-2</v>
      </c>
      <c r="U31" s="379">
        <f t="shared" ref="U31:U37" si="19">+U3-U19</f>
        <v>60</v>
      </c>
      <c r="V31" s="378"/>
      <c r="W31" s="379">
        <f t="shared" ref="W31:W37" si="20">+W3-W19</f>
        <v>36614</v>
      </c>
      <c r="X31" s="378"/>
      <c r="Y31" s="379">
        <f t="shared" ref="Y31:Y37" si="21">+Y3-Y19</f>
        <v>0</v>
      </c>
      <c r="AA31" s="371">
        <f t="shared" ref="AA31:AA37" si="22">+SUM(C31:Z31)</f>
        <v>46283.040000000001</v>
      </c>
      <c r="AC31" s="379">
        <v>0</v>
      </c>
      <c r="AE31" s="379">
        <v>0</v>
      </c>
      <c r="AG31" s="373">
        <f t="shared" ref="AG31:AG39" si="23">+AA31+AC31+AE31</f>
        <v>46283.040000000001</v>
      </c>
    </row>
    <row r="32" spans="1:33">
      <c r="A32" s="369" t="s">
        <v>435</v>
      </c>
      <c r="C32" s="379">
        <f t="shared" si="10"/>
        <v>0</v>
      </c>
      <c r="E32" s="379">
        <f t="shared" si="11"/>
        <v>10793227</v>
      </c>
      <c r="G32" s="379">
        <f t="shared" si="12"/>
        <v>0</v>
      </c>
      <c r="I32" s="379">
        <f t="shared" si="13"/>
        <v>0</v>
      </c>
      <c r="K32" s="379">
        <f t="shared" si="14"/>
        <v>0</v>
      </c>
      <c r="M32" s="379">
        <f t="shared" si="15"/>
        <v>0</v>
      </c>
      <c r="O32" s="379">
        <f t="shared" si="16"/>
        <v>0</v>
      </c>
      <c r="Q32" s="379">
        <f t="shared" si="17"/>
        <v>0</v>
      </c>
      <c r="S32" s="379">
        <f t="shared" si="18"/>
        <v>0</v>
      </c>
      <c r="U32" s="379">
        <f t="shared" si="19"/>
        <v>0</v>
      </c>
      <c r="V32" s="378"/>
      <c r="W32" s="379">
        <f t="shared" si="20"/>
        <v>114300</v>
      </c>
      <c r="X32" s="378"/>
      <c r="Y32" s="379">
        <f t="shared" si="21"/>
        <v>0</v>
      </c>
      <c r="AA32" s="371">
        <f t="shared" si="22"/>
        <v>10907527</v>
      </c>
      <c r="AC32" s="379">
        <v>0</v>
      </c>
      <c r="AE32" s="379">
        <v>0</v>
      </c>
      <c r="AG32" s="373">
        <f t="shared" si="23"/>
        <v>10907527</v>
      </c>
    </row>
    <row r="33" spans="1:34">
      <c r="A33" s="369" t="s">
        <v>90</v>
      </c>
      <c r="C33" s="379">
        <f t="shared" si="10"/>
        <v>0</v>
      </c>
      <c r="E33" s="379">
        <f t="shared" si="11"/>
        <v>0</v>
      </c>
      <c r="G33" s="379">
        <f t="shared" si="12"/>
        <v>0</v>
      </c>
      <c r="I33" s="379">
        <f t="shared" si="13"/>
        <v>0</v>
      </c>
      <c r="K33" s="379">
        <f t="shared" si="14"/>
        <v>0</v>
      </c>
      <c r="M33" s="379">
        <f t="shared" si="15"/>
        <v>0</v>
      </c>
      <c r="O33" s="379">
        <f t="shared" si="16"/>
        <v>0</v>
      </c>
      <c r="Q33" s="379">
        <f t="shared" si="17"/>
        <v>0</v>
      </c>
      <c r="S33" s="379">
        <f t="shared" si="18"/>
        <v>1.6999999999995907E-2</v>
      </c>
      <c r="U33" s="379">
        <f t="shared" si="19"/>
        <v>0</v>
      </c>
      <c r="V33" s="378"/>
      <c r="W33" s="379">
        <f t="shared" si="20"/>
        <v>0</v>
      </c>
      <c r="X33" s="378"/>
      <c r="Y33" s="379">
        <f t="shared" si="21"/>
        <v>0</v>
      </c>
      <c r="AA33" s="371">
        <f t="shared" si="22"/>
        <v>1.6999999999995907E-2</v>
      </c>
      <c r="AC33" s="379">
        <v>0</v>
      </c>
      <c r="AE33" s="379">
        <v>0</v>
      </c>
      <c r="AG33" s="373">
        <f t="shared" si="23"/>
        <v>1.6999999999995907E-2</v>
      </c>
    </row>
    <row r="34" spans="1:34">
      <c r="A34" s="369" t="s">
        <v>438</v>
      </c>
      <c r="C34" s="379">
        <f t="shared" si="10"/>
        <v>0</v>
      </c>
      <c r="E34" s="379">
        <f t="shared" si="11"/>
        <v>0</v>
      </c>
      <c r="G34" s="379">
        <f t="shared" si="12"/>
        <v>0</v>
      </c>
      <c r="I34" s="379">
        <f t="shared" si="13"/>
        <v>0</v>
      </c>
      <c r="K34" s="379">
        <f t="shared" si="14"/>
        <v>0</v>
      </c>
      <c r="M34" s="379">
        <f t="shared" si="15"/>
        <v>0</v>
      </c>
      <c r="O34" s="379">
        <f t="shared" si="16"/>
        <v>0</v>
      </c>
      <c r="Q34" s="379">
        <f t="shared" si="17"/>
        <v>0</v>
      </c>
      <c r="S34" s="379">
        <f t="shared" si="18"/>
        <v>0</v>
      </c>
      <c r="U34" s="379">
        <f t="shared" si="19"/>
        <v>0</v>
      </c>
      <c r="V34" s="378"/>
      <c r="W34" s="379">
        <f t="shared" si="20"/>
        <v>0</v>
      </c>
      <c r="X34" s="378"/>
      <c r="Y34" s="379">
        <f t="shared" si="21"/>
        <v>0</v>
      </c>
      <c r="AA34" s="371">
        <f t="shared" si="22"/>
        <v>0</v>
      </c>
      <c r="AC34" s="379">
        <v>0</v>
      </c>
      <c r="AE34" s="379">
        <v>0</v>
      </c>
      <c r="AG34" s="373">
        <f t="shared" si="23"/>
        <v>0</v>
      </c>
    </row>
    <row r="35" spans="1:34">
      <c r="A35" s="369" t="s">
        <v>437</v>
      </c>
      <c r="C35" s="379">
        <f t="shared" si="10"/>
        <v>0</v>
      </c>
      <c r="E35" s="379">
        <f t="shared" si="11"/>
        <v>0</v>
      </c>
      <c r="G35" s="379">
        <f t="shared" si="12"/>
        <v>0</v>
      </c>
      <c r="I35" s="379">
        <f t="shared" si="13"/>
        <v>0</v>
      </c>
      <c r="K35" s="379">
        <f t="shared" si="14"/>
        <v>0</v>
      </c>
      <c r="M35" s="379">
        <f t="shared" si="15"/>
        <v>0</v>
      </c>
      <c r="O35" s="379">
        <f t="shared" si="16"/>
        <v>0</v>
      </c>
      <c r="Q35" s="379">
        <f t="shared" si="17"/>
        <v>0</v>
      </c>
      <c r="S35" s="379">
        <f t="shared" si="18"/>
        <v>0</v>
      </c>
      <c r="U35" s="379">
        <f t="shared" si="19"/>
        <v>0</v>
      </c>
      <c r="V35" s="378"/>
      <c r="W35" s="379">
        <f t="shared" si="20"/>
        <v>0</v>
      </c>
      <c r="X35" s="378"/>
      <c r="Y35" s="379">
        <f t="shared" si="21"/>
        <v>0</v>
      </c>
      <c r="AA35" s="371">
        <f t="shared" si="22"/>
        <v>0</v>
      </c>
      <c r="AC35" s="379">
        <v>0</v>
      </c>
      <c r="AE35" s="379">
        <v>0</v>
      </c>
      <c r="AG35" s="373">
        <f t="shared" si="23"/>
        <v>0</v>
      </c>
    </row>
    <row r="36" spans="1:34">
      <c r="A36" s="369" t="s">
        <v>436</v>
      </c>
      <c r="C36" s="379">
        <f t="shared" si="10"/>
        <v>0</v>
      </c>
      <c r="E36" s="379">
        <f t="shared" si="11"/>
        <v>0</v>
      </c>
      <c r="G36" s="379">
        <f t="shared" si="12"/>
        <v>0</v>
      </c>
      <c r="I36" s="379">
        <f t="shared" si="13"/>
        <v>0</v>
      </c>
      <c r="K36" s="379">
        <f t="shared" si="14"/>
        <v>0</v>
      </c>
      <c r="M36" s="379">
        <f t="shared" si="15"/>
        <v>0</v>
      </c>
      <c r="O36" s="379">
        <f t="shared" si="16"/>
        <v>0</v>
      </c>
      <c r="Q36" s="379">
        <f t="shared" si="17"/>
        <v>0</v>
      </c>
      <c r="S36" s="379">
        <f t="shared" si="18"/>
        <v>0</v>
      </c>
      <c r="U36" s="379">
        <f t="shared" si="19"/>
        <v>0</v>
      </c>
      <c r="V36" s="378"/>
      <c r="W36" s="379">
        <f t="shared" si="20"/>
        <v>0</v>
      </c>
      <c r="X36" s="378"/>
      <c r="Y36" s="379">
        <f t="shared" si="21"/>
        <v>0</v>
      </c>
      <c r="AA36" s="371">
        <f t="shared" si="22"/>
        <v>0</v>
      </c>
      <c r="AC36" s="379">
        <v>0</v>
      </c>
      <c r="AE36" s="379">
        <v>0</v>
      </c>
      <c r="AG36" s="373">
        <f t="shared" si="23"/>
        <v>0</v>
      </c>
    </row>
    <row r="37" spans="1:34">
      <c r="A37" s="369" t="s">
        <v>442</v>
      </c>
      <c r="C37" s="379">
        <f t="shared" si="10"/>
        <v>0</v>
      </c>
      <c r="E37" s="379">
        <f t="shared" si="11"/>
        <v>0</v>
      </c>
      <c r="G37" s="379">
        <f t="shared" si="12"/>
        <v>0</v>
      </c>
      <c r="I37" s="379">
        <f t="shared" si="13"/>
        <v>0</v>
      </c>
      <c r="K37" s="379">
        <f t="shared" si="14"/>
        <v>0</v>
      </c>
      <c r="M37" s="379">
        <f t="shared" si="15"/>
        <v>0</v>
      </c>
      <c r="O37" s="379">
        <f t="shared" si="16"/>
        <v>0</v>
      </c>
      <c r="Q37" s="379">
        <f t="shared" si="17"/>
        <v>0</v>
      </c>
      <c r="S37" s="379">
        <f t="shared" si="18"/>
        <v>0</v>
      </c>
      <c r="U37" s="379">
        <f t="shared" si="19"/>
        <v>0</v>
      </c>
      <c r="V37" s="378"/>
      <c r="W37" s="379">
        <f t="shared" si="20"/>
        <v>0</v>
      </c>
      <c r="X37" s="378"/>
      <c r="Y37" s="379">
        <f t="shared" si="21"/>
        <v>0</v>
      </c>
      <c r="AA37" s="371">
        <f t="shared" si="22"/>
        <v>0</v>
      </c>
      <c r="AC37" s="379">
        <v>0</v>
      </c>
      <c r="AE37" s="379">
        <v>0</v>
      </c>
      <c r="AG37" s="373">
        <f t="shared" si="23"/>
        <v>0</v>
      </c>
    </row>
    <row r="38" spans="1:34">
      <c r="A38" s="369" t="s">
        <v>862</v>
      </c>
      <c r="B38" s="375"/>
      <c r="C38" s="371">
        <v>0</v>
      </c>
      <c r="D38" s="371"/>
      <c r="E38" s="371">
        <v>0</v>
      </c>
      <c r="F38" s="371"/>
      <c r="G38" s="371">
        <v>0</v>
      </c>
      <c r="H38" s="371"/>
      <c r="I38" s="371">
        <v>0</v>
      </c>
      <c r="J38" s="371"/>
      <c r="K38" s="371">
        <v>0</v>
      </c>
      <c r="L38" s="371"/>
      <c r="M38" s="371">
        <v>0</v>
      </c>
      <c r="N38" s="371"/>
      <c r="O38" s="371">
        <v>0</v>
      </c>
      <c r="P38" s="371"/>
      <c r="Q38" s="371">
        <v>0</v>
      </c>
      <c r="R38" s="371"/>
      <c r="S38" s="371">
        <v>0</v>
      </c>
      <c r="T38" s="371"/>
      <c r="U38" s="371">
        <v>0</v>
      </c>
      <c r="V38" s="372"/>
      <c r="W38" s="371">
        <v>0</v>
      </c>
      <c r="X38" s="372"/>
      <c r="Y38" s="371">
        <v>0</v>
      </c>
      <c r="Z38" s="371"/>
      <c r="AA38" s="371">
        <f>+SUM(C38:Y38)</f>
        <v>0</v>
      </c>
      <c r="AB38" s="371"/>
      <c r="AC38" s="371">
        <v>0</v>
      </c>
      <c r="AD38" s="371"/>
      <c r="AE38" s="371">
        <v>0</v>
      </c>
      <c r="AF38" s="371"/>
      <c r="AG38" s="373">
        <f t="shared" si="23"/>
        <v>0</v>
      </c>
    </row>
    <row r="39" spans="1:34">
      <c r="A39" s="369" t="s">
        <v>149</v>
      </c>
      <c r="C39" s="390">
        <f>+C11-C27</f>
        <v>0</v>
      </c>
      <c r="E39" s="390">
        <f>+E11-E27</f>
        <v>294041.82819999999</v>
      </c>
      <c r="G39" s="390">
        <f>+G11-G27</f>
        <v>0.1085972850678445</v>
      </c>
      <c r="I39" s="390">
        <f>+I11-I27</f>
        <v>286635.83999999997</v>
      </c>
      <c r="K39" s="390">
        <f>+K11-K27</f>
        <v>-490824.5</v>
      </c>
      <c r="M39" s="390">
        <f>+M11-M27</f>
        <v>-16842.5</v>
      </c>
      <c r="O39" s="390">
        <f>+O11-O27</f>
        <v>126.93599999999992</v>
      </c>
      <c r="Q39" s="390">
        <f>+Q11-Q27</f>
        <v>0</v>
      </c>
      <c r="S39" s="390">
        <f>+S11-S27</f>
        <v>0</v>
      </c>
      <c r="U39" s="390">
        <f>+U11-U27</f>
        <v>-26967.375</v>
      </c>
      <c r="V39" s="378"/>
      <c r="W39" s="390">
        <f>+W11-W27</f>
        <v>-43889.270000000484</v>
      </c>
      <c r="X39" s="378"/>
      <c r="Y39" s="390">
        <f>+Y11-Y27</f>
        <v>0</v>
      </c>
      <c r="AA39" s="389">
        <f>+SUM(C39:Z39)</f>
        <v>2281.0677972845879</v>
      </c>
      <c r="AC39" s="379">
        <v>-560219</v>
      </c>
      <c r="AE39" s="379">
        <v>205175</v>
      </c>
      <c r="AG39" s="392">
        <f t="shared" si="23"/>
        <v>-352762.93220271543</v>
      </c>
    </row>
    <row r="40" spans="1:34">
      <c r="C40" s="379">
        <f>+SUM(C31:C39)</f>
        <v>0</v>
      </c>
      <c r="E40" s="379">
        <f>+SUM(E31:E39)</f>
        <v>11088517.828199999</v>
      </c>
      <c r="G40" s="379">
        <f>+SUM(G31:G39)</f>
        <v>50.108597285067844</v>
      </c>
      <c r="I40" s="379">
        <f>+SUM(I31:I39)</f>
        <v>289835.83999999997</v>
      </c>
      <c r="K40" s="379">
        <f>+SUM(K31:K39)</f>
        <v>-490324.5</v>
      </c>
      <c r="M40" s="379">
        <f>+SUM(M31:M39)</f>
        <v>-16592.5</v>
      </c>
      <c r="O40" s="379">
        <f>+SUM(O31:O39)</f>
        <v>486.93599999999992</v>
      </c>
      <c r="Q40" s="379">
        <f>+SUM(Q31:Q39)</f>
        <v>4000</v>
      </c>
      <c r="S40" s="379">
        <f>+SUM(S31:S39)</f>
        <v>5.6999999999959527E-2</v>
      </c>
      <c r="U40" s="379">
        <f>+SUM(U31:U39)</f>
        <v>-26907.375</v>
      </c>
      <c r="V40" s="378"/>
      <c r="W40" s="379">
        <f>+SUM(W31:W39)</f>
        <v>107024.72999999952</v>
      </c>
      <c r="X40" s="378"/>
      <c r="Y40" s="379">
        <f>+SUM(Y31:Y39)</f>
        <v>0</v>
      </c>
      <c r="AA40" s="379">
        <f>+SUM(AA31:AA39)</f>
        <v>10956091.124797285</v>
      </c>
      <c r="AG40" s="386">
        <f>+SUM(AG31:AG39)</f>
        <v>10601047.124797285</v>
      </c>
      <c r="AH40" s="379"/>
    </row>
    <row r="41" spans="1:34" ht="5.0999999999999996" customHeight="1">
      <c r="V41" s="378"/>
      <c r="X41" s="378"/>
    </row>
    <row r="42" spans="1:34">
      <c r="A42" s="366" t="s">
        <v>259</v>
      </c>
      <c r="C42" s="379">
        <f>+C40+C28</f>
        <v>70841302</v>
      </c>
      <c r="E42" s="379">
        <f>+E40+E28</f>
        <v>43522161</v>
      </c>
      <c r="G42" s="379">
        <f>+G40+G28</f>
        <v>1984713</v>
      </c>
      <c r="I42" s="379">
        <f>+I40+I28</f>
        <v>980163</v>
      </c>
      <c r="K42" s="379">
        <f>+K40+K28</f>
        <v>-931134</v>
      </c>
      <c r="M42" s="379">
        <f>+M40+M28</f>
        <v>373713</v>
      </c>
      <c r="O42" s="379">
        <f>+O40+O28</f>
        <v>7989</v>
      </c>
      <c r="Q42" s="379">
        <f>+Q40+Q28</f>
        <v>10000</v>
      </c>
      <c r="S42" s="379">
        <f>+S40+S28</f>
        <v>1140</v>
      </c>
      <c r="U42" s="379">
        <f>+U40+U28</f>
        <v>1474652</v>
      </c>
      <c r="V42" s="378"/>
      <c r="W42" s="379">
        <f>+W40+W28</f>
        <v>-102969</v>
      </c>
      <c r="X42" s="378"/>
      <c r="Y42" s="379">
        <f>+Y40+Y28</f>
        <v>-534450</v>
      </c>
    </row>
    <row r="43" spans="1:34" ht="5.0999999999999996" customHeight="1">
      <c r="V43" s="378"/>
      <c r="X43" s="378"/>
    </row>
    <row r="44" spans="1:34" s="393" customFormat="1" ht="9.75">
      <c r="A44" s="393" t="s">
        <v>444</v>
      </c>
      <c r="C44" s="394">
        <f>+SUM(C3:C11)-C42</f>
        <v>0</v>
      </c>
      <c r="E44" s="394">
        <f>+SUM(E3:E11)-E42</f>
        <v>0</v>
      </c>
      <c r="G44" s="394">
        <f>+SUM(G3:G11)-G42</f>
        <v>0</v>
      </c>
      <c r="I44" s="394">
        <f>+SUM(I3:I11)-I42</f>
        <v>0</v>
      </c>
      <c r="K44" s="394">
        <f>+SUM(K3:K11)-K42</f>
        <v>0</v>
      </c>
      <c r="M44" s="394">
        <f>+SUM(M3:M11)-M42</f>
        <v>0</v>
      </c>
      <c r="O44" s="394">
        <f>+SUM(O3:O11)-O42</f>
        <v>0</v>
      </c>
      <c r="Q44" s="394">
        <f>+SUM(Q3:Q11)-Q42</f>
        <v>0</v>
      </c>
      <c r="S44" s="394">
        <f>+SUM(S3:S11)-S42</f>
        <v>0</v>
      </c>
      <c r="U44" s="394">
        <f>+SUM(U3:U11)-U42</f>
        <v>0</v>
      </c>
      <c r="V44" s="395"/>
      <c r="W44" s="394">
        <f>+SUM(W3:W11)-W42</f>
        <v>0</v>
      </c>
      <c r="X44" s="395"/>
      <c r="Y44" s="394">
        <f>+SUM(Y3:Y11)-Y42</f>
        <v>0</v>
      </c>
      <c r="AG44" s="877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34" customWidth="1"/>
    <col min="2" max="2" width="4.85546875" style="134" customWidth="1"/>
    <col min="3" max="3" width="7" style="134" customWidth="1"/>
    <col min="4" max="4" width="15" style="134" customWidth="1"/>
    <col min="5" max="5" width="4.140625" style="134" customWidth="1"/>
    <col min="6" max="6" width="15" style="134" customWidth="1"/>
    <col min="7" max="7" width="2.7109375" style="134" customWidth="1"/>
    <col min="8" max="8" width="12.42578125" customWidth="1"/>
    <col min="9" max="9" width="2.7109375" style="134" customWidth="1"/>
    <col min="10" max="10" width="16.7109375" style="134" customWidth="1"/>
    <col min="11" max="1024" width="9.140625" style="134"/>
  </cols>
  <sheetData>
    <row r="1" spans="1:10" s="134" customFormat="1" ht="11.25">
      <c r="B1" s="137"/>
      <c r="C1" s="137"/>
      <c r="D1" s="137"/>
      <c r="E1" s="137"/>
      <c r="F1" s="138" t="s">
        <v>152</v>
      </c>
    </row>
    <row r="2" spans="1:10" s="134" customFormat="1" ht="11.25">
      <c r="A2" s="139"/>
      <c r="B2" s="140" t="s">
        <v>120</v>
      </c>
      <c r="C2" s="141"/>
      <c r="D2" s="142">
        <v>2016</v>
      </c>
      <c r="E2" s="141"/>
      <c r="F2" s="142">
        <v>2015</v>
      </c>
      <c r="G2" s="143"/>
      <c r="I2" s="143"/>
      <c r="J2" s="143"/>
    </row>
    <row r="3" spans="1:10" s="134" customFormat="1" ht="3" customHeight="1">
      <c r="A3" s="144"/>
      <c r="B3" s="144"/>
      <c r="C3" s="144"/>
      <c r="D3" s="143"/>
      <c r="E3" s="144"/>
      <c r="F3" s="143"/>
      <c r="G3" s="143"/>
      <c r="I3" s="143"/>
      <c r="J3" s="143"/>
    </row>
    <row r="4" spans="1:10" s="134" customFormat="1" ht="15" customHeight="1">
      <c r="A4" s="145" t="s">
        <v>101</v>
      </c>
      <c r="B4" s="146">
        <v>32</v>
      </c>
      <c r="C4" s="145"/>
      <c r="D4" s="147">
        <v>146570644</v>
      </c>
      <c r="E4" s="148"/>
      <c r="F4" s="147">
        <v>124212687</v>
      </c>
      <c r="G4" s="149"/>
      <c r="I4" s="149"/>
      <c r="J4" s="150"/>
    </row>
    <row r="5" spans="1:10" s="88" customFormat="1" ht="11.25">
      <c r="A5" s="151" t="s">
        <v>153</v>
      </c>
      <c r="B5" s="152">
        <v>29</v>
      </c>
      <c r="C5" s="153"/>
      <c r="D5" s="154">
        <v>-96891637</v>
      </c>
      <c r="E5" s="155"/>
      <c r="F5" s="154">
        <v>-89061601</v>
      </c>
      <c r="G5" s="156"/>
      <c r="I5" s="156"/>
      <c r="J5" s="157"/>
    </row>
    <row r="6" spans="1:10" s="134" customFormat="1" ht="7.5" customHeight="1">
      <c r="A6" s="158"/>
      <c r="B6" s="158"/>
      <c r="C6" s="158"/>
      <c r="D6" s="149"/>
      <c r="E6" s="148"/>
      <c r="F6" s="149"/>
      <c r="G6" s="149"/>
      <c r="I6" s="149"/>
      <c r="J6" s="143"/>
    </row>
    <row r="7" spans="1:10" s="134" customFormat="1" ht="11.25">
      <c r="A7" s="145" t="s">
        <v>154</v>
      </c>
      <c r="B7" s="158"/>
      <c r="C7" s="158"/>
      <c r="D7" s="159">
        <f>+D4+D5</f>
        <v>49679007</v>
      </c>
      <c r="E7" s="148"/>
      <c r="F7" s="159">
        <f>+F4+F5</f>
        <v>35151086</v>
      </c>
      <c r="G7" s="149"/>
      <c r="I7" s="149"/>
      <c r="J7" s="143"/>
    </row>
    <row r="8" spans="1:10" s="134" customFormat="1" ht="6" customHeight="1">
      <c r="A8" s="158"/>
      <c r="B8" s="158"/>
      <c r="C8" s="158"/>
      <c r="D8" s="149"/>
      <c r="E8" s="148"/>
      <c r="F8" s="149"/>
      <c r="G8" s="149"/>
      <c r="I8" s="149"/>
      <c r="J8" s="143"/>
    </row>
    <row r="9" spans="1:10" s="88" customFormat="1" ht="13.5" customHeight="1">
      <c r="A9" s="151" t="s">
        <v>155</v>
      </c>
      <c r="B9" s="152">
        <v>29</v>
      </c>
      <c r="C9" s="153"/>
      <c r="D9" s="160">
        <v>-33364185</v>
      </c>
      <c r="E9" s="155"/>
      <c r="F9" s="160">
        <v>-32040164</v>
      </c>
      <c r="G9" s="156"/>
      <c r="I9" s="156"/>
      <c r="J9" s="161"/>
    </row>
    <row r="10" spans="1:10" s="134" customFormat="1" ht="13.5" customHeight="1">
      <c r="A10" s="145" t="s">
        <v>156</v>
      </c>
      <c r="B10" s="146">
        <v>30</v>
      </c>
      <c r="C10" s="158"/>
      <c r="D10" s="162">
        <v>-102671</v>
      </c>
      <c r="E10" s="148"/>
      <c r="F10" s="162">
        <v>14615520</v>
      </c>
      <c r="G10" s="149"/>
      <c r="I10" s="149"/>
      <c r="J10" s="143"/>
    </row>
    <row r="11" spans="1:10" s="134" customFormat="1" ht="7.5" customHeight="1">
      <c r="A11" s="158"/>
      <c r="B11" s="158"/>
      <c r="C11" s="158"/>
      <c r="D11" s="149"/>
      <c r="E11" s="148"/>
      <c r="F11" s="149"/>
      <c r="G11" s="149"/>
      <c r="I11" s="149"/>
      <c r="J11" s="143"/>
    </row>
    <row r="12" spans="1:10" s="134" customFormat="1" ht="11.25">
      <c r="A12" s="145" t="s">
        <v>157</v>
      </c>
      <c r="B12" s="158"/>
      <c r="C12" s="158"/>
      <c r="D12" s="163">
        <f>SUM(D7:D10)</f>
        <v>16212151</v>
      </c>
      <c r="E12" s="148"/>
      <c r="F12" s="163">
        <f>SUM(F7:F10)</f>
        <v>17726442</v>
      </c>
      <c r="G12" s="149"/>
      <c r="I12" s="149"/>
      <c r="J12" s="143"/>
    </row>
    <row r="13" spans="1:10" s="134" customFormat="1" ht="5.25" customHeight="1">
      <c r="A13" s="158"/>
      <c r="B13" s="158"/>
      <c r="C13" s="158"/>
      <c r="D13" s="149"/>
      <c r="E13" s="147"/>
      <c r="F13" s="149"/>
      <c r="G13" s="149"/>
      <c r="I13" s="149"/>
      <c r="J13" s="143"/>
    </row>
    <row r="14" spans="1:10" s="134" customFormat="1" ht="11.25" customHeight="1">
      <c r="A14" s="145" t="s">
        <v>108</v>
      </c>
      <c r="B14" s="146">
        <v>31</v>
      </c>
      <c r="C14" s="158"/>
      <c r="D14" s="162">
        <v>-4584126</v>
      </c>
      <c r="E14" s="148"/>
      <c r="F14" s="162">
        <v>-3999363</v>
      </c>
      <c r="G14" s="149"/>
      <c r="I14" s="149"/>
      <c r="J14" s="143"/>
    </row>
    <row r="15" spans="1:10" s="134" customFormat="1" ht="11.25">
      <c r="A15" s="145"/>
      <c r="B15" s="145"/>
      <c r="C15" s="158"/>
      <c r="D15" s="164"/>
      <c r="E15" s="148"/>
      <c r="F15" s="164"/>
      <c r="G15" s="149"/>
      <c r="I15" s="149"/>
      <c r="J15" s="143"/>
    </row>
    <row r="16" spans="1:10" s="134" customFormat="1" ht="11.25">
      <c r="A16" s="145" t="s">
        <v>158</v>
      </c>
      <c r="B16" s="145"/>
      <c r="C16" s="158"/>
      <c r="D16" s="163">
        <f>SUM(D12:D14)</f>
        <v>11628025</v>
      </c>
      <c r="E16" s="148"/>
      <c r="F16" s="163">
        <f>SUM(F12:F14)</f>
        <v>13727079</v>
      </c>
      <c r="G16" s="149"/>
      <c r="I16" s="149"/>
      <c r="J16" s="165"/>
    </row>
    <row r="17" spans="1:10" s="134" customFormat="1" ht="5.25" customHeight="1">
      <c r="A17" s="158"/>
      <c r="B17" s="145"/>
      <c r="C17" s="158"/>
      <c r="D17" s="149"/>
      <c r="E17" s="148"/>
      <c r="F17" s="149"/>
      <c r="G17" s="149"/>
      <c r="I17" s="149"/>
      <c r="J17" s="166"/>
    </row>
    <row r="18" spans="1:10" s="134" customFormat="1" ht="11.25">
      <c r="A18" s="145" t="s">
        <v>159</v>
      </c>
      <c r="B18" s="146">
        <v>22</v>
      </c>
      <c r="C18" s="158"/>
      <c r="D18" s="162">
        <v>-3198548</v>
      </c>
      <c r="E18" s="148"/>
      <c r="F18" s="162">
        <v>-1573103</v>
      </c>
      <c r="G18" s="149"/>
      <c r="I18" s="149"/>
      <c r="J18" s="166"/>
    </row>
    <row r="19" spans="1:10" s="134" customFormat="1" ht="11.25">
      <c r="A19" s="158"/>
      <c r="B19" s="158"/>
      <c r="C19" s="158"/>
      <c r="D19" s="149"/>
      <c r="E19" s="148"/>
      <c r="F19" s="149"/>
      <c r="G19" s="149"/>
      <c r="I19" s="149"/>
    </row>
    <row r="20" spans="1:10" s="134" customFormat="1" ht="11.25">
      <c r="A20" s="145" t="s">
        <v>160</v>
      </c>
      <c r="B20" s="158"/>
      <c r="C20" s="167"/>
      <c r="D20" s="163">
        <f>SUM(D16:D18)</f>
        <v>8429477</v>
      </c>
      <c r="E20" s="147"/>
      <c r="F20" s="163">
        <f>SUM(F16:F18)</f>
        <v>12153976</v>
      </c>
      <c r="G20" s="149"/>
      <c r="I20" s="149"/>
      <c r="J20" s="166"/>
    </row>
    <row r="21" spans="1:10" s="134" customFormat="1" ht="5.25" customHeight="1">
      <c r="A21" s="145"/>
      <c r="B21" s="158"/>
      <c r="C21" s="167"/>
      <c r="D21" s="163"/>
      <c r="E21" s="147"/>
      <c r="F21" s="163"/>
      <c r="G21" s="149"/>
      <c r="I21" s="149"/>
      <c r="J21" s="166"/>
    </row>
    <row r="22" spans="1:10" s="134" customFormat="1" ht="11.25">
      <c r="A22" s="145" t="s">
        <v>161</v>
      </c>
      <c r="B22" s="158"/>
      <c r="C22" s="167"/>
      <c r="D22" s="163"/>
      <c r="E22" s="147"/>
      <c r="F22" s="163"/>
      <c r="G22" s="149"/>
      <c r="I22" s="149"/>
      <c r="J22" s="166"/>
    </row>
    <row r="23" spans="1:10" s="134" customFormat="1" ht="11.25">
      <c r="A23" s="145" t="s">
        <v>162</v>
      </c>
      <c r="B23" s="158"/>
      <c r="C23" s="167"/>
      <c r="D23" s="163"/>
      <c r="E23" s="147"/>
      <c r="F23" s="163"/>
      <c r="G23" s="149"/>
      <c r="I23" s="149"/>
      <c r="J23" s="166"/>
    </row>
    <row r="24" spans="1:10" s="134" customFormat="1" ht="11.25">
      <c r="A24" s="145" t="s">
        <v>163</v>
      </c>
      <c r="B24" s="158"/>
      <c r="C24" s="167"/>
      <c r="D24" s="163"/>
      <c r="E24" s="147"/>
      <c r="F24" s="163"/>
      <c r="G24" s="149"/>
      <c r="I24" s="149"/>
      <c r="J24" s="166"/>
    </row>
    <row r="25" spans="1:10" s="134" customFormat="1" ht="9" customHeight="1">
      <c r="A25" s="145"/>
      <c r="B25" s="158"/>
      <c r="C25" s="167"/>
      <c r="D25" s="163"/>
      <c r="E25" s="147"/>
      <c r="F25" s="163"/>
      <c r="G25" s="149"/>
      <c r="I25" s="149"/>
      <c r="J25" s="166"/>
    </row>
    <row r="26" spans="1:10" s="134" customFormat="1" ht="11.25">
      <c r="A26" s="145" t="s">
        <v>164</v>
      </c>
      <c r="B26" s="158">
        <v>25</v>
      </c>
      <c r="C26" s="167"/>
      <c r="D26" s="159">
        <v>-495802</v>
      </c>
      <c r="E26" s="147"/>
      <c r="F26" s="159">
        <v>14390</v>
      </c>
      <c r="G26" s="149"/>
      <c r="I26" s="149"/>
      <c r="J26" s="166"/>
    </row>
    <row r="27" spans="1:10" s="134" customFormat="1" ht="5.25" customHeight="1">
      <c r="A27" s="145"/>
      <c r="B27" s="158"/>
      <c r="C27" s="167"/>
      <c r="D27" s="163"/>
      <c r="E27" s="147"/>
      <c r="F27" s="163"/>
      <c r="G27" s="149"/>
      <c r="I27" s="149"/>
      <c r="J27" s="166"/>
    </row>
    <row r="28" spans="1:10" s="134" customFormat="1" ht="11.25">
      <c r="A28" s="145" t="s">
        <v>98</v>
      </c>
      <c r="B28" s="158"/>
      <c r="C28" s="167"/>
      <c r="D28" s="168">
        <f>+D20+D26</f>
        <v>7933675</v>
      </c>
      <c r="E28" s="147"/>
      <c r="F28" s="168">
        <f>+F20+F26</f>
        <v>12168366</v>
      </c>
      <c r="G28" s="149"/>
      <c r="I28" s="149"/>
      <c r="J28" s="166"/>
    </row>
    <row r="29" spans="1:10" s="134" customFormat="1" ht="11.25">
      <c r="A29" s="158"/>
      <c r="B29" s="158"/>
      <c r="C29" s="158"/>
      <c r="D29" s="149"/>
      <c r="E29" s="169"/>
      <c r="F29" s="149"/>
      <c r="G29" s="149"/>
      <c r="I29" s="149"/>
      <c r="J29" s="166"/>
    </row>
    <row r="30" spans="1:10" s="134" customFormat="1" ht="11.25">
      <c r="A30" s="134" t="s">
        <v>165</v>
      </c>
      <c r="B30" s="158"/>
      <c r="C30" s="158"/>
      <c r="D30" s="149"/>
      <c r="E30" s="169"/>
      <c r="F30" s="149"/>
      <c r="G30" s="149"/>
      <c r="I30" s="149"/>
      <c r="J30" s="166"/>
    </row>
    <row r="31" spans="1:10" s="134" customFormat="1" ht="11.25">
      <c r="B31" s="158"/>
      <c r="C31" s="158"/>
      <c r="D31" s="149"/>
      <c r="E31" s="169"/>
      <c r="F31" s="149"/>
      <c r="G31" s="149"/>
      <c r="I31" s="149"/>
      <c r="J31" s="166"/>
    </row>
    <row r="32" spans="1:10">
      <c r="A32" s="134" t="s">
        <v>166</v>
      </c>
      <c r="B32" s="158"/>
      <c r="C32" s="158"/>
      <c r="D32" s="133">
        <v>7615423</v>
      </c>
      <c r="E32" s="169"/>
      <c r="F32" s="133">
        <f>F28-F33</f>
        <v>12546363</v>
      </c>
      <c r="G32" s="149"/>
      <c r="H32" s="170">
        <f>F32-F26</f>
        <v>12531973</v>
      </c>
      <c r="I32" s="149"/>
      <c r="J32" s="166"/>
    </row>
    <row r="33" spans="1:10" s="134" customFormat="1" ht="11.25">
      <c r="A33" s="134" t="s">
        <v>150</v>
      </c>
      <c r="B33" s="158"/>
      <c r="C33" s="158"/>
      <c r="D33" s="112">
        <v>318252</v>
      </c>
      <c r="E33" s="169"/>
      <c r="F33" s="112">
        <v>-377997</v>
      </c>
      <c r="G33" s="149"/>
      <c r="I33" s="149"/>
      <c r="J33" s="166"/>
    </row>
    <row r="34" spans="1:10" s="134" customFormat="1" ht="11.25">
      <c r="A34" s="158"/>
      <c r="B34" s="158"/>
      <c r="C34" s="158"/>
      <c r="D34" s="171">
        <f>SUM(D32:D33)</f>
        <v>7933675</v>
      </c>
      <c r="E34" s="169"/>
      <c r="F34" s="171">
        <f>SUM(F32:F33)</f>
        <v>12168366</v>
      </c>
      <c r="G34" s="149"/>
      <c r="I34" s="149"/>
      <c r="J34" s="166"/>
    </row>
    <row r="35" spans="1:10" s="134" customFormat="1" ht="11.25">
      <c r="A35" s="158"/>
      <c r="B35" s="158"/>
      <c r="C35" s="158"/>
      <c r="D35" s="149"/>
      <c r="E35" s="169"/>
      <c r="F35" s="149"/>
      <c r="G35" s="149"/>
      <c r="I35" s="149"/>
      <c r="J35" s="166"/>
    </row>
    <row r="36" spans="1:10" s="134" customFormat="1" ht="6" customHeight="1"/>
    <row r="37" spans="1:10" s="134" customFormat="1" ht="11.25"/>
    <row r="38" spans="1:10" s="134" customFormat="1" ht="11.25"/>
    <row r="39" spans="1:10" s="134" customFormat="1" ht="11.25"/>
    <row r="40" spans="1:10" s="134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88" customWidth="1"/>
    <col min="2" max="2" width="12.7109375" style="88" customWidth="1"/>
    <col min="3" max="3" width="1.28515625" style="88" customWidth="1"/>
    <col min="4" max="4" width="15.140625" style="88" customWidth="1"/>
    <col min="5" max="5" width="1.140625" style="88" customWidth="1"/>
    <col min="6" max="6" width="11.5703125" style="88" customWidth="1"/>
    <col min="7" max="7" width="1.140625" style="88" customWidth="1"/>
    <col min="8" max="8" width="10.7109375" style="88" customWidth="1"/>
    <col min="9" max="9" width="1.140625" style="88" customWidth="1"/>
    <col min="10" max="10" width="9.85546875" style="88" customWidth="1"/>
    <col min="11" max="11" width="1.28515625" style="88" customWidth="1"/>
    <col min="12" max="12" width="12.5703125" style="88" customWidth="1"/>
    <col min="13" max="13" width="1.28515625" style="88" customWidth="1"/>
    <col min="14" max="14" width="15.5703125" style="88" customWidth="1"/>
    <col min="15" max="15" width="1.28515625" style="88" customWidth="1"/>
    <col min="16" max="16" width="14.42578125" style="88" customWidth="1"/>
    <col min="17" max="17" width="1.140625" style="88" customWidth="1"/>
    <col min="18" max="18" width="12.7109375" style="88" customWidth="1"/>
    <col min="19" max="19" width="11.42578125" style="88"/>
    <col min="20" max="20" width="12.7109375" style="88" customWidth="1"/>
    <col min="21" max="1024" width="11.42578125" style="88"/>
  </cols>
  <sheetData>
    <row r="2" spans="1:21">
      <c r="B2" s="172"/>
      <c r="D2" s="173"/>
      <c r="F2" s="9" t="s">
        <v>148</v>
      </c>
      <c r="G2" s="9"/>
      <c r="H2" s="9"/>
      <c r="J2" s="9" t="s">
        <v>149</v>
      </c>
      <c r="K2" s="9"/>
      <c r="L2" s="9"/>
      <c r="M2" s="9"/>
      <c r="N2" s="9"/>
      <c r="O2" s="175"/>
      <c r="P2" s="175"/>
      <c r="U2" s="176"/>
    </row>
    <row r="3" spans="1:21">
      <c r="B3" s="177"/>
      <c r="D3" s="90" t="s">
        <v>167</v>
      </c>
      <c r="F3" s="172"/>
      <c r="G3" s="172"/>
      <c r="H3" s="172"/>
      <c r="J3" s="172" t="s">
        <v>168</v>
      </c>
      <c r="K3" s="172"/>
      <c r="L3" s="172" t="s">
        <v>169</v>
      </c>
      <c r="N3" s="90" t="s">
        <v>170</v>
      </c>
      <c r="P3" s="90" t="s">
        <v>171</v>
      </c>
      <c r="U3" s="176"/>
    </row>
    <row r="4" spans="1:21">
      <c r="B4" s="174" t="s">
        <v>172</v>
      </c>
      <c r="D4" s="178" t="s">
        <v>173</v>
      </c>
      <c r="F4" s="174" t="s">
        <v>174</v>
      </c>
      <c r="H4" s="174" t="s">
        <v>175</v>
      </c>
      <c r="J4" s="174" t="s">
        <v>176</v>
      </c>
      <c r="L4" s="174" t="s">
        <v>177</v>
      </c>
      <c r="N4" s="174" t="s">
        <v>178</v>
      </c>
      <c r="P4" s="179" t="s">
        <v>179</v>
      </c>
      <c r="R4" s="179" t="s">
        <v>180</v>
      </c>
    </row>
    <row r="6" spans="1:21">
      <c r="A6" s="180" t="s">
        <v>181</v>
      </c>
      <c r="B6" s="181">
        <v>11061874</v>
      </c>
      <c r="C6" s="128"/>
      <c r="D6" s="181">
        <v>10877339</v>
      </c>
      <c r="E6" s="128"/>
      <c r="F6" s="181">
        <v>929450</v>
      </c>
      <c r="G6" s="128"/>
      <c r="H6" s="181">
        <v>34797</v>
      </c>
      <c r="I6" s="128"/>
      <c r="J6" s="181">
        <v>227072</v>
      </c>
      <c r="K6" s="128"/>
      <c r="L6" s="181">
        <v>-3202431</v>
      </c>
      <c r="M6" s="128"/>
      <c r="N6" s="181">
        <v>35430659</v>
      </c>
      <c r="O6" s="128"/>
      <c r="P6" s="181">
        <v>9731456</v>
      </c>
      <c r="Q6" s="128"/>
      <c r="R6" s="181">
        <f>SUM(B6:P6)</f>
        <v>65090216</v>
      </c>
    </row>
    <row r="7" spans="1:21">
      <c r="A7" s="182"/>
      <c r="B7" s="181"/>
      <c r="C7" s="128"/>
      <c r="D7" s="181"/>
      <c r="E7" s="128"/>
      <c r="F7" s="181"/>
      <c r="G7" s="128"/>
      <c r="H7" s="181"/>
      <c r="I7" s="128"/>
      <c r="J7" s="181"/>
      <c r="K7" s="128"/>
      <c r="L7" s="181"/>
      <c r="M7" s="128"/>
      <c r="N7" s="181"/>
      <c r="O7" s="128"/>
      <c r="P7" s="181"/>
      <c r="Q7" s="128"/>
      <c r="R7" s="181"/>
    </row>
    <row r="8" spans="1:21" ht="23.25">
      <c r="A8" s="183" t="s">
        <v>182</v>
      </c>
      <c r="B8" s="181">
        <v>0</v>
      </c>
      <c r="C8" s="128"/>
      <c r="D8" s="181">
        <v>-3094403</v>
      </c>
      <c r="E8" s="128"/>
      <c r="F8" s="181">
        <v>0</v>
      </c>
      <c r="G8" s="128"/>
      <c r="H8" s="181">
        <v>0</v>
      </c>
      <c r="I8" s="128"/>
      <c r="J8" s="181">
        <v>0</v>
      </c>
      <c r="K8" s="128"/>
      <c r="L8" s="184">
        <v>0</v>
      </c>
      <c r="M8" s="128"/>
      <c r="N8" s="185">
        <v>0</v>
      </c>
      <c r="O8" s="128"/>
      <c r="P8" s="185">
        <v>0</v>
      </c>
      <c r="Q8" s="128"/>
      <c r="R8" s="111">
        <f>+SUM(B8:P8)</f>
        <v>-3094403</v>
      </c>
    </row>
    <row r="9" spans="1:21">
      <c r="A9" s="177"/>
      <c r="B9" s="181"/>
      <c r="C9" s="128"/>
      <c r="D9" s="181"/>
      <c r="E9" s="128"/>
      <c r="F9" s="181"/>
      <c r="G9" s="128"/>
      <c r="H9" s="181"/>
      <c r="I9" s="128"/>
      <c r="J9" s="181"/>
      <c r="K9" s="128"/>
      <c r="L9" s="184"/>
      <c r="M9" s="128"/>
      <c r="N9" s="185"/>
      <c r="O9" s="128"/>
      <c r="P9" s="185"/>
      <c r="Q9" s="128"/>
      <c r="R9" s="111"/>
    </row>
    <row r="10" spans="1:21" ht="23.25">
      <c r="A10" s="186" t="s">
        <v>183</v>
      </c>
      <c r="B10" s="181">
        <v>7077000</v>
      </c>
      <c r="C10" s="128"/>
      <c r="D10" s="181">
        <v>-7077000</v>
      </c>
      <c r="E10" s="128"/>
      <c r="F10" s="181">
        <v>0</v>
      </c>
      <c r="G10" s="128"/>
      <c r="H10" s="181">
        <v>0</v>
      </c>
      <c r="I10" s="128"/>
      <c r="J10" s="181">
        <v>0</v>
      </c>
      <c r="K10" s="128"/>
      <c r="L10" s="184">
        <v>0</v>
      </c>
      <c r="M10" s="128"/>
      <c r="N10" s="185">
        <v>0</v>
      </c>
      <c r="O10" s="128"/>
      <c r="P10" s="185">
        <v>0</v>
      </c>
      <c r="Q10" s="128"/>
      <c r="R10" s="111">
        <f>+SUM(B10:P10)</f>
        <v>0</v>
      </c>
    </row>
    <row r="11" spans="1:21">
      <c r="A11" s="117"/>
      <c r="B11" s="181"/>
      <c r="C11" s="128"/>
      <c r="D11" s="181"/>
      <c r="E11" s="128"/>
      <c r="F11" s="181"/>
      <c r="G11" s="128"/>
      <c r="H11" s="181"/>
      <c r="I11" s="128"/>
      <c r="J11" s="181"/>
      <c r="K11" s="128"/>
      <c r="L11" s="184"/>
      <c r="M11" s="128"/>
      <c r="N11" s="185"/>
      <c r="O11" s="128"/>
      <c r="P11" s="185"/>
      <c r="Q11" s="128"/>
      <c r="R11" s="111"/>
    </row>
    <row r="12" spans="1:21" ht="23.25">
      <c r="A12" s="186" t="s">
        <v>184</v>
      </c>
      <c r="B12" s="181">
        <v>5470478</v>
      </c>
      <c r="C12" s="128"/>
      <c r="D12" s="181">
        <v>0</v>
      </c>
      <c r="E12" s="128"/>
      <c r="F12" s="181">
        <v>0</v>
      </c>
      <c r="G12" s="128"/>
      <c r="H12" s="181">
        <v>0</v>
      </c>
      <c r="I12" s="128"/>
      <c r="J12" s="181">
        <v>0</v>
      </c>
      <c r="K12" s="128"/>
      <c r="L12" s="184">
        <v>0</v>
      </c>
      <c r="M12" s="128"/>
      <c r="N12" s="185">
        <v>-5470478</v>
      </c>
      <c r="O12" s="128"/>
      <c r="P12" s="185">
        <v>0</v>
      </c>
      <c r="Q12" s="128"/>
      <c r="R12" s="111">
        <f>+SUM(B12:P12)</f>
        <v>0</v>
      </c>
    </row>
    <row r="13" spans="1:21">
      <c r="A13" s="177"/>
      <c r="B13" s="181"/>
      <c r="C13" s="128"/>
      <c r="D13" s="181"/>
      <c r="E13" s="128"/>
      <c r="F13" s="181"/>
      <c r="G13" s="128"/>
      <c r="H13" s="181"/>
      <c r="I13" s="128"/>
      <c r="J13" s="181"/>
      <c r="K13" s="128"/>
      <c r="L13" s="184"/>
      <c r="M13" s="128"/>
      <c r="N13" s="185"/>
      <c r="O13" s="128"/>
      <c r="P13" s="185"/>
      <c r="Q13" s="128"/>
      <c r="R13" s="111"/>
    </row>
    <row r="14" spans="1:21" ht="23.25">
      <c r="A14" s="186" t="s">
        <v>185</v>
      </c>
      <c r="B14" s="181">
        <v>270000</v>
      </c>
      <c r="C14" s="128"/>
      <c r="D14" s="181">
        <v>0</v>
      </c>
      <c r="E14" s="128"/>
      <c r="F14" s="181">
        <v>0</v>
      </c>
      <c r="G14" s="128"/>
      <c r="H14" s="181">
        <v>0</v>
      </c>
      <c r="I14" s="128"/>
      <c r="J14" s="181">
        <v>0</v>
      </c>
      <c r="K14" s="128"/>
      <c r="L14" s="184">
        <v>0</v>
      </c>
      <c r="M14" s="128"/>
      <c r="N14" s="185">
        <v>-270000</v>
      </c>
      <c r="O14" s="128"/>
      <c r="P14" s="185">
        <v>0</v>
      </c>
      <c r="Q14" s="128"/>
      <c r="R14" s="111">
        <f>+SUM(B14:P14)</f>
        <v>0</v>
      </c>
    </row>
    <row r="15" spans="1:21">
      <c r="B15" s="103"/>
      <c r="C15" s="128"/>
      <c r="D15" s="103"/>
      <c r="E15" s="128"/>
      <c r="F15" s="103"/>
      <c r="G15" s="128"/>
      <c r="H15" s="103"/>
      <c r="I15" s="128"/>
      <c r="J15" s="103"/>
      <c r="K15" s="128"/>
      <c r="L15" s="103"/>
      <c r="M15" s="128"/>
      <c r="N15" s="103"/>
      <c r="O15" s="128"/>
      <c r="P15" s="103"/>
      <c r="Q15" s="128"/>
      <c r="R15" s="103"/>
    </row>
    <row r="16" spans="1:21" ht="34.5">
      <c r="A16" s="186" t="s">
        <v>186</v>
      </c>
      <c r="B16" s="181">
        <v>0</v>
      </c>
      <c r="C16" s="128"/>
      <c r="D16" s="181">
        <v>0</v>
      </c>
      <c r="E16" s="128"/>
      <c r="F16" s="181">
        <v>1710803</v>
      </c>
      <c r="G16" s="128"/>
      <c r="H16" s="181">
        <v>0</v>
      </c>
      <c r="I16" s="128"/>
      <c r="J16" s="181">
        <v>0</v>
      </c>
      <c r="K16" s="128"/>
      <c r="L16" s="184">
        <v>0</v>
      </c>
      <c r="M16" s="128"/>
      <c r="N16" s="185">
        <v>-1710803</v>
      </c>
      <c r="O16" s="128"/>
      <c r="P16" s="185">
        <v>0</v>
      </c>
      <c r="Q16" s="128"/>
      <c r="R16" s="111">
        <f>+SUM(B16:P16)</f>
        <v>0</v>
      </c>
    </row>
    <row r="17" spans="1:20">
      <c r="A17" s="177"/>
      <c r="B17" s="181"/>
      <c r="C17" s="128"/>
      <c r="D17" s="181"/>
      <c r="E17" s="128"/>
      <c r="F17" s="181"/>
      <c r="G17" s="128"/>
      <c r="H17" s="181"/>
      <c r="I17" s="128"/>
      <c r="J17" s="181"/>
      <c r="K17" s="128"/>
      <c r="L17" s="184"/>
      <c r="M17" s="128"/>
      <c r="N17" s="185"/>
      <c r="O17" s="128"/>
      <c r="P17" s="185"/>
      <c r="Q17" s="128"/>
      <c r="R17" s="111"/>
    </row>
    <row r="18" spans="1:20">
      <c r="A18" s="173" t="s">
        <v>187</v>
      </c>
      <c r="B18" s="181">
        <v>0</v>
      </c>
      <c r="C18" s="128"/>
      <c r="D18" s="181">
        <v>0</v>
      </c>
      <c r="E18" s="128"/>
      <c r="F18" s="181">
        <v>0</v>
      </c>
      <c r="G18" s="128"/>
      <c r="H18" s="181">
        <v>0</v>
      </c>
      <c r="I18" s="128"/>
      <c r="J18" s="181">
        <v>0</v>
      </c>
      <c r="K18" s="128"/>
      <c r="L18" s="184">
        <v>0</v>
      </c>
      <c r="M18" s="128"/>
      <c r="N18" s="187">
        <v>12531973</v>
      </c>
      <c r="O18" s="128"/>
      <c r="P18" s="187">
        <v>-377997</v>
      </c>
      <c r="Q18" s="128"/>
      <c r="R18" s="111">
        <f>+SUM(B18:P18)</f>
        <v>12153976</v>
      </c>
    </row>
    <row r="19" spans="1:20">
      <c r="A19" s="173"/>
      <c r="B19" s="181"/>
      <c r="C19" s="128"/>
      <c r="D19" s="181"/>
      <c r="E19" s="128"/>
      <c r="F19" s="181"/>
      <c r="G19" s="128"/>
      <c r="H19" s="181"/>
      <c r="I19" s="128"/>
      <c r="J19" s="181"/>
      <c r="K19" s="128"/>
      <c r="L19" s="184"/>
      <c r="M19" s="128"/>
      <c r="N19" s="187"/>
      <c r="O19" s="128"/>
      <c r="P19" s="187"/>
      <c r="Q19" s="128"/>
      <c r="R19" s="111"/>
      <c r="T19" s="128"/>
    </row>
    <row r="20" spans="1:20">
      <c r="A20" s="173" t="s">
        <v>188</v>
      </c>
      <c r="B20" s="181">
        <v>0</v>
      </c>
      <c r="C20" s="128"/>
      <c r="D20" s="181">
        <v>0</v>
      </c>
      <c r="E20" s="128"/>
      <c r="F20" s="181">
        <v>0</v>
      </c>
      <c r="G20" s="128"/>
      <c r="H20" s="181">
        <v>0</v>
      </c>
      <c r="I20" s="128"/>
      <c r="J20" s="181">
        <v>0</v>
      </c>
      <c r="K20" s="128"/>
      <c r="L20" s="184">
        <v>0</v>
      </c>
      <c r="M20" s="128"/>
      <c r="N20" s="187">
        <v>0</v>
      </c>
      <c r="O20" s="128"/>
      <c r="P20" s="187">
        <f>+'[1]Flujo consolidado'!P55</f>
        <v>4060</v>
      </c>
      <c r="Q20" s="128"/>
      <c r="R20" s="111">
        <f>+SUM(B20:P20)</f>
        <v>4060</v>
      </c>
    </row>
    <row r="21" spans="1:20">
      <c r="A21" s="173"/>
      <c r="B21" s="181"/>
      <c r="C21" s="128"/>
      <c r="D21" s="181"/>
      <c r="E21" s="128"/>
      <c r="F21" s="181"/>
      <c r="G21" s="128"/>
      <c r="H21" s="181"/>
      <c r="I21" s="128"/>
      <c r="J21" s="181"/>
      <c r="K21" s="128"/>
      <c r="L21" s="184"/>
      <c r="M21" s="128"/>
      <c r="N21" s="187"/>
      <c r="O21" s="128"/>
      <c r="P21" s="187"/>
      <c r="Q21" s="128"/>
      <c r="R21" s="111"/>
    </row>
    <row r="22" spans="1:20">
      <c r="A22" s="188" t="s">
        <v>189</v>
      </c>
      <c r="B22" s="181"/>
      <c r="C22" s="128"/>
      <c r="D22" s="181"/>
      <c r="E22" s="128"/>
      <c r="F22" s="181"/>
      <c r="G22" s="128"/>
      <c r="H22" s="181"/>
      <c r="I22" s="128"/>
      <c r="J22" s="181"/>
      <c r="K22" s="128"/>
      <c r="L22" s="184"/>
      <c r="M22" s="128"/>
      <c r="N22" s="187">
        <v>14390</v>
      </c>
      <c r="O22" s="128"/>
      <c r="P22" s="187"/>
      <c r="Q22" s="128"/>
      <c r="R22" s="111">
        <f>+SUM(B22:P22)</f>
        <v>14390</v>
      </c>
    </row>
    <row r="23" spans="1:20">
      <c r="A23" s="188"/>
      <c r="B23" s="181"/>
      <c r="C23" s="128"/>
      <c r="D23" s="181"/>
      <c r="E23" s="128"/>
      <c r="F23" s="181"/>
      <c r="G23" s="128"/>
      <c r="H23" s="181"/>
      <c r="I23" s="128"/>
      <c r="J23" s="181"/>
      <c r="K23" s="128"/>
      <c r="L23" s="184"/>
      <c r="M23" s="128"/>
      <c r="N23" s="187"/>
      <c r="O23" s="128"/>
      <c r="P23" s="187"/>
      <c r="Q23" s="128"/>
      <c r="R23" s="111"/>
    </row>
    <row r="24" spans="1:20">
      <c r="A24" s="188" t="s">
        <v>190</v>
      </c>
      <c r="B24" s="181"/>
      <c r="C24" s="128"/>
      <c r="D24" s="181"/>
      <c r="E24" s="128"/>
      <c r="F24" s="181"/>
      <c r="G24" s="128"/>
      <c r="H24" s="181"/>
      <c r="I24" s="128"/>
      <c r="J24" s="181"/>
      <c r="K24" s="128"/>
      <c r="L24" s="184"/>
      <c r="M24" s="128"/>
      <c r="N24" s="187">
        <v>-5585599</v>
      </c>
      <c r="O24" s="128"/>
      <c r="P24" s="187"/>
      <c r="Q24" s="128"/>
      <c r="R24" s="111">
        <f>+SUM(B24:P24)</f>
        <v>-5585599</v>
      </c>
    </row>
    <row r="25" spans="1:20">
      <c r="A25" s="173"/>
      <c r="B25" s="189"/>
      <c r="C25" s="128"/>
      <c r="D25" s="189"/>
      <c r="E25" s="128"/>
      <c r="F25" s="190"/>
      <c r="G25" s="128"/>
      <c r="H25" s="190"/>
      <c r="I25" s="128"/>
      <c r="J25" s="190"/>
      <c r="K25" s="128"/>
      <c r="L25" s="190"/>
      <c r="M25" s="128"/>
      <c r="N25" s="189"/>
      <c r="O25" s="128"/>
      <c r="P25" s="189"/>
      <c r="Q25" s="128"/>
      <c r="R25" s="132"/>
    </row>
    <row r="26" spans="1:20">
      <c r="A26" s="177" t="s">
        <v>191</v>
      </c>
      <c r="B26" s="191">
        <f>+SUM(B6:B21)</f>
        <v>23879352</v>
      </c>
      <c r="C26" s="128"/>
      <c r="D26" s="191">
        <f>+SUM(D6:D21)</f>
        <v>705936</v>
      </c>
      <c r="E26" s="128"/>
      <c r="F26" s="191">
        <f>+SUM(F6:F21)</f>
        <v>2640253</v>
      </c>
      <c r="G26" s="128"/>
      <c r="H26" s="191">
        <f>+SUM(H6:H21)</f>
        <v>34797</v>
      </c>
      <c r="I26" s="128"/>
      <c r="J26" s="191">
        <f>+SUM(J6:J21)</f>
        <v>227072</v>
      </c>
      <c r="K26" s="128"/>
      <c r="L26" s="191">
        <f>+SUM(L6:L21)</f>
        <v>-3202431</v>
      </c>
      <c r="M26" s="128"/>
      <c r="N26" s="191">
        <f>+SUM(N6:N25)</f>
        <v>34940142</v>
      </c>
      <c r="O26" s="128"/>
      <c r="P26" s="191">
        <f>+SUM(P6:P24)</f>
        <v>9357519</v>
      </c>
      <c r="Q26" s="128"/>
      <c r="R26" s="191">
        <f>+SUM(R6:R24)</f>
        <v>68582640</v>
      </c>
      <c r="S26" s="128"/>
    </row>
    <row r="28" spans="1:20">
      <c r="A28" s="177" t="s">
        <v>192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</row>
    <row r="29" spans="1:20">
      <c r="A29" s="177" t="s">
        <v>193</v>
      </c>
      <c r="B29" s="181"/>
      <c r="C29" s="181"/>
      <c r="D29" s="181"/>
      <c r="E29" s="181"/>
      <c r="F29" s="181">
        <v>1341885</v>
      </c>
      <c r="G29" s="181"/>
      <c r="H29" s="181"/>
      <c r="I29" s="181"/>
      <c r="J29" s="181"/>
      <c r="K29" s="181"/>
      <c r="L29" s="181"/>
      <c r="M29" s="181"/>
      <c r="N29" s="181">
        <v>-1341885</v>
      </c>
      <c r="O29" s="181"/>
      <c r="P29" s="181"/>
      <c r="Q29" s="181"/>
      <c r="R29" s="111">
        <f>+SUM(B29:P29)</f>
        <v>0</v>
      </c>
    </row>
    <row r="30" spans="1:20">
      <c r="A30" s="177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</row>
    <row r="31" spans="1:20">
      <c r="A31" s="177" t="s">
        <v>194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>
        <f>8429477-P31</f>
        <v>8111225</v>
      </c>
      <c r="O31" s="181"/>
      <c r="P31" s="181">
        <v>318252</v>
      </c>
      <c r="Q31" s="181"/>
      <c r="R31" s="111">
        <f>+SUM(B31:P31)</f>
        <v>8429477</v>
      </c>
    </row>
    <row r="32" spans="1:20">
      <c r="A32" s="177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</row>
    <row r="33" spans="1:18">
      <c r="A33" s="192" t="s">
        <v>195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>
        <v>-528533.43435999996</v>
      </c>
      <c r="O33" s="184"/>
      <c r="P33" s="184">
        <f>1803740-P31</f>
        <v>1485488</v>
      </c>
      <c r="Q33" s="184"/>
      <c r="R33" s="111">
        <f>+SUM(B33:P33)</f>
        <v>956954.56564000004</v>
      </c>
    </row>
    <row r="34" spans="1:18">
      <c r="A34" s="193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</row>
    <row r="35" spans="1:18">
      <c r="A35" s="193" t="s">
        <v>196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>
        <f>-3647+17313</f>
        <v>13666</v>
      </c>
      <c r="O35" s="184"/>
      <c r="P35" s="184"/>
      <c r="Q35" s="184"/>
      <c r="R35" s="111">
        <f>+SUM(B35:P35)</f>
        <v>13666</v>
      </c>
    </row>
    <row r="36" spans="1:18">
      <c r="A36" s="177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</row>
    <row r="37" spans="1:18">
      <c r="A37" s="177" t="s">
        <v>161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>
        <v>-495802</v>
      </c>
      <c r="O37" s="181"/>
      <c r="P37" s="181"/>
      <c r="Q37" s="181"/>
      <c r="R37" s="111">
        <f>+SUM(B37:P37)</f>
        <v>-495802</v>
      </c>
    </row>
    <row r="38" spans="1:18">
      <c r="A38" s="177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</row>
    <row r="39" spans="1:18">
      <c r="A39" s="177" t="s">
        <v>197</v>
      </c>
      <c r="B39" s="191">
        <f>+SUM(B26:B38)</f>
        <v>23879352</v>
      </c>
      <c r="C39" s="128"/>
      <c r="D39" s="191">
        <f>+SUM(D26:D38)</f>
        <v>705936</v>
      </c>
      <c r="E39" s="128"/>
      <c r="F39" s="191">
        <f>+SUM(F26:F38)</f>
        <v>3982138</v>
      </c>
      <c r="G39" s="128"/>
      <c r="H39" s="191">
        <f>+SUM(H26:H38)</f>
        <v>34797</v>
      </c>
      <c r="I39" s="128"/>
      <c r="J39" s="191">
        <f>+SUM(J26:J38)</f>
        <v>227072</v>
      </c>
      <c r="K39" s="128"/>
      <c r="L39" s="191">
        <f>+SUM(L26:L38)</f>
        <v>-3202431</v>
      </c>
      <c r="M39" s="128"/>
      <c r="N39" s="191">
        <f>+SUM(N26:N38)</f>
        <v>40698812.565640002</v>
      </c>
      <c r="O39" s="128"/>
      <c r="P39" s="191">
        <f>+SUM(P26:P38)</f>
        <v>11161259</v>
      </c>
      <c r="Q39" s="128"/>
      <c r="R39" s="191">
        <f>+SUM(R26:R38)</f>
        <v>77486935.565640002</v>
      </c>
    </row>
    <row r="40" spans="1:18">
      <c r="A40" s="177"/>
    </row>
    <row r="41" spans="1:18">
      <c r="A41" s="177"/>
      <c r="N41" s="110"/>
      <c r="R41" s="128"/>
    </row>
    <row r="42" spans="1:18">
      <c r="N42" s="128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4257812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94" t="s">
        <v>198</v>
      </c>
      <c r="B1" s="195" t="s">
        <v>199</v>
      </c>
      <c r="C1" s="196" t="s">
        <v>200</v>
      </c>
      <c r="D1" s="196" t="s">
        <v>201</v>
      </c>
    </row>
    <row r="2" spans="1:6">
      <c r="A2" s="197" t="s">
        <v>202</v>
      </c>
      <c r="B2" s="198" t="s">
        <v>203</v>
      </c>
      <c r="C2" s="199">
        <v>138600</v>
      </c>
      <c r="D2" s="200"/>
    </row>
    <row r="3" spans="1:6">
      <c r="A3" s="201" t="s">
        <v>204</v>
      </c>
      <c r="B3" s="198" t="s">
        <v>203</v>
      </c>
      <c r="C3" s="202">
        <v>9477384</v>
      </c>
      <c r="D3" s="203"/>
    </row>
    <row r="4" spans="1:6">
      <c r="A4" s="201" t="s">
        <v>205</v>
      </c>
      <c r="B4" s="198" t="s">
        <v>203</v>
      </c>
      <c r="C4" s="202">
        <v>184560.05</v>
      </c>
      <c r="D4" s="203"/>
    </row>
    <row r="5" spans="1:6">
      <c r="A5" s="201" t="s">
        <v>206</v>
      </c>
      <c r="B5" s="198" t="s">
        <v>203</v>
      </c>
      <c r="C5" s="202">
        <v>1566.29</v>
      </c>
      <c r="D5" s="203"/>
    </row>
    <row r="6" spans="1:6">
      <c r="A6" s="201" t="s">
        <v>93</v>
      </c>
      <c r="B6" s="198" t="s">
        <v>203</v>
      </c>
      <c r="C6" s="202">
        <v>82150.45</v>
      </c>
      <c r="D6" s="203"/>
    </row>
    <row r="7" spans="1:6">
      <c r="A7" s="201" t="s">
        <v>207</v>
      </c>
      <c r="B7" s="198" t="s">
        <v>203</v>
      </c>
      <c r="C7" s="202">
        <v>957283.52</v>
      </c>
      <c r="D7" s="203"/>
    </row>
    <row r="8" spans="1:6">
      <c r="A8" s="201" t="s">
        <v>62</v>
      </c>
      <c r="B8" s="198" t="s">
        <v>208</v>
      </c>
      <c r="C8" s="202">
        <v>394335.36694421398</v>
      </c>
      <c r="D8" s="203"/>
    </row>
    <row r="9" spans="1:6">
      <c r="A9" s="201" t="s">
        <v>209</v>
      </c>
      <c r="B9" s="198" t="s">
        <v>208</v>
      </c>
      <c r="C9" s="202">
        <v>828548.36364874605</v>
      </c>
      <c r="D9" s="203"/>
    </row>
    <row r="10" spans="1:6">
      <c r="A10" s="204" t="s">
        <v>210</v>
      </c>
      <c r="B10" s="198" t="s">
        <v>208</v>
      </c>
      <c r="C10" s="202">
        <v>881973.00000000605</v>
      </c>
      <c r="D10" s="203"/>
    </row>
    <row r="11" spans="1:6">
      <c r="A11" s="205" t="s">
        <v>209</v>
      </c>
      <c r="B11" s="198" t="s">
        <v>203</v>
      </c>
      <c r="C11" s="203"/>
      <c r="D11" s="202">
        <v>1044878.7099375</v>
      </c>
    </row>
    <row r="12" spans="1:6">
      <c r="A12" s="201" t="s">
        <v>211</v>
      </c>
      <c r="B12" s="198" t="s">
        <v>212</v>
      </c>
      <c r="C12" s="203"/>
      <c r="D12" s="202">
        <v>2544003.2599999998</v>
      </c>
    </row>
    <row r="13" spans="1:6">
      <c r="A13" s="206" t="s">
        <v>213</v>
      </c>
      <c r="B13" s="207" t="s">
        <v>208</v>
      </c>
      <c r="C13" s="208"/>
      <c r="D13" s="209">
        <v>9357519.0706554707</v>
      </c>
      <c r="F13" s="19"/>
    </row>
    <row r="14" spans="1:6">
      <c r="A14" s="210"/>
      <c r="B14" s="211"/>
      <c r="C14" s="211"/>
      <c r="D14" s="211"/>
      <c r="F14" s="19"/>
    </row>
    <row r="15" spans="1:6">
      <c r="A15" s="210"/>
      <c r="B15" s="211"/>
      <c r="C15" s="212">
        <v>12946401.040593</v>
      </c>
      <c r="D15" s="212">
        <v>12946401.040593</v>
      </c>
      <c r="F15" s="19" t="e">
        <f>C15+#REF!+'Diarios Cxc Cxp relac (c)'!D38+'Ventas-Compras (d)'!D26</f>
        <v>#REF!</v>
      </c>
    </row>
    <row r="17" spans="3:3">
      <c r="C17" s="1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4257812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13" t="s">
        <v>214</v>
      </c>
      <c r="B1" s="210"/>
      <c r="C1" s="211"/>
      <c r="D1" s="211"/>
      <c r="E1" s="211"/>
    </row>
    <row r="2" spans="1:6">
      <c r="A2" s="210"/>
      <c r="B2" s="210"/>
      <c r="C2" s="211"/>
      <c r="D2" s="211"/>
      <c r="E2" s="211"/>
    </row>
    <row r="3" spans="1:6">
      <c r="A3" s="210"/>
      <c r="B3" s="214" t="s">
        <v>215</v>
      </c>
      <c r="C3" s="195" t="s">
        <v>199</v>
      </c>
      <c r="D3" s="215" t="s">
        <v>216</v>
      </c>
      <c r="E3" s="215" t="s">
        <v>217</v>
      </c>
    </row>
    <row r="4" spans="1:6">
      <c r="A4" s="210"/>
      <c r="B4" s="216" t="s">
        <v>218</v>
      </c>
      <c r="C4" s="198" t="s">
        <v>219</v>
      </c>
      <c r="D4" s="217">
        <v>0</v>
      </c>
      <c r="E4" s="218">
        <v>4733</v>
      </c>
    </row>
    <row r="5" spans="1:6">
      <c r="A5" s="210"/>
      <c r="B5" s="216" t="s">
        <v>220</v>
      </c>
      <c r="C5" s="198" t="s">
        <v>221</v>
      </c>
      <c r="D5" s="219"/>
      <c r="E5" s="220">
        <v>2603205</v>
      </c>
    </row>
    <row r="6" spans="1:6">
      <c r="A6" s="210"/>
      <c r="B6" s="216" t="s">
        <v>40</v>
      </c>
      <c r="C6" s="198" t="s">
        <v>222</v>
      </c>
      <c r="D6" s="219"/>
      <c r="E6" s="220">
        <v>886844</v>
      </c>
    </row>
    <row r="7" spans="1:6">
      <c r="A7" s="210"/>
      <c r="B7" s="216" t="s">
        <v>48</v>
      </c>
      <c r="C7" s="198" t="s">
        <v>223</v>
      </c>
      <c r="D7" s="219"/>
      <c r="E7" s="220">
        <v>40694</v>
      </c>
    </row>
    <row r="8" spans="1:6">
      <c r="A8" s="210"/>
      <c r="B8" s="216" t="s">
        <v>40</v>
      </c>
      <c r="C8" s="198" t="s">
        <v>224</v>
      </c>
      <c r="D8" s="219"/>
      <c r="E8" s="220">
        <v>1077232</v>
      </c>
    </row>
    <row r="9" spans="1:6">
      <c r="A9" s="210"/>
      <c r="B9" s="216" t="s">
        <v>220</v>
      </c>
      <c r="C9" s="198" t="s">
        <v>223</v>
      </c>
      <c r="D9" s="219"/>
      <c r="E9" s="220">
        <v>3437161</v>
      </c>
    </row>
    <row r="10" spans="1:6">
      <c r="A10" s="210"/>
      <c r="B10" s="216" t="s">
        <v>40</v>
      </c>
      <c r="C10" s="198" t="s">
        <v>225</v>
      </c>
      <c r="D10" s="219"/>
      <c r="E10" s="220">
        <v>74539</v>
      </c>
    </row>
    <row r="11" spans="1:6">
      <c r="A11" s="210"/>
      <c r="B11" s="216" t="s">
        <v>40</v>
      </c>
      <c r="C11" s="198" t="s">
        <v>226</v>
      </c>
      <c r="D11" s="219"/>
      <c r="E11" s="220">
        <v>633374</v>
      </c>
      <c r="F11" t="s">
        <v>44</v>
      </c>
    </row>
    <row r="12" spans="1:6">
      <c r="A12" s="210"/>
      <c r="B12" s="216" t="s">
        <v>40</v>
      </c>
      <c r="C12" s="221" t="s">
        <v>222</v>
      </c>
      <c r="D12" s="219"/>
      <c r="E12" s="220">
        <v>269135</v>
      </c>
    </row>
    <row r="13" spans="1:6">
      <c r="A13" s="210"/>
      <c r="B13" s="216" t="s">
        <v>227</v>
      </c>
      <c r="C13" s="221" t="s">
        <v>221</v>
      </c>
      <c r="D13" s="222">
        <v>4733</v>
      </c>
      <c r="E13" s="219"/>
    </row>
    <row r="14" spans="1:6">
      <c r="A14" s="210"/>
      <c r="B14" s="216" t="s">
        <v>68</v>
      </c>
      <c r="C14" s="198" t="s">
        <v>222</v>
      </c>
      <c r="D14" s="223">
        <v>269135</v>
      </c>
      <c r="E14" s="198"/>
    </row>
    <row r="15" spans="1:6">
      <c r="A15" s="210"/>
      <c r="B15" s="216" t="s">
        <v>227</v>
      </c>
      <c r="C15" s="198" t="s">
        <v>228</v>
      </c>
      <c r="D15" s="223">
        <v>36270</v>
      </c>
      <c r="E15" s="198"/>
    </row>
    <row r="16" spans="1:6">
      <c r="A16" s="210"/>
      <c r="B16" s="216" t="s">
        <v>227</v>
      </c>
      <c r="C16" s="198" t="s">
        <v>228</v>
      </c>
      <c r="D16" s="223">
        <v>2566935</v>
      </c>
      <c r="E16" s="198"/>
    </row>
    <row r="17" spans="1:6">
      <c r="A17" s="210"/>
      <c r="B17" s="216" t="s">
        <v>229</v>
      </c>
      <c r="C17" s="198" t="s">
        <v>228</v>
      </c>
      <c r="D17" s="223">
        <v>3477855</v>
      </c>
      <c r="E17" s="198"/>
    </row>
    <row r="18" spans="1:6">
      <c r="A18" s="210"/>
      <c r="B18" s="216" t="s">
        <v>230</v>
      </c>
      <c r="C18" s="198" t="s">
        <v>231</v>
      </c>
      <c r="D18" s="223">
        <v>886844</v>
      </c>
      <c r="E18" s="198"/>
    </row>
    <row r="19" spans="1:6">
      <c r="A19" s="210"/>
      <c r="B19" s="216" t="s">
        <v>227</v>
      </c>
      <c r="C19" s="198" t="s">
        <v>228</v>
      </c>
      <c r="D19" s="223">
        <v>74539</v>
      </c>
      <c r="E19" s="198"/>
    </row>
    <row r="20" spans="1:6">
      <c r="A20" s="210"/>
      <c r="B20" s="216" t="s">
        <v>232</v>
      </c>
      <c r="C20" s="198" t="s">
        <v>228</v>
      </c>
      <c r="D20" s="223">
        <v>125748</v>
      </c>
      <c r="E20" s="198"/>
    </row>
    <row r="21" spans="1:6">
      <c r="A21" s="210"/>
      <c r="B21" s="216" t="s">
        <v>229</v>
      </c>
      <c r="C21" s="198" t="s">
        <v>233</v>
      </c>
      <c r="D21" s="223">
        <v>507600</v>
      </c>
      <c r="E21" s="198"/>
    </row>
    <row r="22" spans="1:6">
      <c r="A22" s="210"/>
      <c r="B22" s="216" t="s">
        <v>68</v>
      </c>
      <c r="C22" s="198" t="s">
        <v>224</v>
      </c>
      <c r="D22" s="223">
        <v>901340</v>
      </c>
      <c r="E22" s="198"/>
      <c r="F22" t="s">
        <v>44</v>
      </c>
    </row>
    <row r="23" spans="1:6">
      <c r="A23" s="210"/>
      <c r="B23" s="224" t="s">
        <v>234</v>
      </c>
      <c r="C23" s="198" t="s">
        <v>224</v>
      </c>
      <c r="D23" s="225">
        <v>175918</v>
      </c>
      <c r="E23" s="207"/>
      <c r="F23" t="s">
        <v>235</v>
      </c>
    </row>
    <row r="24" spans="1:6">
      <c r="A24" s="210"/>
      <c r="B24" s="210"/>
      <c r="C24" s="211"/>
      <c r="D24" s="212">
        <f>SUM(D4:D23)</f>
        <v>9026917</v>
      </c>
      <c r="E24" s="212">
        <f>SUM(E4:E23)</f>
        <v>9026917</v>
      </c>
    </row>
    <row r="26" spans="1:6">
      <c r="E26" s="19">
        <f>E24-D24</f>
        <v>0</v>
      </c>
    </row>
    <row r="27" spans="1:6">
      <c r="B27" s="84" t="s">
        <v>236</v>
      </c>
    </row>
    <row r="29" spans="1:6">
      <c r="B29" t="s">
        <v>68</v>
      </c>
      <c r="D29" s="226">
        <f>D13+D14+D15+D16+D19+D20+D22+D18</f>
        <v>4865544</v>
      </c>
    </row>
    <row r="30" spans="1:6">
      <c r="B30" t="s">
        <v>80</v>
      </c>
      <c r="D30" s="226">
        <f>D21+D17</f>
        <v>3985455</v>
      </c>
    </row>
    <row r="31" spans="1:6">
      <c r="B31" t="s">
        <v>72</v>
      </c>
      <c r="D31" s="19">
        <v>0</v>
      </c>
    </row>
    <row r="32" spans="1:6">
      <c r="B32" t="s">
        <v>237</v>
      </c>
      <c r="D32" s="226">
        <f>D23</f>
        <v>175918</v>
      </c>
    </row>
    <row r="33" spans="2:5">
      <c r="B33" t="s">
        <v>218</v>
      </c>
      <c r="E33" s="226">
        <f>E5+E8+E9+E10+E11+E4+E12+E6</f>
        <v>8986223</v>
      </c>
    </row>
    <row r="34" spans="2:5">
      <c r="B34" t="s">
        <v>238</v>
      </c>
      <c r="E34" s="226">
        <f>E7</f>
        <v>40694</v>
      </c>
    </row>
    <row r="35" spans="2:5">
      <c r="B35" t="s">
        <v>42</v>
      </c>
      <c r="E35" s="19">
        <f>E21</f>
        <v>0</v>
      </c>
    </row>
    <row r="36" spans="2:5">
      <c r="B36" t="s">
        <v>239</v>
      </c>
      <c r="E36" s="19">
        <f>E20+E22</f>
        <v>0</v>
      </c>
    </row>
    <row r="37" spans="2:5">
      <c r="B37" t="s">
        <v>149</v>
      </c>
      <c r="E37" s="19">
        <f>E23</f>
        <v>0</v>
      </c>
    </row>
    <row r="38" spans="2:5">
      <c r="D38" s="227">
        <f>SUM(D29:D37)</f>
        <v>9026917</v>
      </c>
      <c r="E38" s="227">
        <f>SUM(E29:E37)</f>
        <v>9026917</v>
      </c>
    </row>
    <row r="40" spans="2:5">
      <c r="D40" s="19">
        <f>D24-D38</f>
        <v>0</v>
      </c>
      <c r="E40" s="19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42578125" defaultRowHeight="15"/>
  <cols>
    <col min="2" max="2" width="39.42578125" customWidth="1"/>
    <col min="3" max="3" width="18.85546875" customWidth="1"/>
  </cols>
  <sheetData>
    <row r="1" spans="1:6">
      <c r="A1" s="213" t="s">
        <v>240</v>
      </c>
      <c r="B1" s="210"/>
      <c r="C1" s="211"/>
      <c r="D1" s="211"/>
      <c r="E1" s="211"/>
    </row>
    <row r="2" spans="1:6">
      <c r="A2" s="210"/>
      <c r="B2" s="210"/>
      <c r="C2" s="211"/>
      <c r="D2" s="211"/>
      <c r="E2" s="211"/>
    </row>
    <row r="3" spans="1:6">
      <c r="A3" s="210"/>
      <c r="B3" s="228" t="s">
        <v>215</v>
      </c>
      <c r="C3" s="195" t="s">
        <v>199</v>
      </c>
      <c r="D3" s="229" t="s">
        <v>216</v>
      </c>
      <c r="E3" s="215" t="s">
        <v>217</v>
      </c>
    </row>
    <row r="4" spans="1:6">
      <c r="A4" s="210"/>
      <c r="B4" s="230" t="s">
        <v>241</v>
      </c>
      <c r="C4" s="221" t="s">
        <v>212</v>
      </c>
      <c r="D4" s="217">
        <v>7761</v>
      </c>
      <c r="E4" s="217"/>
    </row>
    <row r="5" spans="1:6">
      <c r="A5" s="210"/>
      <c r="B5" s="231" t="s">
        <v>242</v>
      </c>
      <c r="C5" s="198" t="s">
        <v>243</v>
      </c>
      <c r="D5" s="211"/>
      <c r="E5" s="198">
        <f>D4</f>
        <v>7761</v>
      </c>
    </row>
    <row r="6" spans="1:6">
      <c r="A6" s="210"/>
      <c r="B6" s="232"/>
      <c r="C6" s="221"/>
      <c r="D6" s="221"/>
      <c r="E6" s="198"/>
      <c r="F6" s="233"/>
    </row>
    <row r="7" spans="1:6">
      <c r="A7" s="210"/>
      <c r="B7" s="234" t="s">
        <v>241</v>
      </c>
      <c r="C7" s="198" t="s">
        <v>212</v>
      </c>
      <c r="D7" s="198">
        <v>89615</v>
      </c>
      <c r="E7" s="198"/>
    </row>
    <row r="8" spans="1:6">
      <c r="A8" s="210"/>
      <c r="B8" s="231" t="s">
        <v>242</v>
      </c>
      <c r="C8" s="198" t="s">
        <v>244</v>
      </c>
      <c r="D8" s="211"/>
      <c r="E8" s="198">
        <f>D7</f>
        <v>89615</v>
      </c>
    </row>
    <row r="9" spans="1:6">
      <c r="A9" s="210"/>
      <c r="B9" s="231"/>
      <c r="C9" s="198"/>
      <c r="D9" s="211"/>
      <c r="E9" s="198"/>
    </row>
    <row r="10" spans="1:6">
      <c r="A10" s="210"/>
      <c r="B10" s="234" t="s">
        <v>241</v>
      </c>
      <c r="C10" s="198" t="s">
        <v>212</v>
      </c>
      <c r="D10" s="211">
        <v>88898</v>
      </c>
      <c r="E10" s="198"/>
    </row>
    <row r="11" spans="1:6">
      <c r="A11" s="210"/>
      <c r="B11" s="231" t="s">
        <v>50</v>
      </c>
      <c r="C11" s="198" t="s">
        <v>245</v>
      </c>
      <c r="D11" s="211"/>
      <c r="E11" s="198"/>
    </row>
    <row r="12" spans="1:6">
      <c r="A12" s="210"/>
      <c r="B12" s="231" t="s">
        <v>46</v>
      </c>
      <c r="C12" s="198" t="s">
        <v>245</v>
      </c>
      <c r="D12" s="211"/>
      <c r="E12" s="198">
        <v>11306</v>
      </c>
    </row>
    <row r="13" spans="1:6">
      <c r="A13" s="210"/>
      <c r="B13" s="231" t="s">
        <v>102</v>
      </c>
      <c r="C13" s="198"/>
      <c r="D13" s="211"/>
      <c r="E13" s="198">
        <v>77592</v>
      </c>
    </row>
    <row r="14" spans="1:6">
      <c r="A14" s="210"/>
      <c r="B14" s="231"/>
      <c r="C14" s="198"/>
      <c r="D14" s="211"/>
      <c r="E14" s="198"/>
    </row>
    <row r="15" spans="1:6">
      <c r="A15" s="210"/>
      <c r="B15" s="234" t="s">
        <v>241</v>
      </c>
      <c r="C15" s="198" t="s">
        <v>212</v>
      </c>
      <c r="D15" s="198">
        <v>85390</v>
      </c>
      <c r="E15" s="198"/>
    </row>
    <row r="16" spans="1:6">
      <c r="A16" s="210"/>
      <c r="B16" s="231" t="s">
        <v>242</v>
      </c>
      <c r="C16" s="198" t="s">
        <v>32</v>
      </c>
      <c r="D16" s="211"/>
      <c r="E16" s="198">
        <f>D15</f>
        <v>85390</v>
      </c>
    </row>
    <row r="17" spans="1:5">
      <c r="A17" s="210"/>
      <c r="B17" s="231"/>
      <c r="C17" s="198"/>
      <c r="D17" s="211"/>
      <c r="E17" s="198"/>
    </row>
    <row r="18" spans="1:5">
      <c r="A18" s="210"/>
      <c r="B18" s="216" t="s">
        <v>246</v>
      </c>
      <c r="C18" s="198" t="s">
        <v>212</v>
      </c>
      <c r="D18" s="211">
        <v>96986</v>
      </c>
      <c r="E18" s="198"/>
    </row>
    <row r="19" spans="1:5">
      <c r="A19" s="210"/>
      <c r="B19" s="231" t="s">
        <v>102</v>
      </c>
      <c r="C19" s="198" t="s">
        <v>247</v>
      </c>
      <c r="D19" s="211"/>
      <c r="E19" s="198">
        <f>+D18</f>
        <v>96986</v>
      </c>
    </row>
    <row r="20" spans="1:5">
      <c r="A20" s="210"/>
      <c r="B20" s="231"/>
      <c r="C20" s="198"/>
      <c r="D20" s="211"/>
      <c r="E20" s="198"/>
    </row>
    <row r="21" spans="1:5">
      <c r="A21" s="210"/>
      <c r="B21" s="216" t="s">
        <v>246</v>
      </c>
      <c r="C21" s="198" t="s">
        <v>247</v>
      </c>
      <c r="D21" s="211">
        <v>7818.58</v>
      </c>
      <c r="E21" s="198"/>
    </row>
    <row r="22" spans="1:5">
      <c r="A22" s="210"/>
      <c r="B22" s="235" t="s">
        <v>248</v>
      </c>
      <c r="C22" s="207" t="s">
        <v>212</v>
      </c>
      <c r="D22" s="236"/>
      <c r="E22" s="207">
        <v>7818.58</v>
      </c>
    </row>
    <row r="23" spans="1:5">
      <c r="A23" s="210"/>
      <c r="B23" s="210"/>
      <c r="C23" s="211"/>
      <c r="D23" s="212">
        <f>SUM(D4:D22)</f>
        <v>376468.58</v>
      </c>
      <c r="E23" s="212">
        <f>SUM(E4:E22)</f>
        <v>376468.58</v>
      </c>
    </row>
    <row r="26" spans="1:5">
      <c r="B26" t="s">
        <v>246</v>
      </c>
      <c r="D26" s="226">
        <f>D4+D18+D21+D7+D10+D15</f>
        <v>376468.58</v>
      </c>
    </row>
    <row r="27" spans="1:5">
      <c r="B27" s="237" t="s">
        <v>102</v>
      </c>
      <c r="E27" s="226">
        <f>E5+E19+E16+E13+E8</f>
        <v>357344</v>
      </c>
    </row>
    <row r="28" spans="1:5">
      <c r="B28" s="237" t="s">
        <v>248</v>
      </c>
      <c r="E28" s="226">
        <f>E22</f>
        <v>7818.58</v>
      </c>
    </row>
    <row r="29" spans="1:5">
      <c r="B29" s="237" t="s">
        <v>50</v>
      </c>
      <c r="E29" s="226">
        <f>E11</f>
        <v>0</v>
      </c>
    </row>
    <row r="30" spans="1:5">
      <c r="B30" s="237" t="s">
        <v>46</v>
      </c>
      <c r="E30" s="226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210"/>
    <col min="2" max="2" width="69" style="210" customWidth="1"/>
    <col min="3" max="3" width="23" style="211" customWidth="1"/>
    <col min="4" max="4" width="23.140625" style="211" customWidth="1"/>
    <col min="5" max="5" width="15.5703125" style="211" customWidth="1"/>
    <col min="6" max="6" width="21" style="211" customWidth="1"/>
    <col min="7" max="7" width="17.140625" style="211" customWidth="1"/>
    <col min="8" max="8" width="17.42578125" style="211" customWidth="1"/>
    <col min="9" max="10" width="15.5703125" style="211" customWidth="1"/>
    <col min="11" max="11" width="16.28515625" style="211" customWidth="1"/>
    <col min="12" max="12" width="15.140625" style="210" customWidth="1"/>
    <col min="13" max="13" width="16.28515625" style="210" customWidth="1"/>
    <col min="14" max="14" width="16.42578125" style="210" customWidth="1"/>
    <col min="15" max="15" width="14.85546875" style="210" customWidth="1"/>
    <col min="16" max="1024" width="11.42578125" style="210"/>
  </cols>
  <sheetData>
    <row r="1" spans="1:15">
      <c r="A1" s="213" t="s">
        <v>0</v>
      </c>
    </row>
    <row r="2" spans="1:15">
      <c r="A2" s="213" t="s">
        <v>249</v>
      </c>
    </row>
    <row r="3" spans="1:15">
      <c r="A3" s="213" t="s">
        <v>250</v>
      </c>
    </row>
    <row r="5" spans="1:15">
      <c r="A5" s="213" t="s">
        <v>251</v>
      </c>
      <c r="C5" s="210"/>
      <c r="D5" s="210"/>
      <c r="E5" s="210"/>
    </row>
    <row r="6" spans="1:15">
      <c r="A6" s="213"/>
      <c r="C6" s="210"/>
      <c r="D6" s="210"/>
      <c r="E6" s="210"/>
    </row>
    <row r="7" spans="1:15">
      <c r="A7" s="210" t="s">
        <v>252</v>
      </c>
      <c r="C7" s="238"/>
      <c r="D7" s="238"/>
      <c r="E7" s="238"/>
      <c r="F7" s="238"/>
      <c r="G7" s="238"/>
      <c r="H7" s="238"/>
      <c r="I7" s="238"/>
      <c r="J7" s="238"/>
    </row>
    <row r="8" spans="1:15">
      <c r="C8" s="238" t="s">
        <v>219</v>
      </c>
      <c r="D8" s="238" t="s">
        <v>253</v>
      </c>
      <c r="E8" s="238" t="s">
        <v>254</v>
      </c>
      <c r="F8" s="238" t="s">
        <v>231</v>
      </c>
      <c r="G8" s="238" t="s">
        <v>255</v>
      </c>
      <c r="H8" s="238" t="s">
        <v>256</v>
      </c>
      <c r="I8" s="238" t="s">
        <v>257</v>
      </c>
      <c r="J8" s="238" t="s">
        <v>258</v>
      </c>
      <c r="K8" s="238" t="s">
        <v>223</v>
      </c>
      <c r="L8" s="238" t="s">
        <v>259</v>
      </c>
    </row>
    <row r="9" spans="1:15">
      <c r="A9" s="210" t="s">
        <v>260</v>
      </c>
      <c r="C9" s="211">
        <v>3751.2600000000102</v>
      </c>
      <c r="D9" s="211">
        <f>+PNC!F16</f>
        <v>104950</v>
      </c>
      <c r="E9" s="211">
        <v>943459</v>
      </c>
      <c r="F9" s="211">
        <f>147840-49015</f>
        <v>98825</v>
      </c>
      <c r="G9" s="211">
        <f>462500-330450</f>
        <v>132050</v>
      </c>
      <c r="H9" s="211">
        <v>140052</v>
      </c>
      <c r="I9" s="211">
        <f>+PNC!F71</f>
        <v>6000</v>
      </c>
      <c r="J9" s="211">
        <v>1114176</v>
      </c>
      <c r="K9" s="211">
        <f>+PNC!F93</f>
        <v>740</v>
      </c>
      <c r="L9" s="211">
        <f>SUM(C9:K9)</f>
        <v>2544003.2599999998</v>
      </c>
    </row>
    <row r="10" spans="1:15">
      <c r="A10" s="210" t="s">
        <v>204</v>
      </c>
      <c r="C10" s="239">
        <v>437365.73999999801</v>
      </c>
      <c r="D10" s="239">
        <v>1260413</v>
      </c>
      <c r="E10" s="239">
        <v>0</v>
      </c>
      <c r="F10" s="239">
        <v>49015</v>
      </c>
      <c r="G10" s="239">
        <v>330450</v>
      </c>
      <c r="H10" s="239">
        <v>0</v>
      </c>
      <c r="I10" s="239">
        <v>0</v>
      </c>
      <c r="J10" s="239">
        <v>0</v>
      </c>
      <c r="K10" s="239">
        <v>0</v>
      </c>
      <c r="L10" s="239">
        <f>SUM(C10:K10)</f>
        <v>2077243.7399999979</v>
      </c>
    </row>
    <row r="11" spans="1:15">
      <c r="A11" s="213" t="s">
        <v>261</v>
      </c>
      <c r="C11" s="212">
        <f t="shared" ref="C11:L11" si="0">SUM(C9:C10)</f>
        <v>441116.99999999802</v>
      </c>
      <c r="D11" s="212">
        <f t="shared" si="0"/>
        <v>1365363</v>
      </c>
      <c r="E11" s="212">
        <f t="shared" si="0"/>
        <v>943459</v>
      </c>
      <c r="F11" s="212">
        <f t="shared" si="0"/>
        <v>147840</v>
      </c>
      <c r="G11" s="212">
        <f t="shared" si="0"/>
        <v>462500</v>
      </c>
      <c r="H11" s="212">
        <f t="shared" si="0"/>
        <v>140052</v>
      </c>
      <c r="I11" s="212">
        <f t="shared" si="0"/>
        <v>6000</v>
      </c>
      <c r="J11" s="212">
        <f t="shared" si="0"/>
        <v>1114176</v>
      </c>
      <c r="K11" s="212">
        <f t="shared" si="0"/>
        <v>740</v>
      </c>
      <c r="L11" s="212">
        <f t="shared" si="0"/>
        <v>4621246.9999999981</v>
      </c>
      <c r="M11" s="211">
        <v>10163519</v>
      </c>
      <c r="N11" s="240">
        <f>M11-L11</f>
        <v>5542272.0000000019</v>
      </c>
      <c r="O11" s="210">
        <v>224942.34</v>
      </c>
    </row>
    <row r="12" spans="1:15">
      <c r="B12" s="241" t="s">
        <v>262</v>
      </c>
      <c r="C12" s="211">
        <v>441117</v>
      </c>
      <c r="D12" s="211">
        <v>1365363</v>
      </c>
      <c r="E12" s="211">
        <v>943459</v>
      </c>
      <c r="F12" s="211">
        <v>147840</v>
      </c>
      <c r="G12" s="211">
        <v>462500</v>
      </c>
      <c r="H12" s="211">
        <v>140052</v>
      </c>
      <c r="I12" s="211">
        <v>6000</v>
      </c>
      <c r="J12" s="211">
        <v>1114176</v>
      </c>
      <c r="K12" s="211">
        <v>740</v>
      </c>
      <c r="L12" s="211">
        <f>SUM(C12:K12)</f>
        <v>4621247</v>
      </c>
      <c r="O12" s="240">
        <f>N11-O11+100</f>
        <v>5317429.660000002</v>
      </c>
    </row>
    <row r="13" spans="1:15">
      <c r="A13" s="213"/>
      <c r="B13" s="213"/>
      <c r="C13" s="212">
        <f t="shared" ref="C13:L13" si="1">+C12-C11</f>
        <v>1.9790604710578918E-9</v>
      </c>
      <c r="D13" s="212">
        <f t="shared" si="1"/>
        <v>0</v>
      </c>
      <c r="E13" s="212">
        <f t="shared" si="1"/>
        <v>0</v>
      </c>
      <c r="F13" s="212">
        <f t="shared" si="1"/>
        <v>0</v>
      </c>
      <c r="G13" s="212">
        <f t="shared" si="1"/>
        <v>0</v>
      </c>
      <c r="H13" s="212">
        <f t="shared" si="1"/>
        <v>0</v>
      </c>
      <c r="I13" s="212">
        <f t="shared" si="1"/>
        <v>0</v>
      </c>
      <c r="J13" s="212">
        <f t="shared" si="1"/>
        <v>0</v>
      </c>
      <c r="K13" s="212">
        <f t="shared" si="1"/>
        <v>0</v>
      </c>
      <c r="L13" s="212">
        <f t="shared" si="1"/>
        <v>0</v>
      </c>
    </row>
    <row r="14" spans="1:15">
      <c r="A14" s="213"/>
      <c r="C14" s="210"/>
      <c r="D14" s="210"/>
      <c r="E14" s="210"/>
    </row>
    <row r="15" spans="1:15">
      <c r="A15" s="213"/>
      <c r="B15" s="194" t="s">
        <v>198</v>
      </c>
      <c r="C15" s="195" t="s">
        <v>199</v>
      </c>
      <c r="D15" s="242" t="s">
        <v>200</v>
      </c>
      <c r="E15" s="243" t="s">
        <v>201</v>
      </c>
      <c r="F15" s="244"/>
    </row>
    <row r="16" spans="1:15">
      <c r="A16" s="213"/>
      <c r="B16" s="197" t="s">
        <v>263</v>
      </c>
      <c r="C16" s="198" t="s">
        <v>203</v>
      </c>
      <c r="D16" s="245">
        <f>+L10</f>
        <v>2077243.7399999979</v>
      </c>
      <c r="E16" s="246"/>
      <c r="F16" s="210"/>
    </row>
    <row r="17" spans="1:12">
      <c r="A17" s="213"/>
      <c r="B17" s="206" t="s">
        <v>211</v>
      </c>
      <c r="C17" s="207" t="s">
        <v>212</v>
      </c>
      <c r="D17" s="247"/>
      <c r="E17" s="247">
        <f>+D16</f>
        <v>2077243.7399999979</v>
      </c>
      <c r="F17" s="248"/>
    </row>
    <row r="18" spans="1:12">
      <c r="A18" s="213"/>
      <c r="D18" s="210"/>
      <c r="E18" s="210"/>
      <c r="F18" s="210"/>
    </row>
    <row r="19" spans="1:12">
      <c r="A19" s="213"/>
      <c r="D19" s="249">
        <f>SUM(D16:D18)</f>
        <v>2077243.7399999979</v>
      </c>
      <c r="E19" s="249">
        <f>SUM(E16:E18)</f>
        <v>2077243.7399999979</v>
      </c>
      <c r="F19" s="250">
        <f>+D19-E19</f>
        <v>0</v>
      </c>
      <c r="G19" s="211">
        <f>D16+D25+D62</f>
        <v>38824192</v>
      </c>
    </row>
    <row r="20" spans="1:12">
      <c r="G20" s="211">
        <f>G19-SUM('ESF - ERI'!E49:M49)</f>
        <v>-2.0000003278255463E-2</v>
      </c>
    </row>
    <row r="21" spans="1:12">
      <c r="A21" s="213" t="s">
        <v>264</v>
      </c>
    </row>
    <row r="23" spans="1:12">
      <c r="A23" s="244"/>
      <c r="B23" s="194" t="s">
        <v>198</v>
      </c>
      <c r="C23" s="195" t="s">
        <v>199</v>
      </c>
      <c r="D23" s="196" t="s">
        <v>200</v>
      </c>
      <c r="E23" s="196" t="s">
        <v>201</v>
      </c>
      <c r="F23" s="251"/>
      <c r="G23" s="251"/>
      <c r="H23" s="251"/>
      <c r="I23" s="251"/>
      <c r="J23" s="251"/>
      <c r="K23" s="252"/>
    </row>
    <row r="24" spans="1:12">
      <c r="B24" s="197" t="s">
        <v>202</v>
      </c>
      <c r="C24" s="198" t="s">
        <v>203</v>
      </c>
      <c r="D24" s="200">
        <f>SUM('ESF - ERI'!E48:M48)</f>
        <v>138600</v>
      </c>
      <c r="E24" s="200"/>
      <c r="F24" s="253"/>
      <c r="G24" s="254"/>
      <c r="H24" s="254"/>
      <c r="I24" s="254"/>
      <c r="J24" s="254"/>
      <c r="L24" s="250"/>
    </row>
    <row r="25" spans="1:12">
      <c r="B25" s="201" t="s">
        <v>204</v>
      </c>
      <c r="C25" s="198" t="s">
        <v>203</v>
      </c>
      <c r="D25" s="202">
        <f>+'ESF - ERI'!E49-'Asientos - para Consolidado'!D62-C10</f>
        <v>9477384</v>
      </c>
      <c r="E25" s="203"/>
      <c r="F25" s="253"/>
      <c r="G25" s="254"/>
      <c r="H25" s="254"/>
      <c r="I25" s="254"/>
      <c r="J25" s="254"/>
      <c r="L25" s="250"/>
    </row>
    <row r="26" spans="1:12">
      <c r="B26" s="201" t="s">
        <v>205</v>
      </c>
      <c r="C26" s="198" t="s">
        <v>203</v>
      </c>
      <c r="D26" s="203">
        <f>SUM('ESF - ERI'!E50:M50)</f>
        <v>184560.05</v>
      </c>
      <c r="E26" s="203"/>
      <c r="F26" s="253"/>
      <c r="G26" s="254"/>
      <c r="H26" s="254"/>
      <c r="J26" s="254"/>
      <c r="L26" s="250"/>
    </row>
    <row r="27" spans="1:12">
      <c r="B27" s="201" t="s">
        <v>206</v>
      </c>
      <c r="C27" s="198" t="s">
        <v>203</v>
      </c>
      <c r="D27" s="203">
        <f>SUM('ESF - ERI'!E52:M52)</f>
        <v>1566.29</v>
      </c>
      <c r="E27" s="203"/>
      <c r="F27" s="253"/>
      <c r="G27" s="254"/>
      <c r="H27" s="254"/>
      <c r="I27" s="254"/>
      <c r="J27" s="254"/>
      <c r="L27" s="250"/>
    </row>
    <row r="28" spans="1:12">
      <c r="B28" s="201" t="s">
        <v>93</v>
      </c>
      <c r="C28" s="198" t="s">
        <v>203</v>
      </c>
      <c r="D28" s="203">
        <f>SUM('ESF - ERI'!E53:M53)</f>
        <v>82150.45</v>
      </c>
      <c r="E28" s="203"/>
      <c r="F28" s="253"/>
      <c r="G28" s="254"/>
      <c r="H28" s="254"/>
      <c r="I28" s="254"/>
      <c r="J28" s="254"/>
      <c r="L28" s="250"/>
    </row>
    <row r="29" spans="1:12">
      <c r="B29" s="201" t="s">
        <v>207</v>
      </c>
      <c r="C29" s="198" t="s">
        <v>203</v>
      </c>
      <c r="D29" s="203">
        <f>SUM('ESF - ERI'!E55:M55)</f>
        <v>957283.5199999999</v>
      </c>
      <c r="E29" s="203"/>
      <c r="F29" s="253"/>
      <c r="G29" s="254"/>
      <c r="I29" s="254"/>
      <c r="J29" s="254"/>
      <c r="L29" s="250"/>
    </row>
    <row r="30" spans="1:12" hidden="1">
      <c r="B30" s="201" t="s">
        <v>265</v>
      </c>
      <c r="C30" s="198"/>
      <c r="D30" s="203"/>
      <c r="E30" s="203"/>
      <c r="F30" s="254"/>
      <c r="G30" s="254"/>
      <c r="H30" s="254"/>
      <c r="I30" s="254"/>
      <c r="J30" s="254"/>
    </row>
    <row r="31" spans="1:12">
      <c r="B31" s="255" t="s">
        <v>62</v>
      </c>
      <c r="C31" s="256" t="s">
        <v>208</v>
      </c>
      <c r="D31" s="257">
        <f>+PNC!C103</f>
        <v>394335.36694421433</v>
      </c>
      <c r="E31" s="203"/>
      <c r="F31" s="254"/>
      <c r="G31" s="254"/>
      <c r="H31" s="254"/>
      <c r="I31" s="254"/>
      <c r="J31" s="254"/>
    </row>
    <row r="32" spans="1:12">
      <c r="B32" s="255" t="s">
        <v>209</v>
      </c>
      <c r="C32" s="256" t="s">
        <v>208</v>
      </c>
      <c r="D32" s="257">
        <f>+PNC!C102</f>
        <v>828548.36364874605</v>
      </c>
      <c r="E32" s="203"/>
      <c r="F32" s="254"/>
      <c r="G32" s="254"/>
      <c r="H32" s="254"/>
      <c r="I32" s="254"/>
      <c r="J32" s="254"/>
    </row>
    <row r="33" spans="1:13">
      <c r="B33" s="204" t="s">
        <v>210</v>
      </c>
      <c r="C33" s="198" t="s">
        <v>208</v>
      </c>
      <c r="D33" s="203">
        <v>881973.00000000605</v>
      </c>
      <c r="E33" s="203"/>
      <c r="F33" s="254" t="s">
        <v>266</v>
      </c>
      <c r="G33" s="254"/>
      <c r="H33" s="254"/>
      <c r="I33" s="254"/>
      <c r="J33" s="254"/>
    </row>
    <row r="34" spans="1:13">
      <c r="B34" s="258" t="s">
        <v>209</v>
      </c>
      <c r="C34" s="256" t="s">
        <v>203</v>
      </c>
      <c r="D34" s="257"/>
      <c r="E34" s="257">
        <f>-SUM('ESF - ERI'!E56:M56)</f>
        <v>1044878.7099375</v>
      </c>
      <c r="F34" s="254"/>
      <c r="G34" s="254"/>
      <c r="H34" s="254"/>
      <c r="I34" s="254"/>
      <c r="J34" s="254"/>
      <c r="L34" s="259"/>
    </row>
    <row r="35" spans="1:13">
      <c r="A35" s="248"/>
      <c r="B35" s="201" t="s">
        <v>211</v>
      </c>
      <c r="C35" s="198" t="s">
        <v>212</v>
      </c>
      <c r="D35" s="203"/>
      <c r="E35" s="203">
        <f>+'Asientos - para Consolidado'!L9</f>
        <v>2544003.2599999998</v>
      </c>
      <c r="F35" s="254"/>
      <c r="G35" s="254"/>
      <c r="H35" s="254"/>
      <c r="I35" s="254"/>
      <c r="J35" s="254"/>
      <c r="K35" s="212"/>
      <c r="L35" s="250"/>
    </row>
    <row r="36" spans="1:13">
      <c r="B36" s="206" t="s">
        <v>213</v>
      </c>
      <c r="C36" s="207" t="s">
        <v>208</v>
      </c>
      <c r="D36" s="208"/>
      <c r="E36" s="208">
        <f>+PNC!C101</f>
        <v>9357519.0706554651</v>
      </c>
      <c r="F36" s="254"/>
      <c r="G36" s="254"/>
      <c r="H36" s="254"/>
      <c r="I36" s="254"/>
      <c r="J36" s="254"/>
      <c r="L36" s="250"/>
    </row>
    <row r="37" spans="1:13" ht="5.25" customHeight="1"/>
    <row r="38" spans="1:13">
      <c r="D38" s="212">
        <f>SUM(D24:D37)</f>
        <v>12946401.040592965</v>
      </c>
      <c r="E38" s="212">
        <f>SUM(E24:E37)</f>
        <v>12946401.040592965</v>
      </c>
      <c r="F38" s="212"/>
      <c r="G38" s="212"/>
      <c r="H38" s="212"/>
      <c r="I38" s="212"/>
      <c r="J38" s="212"/>
      <c r="K38" s="211">
        <f>+D38-E38</f>
        <v>0</v>
      </c>
    </row>
    <row r="39" spans="1:13">
      <c r="C39" s="212"/>
      <c r="D39" s="212"/>
      <c r="E39" s="211">
        <f>+E38-D38</f>
        <v>0</v>
      </c>
    </row>
    <row r="40" spans="1:13">
      <c r="A40" s="213" t="s">
        <v>267</v>
      </c>
    </row>
    <row r="42" spans="1:13" ht="24.75" customHeight="1">
      <c r="B42" s="228" t="s">
        <v>215</v>
      </c>
      <c r="C42" s="195" t="s">
        <v>199</v>
      </c>
      <c r="D42" s="229" t="s">
        <v>216</v>
      </c>
      <c r="E42" s="215" t="s">
        <v>217</v>
      </c>
      <c r="F42" s="252"/>
      <c r="G42" s="252"/>
      <c r="H42" s="252"/>
      <c r="I42" s="252"/>
      <c r="J42" s="252"/>
    </row>
    <row r="43" spans="1:13" ht="19.5" customHeight="1">
      <c r="B43" s="260" t="s">
        <v>268</v>
      </c>
      <c r="C43" s="217" t="s">
        <v>212</v>
      </c>
      <c r="D43" s="261">
        <f>444582</f>
        <v>444582</v>
      </c>
      <c r="E43" s="217"/>
      <c r="G43" s="262" t="s">
        <v>269</v>
      </c>
      <c r="H43" s="261"/>
      <c r="I43" s="261"/>
      <c r="J43" s="261"/>
      <c r="K43" s="261"/>
      <c r="L43" s="263"/>
      <c r="M43" s="264"/>
    </row>
    <row r="44" spans="1:13" ht="19.5" customHeight="1">
      <c r="B44" s="231" t="s">
        <v>270</v>
      </c>
      <c r="C44" s="198" t="s">
        <v>212</v>
      </c>
      <c r="E44" s="198">
        <v>444582</v>
      </c>
      <c r="G44" s="265">
        <f>492416-47834.13</f>
        <v>444581.87</v>
      </c>
      <c r="H44" s="236" t="s">
        <v>271</v>
      </c>
      <c r="I44" s="236"/>
      <c r="J44" s="236"/>
      <c r="K44" s="236"/>
      <c r="L44" s="266"/>
      <c r="M44" s="267"/>
    </row>
    <row r="45" spans="1:13" ht="19.5" customHeight="1">
      <c r="B45" s="216"/>
      <c r="C45" s="198"/>
      <c r="E45" s="198"/>
      <c r="F45" s="217" t="s">
        <v>272</v>
      </c>
      <c r="G45" s="262" t="s">
        <v>273</v>
      </c>
      <c r="H45" s="261"/>
      <c r="I45" s="261"/>
      <c r="J45" s="261"/>
      <c r="K45" s="261"/>
      <c r="L45" s="263"/>
      <c r="M45" s="264"/>
    </row>
    <row r="46" spans="1:13" ht="19.5" customHeight="1">
      <c r="B46" s="216" t="s">
        <v>274</v>
      </c>
      <c r="C46" s="198" t="s">
        <v>212</v>
      </c>
      <c r="D46" s="211">
        <v>11030</v>
      </c>
      <c r="E46" s="198"/>
      <c r="F46" s="207" t="s">
        <v>275</v>
      </c>
      <c r="G46" s="265">
        <f>860302.4-11761.2</f>
        <v>848541.20000000007</v>
      </c>
      <c r="H46" s="236" t="s">
        <v>271</v>
      </c>
      <c r="I46" s="236"/>
      <c r="J46" s="236"/>
      <c r="K46" s="236"/>
      <c r="L46" s="266"/>
      <c r="M46" s="267"/>
    </row>
    <row r="47" spans="1:13" ht="19.5" customHeight="1">
      <c r="B47" s="231" t="s">
        <v>276</v>
      </c>
      <c r="C47" s="198" t="s">
        <v>277</v>
      </c>
      <c r="E47" s="198">
        <f>+D46</f>
        <v>11030</v>
      </c>
    </row>
    <row r="48" spans="1:13" ht="19.5" customHeight="1">
      <c r="B48" s="231"/>
      <c r="C48" s="198"/>
      <c r="E48" s="198"/>
    </row>
    <row r="49" spans="1:10" ht="19.5" customHeight="1">
      <c r="B49" s="231"/>
      <c r="C49" s="198"/>
      <c r="E49" s="198"/>
      <c r="I49" s="211">
        <f>963539</f>
        <v>963539</v>
      </c>
      <c r="J49" s="211">
        <f>I49/1.12</f>
        <v>860302.67857142852</v>
      </c>
    </row>
    <row r="50" spans="1:10" ht="19.5" customHeight="1">
      <c r="B50" s="235"/>
      <c r="C50" s="207"/>
      <c r="D50" s="236"/>
      <c r="E50" s="207"/>
      <c r="I50" s="211">
        <v>13173</v>
      </c>
      <c r="J50" s="211">
        <f>I50/1.12</f>
        <v>11761.607142857141</v>
      </c>
    </row>
    <row r="51" spans="1:10">
      <c r="D51" s="212">
        <f>SUM(D43:D50)</f>
        <v>455612</v>
      </c>
      <c r="E51" s="212">
        <f>SUM(E43:E50)</f>
        <v>455612</v>
      </c>
      <c r="F51" s="212"/>
      <c r="G51" s="212"/>
      <c r="H51" s="212"/>
      <c r="I51" s="212"/>
      <c r="J51" s="212">
        <f>J49-J50</f>
        <v>848541.07142857136</v>
      </c>
    </row>
    <row r="53" spans="1:10">
      <c r="A53" s="213" t="s">
        <v>214</v>
      </c>
    </row>
    <row r="55" spans="1:10" ht="24.75" customHeight="1">
      <c r="B55" s="214" t="s">
        <v>215</v>
      </c>
      <c r="C55" s="195" t="s">
        <v>199</v>
      </c>
      <c r="D55" s="215" t="s">
        <v>216</v>
      </c>
      <c r="E55" s="215" t="s">
        <v>217</v>
      </c>
      <c r="F55" s="252"/>
      <c r="G55" s="252"/>
      <c r="H55" s="252"/>
      <c r="I55" s="252"/>
      <c r="J55" s="252"/>
    </row>
    <row r="56" spans="1:10" ht="19.5" customHeight="1">
      <c r="B56" s="216" t="s">
        <v>227</v>
      </c>
      <c r="C56" s="198" t="s">
        <v>278</v>
      </c>
      <c r="D56" s="261">
        <v>100000</v>
      </c>
      <c r="E56" s="217"/>
    </row>
    <row r="57" spans="1:10" ht="19.5" customHeight="1">
      <c r="B57" s="216" t="s">
        <v>279</v>
      </c>
      <c r="C57" s="198" t="s">
        <v>278</v>
      </c>
      <c r="D57" s="211">
        <v>2666934.9300000002</v>
      </c>
      <c r="E57" s="198"/>
    </row>
    <row r="58" spans="1:10" ht="19.5" customHeight="1">
      <c r="B58" s="216" t="s">
        <v>227</v>
      </c>
      <c r="C58" s="198" t="s">
        <v>280</v>
      </c>
      <c r="D58" s="211">
        <f>1268003</f>
        <v>1268003</v>
      </c>
      <c r="E58" s="198"/>
    </row>
    <row r="59" spans="1:10" ht="19.5" customHeight="1">
      <c r="B59" s="216" t="s">
        <v>227</v>
      </c>
      <c r="C59" s="198" t="s">
        <v>281</v>
      </c>
      <c r="D59" s="211">
        <f>+E70</f>
        <v>505881.68</v>
      </c>
      <c r="E59" s="198"/>
    </row>
    <row r="60" spans="1:10" ht="19.5" customHeight="1">
      <c r="B60" s="216" t="s">
        <v>227</v>
      </c>
      <c r="C60" s="198" t="s">
        <v>282</v>
      </c>
      <c r="D60" s="211">
        <v>794</v>
      </c>
      <c r="E60" s="198"/>
    </row>
    <row r="61" spans="1:10" ht="19.5" customHeight="1">
      <c r="B61" s="216" t="s">
        <v>227</v>
      </c>
      <c r="C61" s="198" t="s">
        <v>277</v>
      </c>
      <c r="D61" s="211">
        <f>1161180+940330</f>
        <v>2101510</v>
      </c>
      <c r="E61" s="198"/>
    </row>
    <row r="62" spans="1:10" ht="19.5" customHeight="1">
      <c r="B62" s="216" t="s">
        <v>204</v>
      </c>
      <c r="C62" s="198" t="s">
        <v>277</v>
      </c>
      <c r="D62" s="223">
        <f>27706930-C10</f>
        <v>27269564.260000002</v>
      </c>
      <c r="E62" s="198"/>
    </row>
    <row r="63" spans="1:10" ht="19.5" customHeight="1">
      <c r="B63" s="216" t="s">
        <v>227</v>
      </c>
      <c r="C63" s="198" t="s">
        <v>212</v>
      </c>
      <c r="D63" s="211">
        <f>+E66</f>
        <v>656792</v>
      </c>
      <c r="E63" s="198"/>
    </row>
    <row r="64" spans="1:10" ht="19.5" customHeight="1">
      <c r="B64" s="216" t="s">
        <v>227</v>
      </c>
      <c r="C64" s="198" t="s">
        <v>277</v>
      </c>
      <c r="D64" s="211">
        <f>+E67</f>
        <v>11643.21</v>
      </c>
      <c r="E64" s="198"/>
    </row>
    <row r="65" spans="1:10" ht="19.5" customHeight="1">
      <c r="B65" s="216" t="s">
        <v>227</v>
      </c>
      <c r="C65" s="198" t="s">
        <v>278</v>
      </c>
      <c r="D65" s="211">
        <f>+E68</f>
        <v>116867</v>
      </c>
      <c r="E65" s="198"/>
    </row>
    <row r="66" spans="1:10" ht="19.5" customHeight="1">
      <c r="B66" s="216" t="s">
        <v>218</v>
      </c>
      <c r="C66" s="198" t="s">
        <v>280</v>
      </c>
      <c r="E66" s="198">
        <v>656792</v>
      </c>
    </row>
    <row r="67" spans="1:10" ht="19.5" customHeight="1">
      <c r="B67" s="216" t="s">
        <v>218</v>
      </c>
      <c r="C67" s="198" t="s">
        <v>278</v>
      </c>
      <c r="E67" s="198">
        <v>11643.21</v>
      </c>
    </row>
    <row r="68" spans="1:10" ht="19.5" customHeight="1">
      <c r="B68" s="216" t="s">
        <v>218</v>
      </c>
      <c r="C68" s="198" t="s">
        <v>277</v>
      </c>
      <c r="E68" s="198">
        <v>116867</v>
      </c>
    </row>
    <row r="69" spans="1:10" ht="19.5" customHeight="1">
      <c r="B69" s="216" t="s">
        <v>218</v>
      </c>
      <c r="C69" s="198" t="s">
        <v>212</v>
      </c>
      <c r="E69" s="198">
        <f>2766935+1268003+D60+1161180</f>
        <v>5196912</v>
      </c>
    </row>
    <row r="70" spans="1:10" ht="19.5" customHeight="1">
      <c r="B70" s="216" t="s">
        <v>42</v>
      </c>
      <c r="C70" s="198" t="s">
        <v>212</v>
      </c>
      <c r="E70" s="198">
        <v>505881.68</v>
      </c>
    </row>
    <row r="71" spans="1:10" ht="19.5" customHeight="1">
      <c r="B71" s="216" t="s">
        <v>283</v>
      </c>
      <c r="C71" s="198" t="s">
        <v>212</v>
      </c>
      <c r="E71" s="198">
        <v>940330</v>
      </c>
    </row>
    <row r="72" spans="1:10" ht="19.5" customHeight="1">
      <c r="B72" s="224" t="s">
        <v>284</v>
      </c>
      <c r="C72" s="207" t="s">
        <v>212</v>
      </c>
      <c r="D72" s="236"/>
      <c r="E72" s="207">
        <f>+D62</f>
        <v>27269564.260000002</v>
      </c>
    </row>
    <row r="73" spans="1:10">
      <c r="D73" s="212">
        <f>SUM(D56:D72)</f>
        <v>34697990.080000006</v>
      </c>
      <c r="E73" s="212">
        <f>SUM(E56:E72)</f>
        <v>34697990.149999999</v>
      </c>
      <c r="F73" s="212"/>
      <c r="G73" s="212"/>
      <c r="H73" s="212"/>
      <c r="I73" s="212"/>
      <c r="J73" s="212"/>
    </row>
    <row r="76" spans="1:10">
      <c r="A76" s="213" t="s">
        <v>285</v>
      </c>
    </row>
    <row r="78" spans="1:10">
      <c r="A78" s="244"/>
      <c r="B78" s="194" t="s">
        <v>198</v>
      </c>
      <c r="C78" s="195" t="s">
        <v>199</v>
      </c>
      <c r="D78" s="196" t="s">
        <v>200</v>
      </c>
      <c r="E78" s="196" t="s">
        <v>201</v>
      </c>
    </row>
    <row r="79" spans="1:10">
      <c r="B79" s="197" t="s">
        <v>105</v>
      </c>
      <c r="C79" s="198" t="s">
        <v>286</v>
      </c>
      <c r="D79" s="200">
        <f>459066*0.49</f>
        <v>224942.34</v>
      </c>
      <c r="E79" s="200"/>
    </row>
    <row r="80" spans="1:10">
      <c r="B80" s="206" t="s">
        <v>287</v>
      </c>
      <c r="C80" s="207" t="s">
        <v>286</v>
      </c>
      <c r="D80" s="208"/>
      <c r="E80" s="208">
        <f>+D79</f>
        <v>224942.34</v>
      </c>
    </row>
    <row r="82" spans="4:5">
      <c r="D82" s="212">
        <f>SUM(D79:D81)</f>
        <v>224942.34</v>
      </c>
      <c r="E82" s="212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68"/>
    <col min="2" max="2" width="72.28515625" style="269" customWidth="1"/>
    <col min="3" max="3" width="23.42578125" style="270" customWidth="1"/>
    <col min="4" max="4" width="11.42578125" style="268"/>
    <col min="5" max="5" width="13.140625" style="271" customWidth="1"/>
    <col min="6" max="6" width="15.28515625" style="271" customWidth="1"/>
    <col min="7" max="7" width="14.140625" style="271" customWidth="1"/>
    <col min="8" max="8" width="17.5703125" style="271" customWidth="1"/>
    <col min="9" max="9" width="21.28515625" style="271" customWidth="1"/>
    <col min="10" max="10" width="14.42578125" style="271" customWidth="1"/>
    <col min="11" max="1024" width="11.42578125" style="271"/>
  </cols>
  <sheetData>
    <row r="1" spans="2:10">
      <c r="B1" s="272" t="s">
        <v>288</v>
      </c>
      <c r="C1" s="273"/>
    </row>
    <row r="2" spans="2:10">
      <c r="B2" s="274" t="s">
        <v>289</v>
      </c>
      <c r="C2" s="275">
        <f>+'ESF - ERI'!E58</f>
        <v>36760932</v>
      </c>
      <c r="F2" s="276"/>
      <c r="H2" s="268"/>
    </row>
    <row r="3" spans="2:10">
      <c r="B3" s="277"/>
      <c r="C3" s="278"/>
      <c r="I3" s="279"/>
    </row>
    <row r="4" spans="2:10" ht="30">
      <c r="B4" s="280" t="s">
        <v>290</v>
      </c>
      <c r="C4" s="281" t="s">
        <v>291</v>
      </c>
      <c r="E4" s="268"/>
      <c r="F4" s="268"/>
      <c r="G4" s="268"/>
      <c r="H4" s="268"/>
      <c r="I4" s="282"/>
    </row>
    <row r="5" spans="2:10">
      <c r="B5" s="283" t="s">
        <v>292</v>
      </c>
      <c r="C5" s="284">
        <f>+'Asientos - para Consolidado'!C9</f>
        <v>3751.2600000000102</v>
      </c>
      <c r="E5" s="285"/>
      <c r="F5" s="286">
        <v>3751</v>
      </c>
      <c r="G5" s="287">
        <f>+F5/$F$7</f>
        <v>0.75019999999999998</v>
      </c>
      <c r="H5" s="268" t="s">
        <v>293</v>
      </c>
      <c r="I5" s="288"/>
    </row>
    <row r="6" spans="2:10">
      <c r="B6" s="283" t="s">
        <v>294</v>
      </c>
      <c r="C6" s="289">
        <f>C2*G6</f>
        <v>9182880.8136</v>
      </c>
      <c r="D6" s="290" t="s">
        <v>295</v>
      </c>
      <c r="E6" s="268"/>
      <c r="F6" s="291">
        <v>1249</v>
      </c>
      <c r="G6" s="287">
        <f>+F6/$F$7</f>
        <v>0.24979999999999999</v>
      </c>
      <c r="H6" s="268" t="s">
        <v>296</v>
      </c>
      <c r="I6" s="292">
        <f>C6-'Asientos - para Consolidado'!D25</f>
        <v>-294503.18640000001</v>
      </c>
    </row>
    <row r="7" spans="2:10">
      <c r="B7" s="283" t="s">
        <v>297</v>
      </c>
      <c r="C7" s="293">
        <f>+C5+C6</f>
        <v>9186632.0735999998</v>
      </c>
      <c r="E7" s="268"/>
      <c r="F7" s="286">
        <f>SUM(F5:F6)</f>
        <v>5000</v>
      </c>
      <c r="G7" s="294"/>
      <c r="H7" s="268"/>
      <c r="I7" s="282">
        <f>I6-C9</f>
        <v>-427133.25999999605</v>
      </c>
    </row>
    <row r="8" spans="2:10" ht="15" customHeight="1">
      <c r="B8" s="283" t="s">
        <v>298</v>
      </c>
      <c r="C8" s="284">
        <f>+C2-'Asientos - para Consolidado'!C10-'Asientos - para Consolidado'!D62</f>
        <v>9054002.0000000037</v>
      </c>
      <c r="D8" s="8" t="s">
        <v>299</v>
      </c>
      <c r="E8" s="8"/>
      <c r="F8" s="8"/>
      <c r="G8" s="8"/>
      <c r="H8" s="8"/>
      <c r="I8" s="292"/>
    </row>
    <row r="9" spans="2:10" ht="15.75" customHeight="1">
      <c r="B9" s="295" t="s">
        <v>62</v>
      </c>
      <c r="C9" s="296">
        <f>+C7-C8</f>
        <v>132630.07359999605</v>
      </c>
      <c r="D9" s="290" t="s">
        <v>300</v>
      </c>
      <c r="E9" s="7" t="s">
        <v>301</v>
      </c>
      <c r="F9" s="7"/>
      <c r="G9" s="294"/>
      <c r="H9" s="268"/>
      <c r="I9" s="282"/>
      <c r="J9" s="292"/>
    </row>
    <row r="10" spans="2:10">
      <c r="B10" s="297"/>
      <c r="C10" s="298"/>
      <c r="G10" s="299"/>
    </row>
    <row r="11" spans="2:10">
      <c r="J11" s="288"/>
    </row>
    <row r="12" spans="2:10">
      <c r="B12" s="272" t="s">
        <v>302</v>
      </c>
      <c r="C12" s="273"/>
    </row>
    <row r="13" spans="2:10" ht="15" customHeight="1">
      <c r="B13" s="274" t="s">
        <v>289</v>
      </c>
      <c r="C13" s="275">
        <f>+'ESF - ERI'!F58-'ESF - ERI'!F49</f>
        <v>21123.449999999953</v>
      </c>
      <c r="D13" s="8" t="s">
        <v>299</v>
      </c>
      <c r="E13" s="8"/>
      <c r="F13" s="8"/>
      <c r="G13" s="8"/>
      <c r="H13" s="8"/>
      <c r="I13" s="292"/>
      <c r="J13" s="288"/>
    </row>
    <row r="14" spans="2:10">
      <c r="B14" s="277"/>
      <c r="C14" s="278"/>
      <c r="J14" s="279"/>
    </row>
    <row r="15" spans="2:10" ht="30">
      <c r="B15" s="280" t="s">
        <v>303</v>
      </c>
      <c r="C15" s="281" t="s">
        <v>291</v>
      </c>
      <c r="E15" s="268"/>
      <c r="F15" s="268"/>
      <c r="G15" s="268"/>
      <c r="H15" s="268"/>
    </row>
    <row r="16" spans="2:10">
      <c r="B16" s="283" t="s">
        <v>292</v>
      </c>
      <c r="C16" s="284">
        <f>+'Asientos - para Consolidado'!D9</f>
        <v>104950</v>
      </c>
      <c r="E16" s="285"/>
      <c r="F16" s="286">
        <v>104950</v>
      </c>
      <c r="G16" s="287">
        <f>+F16/$F$18</f>
        <v>0.99952380952380948</v>
      </c>
      <c r="H16" s="268" t="s">
        <v>293</v>
      </c>
      <c r="I16" s="276"/>
    </row>
    <row r="17" spans="2:9">
      <c r="B17" s="283" t="s">
        <v>304</v>
      </c>
      <c r="C17" s="289">
        <f>C13*G17</f>
        <v>10.058785714285692</v>
      </c>
      <c r="D17" s="290" t="s">
        <v>295</v>
      </c>
      <c r="E17" s="268"/>
      <c r="F17" s="291">
        <v>50</v>
      </c>
      <c r="G17" s="287">
        <f>+F17/$F$18</f>
        <v>4.7619047619047619E-4</v>
      </c>
      <c r="H17" s="268" t="s">
        <v>296</v>
      </c>
      <c r="I17" s="279"/>
    </row>
    <row r="18" spans="2:9">
      <c r="B18" s="283" t="s">
        <v>297</v>
      </c>
      <c r="C18" s="293">
        <f>+C16+C17</f>
        <v>104960.05878571428</v>
      </c>
      <c r="E18" s="268"/>
      <c r="F18" s="286">
        <f>SUM(F16:F17)</f>
        <v>105000</v>
      </c>
      <c r="G18" s="294"/>
      <c r="H18" s="268"/>
      <c r="I18" s="292"/>
    </row>
    <row r="19" spans="2:9">
      <c r="B19" s="283" t="s">
        <v>305</v>
      </c>
      <c r="C19" s="284">
        <f>+C13</f>
        <v>21123.449999999953</v>
      </c>
      <c r="D19" s="290"/>
      <c r="E19" s="268"/>
      <c r="F19" s="268"/>
      <c r="G19" s="294"/>
      <c r="H19" s="268"/>
      <c r="I19" s="292"/>
    </row>
    <row r="20" spans="2:9">
      <c r="B20" s="295" t="s">
        <v>62</v>
      </c>
      <c r="C20" s="296">
        <f>+C18-C19</f>
        <v>83836.608785714328</v>
      </c>
      <c r="D20" s="290" t="s">
        <v>306</v>
      </c>
      <c r="E20" s="268"/>
      <c r="F20" s="268"/>
      <c r="G20" s="294"/>
      <c r="H20" s="268"/>
      <c r="I20" s="292"/>
    </row>
    <row r="21" spans="2:9" ht="9" customHeight="1">
      <c r="B21" s="297"/>
      <c r="C21" s="298"/>
      <c r="G21" s="299"/>
      <c r="I21" s="279"/>
    </row>
    <row r="23" spans="2:9">
      <c r="B23" s="272" t="s">
        <v>307</v>
      </c>
      <c r="C23" s="273"/>
    </row>
    <row r="24" spans="2:9" s="268" customFormat="1">
      <c r="B24" s="274" t="s">
        <v>289</v>
      </c>
      <c r="C24" s="275">
        <f>+'ESF - ERI'!G58</f>
        <v>909131.94000000006</v>
      </c>
    </row>
    <row r="25" spans="2:9" ht="6.75" customHeight="1">
      <c r="B25" s="277"/>
      <c r="C25" s="278"/>
    </row>
    <row r="26" spans="2:9" s="268" customFormat="1" ht="30">
      <c r="B26" s="280" t="s">
        <v>308</v>
      </c>
      <c r="C26" s="281" t="s">
        <v>291</v>
      </c>
    </row>
    <row r="27" spans="2:9" s="268" customFormat="1">
      <c r="B27" s="283" t="s">
        <v>292</v>
      </c>
      <c r="C27" s="284">
        <f>+'Asientos - para Consolidado'!E9</f>
        <v>943459</v>
      </c>
      <c r="E27" s="285"/>
      <c r="F27" s="286">
        <v>6800</v>
      </c>
      <c r="G27" s="287">
        <f>+F27/$F$29</f>
        <v>0.68</v>
      </c>
      <c r="H27" s="268" t="s">
        <v>293</v>
      </c>
    </row>
    <row r="28" spans="2:9" s="268" customFormat="1">
      <c r="B28" s="283" t="s">
        <v>309</v>
      </c>
      <c r="C28" s="289">
        <f>C24*G28</f>
        <v>290922.22080000001</v>
      </c>
      <c r="D28" s="290" t="s">
        <v>295</v>
      </c>
      <c r="F28" s="291">
        <v>3200</v>
      </c>
      <c r="G28" s="287">
        <f>+F28/$F$29</f>
        <v>0.32</v>
      </c>
      <c r="H28" s="268" t="s">
        <v>296</v>
      </c>
    </row>
    <row r="29" spans="2:9" s="268" customFormat="1">
      <c r="B29" s="283" t="s">
        <v>297</v>
      </c>
      <c r="C29" s="293">
        <f>+C27+C28</f>
        <v>1234381.2208</v>
      </c>
      <c r="F29" s="286">
        <f>SUM(F27:F28)</f>
        <v>10000</v>
      </c>
      <c r="G29" s="294"/>
    </row>
    <row r="30" spans="2:9" s="268" customFormat="1">
      <c r="B30" s="283" t="s">
        <v>310</v>
      </c>
      <c r="C30" s="284">
        <f>+C24</f>
        <v>909131.94000000006</v>
      </c>
      <c r="D30" s="290"/>
      <c r="G30" s="294"/>
      <c r="I30" s="300">
        <f>C27</f>
        <v>943459</v>
      </c>
    </row>
    <row r="31" spans="2:9" s="268" customFormat="1" ht="15.75" customHeight="1">
      <c r="B31" s="295" t="s">
        <v>62</v>
      </c>
      <c r="C31" s="296">
        <f>+C29-C30</f>
        <v>325249.28079999995</v>
      </c>
      <c r="D31" s="290" t="s">
        <v>300</v>
      </c>
      <c r="E31" s="7" t="s">
        <v>301</v>
      </c>
      <c r="F31" s="7"/>
      <c r="G31" s="294"/>
      <c r="I31" s="301">
        <f>C24*G27</f>
        <v>618209.71920000005</v>
      </c>
    </row>
    <row r="32" spans="2:9" ht="6.75" customHeight="1">
      <c r="B32" s="297"/>
      <c r="C32" s="298"/>
      <c r="G32" s="299"/>
      <c r="I32" s="302">
        <f>I30-I31</f>
        <v>325249.28079999995</v>
      </c>
    </row>
    <row r="33" spans="2:9">
      <c r="G33" s="299"/>
    </row>
    <row r="34" spans="2:9">
      <c r="B34" s="272" t="s">
        <v>311</v>
      </c>
      <c r="C34" s="273"/>
      <c r="G34" s="299"/>
    </row>
    <row r="35" spans="2:9" ht="15" customHeight="1">
      <c r="B35" s="274" t="s">
        <v>289</v>
      </c>
      <c r="C35" s="275">
        <f>+'ESF - ERI'!H58-'ESF - ERI'!H49</f>
        <v>-276937.91993750003</v>
      </c>
      <c r="D35" s="8" t="s">
        <v>299</v>
      </c>
      <c r="E35" s="8"/>
      <c r="F35" s="8"/>
      <c r="G35" s="8"/>
      <c r="H35" s="8"/>
    </row>
    <row r="36" spans="2:9" ht="5.25" customHeight="1">
      <c r="B36" s="277"/>
      <c r="C36" s="278"/>
      <c r="G36" s="299"/>
    </row>
    <row r="37" spans="2:9" ht="30">
      <c r="B37" s="280" t="s">
        <v>312</v>
      </c>
      <c r="C37" s="281" t="s">
        <v>291</v>
      </c>
      <c r="E37" s="268"/>
      <c r="F37" s="268"/>
      <c r="G37" s="294"/>
      <c r="H37" s="268"/>
    </row>
    <row r="38" spans="2:9">
      <c r="B38" s="283" t="s">
        <v>292</v>
      </c>
      <c r="C38" s="284">
        <f>+'Asientos - para Consolidado'!F9</f>
        <v>98825</v>
      </c>
      <c r="E38" s="285"/>
      <c r="F38" s="286">
        <v>500</v>
      </c>
      <c r="G38" s="287">
        <f>+F38/$F$40</f>
        <v>0.5</v>
      </c>
      <c r="H38" s="268" t="s">
        <v>293</v>
      </c>
    </row>
    <row r="39" spans="2:9">
      <c r="B39" s="283" t="s">
        <v>313</v>
      </c>
      <c r="C39" s="289">
        <f>C35*G39</f>
        <v>-138468.95996875002</v>
      </c>
      <c r="D39" s="290" t="s">
        <v>295</v>
      </c>
      <c r="E39" s="268"/>
      <c r="F39" s="291">
        <v>500</v>
      </c>
      <c r="G39" s="287">
        <f>+F39/$F$40</f>
        <v>0.5</v>
      </c>
      <c r="H39" s="268" t="s">
        <v>296</v>
      </c>
    </row>
    <row r="40" spans="2:9">
      <c r="B40" s="283" t="s">
        <v>297</v>
      </c>
      <c r="C40" s="293">
        <f>+C38+C39</f>
        <v>-39643.959968750016</v>
      </c>
      <c r="E40" s="268"/>
      <c r="F40" s="286">
        <f>SUM(F38:F39)</f>
        <v>1000</v>
      </c>
      <c r="G40" s="294"/>
      <c r="H40" s="268"/>
      <c r="I40" s="292">
        <f>C38</f>
        <v>98825</v>
      </c>
    </row>
    <row r="41" spans="2:9">
      <c r="B41" s="283" t="s">
        <v>314</v>
      </c>
      <c r="C41" s="284">
        <f>+C35</f>
        <v>-276937.91993750003</v>
      </c>
      <c r="D41" s="290"/>
      <c r="E41" s="268"/>
      <c r="F41" s="268"/>
      <c r="G41" s="294"/>
      <c r="H41" s="268"/>
    </row>
    <row r="42" spans="2:9" ht="15.75" customHeight="1">
      <c r="B42" s="295" t="s">
        <v>62</v>
      </c>
      <c r="C42" s="296">
        <f>+C40-C41</f>
        <v>237293.95996875002</v>
      </c>
      <c r="D42" s="290" t="s">
        <v>300</v>
      </c>
      <c r="E42" s="6" t="s">
        <v>301</v>
      </c>
      <c r="F42" s="6"/>
      <c r="G42" s="294"/>
      <c r="H42" s="268"/>
    </row>
    <row r="43" spans="2:9" ht="5.25" customHeight="1">
      <c r="B43" s="297"/>
      <c r="C43" s="298"/>
      <c r="G43" s="299"/>
    </row>
    <row r="44" spans="2:9">
      <c r="G44" s="299"/>
    </row>
    <row r="45" spans="2:9">
      <c r="B45" s="272" t="s">
        <v>315</v>
      </c>
      <c r="C45" s="273"/>
      <c r="G45" s="299"/>
    </row>
    <row r="46" spans="2:9" ht="15" customHeight="1">
      <c r="B46" s="274" t="s">
        <v>289</v>
      </c>
      <c r="C46" s="275">
        <f>+'ESF - ERI'!I58-'ESF - ERI'!I49</f>
        <v>70210.969999999972</v>
      </c>
      <c r="D46" s="8" t="s">
        <v>299</v>
      </c>
      <c r="E46" s="8"/>
      <c r="F46" s="8"/>
      <c r="G46" s="8"/>
      <c r="H46" s="8"/>
    </row>
    <row r="47" spans="2:9" ht="6" customHeight="1">
      <c r="B47" s="277"/>
      <c r="C47" s="278"/>
      <c r="G47" s="299"/>
    </row>
    <row r="48" spans="2:9" ht="30">
      <c r="B48" s="280" t="s">
        <v>316</v>
      </c>
      <c r="C48" s="281" t="s">
        <v>291</v>
      </c>
      <c r="E48" s="268"/>
      <c r="F48" s="268"/>
      <c r="G48" s="294"/>
      <c r="H48" s="268"/>
    </row>
    <row r="49" spans="2:9">
      <c r="B49" s="283" t="s">
        <v>292</v>
      </c>
      <c r="C49" s="284">
        <f>+'Asientos - para Consolidado'!G9</f>
        <v>132050</v>
      </c>
      <c r="E49" s="285"/>
      <c r="F49" s="286">
        <v>750</v>
      </c>
      <c r="G49" s="287">
        <f>+F49/$F$51</f>
        <v>0.75</v>
      </c>
      <c r="H49" s="268" t="s">
        <v>293</v>
      </c>
    </row>
    <row r="50" spans="2:9">
      <c r="B50" s="283" t="s">
        <v>317</v>
      </c>
      <c r="C50" s="289">
        <f>C46*G50</f>
        <v>17552.742499999993</v>
      </c>
      <c r="D50" s="290" t="s">
        <v>295</v>
      </c>
      <c r="E50" s="268"/>
      <c r="F50" s="291">
        <v>250</v>
      </c>
      <c r="G50" s="287">
        <f>+F50/$F$51</f>
        <v>0.25</v>
      </c>
      <c r="H50" s="268" t="s">
        <v>296</v>
      </c>
    </row>
    <row r="51" spans="2:9">
      <c r="B51" s="283" t="s">
        <v>297</v>
      </c>
      <c r="C51" s="293">
        <f>+C49+C50</f>
        <v>149602.74249999999</v>
      </c>
      <c r="E51" s="268"/>
      <c r="F51" s="286">
        <f>SUM(F49:F50)</f>
        <v>1000</v>
      </c>
      <c r="G51" s="294"/>
      <c r="H51" s="268"/>
      <c r="I51" s="276">
        <f>C49</f>
        <v>132050</v>
      </c>
    </row>
    <row r="52" spans="2:9">
      <c r="B52" s="283" t="s">
        <v>318</v>
      </c>
      <c r="C52" s="284">
        <f>+C46</f>
        <v>70210.969999999972</v>
      </c>
      <c r="D52" s="290"/>
      <c r="E52" s="268"/>
      <c r="F52" s="268"/>
      <c r="G52" s="294"/>
      <c r="H52" s="268"/>
      <c r="I52" s="276">
        <f>C46*G49</f>
        <v>52658.227499999979</v>
      </c>
    </row>
    <row r="53" spans="2:9">
      <c r="B53" s="295" t="s">
        <v>62</v>
      </c>
      <c r="C53" s="296">
        <f>+C51-C52</f>
        <v>79391.772500000021</v>
      </c>
      <c r="D53" s="290" t="s">
        <v>306</v>
      </c>
      <c r="E53" s="268"/>
      <c r="F53" s="268"/>
      <c r="G53" s="294"/>
      <c r="H53" s="268"/>
      <c r="I53" s="276">
        <f>I51-I52</f>
        <v>79391.772500000021</v>
      </c>
    </row>
    <row r="54" spans="2:9" ht="7.5" customHeight="1">
      <c r="B54" s="297"/>
      <c r="C54" s="298"/>
      <c r="G54" s="299"/>
    </row>
    <row r="55" spans="2:9">
      <c r="G55" s="299"/>
    </row>
    <row r="56" spans="2:9">
      <c r="B56" s="272" t="s">
        <v>319</v>
      </c>
      <c r="C56" s="273"/>
      <c r="G56" s="299"/>
    </row>
    <row r="57" spans="2:9">
      <c r="B57" s="274" t="s">
        <v>289</v>
      </c>
      <c r="C57" s="275">
        <f>+'ESF - ERI'!J58</f>
        <v>7194.99</v>
      </c>
      <c r="E57" s="268"/>
      <c r="F57" s="268"/>
      <c r="G57" s="294"/>
      <c r="H57" s="268"/>
    </row>
    <row r="58" spans="2:9">
      <c r="B58" s="277"/>
      <c r="C58" s="278"/>
      <c r="G58" s="299"/>
    </row>
    <row r="59" spans="2:9" ht="30">
      <c r="B59" s="280" t="s">
        <v>320</v>
      </c>
      <c r="C59" s="281" t="s">
        <v>291</v>
      </c>
      <c r="E59" s="268"/>
      <c r="F59" s="268"/>
      <c r="G59" s="294"/>
      <c r="H59" s="268"/>
    </row>
    <row r="60" spans="2:9">
      <c r="B60" s="283" t="s">
        <v>292</v>
      </c>
      <c r="C60" s="284">
        <f>+'Asientos - para Consolidado'!H9</f>
        <v>140052</v>
      </c>
      <c r="E60" s="285"/>
      <c r="F60" s="286">
        <v>4640</v>
      </c>
      <c r="G60" s="287">
        <f>+F60/$F$62</f>
        <v>0.92800000000000005</v>
      </c>
      <c r="H60" s="268" t="s">
        <v>293</v>
      </c>
    </row>
    <row r="61" spans="2:9">
      <c r="B61" s="283" t="s">
        <v>321</v>
      </c>
      <c r="C61" s="289">
        <f>C57*G61</f>
        <v>518.03927999999996</v>
      </c>
      <c r="D61" s="290" t="s">
        <v>295</v>
      </c>
      <c r="E61" s="268"/>
      <c r="F61" s="291">
        <v>360</v>
      </c>
      <c r="G61" s="287">
        <f>+F61/$F$62</f>
        <v>7.1999999999999995E-2</v>
      </c>
      <c r="H61" s="268" t="s">
        <v>296</v>
      </c>
    </row>
    <row r="62" spans="2:9">
      <c r="B62" s="283" t="s">
        <v>297</v>
      </c>
      <c r="C62" s="293">
        <f>+C60+C61</f>
        <v>140570.03928</v>
      </c>
      <c r="E62" s="268"/>
      <c r="F62" s="286">
        <f>SUM(F60:F61)</f>
        <v>5000</v>
      </c>
      <c r="G62" s="268"/>
      <c r="H62" s="268"/>
      <c r="I62" s="292">
        <f>C60</f>
        <v>140052</v>
      </c>
    </row>
    <row r="63" spans="2:9">
      <c r="B63" s="283" t="s">
        <v>322</v>
      </c>
      <c r="C63" s="284">
        <f>+C57</f>
        <v>7194.99</v>
      </c>
      <c r="D63" s="290"/>
      <c r="E63" s="268"/>
      <c r="F63" s="268"/>
      <c r="G63" s="268"/>
      <c r="H63" s="268"/>
      <c r="I63" s="302">
        <f>C57*G60</f>
        <v>6676.9507199999998</v>
      </c>
    </row>
    <row r="64" spans="2:9" ht="15.75" customHeight="1">
      <c r="B64" s="295" t="s">
        <v>62</v>
      </c>
      <c r="C64" s="296">
        <f>+C62-C63</f>
        <v>133375.04928000001</v>
      </c>
      <c r="D64" s="290" t="s">
        <v>300</v>
      </c>
      <c r="E64" s="6" t="s">
        <v>301</v>
      </c>
      <c r="F64" s="6"/>
      <c r="G64" s="268"/>
      <c r="H64" s="268"/>
      <c r="I64" s="302">
        <f>I62-I63</f>
        <v>133375.04928000001</v>
      </c>
    </row>
    <row r="65" spans="2:9" ht="7.5" customHeight="1">
      <c r="B65" s="297"/>
      <c r="C65" s="298"/>
    </row>
    <row r="67" spans="2:9">
      <c r="B67" s="272" t="s">
        <v>257</v>
      </c>
      <c r="C67" s="273"/>
      <c r="G67" s="299"/>
    </row>
    <row r="68" spans="2:9">
      <c r="B68" s="274" t="s">
        <v>289</v>
      </c>
      <c r="C68" s="275">
        <f>+'ESF - ERI'!K58</f>
        <v>10000</v>
      </c>
      <c r="E68" s="268"/>
      <c r="F68" s="268"/>
      <c r="G68" s="294"/>
      <c r="H68" s="268"/>
    </row>
    <row r="69" spans="2:9">
      <c r="B69" s="277"/>
      <c r="C69" s="278"/>
      <c r="G69" s="299"/>
    </row>
    <row r="70" spans="2:9" ht="30">
      <c r="B70" s="280" t="s">
        <v>323</v>
      </c>
      <c r="C70" s="281" t="s">
        <v>291</v>
      </c>
      <c r="E70" s="268"/>
      <c r="F70" s="268"/>
      <c r="G70" s="294"/>
      <c r="H70" s="268"/>
    </row>
    <row r="71" spans="2:9">
      <c r="B71" s="283" t="s">
        <v>292</v>
      </c>
      <c r="C71" s="284">
        <f>+'Asientos - para Consolidado'!I9</f>
        <v>6000</v>
      </c>
      <c r="E71" s="285"/>
      <c r="F71" s="286">
        <v>6000</v>
      </c>
      <c r="G71" s="287">
        <f>+F71/$F$73</f>
        <v>0.6</v>
      </c>
      <c r="H71" s="268" t="s">
        <v>293</v>
      </c>
    </row>
    <row r="72" spans="2:9">
      <c r="B72" s="283" t="s">
        <v>324</v>
      </c>
      <c r="C72" s="289">
        <f>C68*G72</f>
        <v>4000</v>
      </c>
      <c r="D72" s="290" t="s">
        <v>295</v>
      </c>
      <c r="E72" s="268"/>
      <c r="F72" s="291">
        <v>4000</v>
      </c>
      <c r="G72" s="287">
        <f>+F72/$F$73</f>
        <v>0.4</v>
      </c>
      <c r="H72" s="268" t="s">
        <v>296</v>
      </c>
    </row>
    <row r="73" spans="2:9">
      <c r="B73" s="283" t="s">
        <v>297</v>
      </c>
      <c r="C73" s="293">
        <f>+C71+C72</f>
        <v>10000</v>
      </c>
      <c r="E73" s="268"/>
      <c r="F73" s="286">
        <f>SUM(F71:F72)</f>
        <v>10000</v>
      </c>
      <c r="G73" s="268"/>
      <c r="H73" s="268"/>
      <c r="I73" s="292">
        <f>C71</f>
        <v>6000</v>
      </c>
    </row>
    <row r="74" spans="2:9">
      <c r="B74" s="283" t="s">
        <v>325</v>
      </c>
      <c r="C74" s="284">
        <f>+C68</f>
        <v>10000</v>
      </c>
      <c r="D74" s="290"/>
      <c r="E74" s="268"/>
      <c r="F74" s="268"/>
      <c r="G74" s="268"/>
      <c r="H74" s="268"/>
      <c r="I74" s="302">
        <f>C68*G71</f>
        <v>6000</v>
      </c>
    </row>
    <row r="75" spans="2:9">
      <c r="B75" s="295" t="s">
        <v>326</v>
      </c>
      <c r="C75" s="296">
        <f>+C73-C74</f>
        <v>0</v>
      </c>
      <c r="D75" s="290"/>
      <c r="E75" s="268"/>
      <c r="F75" s="268"/>
      <c r="G75" s="268"/>
      <c r="H75" s="268"/>
      <c r="I75" s="302">
        <f>I73-I74</f>
        <v>0</v>
      </c>
    </row>
    <row r="76" spans="2:9" ht="6.75" customHeight="1">
      <c r="B76" s="297"/>
      <c r="C76" s="298"/>
    </row>
    <row r="78" spans="2:9">
      <c r="B78" s="272" t="s">
        <v>327</v>
      </c>
      <c r="C78" s="273"/>
      <c r="G78" s="299"/>
    </row>
    <row r="79" spans="2:9" ht="15" customHeight="1">
      <c r="B79" s="274" t="s">
        <v>289</v>
      </c>
      <c r="C79" s="275">
        <f>+'ESF - ERI'!L58+881973</f>
        <v>883113.17</v>
      </c>
      <c r="D79" s="8" t="s">
        <v>328</v>
      </c>
      <c r="E79" s="8"/>
      <c r="F79" s="8"/>
      <c r="G79" s="8"/>
      <c r="H79" s="8"/>
    </row>
    <row r="80" spans="2:9">
      <c r="B80" s="277"/>
      <c r="C80" s="278"/>
      <c r="G80" s="299"/>
    </row>
    <row r="81" spans="2:9" ht="30">
      <c r="B81" s="280" t="s">
        <v>329</v>
      </c>
      <c r="C81" s="281" t="s">
        <v>291</v>
      </c>
      <c r="E81" s="268"/>
      <c r="F81" s="268"/>
      <c r="G81" s="294"/>
      <c r="H81" s="268"/>
    </row>
    <row r="82" spans="2:9">
      <c r="B82" s="283" t="s">
        <v>292</v>
      </c>
      <c r="C82" s="284">
        <f>+'Asientos - para Consolidado'!J9</f>
        <v>1114176</v>
      </c>
      <c r="E82" s="285"/>
      <c r="F82" s="286">
        <v>799.96</v>
      </c>
      <c r="G82" s="287">
        <f>+F82/$F$84</f>
        <v>0.99995000000000001</v>
      </c>
      <c r="H82" s="268" t="s">
        <v>293</v>
      </c>
    </row>
    <row r="83" spans="2:9">
      <c r="B83" s="283" t="s">
        <v>330</v>
      </c>
      <c r="C83" s="289">
        <f>C79*G83</f>
        <v>44.155658500000001</v>
      </c>
      <c r="D83" s="290" t="s">
        <v>295</v>
      </c>
      <c r="E83" s="268"/>
      <c r="F83" s="291">
        <v>0.04</v>
      </c>
      <c r="G83" s="287">
        <f>+F83/$F$84</f>
        <v>5.0000000000000002E-5</v>
      </c>
      <c r="H83" s="268" t="s">
        <v>296</v>
      </c>
    </row>
    <row r="84" spans="2:9">
      <c r="B84" s="283" t="s">
        <v>297</v>
      </c>
      <c r="C84" s="293">
        <f>+C82+C83</f>
        <v>1114220.1556585</v>
      </c>
      <c r="E84" s="268"/>
      <c r="F84" s="286">
        <f>SUM(F82:F83)</f>
        <v>800</v>
      </c>
      <c r="G84" s="268"/>
      <c r="H84" s="268"/>
    </row>
    <row r="85" spans="2:9">
      <c r="B85" s="283" t="s">
        <v>331</v>
      </c>
      <c r="C85" s="284">
        <f>+C79</f>
        <v>883113.17</v>
      </c>
      <c r="D85" s="290"/>
      <c r="E85" s="268"/>
      <c r="F85" s="268"/>
      <c r="G85" s="268"/>
      <c r="H85" s="268"/>
      <c r="I85" s="276">
        <f>C82</f>
        <v>1114176</v>
      </c>
    </row>
    <row r="86" spans="2:9">
      <c r="B86" s="295" t="s">
        <v>62</v>
      </c>
      <c r="C86" s="296">
        <f>+C84-C85</f>
        <v>231106.98565849999</v>
      </c>
      <c r="D86" s="290" t="s">
        <v>306</v>
      </c>
      <c r="E86" s="268"/>
      <c r="F86" s="268"/>
      <c r="G86" s="268"/>
      <c r="H86" s="268"/>
      <c r="I86" s="276">
        <f>C79*G82</f>
        <v>883069.01434150001</v>
      </c>
    </row>
    <row r="87" spans="2:9" ht="15.75" customHeight="1">
      <c r="B87" s="297"/>
      <c r="C87" s="298"/>
      <c r="I87" s="276">
        <f>I85-I86</f>
        <v>231106.98565849999</v>
      </c>
    </row>
    <row r="89" spans="2:9">
      <c r="B89" s="272" t="s">
        <v>332</v>
      </c>
      <c r="C89" s="273"/>
      <c r="G89" s="299"/>
    </row>
    <row r="90" spans="2:9">
      <c r="B90" s="274" t="s">
        <v>289</v>
      </c>
      <c r="C90" s="275">
        <f>+'ESF - ERI'!M58</f>
        <v>800</v>
      </c>
      <c r="E90" s="268"/>
      <c r="F90" s="268"/>
      <c r="G90" s="294"/>
      <c r="H90" s="268"/>
    </row>
    <row r="91" spans="2:9">
      <c r="B91" s="277"/>
      <c r="C91" s="278"/>
      <c r="G91" s="299"/>
    </row>
    <row r="92" spans="2:9" ht="30">
      <c r="B92" s="280" t="s">
        <v>333</v>
      </c>
      <c r="C92" s="281" t="s">
        <v>291</v>
      </c>
      <c r="E92" s="268"/>
      <c r="F92" s="268"/>
      <c r="G92" s="294"/>
      <c r="H92" s="268"/>
    </row>
    <row r="93" spans="2:9">
      <c r="B93" s="283" t="s">
        <v>292</v>
      </c>
      <c r="C93" s="284">
        <f>+'Asientos - para Consolidado'!K9</f>
        <v>740</v>
      </c>
      <c r="E93" s="285"/>
      <c r="F93" s="286">
        <v>740</v>
      </c>
      <c r="G93" s="287">
        <f>+F93/$F$95</f>
        <v>0.92500000000000004</v>
      </c>
      <c r="H93" s="268" t="s">
        <v>293</v>
      </c>
    </row>
    <row r="94" spans="2:9">
      <c r="B94" s="283" t="s">
        <v>334</v>
      </c>
      <c r="C94" s="289">
        <f>C90*G94</f>
        <v>60</v>
      </c>
      <c r="D94" s="290" t="s">
        <v>295</v>
      </c>
      <c r="E94" s="268"/>
      <c r="F94" s="291">
        <v>60</v>
      </c>
      <c r="G94" s="287">
        <f>+F94/$F$95</f>
        <v>7.4999999999999997E-2</v>
      </c>
      <c r="H94" s="268" t="s">
        <v>296</v>
      </c>
    </row>
    <row r="95" spans="2:9">
      <c r="B95" s="283" t="s">
        <v>297</v>
      </c>
      <c r="C95" s="293">
        <f>+C93+C94</f>
        <v>800</v>
      </c>
      <c r="E95" s="268"/>
      <c r="F95" s="286">
        <f>SUM(F93:F94)</f>
        <v>800</v>
      </c>
      <c r="G95" s="268"/>
      <c r="H95" s="268"/>
      <c r="I95" s="292">
        <f>C93</f>
        <v>740</v>
      </c>
    </row>
    <row r="96" spans="2:9">
      <c r="B96" s="283" t="s">
        <v>335</v>
      </c>
      <c r="C96" s="284">
        <f>+C90</f>
        <v>800</v>
      </c>
      <c r="D96" s="290"/>
      <c r="E96" s="268"/>
      <c r="F96" s="268"/>
      <c r="G96" s="268"/>
      <c r="H96" s="268"/>
      <c r="I96" s="302">
        <f>C90*G93</f>
        <v>740</v>
      </c>
    </row>
    <row r="97" spans="2:9">
      <c r="B97" s="295" t="s">
        <v>326</v>
      </c>
      <c r="C97" s="296">
        <f>+C95-C96</f>
        <v>0</v>
      </c>
      <c r="D97" s="290"/>
      <c r="E97" s="268"/>
      <c r="F97" s="268"/>
      <c r="G97" s="268"/>
      <c r="H97" s="268"/>
      <c r="I97" s="302">
        <f>I95-I96</f>
        <v>0</v>
      </c>
    </row>
    <row r="98" spans="2:9" ht="6.75" customHeight="1">
      <c r="B98" s="297"/>
      <c r="C98" s="298"/>
    </row>
    <row r="99" spans="2:9">
      <c r="B99" s="303"/>
    </row>
    <row r="100" spans="2:9">
      <c r="B100" s="303"/>
    </row>
    <row r="101" spans="2:9" ht="15" customHeight="1">
      <c r="B101" s="304" t="s">
        <v>336</v>
      </c>
      <c r="C101" s="305">
        <f>+C17+C28+C39+C50+C61+C72+C83+C94+C6</f>
        <v>9357519.0706554651</v>
      </c>
      <c r="D101" s="5" t="s">
        <v>337</v>
      </c>
      <c r="E101" s="5"/>
      <c r="F101" s="5"/>
      <c r="G101" s="5"/>
      <c r="H101" s="306"/>
    </row>
    <row r="102" spans="2:9" ht="15" customHeight="1">
      <c r="B102" s="304" t="s">
        <v>338</v>
      </c>
      <c r="C102" s="305">
        <f>+C9+C31+C64+C42</f>
        <v>828548.36364874605</v>
      </c>
      <c r="D102" s="5" t="s">
        <v>209</v>
      </c>
      <c r="E102" s="5"/>
      <c r="F102" s="5"/>
      <c r="G102" s="5"/>
      <c r="H102" s="5"/>
    </row>
    <row r="103" spans="2:9" ht="15" customHeight="1">
      <c r="B103" s="304" t="s">
        <v>339</v>
      </c>
      <c r="C103" s="305">
        <f>+C86+C53+C20</f>
        <v>394335.36694421433</v>
      </c>
      <c r="D103" s="5" t="s">
        <v>62</v>
      </c>
      <c r="E103" s="5"/>
      <c r="F103" s="5"/>
      <c r="G103" s="5"/>
    </row>
    <row r="105" spans="2:9">
      <c r="E105" s="279"/>
    </row>
  </sheetData>
  <mergeCells count="12">
    <mergeCell ref="D102:H102"/>
    <mergeCell ref="D103:G103"/>
    <mergeCell ref="E42:F42"/>
    <mergeCell ref="D46:H46"/>
    <mergeCell ref="E64:F64"/>
    <mergeCell ref="D79:H79"/>
    <mergeCell ref="D101:G101"/>
    <mergeCell ref="D8:H8"/>
    <mergeCell ref="E9:F9"/>
    <mergeCell ref="D13:H13"/>
    <mergeCell ref="E31:F31"/>
    <mergeCell ref="D35:H35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ESF19</vt:lpstr>
      <vt:lpstr>ERI19</vt:lpstr>
      <vt:lpstr>ECP19</vt:lpstr>
      <vt:lpstr>PAT19</vt:lpstr>
      <vt:lpstr>EFE19</vt:lpstr>
      <vt:lpstr>Planilla Final 2017</vt:lpstr>
      <vt:lpstr>Participaciones 2017</vt:lpstr>
      <vt:lpstr>'Asientos - para Consolidado'!Print_Area</vt:lpstr>
      <vt:lpstr>'EFE19'!Print_Area</vt:lpstr>
      <vt:lpstr>'ESF - ERI'!Print_Area</vt:lpstr>
      <vt:lpstr>'ESF19'!Print_Area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10</cp:revision>
  <cp:lastPrinted>2020-06-19T14:37:21Z</cp:lastPrinted>
  <dcterms:created xsi:type="dcterms:W3CDTF">2015-04-08T16:45:18Z</dcterms:created>
  <dcterms:modified xsi:type="dcterms:W3CDTF">2021-04-19T15:40:46Z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