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8_{E1C918E2-1F01-4350-8DFB-95EF8275F3AE}" xr6:coauthVersionLast="46" xr6:coauthVersionMax="46" xr10:uidLastSave="{00000000-0000-0000-0000-000000000000}"/>
  <bookViews>
    <workbookView xWindow="-120" yWindow="-120" windowWidth="20730" windowHeight="11160" tabRatio="500" activeTab="5" xr2:uid="{00000000-000D-0000-FFFF-FFFF00000000}"/>
  </bookViews>
  <sheets>
    <sheet name="Indice" sheetId="1" r:id="rId1"/>
    <sheet name="BG " sheetId="2" r:id="rId2"/>
    <sheet name="ER" sheetId="3" r:id="rId3"/>
    <sheet name="EFE" sheetId="4" r:id="rId4"/>
    <sheet name="Hoja de trabajo" sheetId="5"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s>
  <definedNames>
    <definedName name="_xlnm.Print_Area" localSheetId="6">AD!$A$1:$U$67</definedName>
    <definedName name="_xlnm.Print_Area" localSheetId="1">'BG '!$A$6:$U$74</definedName>
    <definedName name="_xlnm.Print_Area" localSheetId="3">EFE!$B$1:$V$74</definedName>
    <definedName name="_xlnm.Print_Area" localSheetId="2">ER!$A$1:$Y$40</definedName>
    <definedName name="_xlnm.Print_Area" localSheetId="5">PAT!$A$1:$J$171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 i="11" l="1"/>
  <c r="E4" i="11"/>
  <c r="E3" i="11"/>
  <c r="N21" i="10"/>
  <c r="M21" i="10"/>
  <c r="L21" i="10"/>
  <c r="K21" i="10"/>
  <c r="J21" i="10"/>
  <c r="I21" i="10"/>
  <c r="H21" i="10"/>
  <c r="G21" i="10"/>
  <c r="O21" i="10" s="1"/>
  <c r="G6" i="10" s="1"/>
  <c r="F21" i="10"/>
  <c r="E21" i="10"/>
  <c r="D21" i="10"/>
  <c r="J18" i="10"/>
  <c r="I18" i="10"/>
  <c r="H18" i="10"/>
  <c r="G18" i="10"/>
  <c r="G17" i="10"/>
  <c r="G16" i="10"/>
  <c r="G15" i="10"/>
  <c r="G14" i="10"/>
  <c r="G13" i="10"/>
  <c r="G12" i="10"/>
  <c r="G11" i="10"/>
  <c r="G10" i="10"/>
  <c r="G9" i="10"/>
  <c r="G8" i="10"/>
  <c r="G7" i="10"/>
  <c r="K33" i="9"/>
  <c r="I33" i="9"/>
  <c r="I27" i="9"/>
  <c r="K25" i="9"/>
  <c r="I25" i="9"/>
  <c r="K12" i="9"/>
  <c r="K16" i="9" s="1"/>
  <c r="I12" i="9"/>
  <c r="I16" i="9" s="1"/>
  <c r="G11" i="9"/>
  <c r="F27" i="8"/>
  <c r="E25" i="8"/>
  <c r="K17" i="8"/>
  <c r="J17" i="8"/>
  <c r="J15" i="8"/>
  <c r="H10" i="8"/>
  <c r="J8" i="8"/>
  <c r="F25" i="8" s="1"/>
  <c r="H8" i="8"/>
  <c r="K7" i="8"/>
  <c r="E24" i="8" s="1"/>
  <c r="J7" i="8"/>
  <c r="I7" i="8"/>
  <c r="E26" i="8" s="1"/>
  <c r="H7" i="8"/>
  <c r="E27" i="8" s="1"/>
  <c r="G27" i="8" s="1"/>
  <c r="O70" i="7"/>
  <c r="T69" i="7"/>
  <c r="T71" i="7" s="1"/>
  <c r="U67" i="7"/>
  <c r="O62" i="7"/>
  <c r="P63" i="7" s="1"/>
  <c r="K9" i="8" s="1"/>
  <c r="H24" i="8" s="1"/>
  <c r="I62" i="7"/>
  <c r="J63" i="7" s="1"/>
  <c r="H9" i="8" s="1"/>
  <c r="L58" i="7"/>
  <c r="O57" i="7"/>
  <c r="P58" i="7" s="1"/>
  <c r="U55" i="7"/>
  <c r="T55" i="7"/>
  <c r="R55" i="7"/>
  <c r="R53" i="7"/>
  <c r="P53" i="7" s="1"/>
  <c r="N53" i="7"/>
  <c r="R51" i="7"/>
  <c r="R50" i="7"/>
  <c r="I47" i="7"/>
  <c r="M46" i="7"/>
  <c r="O43" i="7"/>
  <c r="N43" i="7"/>
  <c r="K43" i="7"/>
  <c r="J43" i="7"/>
  <c r="I43" i="7"/>
  <c r="L41" i="7"/>
  <c r="O40" i="7"/>
  <c r="M48" i="7" s="1"/>
  <c r="M40" i="7"/>
  <c r="M43" i="7" s="1"/>
  <c r="T38" i="7"/>
  <c r="R38" i="7"/>
  <c r="N38" i="7"/>
  <c r="M38" i="7"/>
  <c r="L38" i="7"/>
  <c r="J38" i="7"/>
  <c r="P36" i="7"/>
  <c r="P38" i="7" s="1"/>
  <c r="O35" i="7"/>
  <c r="U34" i="7"/>
  <c r="U38" i="7" s="1"/>
  <c r="Q34" i="7"/>
  <c r="Q38" i="7" s="1"/>
  <c r="O33" i="7"/>
  <c r="O38" i="7" s="1"/>
  <c r="K29" i="7"/>
  <c r="I29" i="7"/>
  <c r="I38" i="7" s="1"/>
  <c r="T27" i="7"/>
  <c r="Q27" i="7"/>
  <c r="N27" i="7"/>
  <c r="M27" i="7"/>
  <c r="K27" i="7"/>
  <c r="U24" i="7"/>
  <c r="U27" i="7" s="1"/>
  <c r="R24" i="7"/>
  <c r="R27" i="7" s="1"/>
  <c r="P24" i="7"/>
  <c r="N24" i="7"/>
  <c r="J18" i="8" s="1"/>
  <c r="L24" i="7"/>
  <c r="L27" i="7" s="1"/>
  <c r="J24" i="7"/>
  <c r="J27" i="7" s="1"/>
  <c r="O22" i="7"/>
  <c r="O27" i="7" s="1"/>
  <c r="U20" i="7"/>
  <c r="T20" i="7"/>
  <c r="R20" i="7"/>
  <c r="Q20" i="7"/>
  <c r="P20" i="7"/>
  <c r="O20" i="7"/>
  <c r="N20" i="7"/>
  <c r="K20" i="7"/>
  <c r="J20" i="7"/>
  <c r="I21" i="7" s="1"/>
  <c r="I27" i="7" s="1"/>
  <c r="I20" i="7"/>
  <c r="O17" i="7"/>
  <c r="M16" i="7"/>
  <c r="M20" i="7" s="1"/>
  <c r="L16" i="7"/>
  <c r="T11" i="7"/>
  <c r="T67" i="7" s="1"/>
  <c r="R11" i="7"/>
  <c r="R67" i="7" s="1"/>
  <c r="O11" i="7"/>
  <c r="M11" i="7"/>
  <c r="K11" i="7"/>
  <c r="I11" i="7"/>
  <c r="P9" i="7"/>
  <c r="P11" i="7" s="1"/>
  <c r="N9" i="7"/>
  <c r="L9" i="7"/>
  <c r="L11" i="7" s="1"/>
  <c r="J9" i="7"/>
  <c r="J11" i="7" s="1"/>
  <c r="U8" i="7"/>
  <c r="U11" i="7" s="1"/>
  <c r="Q8" i="7"/>
  <c r="G199" i="6"/>
  <c r="H194" i="6"/>
  <c r="G194" i="6"/>
  <c r="F194" i="6"/>
  <c r="G193" i="6"/>
  <c r="F193" i="6"/>
  <c r="G192" i="6"/>
  <c r="F192" i="6"/>
  <c r="H192" i="6" s="1"/>
  <c r="G190" i="6"/>
  <c r="F190" i="6"/>
  <c r="H190" i="6" s="1"/>
  <c r="G189" i="6"/>
  <c r="F189" i="6"/>
  <c r="H189" i="6" s="1"/>
  <c r="J189" i="6" s="1"/>
  <c r="H188" i="6"/>
  <c r="J188" i="6" s="1"/>
  <c r="K39" i="5" s="1"/>
  <c r="G188" i="6"/>
  <c r="F188" i="6"/>
  <c r="H187" i="6"/>
  <c r="J187" i="6" s="1"/>
  <c r="F187" i="6"/>
  <c r="H185" i="6"/>
  <c r="G185" i="6"/>
  <c r="F185" i="6"/>
  <c r="J184" i="6"/>
  <c r="H184" i="6"/>
  <c r="J183" i="6"/>
  <c r="H183" i="6"/>
  <c r="J182" i="6"/>
  <c r="H182" i="6"/>
  <c r="J181" i="6"/>
  <c r="H181" i="6"/>
  <c r="H179" i="6"/>
  <c r="H178" i="6"/>
  <c r="J178" i="6" s="1"/>
  <c r="F177" i="6"/>
  <c r="H177" i="6" s="1"/>
  <c r="J177" i="6" s="1"/>
  <c r="I175" i="6"/>
  <c r="H175" i="6"/>
  <c r="J175" i="6" s="1"/>
  <c r="G175" i="6"/>
  <c r="H174" i="6"/>
  <c r="J174" i="6" s="1"/>
  <c r="J172" i="6"/>
  <c r="H172" i="6"/>
  <c r="G170" i="6"/>
  <c r="F170" i="6"/>
  <c r="J169" i="6"/>
  <c r="H169" i="6"/>
  <c r="J168" i="6"/>
  <c r="H168" i="6"/>
  <c r="J167" i="6"/>
  <c r="H167" i="6"/>
  <c r="J166" i="6"/>
  <c r="H166" i="6"/>
  <c r="J165" i="6"/>
  <c r="H165" i="6"/>
  <c r="J164" i="6"/>
  <c r="H164" i="6"/>
  <c r="F164" i="6"/>
  <c r="B164" i="6"/>
  <c r="J162" i="6"/>
  <c r="I162" i="6"/>
  <c r="G162" i="6"/>
  <c r="F162" i="6"/>
  <c r="F160" i="6"/>
  <c r="H160" i="6" s="1"/>
  <c r="J160" i="6" s="1"/>
  <c r="G158" i="6"/>
  <c r="G161" i="6" s="1"/>
  <c r="G163" i="6" s="1"/>
  <c r="G171" i="6" s="1"/>
  <c r="G173" i="6" s="1"/>
  <c r="G176" i="6" s="1"/>
  <c r="G180" i="6" s="1"/>
  <c r="F158" i="6"/>
  <c r="H150" i="6"/>
  <c r="J150" i="6" s="1"/>
  <c r="H148" i="6"/>
  <c r="H147" i="6"/>
  <c r="J147" i="6" s="1"/>
  <c r="J146" i="6"/>
  <c r="H146" i="6"/>
  <c r="H145" i="6"/>
  <c r="J145" i="6" s="1"/>
  <c r="J144" i="6"/>
  <c r="H144" i="6"/>
  <c r="F144" i="6"/>
  <c r="H142" i="6"/>
  <c r="H141" i="6"/>
  <c r="J141" i="6" s="1"/>
  <c r="J140" i="6"/>
  <c r="H140" i="6"/>
  <c r="H139" i="6"/>
  <c r="J139" i="6" s="1"/>
  <c r="J138" i="6"/>
  <c r="H138" i="6"/>
  <c r="H137" i="6"/>
  <c r="J137" i="6" s="1"/>
  <c r="H135" i="6"/>
  <c r="J135" i="6" s="1"/>
  <c r="K134" i="6"/>
  <c r="H134" i="6"/>
  <c r="F133" i="6"/>
  <c r="H133" i="6" s="1"/>
  <c r="J133" i="6" s="1"/>
  <c r="J132" i="6"/>
  <c r="H132" i="6"/>
  <c r="G132" i="6"/>
  <c r="J131" i="6"/>
  <c r="H131" i="6"/>
  <c r="H129" i="6"/>
  <c r="J129" i="6" s="1"/>
  <c r="J128" i="6"/>
  <c r="H128" i="6"/>
  <c r="H127" i="6"/>
  <c r="J127" i="6" s="1"/>
  <c r="F126" i="6"/>
  <c r="F130" i="6" s="1"/>
  <c r="J125" i="6"/>
  <c r="H125" i="6"/>
  <c r="H123" i="6"/>
  <c r="H170" i="6" s="1"/>
  <c r="F122" i="6"/>
  <c r="H122" i="6" s="1"/>
  <c r="J122" i="6" s="1"/>
  <c r="B122" i="6"/>
  <c r="H121" i="6"/>
  <c r="J121" i="6" s="1"/>
  <c r="H120" i="6"/>
  <c r="J120" i="6" s="1"/>
  <c r="H119" i="6"/>
  <c r="J119" i="6" s="1"/>
  <c r="F118" i="6"/>
  <c r="J117" i="6"/>
  <c r="H117" i="6"/>
  <c r="H162" i="6" s="1"/>
  <c r="H116" i="6"/>
  <c r="J116" i="6" s="1"/>
  <c r="G115" i="6"/>
  <c r="G118" i="6" s="1"/>
  <c r="G124" i="6" s="1"/>
  <c r="G126" i="6" s="1"/>
  <c r="G130" i="6" s="1"/>
  <c r="G136" i="6" s="1"/>
  <c r="G143" i="6" s="1"/>
  <c r="G149" i="6" s="1"/>
  <c r="F115" i="6"/>
  <c r="H114" i="6"/>
  <c r="J114" i="6" s="1"/>
  <c r="H113" i="6"/>
  <c r="J113" i="6" s="1"/>
  <c r="I112" i="6"/>
  <c r="G112" i="6"/>
  <c r="F112" i="6"/>
  <c r="J111" i="6"/>
  <c r="H111" i="6"/>
  <c r="H112" i="6" s="1"/>
  <c r="H115" i="6" s="1"/>
  <c r="J110" i="6"/>
  <c r="H110" i="6"/>
  <c r="H109" i="6"/>
  <c r="J106" i="6"/>
  <c r="H106" i="6"/>
  <c r="I105" i="6"/>
  <c r="I107" i="6" s="1"/>
  <c r="H104" i="6"/>
  <c r="J104" i="6" s="1"/>
  <c r="F103" i="6"/>
  <c r="H102" i="6"/>
  <c r="J102" i="6" s="1"/>
  <c r="F101" i="6"/>
  <c r="J100" i="6"/>
  <c r="H100" i="6"/>
  <c r="G99" i="6"/>
  <c r="J98" i="6"/>
  <c r="H97" i="6"/>
  <c r="J97" i="6" s="1"/>
  <c r="G97" i="6"/>
  <c r="J96" i="6"/>
  <c r="H96" i="6"/>
  <c r="J95" i="6"/>
  <c r="H95" i="6"/>
  <c r="H94" i="6"/>
  <c r="H92" i="6"/>
  <c r="H91" i="6"/>
  <c r="I90" i="6"/>
  <c r="I89" i="6"/>
  <c r="F86" i="6"/>
  <c r="H85" i="6"/>
  <c r="J85" i="6" s="1"/>
  <c r="G85" i="6"/>
  <c r="G86" i="6" s="1"/>
  <c r="G87" i="6" s="1"/>
  <c r="F85" i="6"/>
  <c r="H84" i="6"/>
  <c r="J84" i="6" s="1"/>
  <c r="H83" i="6"/>
  <c r="I81" i="6"/>
  <c r="G81" i="6"/>
  <c r="G76" i="6"/>
  <c r="G77" i="6" s="1"/>
  <c r="G78" i="6" s="1"/>
  <c r="G79" i="6" s="1"/>
  <c r="G80" i="6" s="1"/>
  <c r="F76" i="6"/>
  <c r="H75" i="6"/>
  <c r="J75" i="6" s="1"/>
  <c r="H74" i="6"/>
  <c r="H73" i="6"/>
  <c r="I72" i="6"/>
  <c r="I71" i="6"/>
  <c r="J66" i="6"/>
  <c r="H66" i="6"/>
  <c r="G66" i="6"/>
  <c r="G67" i="6" s="1"/>
  <c r="G68" i="6" s="1"/>
  <c r="G69" i="6" s="1"/>
  <c r="G70" i="6" s="1"/>
  <c r="G71" i="6" s="1"/>
  <c r="F66" i="6"/>
  <c r="F67" i="6" s="1"/>
  <c r="J65" i="6"/>
  <c r="H65" i="6"/>
  <c r="H64" i="6"/>
  <c r="I62" i="6"/>
  <c r="H61" i="6"/>
  <c r="J61" i="6" s="1"/>
  <c r="I60" i="6"/>
  <c r="J59" i="6"/>
  <c r="H59" i="6"/>
  <c r="I58" i="6"/>
  <c r="F58" i="6"/>
  <c r="F60" i="6" s="1"/>
  <c r="H57" i="6"/>
  <c r="J57" i="6" s="1"/>
  <c r="J55" i="6"/>
  <c r="H55" i="6"/>
  <c r="I54" i="6"/>
  <c r="F54" i="6"/>
  <c r="H53" i="6"/>
  <c r="J53" i="6" s="1"/>
  <c r="J52" i="6"/>
  <c r="H52" i="6"/>
  <c r="I51" i="6"/>
  <c r="G50" i="6"/>
  <c r="J49" i="6"/>
  <c r="H49" i="6"/>
  <c r="H48" i="6"/>
  <c r="J48" i="6" s="1"/>
  <c r="G48" i="6"/>
  <c r="F48" i="6"/>
  <c r="F50" i="6" s="1"/>
  <c r="F51" i="6" s="1"/>
  <c r="H47" i="6"/>
  <c r="J47" i="6" s="1"/>
  <c r="J46" i="6"/>
  <c r="H46" i="6"/>
  <c r="I43" i="6"/>
  <c r="J42" i="6"/>
  <c r="H42" i="6"/>
  <c r="I41" i="6"/>
  <c r="H40" i="6"/>
  <c r="J40" i="6" s="1"/>
  <c r="I39" i="6"/>
  <c r="G39" i="6"/>
  <c r="G41" i="6" s="1"/>
  <c r="G43" i="6" s="1"/>
  <c r="J37" i="6"/>
  <c r="H37" i="6"/>
  <c r="J34" i="6"/>
  <c r="H34" i="6"/>
  <c r="J33" i="6"/>
  <c r="H33" i="6"/>
  <c r="F32" i="6"/>
  <c r="H32" i="6" s="1"/>
  <c r="J32" i="6" s="1"/>
  <c r="J31" i="6"/>
  <c r="H31" i="6"/>
  <c r="H30" i="6"/>
  <c r="J30" i="6" s="1"/>
  <c r="H26" i="6"/>
  <c r="H25" i="6"/>
  <c r="I24" i="6"/>
  <c r="I27" i="6" s="1"/>
  <c r="J23" i="6"/>
  <c r="H23" i="6"/>
  <c r="H22" i="6"/>
  <c r="J22" i="6" s="1"/>
  <c r="I21" i="6"/>
  <c r="J20" i="6"/>
  <c r="H20" i="6"/>
  <c r="H18" i="6"/>
  <c r="J18" i="6" s="1"/>
  <c r="J17" i="6"/>
  <c r="H17" i="6"/>
  <c r="I16" i="6"/>
  <c r="F16" i="6"/>
  <c r="F19" i="6" s="1"/>
  <c r="F21" i="6" s="1"/>
  <c r="F24" i="6" s="1"/>
  <c r="F27" i="6" s="1"/>
  <c r="J15" i="6"/>
  <c r="H15" i="6"/>
  <c r="G14" i="6"/>
  <c r="J13" i="6"/>
  <c r="H13" i="6"/>
  <c r="H12" i="6"/>
  <c r="J12" i="6" s="1"/>
  <c r="J11" i="6"/>
  <c r="H11" i="6"/>
  <c r="J10" i="6"/>
  <c r="H10" i="6"/>
  <c r="G9" i="6"/>
  <c r="F9" i="6"/>
  <c r="J8" i="6"/>
  <c r="H8" i="6"/>
  <c r="B68" i="5"/>
  <c r="B58" i="5"/>
  <c r="B48" i="5"/>
  <c r="B91" i="5" s="1"/>
  <c r="B39" i="5"/>
  <c r="K38" i="5"/>
  <c r="L34" i="5"/>
  <c r="Q32" i="5"/>
  <c r="Q30" i="5"/>
  <c r="O30" i="5"/>
  <c r="Q27" i="5"/>
  <c r="Q26" i="5"/>
  <c r="K26" i="5"/>
  <c r="H26" i="5"/>
  <c r="H32" i="5" s="1"/>
  <c r="P25" i="5"/>
  <c r="O25" i="5"/>
  <c r="M25" i="5"/>
  <c r="N25" i="5" s="1"/>
  <c r="G25" i="5"/>
  <c r="O24" i="5"/>
  <c r="P22" i="5" s="1"/>
  <c r="P23" i="5"/>
  <c r="O23" i="5"/>
  <c r="H23" i="5"/>
  <c r="G23" i="5"/>
  <c r="F23" i="5"/>
  <c r="B23" i="5"/>
  <c r="O22" i="5"/>
  <c r="G22" i="5"/>
  <c r="F22" i="5"/>
  <c r="E22" i="5" s="1"/>
  <c r="P21" i="5"/>
  <c r="O21" i="5"/>
  <c r="G21" i="5"/>
  <c r="F21" i="5"/>
  <c r="Q20" i="5"/>
  <c r="P20" i="5"/>
  <c r="O20" i="5"/>
  <c r="P18" i="5" s="1"/>
  <c r="G20" i="5"/>
  <c r="F20" i="5"/>
  <c r="P19" i="5"/>
  <c r="O19" i="5"/>
  <c r="P17" i="5" s="1"/>
  <c r="G19" i="5"/>
  <c r="F19" i="5"/>
  <c r="O18" i="5"/>
  <c r="G18" i="5"/>
  <c r="F18" i="5"/>
  <c r="F17" i="5"/>
  <c r="Q16" i="5"/>
  <c r="G16" i="5"/>
  <c r="F16" i="5"/>
  <c r="O14" i="5"/>
  <c r="P13" i="5" s="1"/>
  <c r="K13" i="5"/>
  <c r="G13" i="5"/>
  <c r="F13" i="5"/>
  <c r="D13" i="5"/>
  <c r="E13" i="5" s="1"/>
  <c r="Q12" i="5"/>
  <c r="P12" i="5" s="1"/>
  <c r="O12" i="5"/>
  <c r="F12" i="5"/>
  <c r="G12" i="5" s="1"/>
  <c r="B12" i="5"/>
  <c r="Q11" i="5"/>
  <c r="P11" i="5" s="1"/>
  <c r="O11" i="5"/>
  <c r="G11" i="5"/>
  <c r="F11" i="5"/>
  <c r="B11" i="5"/>
  <c r="P10" i="5"/>
  <c r="O10" i="5"/>
  <c r="G10" i="5"/>
  <c r="F10" i="5"/>
  <c r="O9" i="5"/>
  <c r="P9" i="5" s="1"/>
  <c r="G9" i="5"/>
  <c r="F9" i="5"/>
  <c r="B9" i="5"/>
  <c r="O8" i="5"/>
  <c r="P8" i="5" s="1"/>
  <c r="G8" i="5"/>
  <c r="F8" i="5"/>
  <c r="E8" i="5" s="1"/>
  <c r="O7" i="5"/>
  <c r="P7" i="5" s="1"/>
  <c r="F7" i="5"/>
  <c r="Q6" i="5"/>
  <c r="O6" i="5"/>
  <c r="P6" i="5" s="1"/>
  <c r="G6" i="5"/>
  <c r="F6" i="5"/>
  <c r="D6" i="5"/>
  <c r="O5" i="5"/>
  <c r="F5" i="5"/>
  <c r="G5" i="5" s="1"/>
  <c r="T74" i="4"/>
  <c r="R74" i="4"/>
  <c r="N74" i="4"/>
  <c r="H74" i="4"/>
  <c r="S73" i="4"/>
  <c r="U73" i="4" s="1"/>
  <c r="M73" i="4"/>
  <c r="O73" i="4" s="1"/>
  <c r="T69" i="4"/>
  <c r="S69" i="4"/>
  <c r="R69" i="4"/>
  <c r="R70" i="4" s="1"/>
  <c r="Q69" i="4"/>
  <c r="N69" i="4"/>
  <c r="L69" i="4"/>
  <c r="K69" i="4"/>
  <c r="H69" i="4"/>
  <c r="F69" i="4"/>
  <c r="E69" i="4"/>
  <c r="U68" i="4"/>
  <c r="S68" i="4"/>
  <c r="M68" i="4"/>
  <c r="O68" i="4" s="1"/>
  <c r="I68" i="4"/>
  <c r="G68" i="4"/>
  <c r="S67" i="4"/>
  <c r="U67" i="4" s="1"/>
  <c r="O67" i="4"/>
  <c r="M67" i="4"/>
  <c r="G67" i="4"/>
  <c r="I66" i="4"/>
  <c r="G66" i="4"/>
  <c r="G65" i="4"/>
  <c r="U64" i="4"/>
  <c r="S64" i="4"/>
  <c r="M64" i="4"/>
  <c r="O64" i="4" s="1"/>
  <c r="G64" i="4"/>
  <c r="S63" i="4"/>
  <c r="U63" i="4" s="1"/>
  <c r="O63" i="4"/>
  <c r="M63" i="4"/>
  <c r="G63" i="4"/>
  <c r="I63" i="4" s="1"/>
  <c r="U62" i="4"/>
  <c r="S62" i="4"/>
  <c r="M62" i="4"/>
  <c r="O62" i="4" s="1"/>
  <c r="I62" i="4"/>
  <c r="G62" i="4"/>
  <c r="S61" i="4"/>
  <c r="U61" i="4" s="1"/>
  <c r="O61" i="4"/>
  <c r="M61" i="4"/>
  <c r="G61" i="4"/>
  <c r="M60" i="4"/>
  <c r="R58" i="4"/>
  <c r="Q58" i="4"/>
  <c r="L58" i="4"/>
  <c r="K58" i="4"/>
  <c r="H58" i="4"/>
  <c r="F58" i="4"/>
  <c r="E58" i="4"/>
  <c r="U57" i="4"/>
  <c r="S57" i="4"/>
  <c r="M57" i="4"/>
  <c r="O57" i="4" s="1"/>
  <c r="G57" i="4"/>
  <c r="U56" i="4"/>
  <c r="O56" i="4"/>
  <c r="I56" i="4"/>
  <c r="S55" i="4"/>
  <c r="U55" i="4" s="1"/>
  <c r="O55" i="4"/>
  <c r="M55" i="4"/>
  <c r="G55" i="4"/>
  <c r="I55" i="4" s="1"/>
  <c r="U54" i="4"/>
  <c r="T54" i="4"/>
  <c r="T58" i="4" s="1"/>
  <c r="S54" i="4"/>
  <c r="N54" i="4"/>
  <c r="N58" i="4" s="1"/>
  <c r="M54" i="4"/>
  <c r="O54" i="4" s="1"/>
  <c r="G54" i="4"/>
  <c r="S53" i="4"/>
  <c r="U53" i="4" s="1"/>
  <c r="M53" i="4"/>
  <c r="O53" i="4" s="1"/>
  <c r="G53" i="4"/>
  <c r="S52" i="4"/>
  <c r="M52" i="4"/>
  <c r="G52" i="4"/>
  <c r="S50" i="4"/>
  <c r="O50" i="4"/>
  <c r="M50" i="4"/>
  <c r="G50" i="4"/>
  <c r="U49" i="4"/>
  <c r="S49" i="4"/>
  <c r="M49" i="4"/>
  <c r="O49" i="4" s="1"/>
  <c r="G49" i="4"/>
  <c r="G58" i="4" s="1"/>
  <c r="S45" i="4"/>
  <c r="U45" i="4" s="1"/>
  <c r="O45" i="4"/>
  <c r="M45" i="4"/>
  <c r="G45" i="4"/>
  <c r="U44" i="4"/>
  <c r="S44" i="4"/>
  <c r="M44" i="4"/>
  <c r="O44" i="4" s="1"/>
  <c r="G44" i="4"/>
  <c r="I44" i="4" s="1"/>
  <c r="B75" i="5" s="1"/>
  <c r="S43" i="4"/>
  <c r="U43" i="4" s="1"/>
  <c r="M43" i="4"/>
  <c r="O43" i="4" s="1"/>
  <c r="G43" i="4"/>
  <c r="I43" i="4" s="1"/>
  <c r="B69" i="5" s="1"/>
  <c r="S41" i="4"/>
  <c r="U41" i="4" s="1"/>
  <c r="O41" i="4"/>
  <c r="M41" i="4"/>
  <c r="G41" i="4"/>
  <c r="U40" i="4"/>
  <c r="S40" i="4"/>
  <c r="M40" i="4"/>
  <c r="O40" i="4" s="1"/>
  <c r="I40" i="4"/>
  <c r="G40" i="4"/>
  <c r="S39" i="4"/>
  <c r="U39" i="4" s="1"/>
  <c r="M39" i="4"/>
  <c r="O39" i="4" s="1"/>
  <c r="G39" i="4"/>
  <c r="I39" i="4" s="1"/>
  <c r="S38" i="4"/>
  <c r="U38" i="4" s="1"/>
  <c r="M38" i="4"/>
  <c r="O38" i="4" s="1"/>
  <c r="G38" i="4"/>
  <c r="S37" i="4"/>
  <c r="U37" i="4" s="1"/>
  <c r="O37" i="4"/>
  <c r="M37" i="4"/>
  <c r="G37" i="4"/>
  <c r="M36" i="4"/>
  <c r="O36" i="4" s="1"/>
  <c r="S35" i="4"/>
  <c r="U35" i="4" s="1"/>
  <c r="M35" i="4"/>
  <c r="O35" i="4" s="1"/>
  <c r="L35" i="4"/>
  <c r="G35" i="4"/>
  <c r="U34" i="4"/>
  <c r="S34" i="4"/>
  <c r="O34" i="4"/>
  <c r="M34" i="4"/>
  <c r="G34" i="4"/>
  <c r="U33" i="4"/>
  <c r="S33" i="4"/>
  <c r="O33" i="4"/>
  <c r="M33" i="4"/>
  <c r="G33" i="4"/>
  <c r="S32" i="4"/>
  <c r="U32" i="4" s="1"/>
  <c r="O32" i="4"/>
  <c r="M32" i="4"/>
  <c r="G32" i="4"/>
  <c r="U31" i="4"/>
  <c r="S31" i="4"/>
  <c r="M31" i="4"/>
  <c r="O31" i="4" s="1"/>
  <c r="G31" i="4"/>
  <c r="S30" i="4"/>
  <c r="U30" i="4" s="1"/>
  <c r="O30" i="4"/>
  <c r="M30" i="4"/>
  <c r="G30" i="4"/>
  <c r="U29" i="4"/>
  <c r="S29" i="4"/>
  <c r="M29" i="4"/>
  <c r="O29" i="4" s="1"/>
  <c r="G29" i="4"/>
  <c r="S28" i="4"/>
  <c r="U28" i="4" s="1"/>
  <c r="O28" i="4"/>
  <c r="M28" i="4"/>
  <c r="G28" i="4"/>
  <c r="U27" i="4"/>
  <c r="S27" i="4"/>
  <c r="M27" i="4"/>
  <c r="O27" i="4" s="1"/>
  <c r="L27" i="4"/>
  <c r="G27" i="4"/>
  <c r="U26" i="4"/>
  <c r="S26" i="4"/>
  <c r="O26" i="4"/>
  <c r="M26" i="4"/>
  <c r="G26" i="4"/>
  <c r="U25" i="4"/>
  <c r="S25" i="4"/>
  <c r="O25" i="4"/>
  <c r="M25" i="4"/>
  <c r="G25" i="4"/>
  <c r="R23" i="4"/>
  <c r="R42" i="4" s="1"/>
  <c r="R46" i="4" s="1"/>
  <c r="L23" i="4"/>
  <c r="L42" i="4" s="1"/>
  <c r="L46" i="4" s="1"/>
  <c r="N22" i="4"/>
  <c r="M22" i="4"/>
  <c r="I22" i="4"/>
  <c r="B85" i="5" s="1"/>
  <c r="G22" i="4"/>
  <c r="U21" i="4"/>
  <c r="S21" i="4"/>
  <c r="O21" i="4"/>
  <c r="M21" i="4"/>
  <c r="I21" i="4"/>
  <c r="G21" i="4"/>
  <c r="Q20" i="4"/>
  <c r="S20" i="4" s="1"/>
  <c r="U20" i="4" s="1"/>
  <c r="O20" i="4"/>
  <c r="M20" i="4"/>
  <c r="G20" i="4"/>
  <c r="U19" i="4"/>
  <c r="S19" i="4"/>
  <c r="M19" i="4"/>
  <c r="O19" i="4" s="1"/>
  <c r="I19" i="4"/>
  <c r="B53" i="5" s="1"/>
  <c r="G19" i="4"/>
  <c r="F19" i="4"/>
  <c r="U18" i="4"/>
  <c r="S18" i="4"/>
  <c r="O18" i="4"/>
  <c r="M18" i="4"/>
  <c r="I18" i="4"/>
  <c r="G18" i="4"/>
  <c r="F18" i="4"/>
  <c r="E18" i="4"/>
  <c r="U17" i="4"/>
  <c r="S17" i="4"/>
  <c r="O17" i="4"/>
  <c r="M17" i="4"/>
  <c r="I17" i="4"/>
  <c r="G17" i="4"/>
  <c r="U16" i="4"/>
  <c r="S16" i="4"/>
  <c r="O16" i="4"/>
  <c r="M16" i="4"/>
  <c r="I16" i="4"/>
  <c r="G16" i="4"/>
  <c r="U15" i="4"/>
  <c r="S15" i="4"/>
  <c r="O15" i="4"/>
  <c r="M15" i="4"/>
  <c r="I15" i="4"/>
  <c r="G15" i="4"/>
  <c r="U14" i="4"/>
  <c r="S14" i="4"/>
  <c r="O14" i="4"/>
  <c r="M14" i="4"/>
  <c r="I14" i="4"/>
  <c r="B47" i="5" s="1"/>
  <c r="G14" i="4"/>
  <c r="U13" i="4"/>
  <c r="S13" i="4"/>
  <c r="O13" i="4"/>
  <c r="M13" i="4"/>
  <c r="I13" i="4"/>
  <c r="B63" i="5" s="1"/>
  <c r="G13" i="4"/>
  <c r="T12" i="4"/>
  <c r="S12" i="4"/>
  <c r="U12" i="4" s="1"/>
  <c r="H11" i="9" s="1"/>
  <c r="O12" i="4"/>
  <c r="N12" i="4"/>
  <c r="M12" i="4"/>
  <c r="G12" i="4"/>
  <c r="I12" i="4" s="1"/>
  <c r="U11" i="4"/>
  <c r="S11" i="4"/>
  <c r="M11" i="4"/>
  <c r="O11" i="4" s="1"/>
  <c r="I11" i="4"/>
  <c r="G11" i="4"/>
  <c r="S10" i="4"/>
  <c r="U10" i="4" s="1"/>
  <c r="O10" i="4"/>
  <c r="M10" i="4"/>
  <c r="G10" i="4"/>
  <c r="I10" i="4" s="1"/>
  <c r="B80" i="5" s="1"/>
  <c r="S8" i="4"/>
  <c r="Q8" i="4"/>
  <c r="Q23" i="4" s="1"/>
  <c r="Q42" i="4" s="1"/>
  <c r="Q46" i="4" s="1"/>
  <c r="U40" i="3"/>
  <c r="E40" i="3"/>
  <c r="G153" i="6" s="1"/>
  <c r="G195" i="6" s="1"/>
  <c r="R39" i="3"/>
  <c r="T39" i="3" s="1"/>
  <c r="N39" i="3"/>
  <c r="L39" i="3"/>
  <c r="F39" i="3"/>
  <c r="H39" i="3" s="1"/>
  <c r="S35" i="3"/>
  <c r="T35" i="3" s="1"/>
  <c r="R35" i="3"/>
  <c r="M35" i="3"/>
  <c r="I9" i="8" s="1"/>
  <c r="H26" i="8" s="1"/>
  <c r="L35" i="3"/>
  <c r="N35" i="3" s="1"/>
  <c r="H35" i="3"/>
  <c r="F35" i="3"/>
  <c r="L34" i="3"/>
  <c r="N34" i="3" s="1"/>
  <c r="H34" i="3"/>
  <c r="B74" i="5" s="1"/>
  <c r="F34" i="3"/>
  <c r="E32" i="3"/>
  <c r="E36" i="3" s="1"/>
  <c r="R31" i="3"/>
  <c r="T31" i="3" s="1"/>
  <c r="H14" i="9" s="1"/>
  <c r="N31" i="3"/>
  <c r="G14" i="9" s="1"/>
  <c r="L31" i="3"/>
  <c r="F31" i="3"/>
  <c r="H31" i="3" s="1"/>
  <c r="P29" i="3"/>
  <c r="P32" i="3" s="1"/>
  <c r="P36" i="3" s="1"/>
  <c r="P40" i="3" s="1"/>
  <c r="T28" i="3"/>
  <c r="S28" i="3"/>
  <c r="R28" i="3"/>
  <c r="Q28" i="3"/>
  <c r="L28" i="3"/>
  <c r="F28" i="3"/>
  <c r="H28" i="3" s="1"/>
  <c r="T27" i="3"/>
  <c r="R27" i="3"/>
  <c r="L27" i="3"/>
  <c r="N27" i="3" s="1"/>
  <c r="H27" i="3"/>
  <c r="F27" i="3"/>
  <c r="T26" i="3"/>
  <c r="N26" i="3"/>
  <c r="H26" i="3"/>
  <c r="S25" i="3"/>
  <c r="Q25" i="3"/>
  <c r="Q29" i="3" s="1"/>
  <c r="Q32" i="3" s="1"/>
  <c r="Q36" i="3" s="1"/>
  <c r="Q40" i="3" s="1"/>
  <c r="P25" i="3"/>
  <c r="L25" i="3"/>
  <c r="N25" i="3" s="1"/>
  <c r="K25" i="3"/>
  <c r="K29" i="3" s="1"/>
  <c r="K32" i="3" s="1"/>
  <c r="K36" i="3" s="1"/>
  <c r="K40" i="3" s="1"/>
  <c r="J25" i="3"/>
  <c r="G25" i="3"/>
  <c r="G29" i="3" s="1"/>
  <c r="G32" i="3" s="1"/>
  <c r="G36" i="3" s="1"/>
  <c r="F25" i="3"/>
  <c r="E25" i="3"/>
  <c r="D25" i="3"/>
  <c r="T24" i="3"/>
  <c r="R24" i="3"/>
  <c r="N24" i="3"/>
  <c r="F24" i="3"/>
  <c r="H24" i="3" s="1"/>
  <c r="T23" i="3"/>
  <c r="R23" i="3"/>
  <c r="N23" i="3"/>
  <c r="F23" i="3"/>
  <c r="H23" i="3" s="1"/>
  <c r="T22" i="3"/>
  <c r="R22" i="3"/>
  <c r="N22" i="3"/>
  <c r="H22" i="3"/>
  <c r="F22" i="3"/>
  <c r="R21" i="3"/>
  <c r="T21" i="3" s="1"/>
  <c r="N21" i="3"/>
  <c r="H21" i="3"/>
  <c r="F21" i="3"/>
  <c r="R20" i="3"/>
  <c r="T20" i="3" s="1"/>
  <c r="N20" i="3"/>
  <c r="F20" i="3"/>
  <c r="H20" i="3" s="1"/>
  <c r="T19" i="3"/>
  <c r="R19" i="3"/>
  <c r="N19" i="3"/>
  <c r="H19" i="3"/>
  <c r="F19" i="3"/>
  <c r="T18" i="3"/>
  <c r="R18" i="3"/>
  <c r="N18" i="3"/>
  <c r="H18" i="3"/>
  <c r="F18" i="3"/>
  <c r="R17" i="3"/>
  <c r="T17" i="3" s="1"/>
  <c r="N17" i="3"/>
  <c r="H17" i="3"/>
  <c r="F17" i="3"/>
  <c r="T16" i="3"/>
  <c r="R16" i="3"/>
  <c r="N16" i="3"/>
  <c r="F16" i="3"/>
  <c r="H16" i="3" s="1"/>
  <c r="T15" i="3"/>
  <c r="R15" i="3"/>
  <c r="N15" i="3"/>
  <c r="F15" i="3"/>
  <c r="H15" i="3" s="1"/>
  <c r="T14" i="3"/>
  <c r="R14" i="3"/>
  <c r="N14" i="3"/>
  <c r="H14" i="3"/>
  <c r="F14" i="3"/>
  <c r="R13" i="3"/>
  <c r="T13" i="3" s="1"/>
  <c r="N13" i="3"/>
  <c r="H13" i="3"/>
  <c r="F13" i="3"/>
  <c r="R12" i="3"/>
  <c r="T12" i="3" s="1"/>
  <c r="N12" i="3"/>
  <c r="F12" i="3"/>
  <c r="H12" i="3" s="1"/>
  <c r="T11" i="3"/>
  <c r="R11" i="3"/>
  <c r="L11" i="3"/>
  <c r="N11" i="3" s="1"/>
  <c r="H11" i="3"/>
  <c r="F11" i="3"/>
  <c r="Q9" i="3"/>
  <c r="P9" i="3"/>
  <c r="M9" i="3"/>
  <c r="L9" i="3"/>
  <c r="K9" i="3"/>
  <c r="J9" i="3"/>
  <c r="J29" i="3" s="1"/>
  <c r="J32" i="3" s="1"/>
  <c r="G9" i="3"/>
  <c r="E9" i="3"/>
  <c r="E29" i="3" s="1"/>
  <c r="D9" i="3"/>
  <c r="D29" i="3" s="1"/>
  <c r="D32" i="3" s="1"/>
  <c r="D36" i="3" s="1"/>
  <c r="D40" i="3" s="1"/>
  <c r="R8" i="3"/>
  <c r="N8" i="3"/>
  <c r="M8" i="3"/>
  <c r="L8" i="3"/>
  <c r="H8" i="3"/>
  <c r="F8" i="3"/>
  <c r="S7" i="3"/>
  <c r="R7" i="3"/>
  <c r="T7" i="3" s="1"/>
  <c r="N7" i="3"/>
  <c r="N9" i="3" s="1"/>
  <c r="M7" i="3"/>
  <c r="L7" i="3"/>
  <c r="F7" i="3"/>
  <c r="F9" i="3" s="1"/>
  <c r="F29" i="3" s="1"/>
  <c r="F32" i="3" s="1"/>
  <c r="F36" i="3" s="1"/>
  <c r="F40" i="3" s="1"/>
  <c r="N72" i="2"/>
  <c r="L72" i="2"/>
  <c r="K72" i="2"/>
  <c r="H72" i="2"/>
  <c r="F72" i="2"/>
  <c r="F73" i="2" s="1"/>
  <c r="M71" i="2"/>
  <c r="O71" i="2" s="1"/>
  <c r="I71" i="2"/>
  <c r="G71" i="2"/>
  <c r="O70" i="2"/>
  <c r="O72" i="2" s="1"/>
  <c r="M70" i="2"/>
  <c r="F70" i="2"/>
  <c r="E70" i="2"/>
  <c r="R69" i="2"/>
  <c r="O69" i="2"/>
  <c r="M69" i="2"/>
  <c r="I69" i="2"/>
  <c r="G69" i="2"/>
  <c r="Q68" i="2"/>
  <c r="O68" i="2"/>
  <c r="M68" i="2"/>
  <c r="G68" i="2"/>
  <c r="E65" i="2"/>
  <c r="R64" i="2"/>
  <c r="Q64" i="2"/>
  <c r="L64" i="2"/>
  <c r="K64" i="2"/>
  <c r="H64" i="2"/>
  <c r="F64" i="2"/>
  <c r="E64" i="2"/>
  <c r="S63" i="2"/>
  <c r="U63" i="2" s="1"/>
  <c r="O63" i="2"/>
  <c r="M63" i="2"/>
  <c r="G63" i="2"/>
  <c r="I63" i="2" s="1"/>
  <c r="K25" i="5" s="1"/>
  <c r="L25" i="5" s="1"/>
  <c r="U62" i="2"/>
  <c r="S62" i="2"/>
  <c r="M62" i="2"/>
  <c r="O62" i="2" s="1"/>
  <c r="M26" i="5" s="1"/>
  <c r="N26" i="5" s="1"/>
  <c r="I62" i="2"/>
  <c r="G62" i="2"/>
  <c r="S61" i="2"/>
  <c r="U61" i="2" s="1"/>
  <c r="Q61" i="2"/>
  <c r="M61" i="2"/>
  <c r="O61" i="2" s="1"/>
  <c r="M23" i="5" s="1"/>
  <c r="N23" i="5" s="1"/>
  <c r="I61" i="2"/>
  <c r="K23" i="5" s="1"/>
  <c r="G61" i="2"/>
  <c r="N60" i="2"/>
  <c r="N64" i="2" s="1"/>
  <c r="M60" i="2"/>
  <c r="I60" i="2"/>
  <c r="K24" i="5" s="1"/>
  <c r="G60" i="2"/>
  <c r="U59" i="2"/>
  <c r="T59" i="2"/>
  <c r="S59" i="2"/>
  <c r="Q59" i="2"/>
  <c r="O59" i="2"/>
  <c r="M22" i="5" s="1"/>
  <c r="N22" i="5" s="1"/>
  <c r="M59" i="2"/>
  <c r="I59" i="2"/>
  <c r="K22" i="5" s="1"/>
  <c r="G59" i="2"/>
  <c r="U58" i="2"/>
  <c r="T58" i="2"/>
  <c r="T64" i="2" s="1"/>
  <c r="S58" i="2"/>
  <c r="Q58" i="2"/>
  <c r="O58" i="2"/>
  <c r="M21" i="5" s="1"/>
  <c r="N21" i="5" s="1"/>
  <c r="M58" i="2"/>
  <c r="I58" i="2"/>
  <c r="K21" i="5" s="1"/>
  <c r="G58" i="2"/>
  <c r="U57" i="2"/>
  <c r="U64" i="2" s="1"/>
  <c r="S57" i="2"/>
  <c r="O57" i="2"/>
  <c r="M20" i="5" s="1"/>
  <c r="N20" i="5" s="1"/>
  <c r="M57" i="2"/>
  <c r="I57" i="2"/>
  <c r="K20" i="5" s="1"/>
  <c r="L20" i="5" s="1"/>
  <c r="G57" i="2"/>
  <c r="O56" i="2"/>
  <c r="M55" i="2"/>
  <c r="O55" i="2" s="1"/>
  <c r="M19" i="5" s="1"/>
  <c r="N19" i="5" s="1"/>
  <c r="I55" i="2"/>
  <c r="K19" i="5" s="1"/>
  <c r="L19" i="5" s="1"/>
  <c r="G55" i="2"/>
  <c r="S54" i="2"/>
  <c r="U54" i="2" s="1"/>
  <c r="O54" i="2"/>
  <c r="M54" i="2"/>
  <c r="G54" i="2"/>
  <c r="I54" i="2" s="1"/>
  <c r="R51" i="2"/>
  <c r="R65" i="2" s="1"/>
  <c r="Q51" i="2"/>
  <c r="L51" i="2"/>
  <c r="K51" i="2"/>
  <c r="K65" i="2" s="1"/>
  <c r="H51" i="2"/>
  <c r="H65" i="2" s="1"/>
  <c r="H73" i="2" s="1"/>
  <c r="H74" i="2" s="1"/>
  <c r="F51" i="2"/>
  <c r="F65" i="2" s="1"/>
  <c r="E51" i="2"/>
  <c r="U50" i="2"/>
  <c r="T50" i="2"/>
  <c r="S50" i="2"/>
  <c r="N50" i="2"/>
  <c r="M50" i="2"/>
  <c r="O50" i="2" s="1"/>
  <c r="I50" i="2"/>
  <c r="G50" i="2"/>
  <c r="M49" i="2"/>
  <c r="O49" i="2" s="1"/>
  <c r="M13" i="5" s="1"/>
  <c r="I49" i="2"/>
  <c r="G49" i="2"/>
  <c r="S48" i="2"/>
  <c r="U48" i="2" s="1"/>
  <c r="O48" i="2"/>
  <c r="M14" i="5" s="1"/>
  <c r="M48" i="2"/>
  <c r="G48" i="2"/>
  <c r="I48" i="2" s="1"/>
  <c r="K14" i="5" s="1"/>
  <c r="L14" i="5" s="1"/>
  <c r="T47" i="2"/>
  <c r="S47" i="2"/>
  <c r="U47" i="2" s="1"/>
  <c r="O47" i="2"/>
  <c r="M12" i="5" s="1"/>
  <c r="N12" i="5" s="1"/>
  <c r="N47" i="2"/>
  <c r="M47" i="2"/>
  <c r="G47" i="2"/>
  <c r="G51" i="2" s="1"/>
  <c r="U46" i="2"/>
  <c r="S46" i="2"/>
  <c r="M46" i="2"/>
  <c r="O46" i="2" s="1"/>
  <c r="M11" i="5" s="1"/>
  <c r="N11" i="5" s="1"/>
  <c r="I46" i="2"/>
  <c r="K11" i="5" s="1"/>
  <c r="G46" i="2"/>
  <c r="S45" i="2"/>
  <c r="U45" i="2" s="1"/>
  <c r="Q45" i="2"/>
  <c r="M45" i="2"/>
  <c r="O45" i="2" s="1"/>
  <c r="M10" i="5" s="1"/>
  <c r="N10" i="5" s="1"/>
  <c r="I45" i="2"/>
  <c r="K10" i="5" s="1"/>
  <c r="G45" i="2"/>
  <c r="S44" i="2"/>
  <c r="U44" i="2" s="1"/>
  <c r="O44" i="2"/>
  <c r="I44" i="2"/>
  <c r="T43" i="2"/>
  <c r="T51" i="2" s="1"/>
  <c r="S43" i="2"/>
  <c r="U43" i="2" s="1"/>
  <c r="Q43" i="2"/>
  <c r="N43" i="2"/>
  <c r="M43" i="2"/>
  <c r="O43" i="2" s="1"/>
  <c r="M9" i="5" s="1"/>
  <c r="N9" i="5" s="1"/>
  <c r="I43" i="2"/>
  <c r="K9" i="5" s="1"/>
  <c r="G43" i="2"/>
  <c r="S42" i="2"/>
  <c r="U42" i="2" s="1"/>
  <c r="Q42" i="2"/>
  <c r="M42" i="2"/>
  <c r="O42" i="2" s="1"/>
  <c r="M8" i="5" s="1"/>
  <c r="N8" i="5" s="1"/>
  <c r="I42" i="2"/>
  <c r="K8" i="5" s="1"/>
  <c r="G42" i="2"/>
  <c r="O41" i="2"/>
  <c r="U40" i="2"/>
  <c r="S40" i="2"/>
  <c r="O40" i="2"/>
  <c r="M7" i="5" s="1"/>
  <c r="N7" i="5" s="1"/>
  <c r="M40" i="2"/>
  <c r="I40" i="2"/>
  <c r="K7" i="5" s="1"/>
  <c r="G40" i="2"/>
  <c r="U39" i="2"/>
  <c r="H23" i="9" s="1"/>
  <c r="S39" i="2"/>
  <c r="O39" i="2"/>
  <c r="M39" i="2"/>
  <c r="I39" i="2"/>
  <c r="G39" i="2"/>
  <c r="O38" i="2"/>
  <c r="M38" i="2"/>
  <c r="I38" i="2"/>
  <c r="K5" i="5" s="1"/>
  <c r="G38" i="2"/>
  <c r="L34" i="2"/>
  <c r="F34" i="2"/>
  <c r="R33" i="2"/>
  <c r="Q33" i="2"/>
  <c r="L33" i="2"/>
  <c r="K33" i="2"/>
  <c r="K34" i="2" s="1"/>
  <c r="H33" i="2"/>
  <c r="H34" i="2" s="1"/>
  <c r="F33" i="2"/>
  <c r="E33" i="2"/>
  <c r="E34" i="2" s="1"/>
  <c r="U32" i="2"/>
  <c r="S32" i="2"/>
  <c r="M32" i="2"/>
  <c r="O32" i="2" s="1"/>
  <c r="D25" i="5" s="1"/>
  <c r="C25" i="5" s="1"/>
  <c r="I31" i="4" s="1"/>
  <c r="I32" i="2"/>
  <c r="B25" i="5" s="1"/>
  <c r="G32" i="2"/>
  <c r="T31" i="2"/>
  <c r="T33" i="2" s="1"/>
  <c r="S31" i="2"/>
  <c r="M31" i="2"/>
  <c r="I31" i="2"/>
  <c r="B27" i="5" s="1"/>
  <c r="G31" i="2"/>
  <c r="S30" i="2"/>
  <c r="U30" i="2" s="1"/>
  <c r="O30" i="2"/>
  <c r="D24" i="5" s="1"/>
  <c r="M30" i="2"/>
  <c r="G30" i="2"/>
  <c r="I30" i="2" s="1"/>
  <c r="B24" i="5" s="1"/>
  <c r="U29" i="2"/>
  <c r="S29" i="2"/>
  <c r="M29" i="2"/>
  <c r="O29" i="2" s="1"/>
  <c r="D23" i="5" s="1"/>
  <c r="C23" i="5" s="1"/>
  <c r="I51" i="4" s="1"/>
  <c r="I29" i="2"/>
  <c r="G29" i="2"/>
  <c r="S28" i="2"/>
  <c r="U28" i="2" s="1"/>
  <c r="O28" i="2"/>
  <c r="D26" i="5" s="1"/>
  <c r="M28" i="2"/>
  <c r="G28" i="2"/>
  <c r="I28" i="2" s="1"/>
  <c r="B26" i="5" s="1"/>
  <c r="U27" i="2"/>
  <c r="S27" i="2"/>
  <c r="M27" i="2"/>
  <c r="O27" i="2" s="1"/>
  <c r="D22" i="5" s="1"/>
  <c r="I27" i="2"/>
  <c r="B22" i="5" s="1"/>
  <c r="G27" i="2"/>
  <c r="S26" i="2"/>
  <c r="U26" i="2" s="1"/>
  <c r="O26" i="2"/>
  <c r="D21" i="5" s="1"/>
  <c r="E19" i="5" s="1"/>
  <c r="M26" i="2"/>
  <c r="G26" i="2"/>
  <c r="I26" i="2" s="1"/>
  <c r="B21" i="5" s="1"/>
  <c r="T25" i="2"/>
  <c r="M62" i="7" s="1"/>
  <c r="N63" i="7" s="1"/>
  <c r="J9" i="8" s="1"/>
  <c r="S25" i="2"/>
  <c r="U25" i="2" s="1"/>
  <c r="M25" i="2"/>
  <c r="I25" i="2"/>
  <c r="B20" i="5" s="1"/>
  <c r="G25" i="2"/>
  <c r="E25" i="2"/>
  <c r="S24" i="2"/>
  <c r="U24" i="2" s="1"/>
  <c r="O24" i="2"/>
  <c r="D18" i="5" s="1"/>
  <c r="M24" i="2"/>
  <c r="G24" i="2"/>
  <c r="I24" i="2" s="1"/>
  <c r="B18" i="5" s="1"/>
  <c r="U23" i="2"/>
  <c r="S23" i="2"/>
  <c r="M23" i="2"/>
  <c r="I23" i="2"/>
  <c r="B19" i="5" s="1"/>
  <c r="G23" i="2"/>
  <c r="G33" i="2" s="1"/>
  <c r="U20" i="2"/>
  <c r="R18" i="2"/>
  <c r="R34" i="2" s="1"/>
  <c r="Q18" i="2"/>
  <c r="S18" i="2" s="1"/>
  <c r="L18" i="2"/>
  <c r="K18" i="2"/>
  <c r="H18" i="2"/>
  <c r="F18" i="2"/>
  <c r="E18" i="2"/>
  <c r="S17" i="2"/>
  <c r="U17" i="2" s="1"/>
  <c r="O17" i="2"/>
  <c r="M17" i="2"/>
  <c r="G17" i="2"/>
  <c r="I17" i="2" s="1"/>
  <c r="B13" i="5" s="1"/>
  <c r="U16" i="2"/>
  <c r="T16" i="2"/>
  <c r="S16" i="2"/>
  <c r="M16" i="2"/>
  <c r="O16" i="2" s="1"/>
  <c r="D12" i="5" s="1"/>
  <c r="I16" i="2"/>
  <c r="G16" i="2"/>
  <c r="S15" i="2"/>
  <c r="U15" i="2" s="1"/>
  <c r="O15" i="2"/>
  <c r="D10" i="5" s="1"/>
  <c r="M15" i="2"/>
  <c r="G15" i="2"/>
  <c r="I15" i="2" s="1"/>
  <c r="B10" i="5" s="1"/>
  <c r="C10" i="5" s="1"/>
  <c r="I28" i="4" s="1"/>
  <c r="U14" i="2"/>
  <c r="S14" i="2"/>
  <c r="M14" i="2"/>
  <c r="O14" i="2" s="1"/>
  <c r="D11" i="5" s="1"/>
  <c r="C11" i="5" s="1"/>
  <c r="I14" i="2"/>
  <c r="G14" i="2"/>
  <c r="T13" i="2"/>
  <c r="U13" i="2" s="1"/>
  <c r="S13" i="2"/>
  <c r="N13" i="2"/>
  <c r="N18" i="2" s="1"/>
  <c r="M13" i="2"/>
  <c r="O13" i="2" s="1"/>
  <c r="D9" i="5" s="1"/>
  <c r="C9" i="5" s="1"/>
  <c r="I13" i="2"/>
  <c r="G13" i="2"/>
  <c r="S12" i="2"/>
  <c r="U12" i="2" s="1"/>
  <c r="O12" i="2"/>
  <c r="D8" i="5" s="1"/>
  <c r="M12" i="2"/>
  <c r="G12" i="2"/>
  <c r="I12" i="2" s="1"/>
  <c r="B8" i="5" s="1"/>
  <c r="S11" i="2"/>
  <c r="O11" i="2"/>
  <c r="I11" i="2"/>
  <c r="U10" i="2"/>
  <c r="S10" i="2"/>
  <c r="M10" i="2"/>
  <c r="O10" i="2" s="1"/>
  <c r="D7" i="5" s="1"/>
  <c r="C7" i="5" s="1"/>
  <c r="I49" i="4" s="1"/>
  <c r="I10" i="2"/>
  <c r="B7" i="5" s="1"/>
  <c r="G10" i="2"/>
  <c r="S9" i="2"/>
  <c r="U9" i="2" s="1"/>
  <c r="O9" i="2"/>
  <c r="M9" i="2"/>
  <c r="G9" i="2"/>
  <c r="I9" i="2" s="1"/>
  <c r="B6" i="5" s="1"/>
  <c r="U8" i="2"/>
  <c r="S8" i="2"/>
  <c r="M8" i="2"/>
  <c r="I8" i="2"/>
  <c r="G8" i="2"/>
  <c r="J36" i="3" l="1"/>
  <c r="J40" i="3" s="1"/>
  <c r="K8" i="4"/>
  <c r="U51" i="2"/>
  <c r="E20" i="5"/>
  <c r="C22" i="5"/>
  <c r="B59" i="5" s="1"/>
  <c r="I57" i="4" s="1"/>
  <c r="G72" i="2"/>
  <c r="M30" i="5"/>
  <c r="I148" i="6"/>
  <c r="I190" i="6" s="1"/>
  <c r="G40" i="3"/>
  <c r="H8" i="4" s="1"/>
  <c r="H23" i="4" s="1"/>
  <c r="H42" i="4" s="1"/>
  <c r="H46" i="4" s="1"/>
  <c r="H70" i="4" s="1"/>
  <c r="U18" i="2"/>
  <c r="U65" i="2"/>
  <c r="F11" i="9"/>
  <c r="B42" i="5"/>
  <c r="C12" i="5"/>
  <c r="I29" i="4" s="1"/>
  <c r="E12" i="5"/>
  <c r="G34" i="2"/>
  <c r="L13" i="5"/>
  <c r="B92" i="5" s="1"/>
  <c r="I65" i="4" s="1"/>
  <c r="C8" i="5"/>
  <c r="B81" i="5" s="1"/>
  <c r="F74" i="2"/>
  <c r="U50" i="4"/>
  <c r="U58" i="4" s="1"/>
  <c r="S58" i="4"/>
  <c r="S70" i="4" s="1"/>
  <c r="L70" i="4"/>
  <c r="O15" i="5"/>
  <c r="O28" i="5" s="1"/>
  <c r="O32" i="5" s="1"/>
  <c r="P5" i="5"/>
  <c r="O27" i="5"/>
  <c r="P16" i="5"/>
  <c r="B93" i="5"/>
  <c r="B94" i="5" s="1"/>
  <c r="K44" i="5"/>
  <c r="B70" i="5"/>
  <c r="I34" i="4" s="1"/>
  <c r="U33" i="2"/>
  <c r="U34" i="2" s="1"/>
  <c r="G64" i="2"/>
  <c r="G65" i="2" s="1"/>
  <c r="I68" i="2"/>
  <c r="I72" i="2" s="1"/>
  <c r="H7" i="3"/>
  <c r="H9" i="3" s="1"/>
  <c r="M69" i="4"/>
  <c r="G17" i="5"/>
  <c r="G154" i="6"/>
  <c r="J148" i="6"/>
  <c r="G186" i="6"/>
  <c r="G191" i="6" s="1"/>
  <c r="G196" i="6" s="1"/>
  <c r="H199" i="6" s="1"/>
  <c r="Q70" i="7"/>
  <c r="Q11" i="7"/>
  <c r="N11" i="7"/>
  <c r="N67" i="7" s="1"/>
  <c r="S8" i="3"/>
  <c r="S9" i="3" s="1"/>
  <c r="S29" i="3" s="1"/>
  <c r="S32" i="3" s="1"/>
  <c r="M18" i="2"/>
  <c r="O8" i="2"/>
  <c r="T18" i="2"/>
  <c r="T34" i="2" s="1"/>
  <c r="B28" i="5"/>
  <c r="S33" i="2"/>
  <c r="L8" i="5"/>
  <c r="I32" i="4" s="1"/>
  <c r="N51" i="2"/>
  <c r="N65" i="2" s="1"/>
  <c r="L10" i="5"/>
  <c r="I47" i="2"/>
  <c r="K12" i="5" s="1"/>
  <c r="L12" i="5" s="1"/>
  <c r="L65" i="2"/>
  <c r="L73" i="2" s="1"/>
  <c r="L74" i="2" s="1"/>
  <c r="L23" i="5"/>
  <c r="S64" i="2"/>
  <c r="M72" i="2"/>
  <c r="R25" i="3"/>
  <c r="T25" i="3" s="1"/>
  <c r="F8" i="4"/>
  <c r="F23" i="4" s="1"/>
  <c r="F42" i="4" s="1"/>
  <c r="F46" i="4" s="1"/>
  <c r="F70" i="4" s="1"/>
  <c r="U69" i="4"/>
  <c r="E21" i="5"/>
  <c r="F77" i="6"/>
  <c r="H76" i="6"/>
  <c r="J76" i="6" s="1"/>
  <c r="G88" i="6"/>
  <c r="G89" i="6" s="1"/>
  <c r="G90" i="6" s="1"/>
  <c r="C18" i="5"/>
  <c r="I27" i="4" s="1"/>
  <c r="C26" i="5"/>
  <c r="Q65" i="2"/>
  <c r="S65" i="2" s="1"/>
  <c r="S51" i="2"/>
  <c r="E72" i="2"/>
  <c r="E73" i="2" s="1"/>
  <c r="E74" i="2" s="1"/>
  <c r="G70" i="2"/>
  <c r="I70" i="2" s="1"/>
  <c r="R9" i="3"/>
  <c r="B76" i="5"/>
  <c r="I38" i="4" s="1"/>
  <c r="E7" i="5"/>
  <c r="G7" i="5"/>
  <c r="H86" i="6"/>
  <c r="J86" i="6" s="1"/>
  <c r="F87" i="6"/>
  <c r="B5" i="5"/>
  <c r="I18" i="2"/>
  <c r="U31" i="2"/>
  <c r="Q34" i="2"/>
  <c r="S34" i="2" s="1"/>
  <c r="M18" i="5"/>
  <c r="M64" i="2"/>
  <c r="N73" i="2"/>
  <c r="F153" i="6"/>
  <c r="E8" i="4"/>
  <c r="E6" i="5"/>
  <c r="C6" i="5"/>
  <c r="I50" i="4" s="1"/>
  <c r="C13" i="5"/>
  <c r="I30" i="4" s="1"/>
  <c r="F26" i="5"/>
  <c r="F32" i="5" s="1"/>
  <c r="G16" i="6"/>
  <c r="G19" i="6" s="1"/>
  <c r="H14" i="6"/>
  <c r="G51" i="6"/>
  <c r="G54" i="6" s="1"/>
  <c r="G56" i="6" s="1"/>
  <c r="H50" i="6"/>
  <c r="H118" i="6"/>
  <c r="H124" i="6" s="1"/>
  <c r="H126" i="6" s="1"/>
  <c r="G18" i="2"/>
  <c r="M33" i="2"/>
  <c r="O23" i="2"/>
  <c r="I33" i="2"/>
  <c r="I34" i="2" s="1"/>
  <c r="M5" i="5"/>
  <c r="O51" i="2"/>
  <c r="G23" i="9"/>
  <c r="M6" i="5"/>
  <c r="N6" i="5" s="1"/>
  <c r="L7" i="5"/>
  <c r="I67" i="4" s="1"/>
  <c r="M51" i="2"/>
  <c r="K18" i="5"/>
  <c r="I64" i="2"/>
  <c r="T65" i="2"/>
  <c r="O60" i="2"/>
  <c r="M24" i="5" s="1"/>
  <c r="N24" i="5" s="1"/>
  <c r="K73" i="2"/>
  <c r="K74" i="2" s="1"/>
  <c r="H25" i="3"/>
  <c r="L29" i="3"/>
  <c r="L32" i="3" s="1"/>
  <c r="L36" i="3" s="1"/>
  <c r="L40" i="3" s="1"/>
  <c r="F14" i="9"/>
  <c r="F10" i="9"/>
  <c r="S23" i="4"/>
  <c r="S42" i="4" s="1"/>
  <c r="S46" i="4" s="1"/>
  <c r="B54" i="5"/>
  <c r="I45" i="4" s="1"/>
  <c r="O22" i="4"/>
  <c r="G69" i="4"/>
  <c r="I61" i="4"/>
  <c r="L5" i="5"/>
  <c r="L26" i="5"/>
  <c r="H67" i="6"/>
  <c r="J67" i="6" s="1"/>
  <c r="F68" i="6"/>
  <c r="F105" i="6"/>
  <c r="F107" i="6" s="1"/>
  <c r="J190" i="6"/>
  <c r="G25" i="8"/>
  <c r="I25" i="8" s="1"/>
  <c r="H25" i="8"/>
  <c r="J11" i="8"/>
  <c r="I51" i="2"/>
  <c r="E10" i="5"/>
  <c r="E11" i="5"/>
  <c r="H9" i="6"/>
  <c r="J9" i="6" s="1"/>
  <c r="F35" i="6"/>
  <c r="F136" i="6"/>
  <c r="H130" i="6"/>
  <c r="K18" i="8"/>
  <c r="K19" i="8" s="1"/>
  <c r="P27" i="7"/>
  <c r="H11" i="8"/>
  <c r="H27" i="8"/>
  <c r="C24" i="5"/>
  <c r="F23" i="9"/>
  <c r="H25" i="9"/>
  <c r="H31" i="9"/>
  <c r="L9" i="5"/>
  <c r="I33" i="4" s="1"/>
  <c r="L11" i="5"/>
  <c r="N14" i="5"/>
  <c r="L21" i="5"/>
  <c r="L22" i="5"/>
  <c r="O58" i="4"/>
  <c r="M58" i="4"/>
  <c r="O69" i="4"/>
  <c r="Q70" i="4"/>
  <c r="Q72" i="4" s="1"/>
  <c r="K6" i="5"/>
  <c r="E9" i="5"/>
  <c r="C21" i="5"/>
  <c r="B64" i="5" s="1"/>
  <c r="B65" i="5" s="1"/>
  <c r="B66" i="5" s="1"/>
  <c r="E23" i="5"/>
  <c r="P30" i="5"/>
  <c r="G101" i="6"/>
  <c r="G103" i="6" s="1"/>
  <c r="G105" i="6" s="1"/>
  <c r="G107" i="6" s="1"/>
  <c r="H99" i="6"/>
  <c r="J99" i="6" s="1"/>
  <c r="F161" i="6"/>
  <c r="H193" i="6"/>
  <c r="K46" i="7"/>
  <c r="I46" i="7" s="1"/>
  <c r="M45" i="7"/>
  <c r="N55" i="7"/>
  <c r="E16" i="5"/>
  <c r="J112" i="6"/>
  <c r="K35" i="7"/>
  <c r="J48" i="7" s="1"/>
  <c r="P55" i="7"/>
  <c r="E23" i="8"/>
  <c r="O45" i="7"/>
  <c r="O55" i="7" s="1"/>
  <c r="F62" i="6"/>
  <c r="H158" i="6"/>
  <c r="J158" i="6" s="1"/>
  <c r="I8" i="8"/>
  <c r="L43" i="7"/>
  <c r="K62" i="7"/>
  <c r="O67" i="7"/>
  <c r="L20" i="7"/>
  <c r="H28" i="8"/>
  <c r="I27" i="8"/>
  <c r="P41" i="7"/>
  <c r="Q45" i="7"/>
  <c r="I25" i="4" l="1"/>
  <c r="B82" i="5"/>
  <c r="B83" i="5" s="1"/>
  <c r="M28" i="3"/>
  <c r="I55" i="7"/>
  <c r="N31" i="2"/>
  <c r="O31" i="2" s="1"/>
  <c r="D27" i="5" s="1"/>
  <c r="H16" i="6"/>
  <c r="H19" i="6" s="1"/>
  <c r="H21" i="6" s="1"/>
  <c r="H24" i="6" s="1"/>
  <c r="H27" i="6" s="1"/>
  <c r="J14" i="6"/>
  <c r="J16" i="6" s="1"/>
  <c r="J19" i="6" s="1"/>
  <c r="J21" i="6" s="1"/>
  <c r="J24" i="6" s="1"/>
  <c r="J27" i="6" s="1"/>
  <c r="K30" i="5"/>
  <c r="G73" i="2"/>
  <c r="G74" i="2" s="1"/>
  <c r="K23" i="4"/>
  <c r="K42" i="4" s="1"/>
  <c r="K46" i="4" s="1"/>
  <c r="K70" i="4" s="1"/>
  <c r="K72" i="4" s="1"/>
  <c r="M8" i="4"/>
  <c r="L6" i="5"/>
  <c r="I64" i="4" s="1"/>
  <c r="I69" i="4" s="1"/>
  <c r="F36" i="6"/>
  <c r="H35" i="6"/>
  <c r="J35" i="6" s="1"/>
  <c r="B55" i="5"/>
  <c r="B56" i="5" s="1"/>
  <c r="G31" i="9"/>
  <c r="G25" i="9"/>
  <c r="R29" i="3"/>
  <c r="R32" i="3" s="1"/>
  <c r="R36" i="3" s="1"/>
  <c r="R40" i="3" s="1"/>
  <c r="F78" i="6"/>
  <c r="H77" i="6"/>
  <c r="J77" i="6" s="1"/>
  <c r="Q55" i="7"/>
  <c r="Q69" i="7"/>
  <c r="K66" i="7"/>
  <c r="L63" i="7"/>
  <c r="L66" i="7" s="1"/>
  <c r="O69" i="7"/>
  <c r="F163" i="6"/>
  <c r="F171" i="6" s="1"/>
  <c r="H161" i="6"/>
  <c r="Q74" i="4"/>
  <c r="S72" i="4"/>
  <c r="M65" i="2"/>
  <c r="M73" i="2" s="1"/>
  <c r="M74" i="2" s="1"/>
  <c r="M34" i="2"/>
  <c r="J50" i="6"/>
  <c r="J51" i="6" s="1"/>
  <c r="J54" i="6" s="1"/>
  <c r="J56" i="6" s="1"/>
  <c r="J58" i="6" s="1"/>
  <c r="J60" i="6" s="1"/>
  <c r="H51" i="6"/>
  <c r="H54" i="6" s="1"/>
  <c r="H56" i="6" s="1"/>
  <c r="H58" i="6" s="1"/>
  <c r="H60" i="6" s="1"/>
  <c r="E23" i="4"/>
  <c r="E42" i="4" s="1"/>
  <c r="E46" i="4" s="1"/>
  <c r="E70" i="4" s="1"/>
  <c r="E72" i="4" s="1"/>
  <c r="G8" i="4"/>
  <c r="O64" i="2"/>
  <c r="O65" i="2" s="1"/>
  <c r="O73" i="2" s="1"/>
  <c r="F88" i="6"/>
  <c r="H87" i="6"/>
  <c r="J87" i="6" s="1"/>
  <c r="R71" i="2"/>
  <c r="B60" i="5"/>
  <c r="B61" i="5" s="1"/>
  <c r="K15" i="5"/>
  <c r="K28" i="5" s="1"/>
  <c r="L72" i="4"/>
  <c r="L74" i="4" s="1"/>
  <c r="F73" i="4" s="1"/>
  <c r="F74" i="4" s="1"/>
  <c r="N30" i="5"/>
  <c r="I11" i="8"/>
  <c r="F26" i="8"/>
  <c r="G26" i="8" s="1"/>
  <c r="I26" i="8" s="1"/>
  <c r="I53" i="4"/>
  <c r="B40" i="5"/>
  <c r="H101" i="6"/>
  <c r="J101" i="6" s="1"/>
  <c r="H68" i="6"/>
  <c r="J68" i="6" s="1"/>
  <c r="F69" i="6"/>
  <c r="Q70" i="2"/>
  <c r="S70" i="2" s="1"/>
  <c r="U70" i="2" s="1"/>
  <c r="O18" i="2"/>
  <c r="D5" i="5"/>
  <c r="K38" i="7"/>
  <c r="I65" i="2"/>
  <c r="I73" i="2" s="1"/>
  <c r="I74" i="2" s="1"/>
  <c r="L18" i="5"/>
  <c r="K27" i="5"/>
  <c r="D19" i="5"/>
  <c r="G21" i="6"/>
  <c r="G24" i="6" s="1"/>
  <c r="G27" i="6" s="1"/>
  <c r="R68" i="2"/>
  <c r="I36" i="4"/>
  <c r="Q67" i="7"/>
  <c r="P43" i="7"/>
  <c r="P67" i="7" s="1"/>
  <c r="K8" i="8"/>
  <c r="E28" i="8"/>
  <c r="G23" i="8"/>
  <c r="M55" i="7"/>
  <c r="M67" i="7" s="1"/>
  <c r="K45" i="7"/>
  <c r="I124" i="6"/>
  <c r="I35" i="4"/>
  <c r="F31" i="9"/>
  <c r="F25" i="9"/>
  <c r="F143" i="6"/>
  <c r="H136" i="6"/>
  <c r="H103" i="6"/>
  <c r="N5" i="5"/>
  <c r="M15" i="5"/>
  <c r="R70" i="2"/>
  <c r="G58" i="6"/>
  <c r="G60" i="6" s="1"/>
  <c r="F195" i="6"/>
  <c r="H195" i="6" s="1"/>
  <c r="H153" i="6"/>
  <c r="J153" i="6" s="1"/>
  <c r="M27" i="5"/>
  <c r="M28" i="5" s="1"/>
  <c r="M32" i="5" s="1"/>
  <c r="N18" i="5"/>
  <c r="B15" i="5"/>
  <c r="B32" i="5" s="1"/>
  <c r="B49" i="5"/>
  <c r="S36" i="3"/>
  <c r="S40" i="3" s="1"/>
  <c r="I134" i="6" s="1"/>
  <c r="T8" i="4"/>
  <c r="G155" i="6"/>
  <c r="H29" i="3"/>
  <c r="B71" i="5"/>
  <c r="B72" i="5" s="1"/>
  <c r="T8" i="3"/>
  <c r="T9" i="3" s="1"/>
  <c r="T29" i="3" s="1"/>
  <c r="L24" i="5"/>
  <c r="B77" i="5"/>
  <c r="B78" i="5" s="1"/>
  <c r="H62" i="6" l="1"/>
  <c r="F173" i="6"/>
  <c r="F176" i="6" s="1"/>
  <c r="F180" i="6" s="1"/>
  <c r="H171" i="6"/>
  <c r="F38" i="6"/>
  <c r="H36" i="6"/>
  <c r="J36" i="6" s="1"/>
  <c r="C27" i="5"/>
  <c r="B86" i="5" s="1"/>
  <c r="E25" i="5"/>
  <c r="F20" i="9"/>
  <c r="F27" i="9" s="1"/>
  <c r="H32" i="3"/>
  <c r="G62" i="6"/>
  <c r="G72" i="6"/>
  <c r="E32" i="8"/>
  <c r="C19" i="5"/>
  <c r="I26" i="4" s="1"/>
  <c r="E17" i="5"/>
  <c r="S74" i="4"/>
  <c r="U72" i="4"/>
  <c r="U74" i="4" s="1"/>
  <c r="I67" i="7"/>
  <c r="J103" i="6"/>
  <c r="J105" i="6" s="1"/>
  <c r="J107" i="6" s="1"/>
  <c r="H105" i="6"/>
  <c r="H107" i="6" s="1"/>
  <c r="F24" i="8"/>
  <c r="K11" i="8"/>
  <c r="F70" i="6"/>
  <c r="H69" i="6"/>
  <c r="J69" i="6" s="1"/>
  <c r="G197" i="6"/>
  <c r="I8" i="4"/>
  <c r="G23" i="4"/>
  <c r="G42" i="4" s="1"/>
  <c r="G46" i="4" s="1"/>
  <c r="G70" i="4" s="1"/>
  <c r="I179" i="6"/>
  <c r="J179" i="6" s="1"/>
  <c r="J134" i="6"/>
  <c r="F149" i="6"/>
  <c r="H143" i="6"/>
  <c r="I23" i="8"/>
  <c r="F89" i="6"/>
  <c r="F90" i="6" s="1"/>
  <c r="H88" i="6"/>
  <c r="Q71" i="7"/>
  <c r="I115" i="6"/>
  <c r="K74" i="4"/>
  <c r="E73" i="4" s="1"/>
  <c r="G73" i="4" s="1"/>
  <c r="M72" i="4"/>
  <c r="N28" i="3"/>
  <c r="N29" i="3" s="1"/>
  <c r="M29" i="3"/>
  <c r="M32" i="3" s="1"/>
  <c r="I52" i="4"/>
  <c r="B50" i="5"/>
  <c r="B51" i="5" s="1"/>
  <c r="I171" i="6"/>
  <c r="I173" i="6" s="1"/>
  <c r="I176" i="6" s="1"/>
  <c r="I180" i="6" s="1"/>
  <c r="I126" i="6"/>
  <c r="I130" i="6" s="1"/>
  <c r="I136" i="6" s="1"/>
  <c r="J62" i="6"/>
  <c r="O71" i="7"/>
  <c r="I123" i="6"/>
  <c r="Q71" i="2"/>
  <c r="S71" i="2" s="1"/>
  <c r="F79" i="6"/>
  <c r="H78" i="6"/>
  <c r="J78" i="6" s="1"/>
  <c r="L53" i="7"/>
  <c r="K55" i="7"/>
  <c r="K67" i="7" s="1"/>
  <c r="R72" i="2"/>
  <c r="R73" i="2" s="1"/>
  <c r="R74" i="2" s="1"/>
  <c r="S68" i="2"/>
  <c r="U68" i="2" s="1"/>
  <c r="H20" i="9"/>
  <c r="H27" i="9" s="1"/>
  <c r="K20" i="9"/>
  <c r="K27" i="9" s="1"/>
  <c r="T32" i="3"/>
  <c r="T23" i="4"/>
  <c r="T42" i="4" s="1"/>
  <c r="T46" i="4" s="1"/>
  <c r="T70" i="4" s="1"/>
  <c r="U8" i="4"/>
  <c r="U23" i="4" s="1"/>
  <c r="U42" i="4" s="1"/>
  <c r="U46" i="4" s="1"/>
  <c r="U70" i="4" s="1"/>
  <c r="J136" i="6"/>
  <c r="C5" i="5"/>
  <c r="D15" i="5"/>
  <c r="R5" i="5"/>
  <c r="I73" i="4"/>
  <c r="E5" i="5"/>
  <c r="E74" i="4"/>
  <c r="G72" i="4"/>
  <c r="G74" i="4" s="1"/>
  <c r="H163" i="6"/>
  <c r="M23" i="4"/>
  <c r="M42" i="4" s="1"/>
  <c r="M46" i="4" s="1"/>
  <c r="M70" i="4" s="1"/>
  <c r="M71" i="4" s="1"/>
  <c r="L30" i="5"/>
  <c r="K32" i="5"/>
  <c r="K34" i="5" s="1"/>
  <c r="O72" i="4" l="1"/>
  <c r="O74" i="4" s="1"/>
  <c r="M74" i="4"/>
  <c r="J88" i="6"/>
  <c r="J89" i="6" s="1"/>
  <c r="J90" i="6" s="1"/>
  <c r="H89" i="6"/>
  <c r="H90" i="6" s="1"/>
  <c r="H149" i="6"/>
  <c r="H173" i="6"/>
  <c r="J171" i="6"/>
  <c r="L55" i="7"/>
  <c r="L67" i="7" s="1"/>
  <c r="J53" i="7"/>
  <c r="F154" i="6"/>
  <c r="F9" i="9"/>
  <c r="F12" i="9" s="1"/>
  <c r="H36" i="3"/>
  <c r="H40" i="3" s="1"/>
  <c r="K37" i="5" s="1"/>
  <c r="F186" i="6"/>
  <c r="F191" i="6" s="1"/>
  <c r="F196" i="6" s="1"/>
  <c r="K180" i="6"/>
  <c r="H180" i="6"/>
  <c r="H9" i="9"/>
  <c r="H12" i="9" s="1"/>
  <c r="T36" i="3"/>
  <c r="T40" i="3" s="1"/>
  <c r="G20" i="9"/>
  <c r="G27" i="9" s="1"/>
  <c r="N32" i="3"/>
  <c r="H79" i="6"/>
  <c r="J79" i="6" s="1"/>
  <c r="F80" i="6"/>
  <c r="F71" i="6"/>
  <c r="H70" i="6"/>
  <c r="F72" i="6"/>
  <c r="I20" i="4"/>
  <c r="I23" i="4" s="1"/>
  <c r="I42" i="4" s="1"/>
  <c r="I46" i="4" s="1"/>
  <c r="B87" i="5"/>
  <c r="B88" i="5" s="1"/>
  <c r="J123" i="6"/>
  <c r="J170" i="6" s="1"/>
  <c r="I170" i="6"/>
  <c r="T71" i="2"/>
  <c r="T72" i="2" s="1"/>
  <c r="T73" i="2" s="1"/>
  <c r="T74" i="2" s="1"/>
  <c r="N8" i="4"/>
  <c r="M36" i="3"/>
  <c r="I161" i="6"/>
  <c r="I118" i="6"/>
  <c r="J115" i="6"/>
  <c r="J118" i="6" s="1"/>
  <c r="J124" i="6" s="1"/>
  <c r="J126" i="6" s="1"/>
  <c r="J130" i="6" s="1"/>
  <c r="F28" i="8"/>
  <c r="F29" i="8" s="1"/>
  <c r="G24" i="8"/>
  <c r="F39" i="6"/>
  <c r="F41" i="6" s="1"/>
  <c r="F43" i="6" s="1"/>
  <c r="H38" i="6"/>
  <c r="Q69" i="2"/>
  <c r="S69" i="2" l="1"/>
  <c r="U69" i="2" s="1"/>
  <c r="Q72" i="2"/>
  <c r="G29" i="8"/>
  <c r="F30" i="8"/>
  <c r="M40" i="3"/>
  <c r="I142" i="6"/>
  <c r="F81" i="6"/>
  <c r="F155" i="6" s="1"/>
  <c r="H80" i="6"/>
  <c r="N25" i="2"/>
  <c r="J55" i="7"/>
  <c r="J38" i="6"/>
  <c r="J39" i="6" s="1"/>
  <c r="J41" i="6" s="1"/>
  <c r="J43" i="6" s="1"/>
  <c r="H39" i="6"/>
  <c r="H41" i="6" s="1"/>
  <c r="H43" i="6" s="1"/>
  <c r="N23" i="4"/>
  <c r="N42" i="4" s="1"/>
  <c r="N46" i="4" s="1"/>
  <c r="N70" i="4" s="1"/>
  <c r="O8" i="4"/>
  <c r="O23" i="4" s="1"/>
  <c r="O42" i="4" s="1"/>
  <c r="O46" i="4" s="1"/>
  <c r="O70" i="4" s="1"/>
  <c r="H32" i="9"/>
  <c r="H33" i="9" s="1"/>
  <c r="H16" i="9"/>
  <c r="K41" i="5"/>
  <c r="K42" i="5" s="1"/>
  <c r="K43" i="5"/>
  <c r="K45" i="5" s="1"/>
  <c r="K46" i="5" s="1"/>
  <c r="F197" i="6"/>
  <c r="H154" i="6"/>
  <c r="H71" i="6"/>
  <c r="J70" i="6"/>
  <c r="H72" i="6"/>
  <c r="G9" i="9"/>
  <c r="G12" i="9" s="1"/>
  <c r="N36" i="3"/>
  <c r="N40" i="3" s="1"/>
  <c r="H186" i="6"/>
  <c r="H191" i="6" s="1"/>
  <c r="H196" i="6" s="1"/>
  <c r="J180" i="6"/>
  <c r="F32" i="9"/>
  <c r="F33" i="9" s="1"/>
  <c r="F16" i="9"/>
  <c r="I24" i="8"/>
  <c r="I28" i="8" s="1"/>
  <c r="G28" i="8"/>
  <c r="I163" i="6"/>
  <c r="J161" i="6"/>
  <c r="J163" i="6" s="1"/>
  <c r="U71" i="2"/>
  <c r="H176" i="6"/>
  <c r="J176" i="6" s="1"/>
  <c r="J173" i="6"/>
  <c r="G32" i="9" l="1"/>
  <c r="G33" i="9" s="1"/>
  <c r="G16" i="9"/>
  <c r="N33" i="2"/>
  <c r="N34" i="2" s="1"/>
  <c r="N74" i="2" s="1"/>
  <c r="O25" i="2"/>
  <c r="H197" i="6"/>
  <c r="S72" i="2"/>
  <c r="Q73" i="2"/>
  <c r="J67" i="7"/>
  <c r="V55" i="7"/>
  <c r="I29" i="8"/>
  <c r="H29" i="8"/>
  <c r="J142" i="6"/>
  <c r="J185" i="6" s="1"/>
  <c r="J186" i="6" s="1"/>
  <c r="J191" i="6" s="1"/>
  <c r="J196" i="6" s="1"/>
  <c r="I185" i="6"/>
  <c r="I186" i="6" s="1"/>
  <c r="I191" i="6" s="1"/>
  <c r="I196" i="6" s="1"/>
  <c r="I143" i="6"/>
  <c r="J71" i="6"/>
  <c r="J72" i="6"/>
  <c r="J80" i="6"/>
  <c r="J81" i="6" s="1"/>
  <c r="H81" i="6"/>
  <c r="H155" i="6" s="1"/>
  <c r="G30" i="8"/>
  <c r="F31" i="8"/>
  <c r="U72" i="2"/>
  <c r="U73" i="2" s="1"/>
  <c r="U74" i="2" s="1"/>
  <c r="G31" i="8" l="1"/>
  <c r="F32" i="8"/>
  <c r="D20" i="5"/>
  <c r="O33" i="2"/>
  <c r="O34" i="2" s="1"/>
  <c r="O74" i="2" s="1"/>
  <c r="H30" i="8"/>
  <c r="I30" i="8" s="1"/>
  <c r="I149" i="6"/>
  <c r="J143" i="6"/>
  <c r="J149" i="6" s="1"/>
  <c r="Q74" i="2"/>
  <c r="S73" i="2"/>
  <c r="S74" i="2" s="1"/>
  <c r="G32" i="8"/>
  <c r="I154" i="6" l="1"/>
  <c r="I155" i="6" s="1"/>
  <c r="K155" i="6" s="1"/>
  <c r="I197" i="6"/>
  <c r="C20" i="5"/>
  <c r="B43" i="5" s="1"/>
  <c r="E18" i="5"/>
  <c r="D28" i="5"/>
  <c r="D32" i="5" s="1"/>
  <c r="M34" i="5" s="1"/>
  <c r="H32" i="8"/>
  <c r="I31" i="8"/>
  <c r="I32" i="8" s="1"/>
  <c r="H31" i="8"/>
  <c r="J197" i="6"/>
  <c r="J154" i="6"/>
  <c r="J155" i="6" s="1"/>
  <c r="I54" i="4" l="1"/>
  <c r="I58" i="4" s="1"/>
  <c r="I70" i="4" s="1"/>
  <c r="I72" i="4" s="1"/>
  <c r="I74" i="4" s="1"/>
  <c r="I75" i="4" s="1"/>
  <c r="B44" i="5"/>
  <c r="B45" i="5" s="1"/>
</calcChain>
</file>

<file path=xl/sharedStrings.xml><?xml version="1.0" encoding="utf-8"?>
<sst xmlns="http://schemas.openxmlformats.org/spreadsheetml/2006/main" count="740" uniqueCount="446">
  <si>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</si>
  <si>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</si>
  <si>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</si>
  <si>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</si>
  <si>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</si>
  <si>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</si>
  <si>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</si>
  <si>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</si>
  <si>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</si>
  <si>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</si>
  <si>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</si>
  <si>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</si>
  <si>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</si>
  <si>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2019 y 2018</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</si>
  <si>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</si>
  <si>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</si>
  <si>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</si>
  <si>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</si>
  <si>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</si>
  <si>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</si>
  <si>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</si>
  <si>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</si>
  <si>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</si>
  <si>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</si>
  <si>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</si>
  <si>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</si>
  <si>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</si>
  <si>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</si>
  <si>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</si>
  <si>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</si>
  <si>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</si>
  <si>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</si>
  <si>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</si>
  <si>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</si>
  <si>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</si>
  <si>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</si>
  <si>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</si>
  <si>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</si>
  <si>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</si>
  <si>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</si>
  <si>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</si>
  <si>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</si>
  <si>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</si>
  <si>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</si>
  <si>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</si>
  <si>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</si>
  <si>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</si>
  <si>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</si>
  <si>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</si>
  <si>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</si>
  <si>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</si>
  <si>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</si>
  <si>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</si>
  <si>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</si>
  <si>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</si>
  <si>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</si>
  <si>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</si>
  <si>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</si>
  <si>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</si>
  <si>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</si>
  <si>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</si>
  <si>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</si>
  <si>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</si>
  <si>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</si>
  <si>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</si>
  <si>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</si>
  <si>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</si>
  <si>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</si>
  <si>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</si>
  <si>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</si>
  <si>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</si>
  <si>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</si>
  <si>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</si>
  <si>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</si>
  <si>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</si>
  <si>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</si>
  <si>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</si>
  <si>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</si>
  <si>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</si>
  <si>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</si>
  <si>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</si>
  <si>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</si>
  <si>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</si>
  <si>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</si>
  <si>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</si>
  <si>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</si>
  <si>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</si>
  <si>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</si>
  <si>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</si>
  <si>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</si>
  <si>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</si>
  <si>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</si>
  <si>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</si>
  <si>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</si>
  <si>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</si>
  <si>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</si>
  <si>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</si>
  <si>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</si>
  <si>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</si>
  <si>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</si>
  <si>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</si>
  <si>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</si>
  <si>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</si>
  <si>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</si>
  <si>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</si>
  <si>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</si>
  <si>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</si>
  <si>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</si>
  <si>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</si>
  <si>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</si>
  <si>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</si>
  <si>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</si>
  <si>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</si>
  <si>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</si>
  <si>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Provisión por deterioro de otras cuentas por cobrar</t>
  </si>
  <si>
    <t>Depreciación de propiedades y equipos</t>
  </si>
  <si>
    <t>Depreciación de propiedades de inversión</t>
  </si>
  <si>
    <t>Depreciación de activos por derechos de uso</t>
  </si>
  <si>
    <t>Bajas de activos fijos</t>
  </si>
  <si>
    <t>Amortización de activos intangibles</t>
  </si>
  <si>
    <t>Provisión por deterioro de inversión en subsidiarias y asociados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</si>
  <si>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</si>
  <si>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</si>
  <si>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</si>
  <si>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</si>
  <si>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</si>
  <si>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</si>
  <si>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</si>
  <si>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</si>
  <si>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</si>
  <si>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</si>
  <si>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</si>
  <si>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Anticipos de clientes</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</si>
  <si>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</si>
  <si>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</si>
  <si>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</si>
  <si>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</si>
  <si>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</si>
  <si>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</si>
  <si>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</si>
  <si>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</si>
  <si>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</si>
  <si>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</si>
  <si>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</si>
  <si>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</si>
  <si>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</si>
  <si>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Aumento de inversiones en subsidiarias y asociadas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</si>
  <si>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</si>
  <si>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</si>
  <si>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</si>
  <si>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</si>
  <si>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</si>
  <si>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</si>
  <si>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Devoluciones de aportes de accionistas</t>
  </si>
  <si>
    <t>Préstamos con entidades financieras</t>
  </si>
  <si>
    <t>Obligaciones financieras, neto</t>
  </si>
  <si>
    <t>Pago capital de pasivo por arrendamiento</t>
  </si>
  <si>
    <t>Pago de dividendos</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</si>
  <si>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</si>
  <si>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</si>
  <si>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</si>
  <si>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</si>
  <si>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</si>
  <si>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</si>
  <si>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</si>
  <si>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</si>
  <si>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</si>
  <si>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</si>
  <si>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</si>
  <si>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</si>
  <si>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</si>
  <si>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</si>
  <si>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</si>
  <si>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</si>
  <si>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</si>
  <si>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</si>
  <si>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</si>
  <si>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</si>
  <si>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</si>
  <si>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</si>
  <si>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Beneficios Sociales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</si>
  <si>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</si>
  <si>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</si>
  <si>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</si>
  <si>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</si>
  <si>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</si>
  <si>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</si>
  <si>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</si>
  <si>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</si>
  <si>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</si>
  <si>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</si>
  <si>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</si>
  <si>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</si>
  <si>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</si>
  <si>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</si>
  <si>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</si>
  <si>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</si>
  <si>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</si>
  <si>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</si>
  <si>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</si>
  <si>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</si>
  <si>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</si>
  <si>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</si>
  <si>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</si>
  <si>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</si>
  <si>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Efecto de implementacion NIIF 9</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</si>
  <si>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</si>
  <si>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</si>
  <si>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</si>
  <si>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</si>
  <si>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</si>
  <si>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</si>
  <si>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</si>
  <si>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</si>
  <si>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</si>
  <si>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</si>
  <si>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</si>
  <si>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</si>
  <si>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</si>
  <si>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</si>
  <si>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</si>
  <si>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</si>
  <si>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</si>
  <si>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</si>
  <si>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</si>
  <si>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</si>
  <si>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</si>
  <si>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</si>
  <si>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</si>
  <si>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</si>
  <si>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</si>
  <si>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</si>
  <si>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</si>
  <si>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</si>
  <si>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</si>
  <si>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Efecto aplicacion NIIF 9</t>
  </si>
  <si>
    <t>Registro contra derechos de uso</t>
  </si>
  <si>
    <t>ESTADO DE CAMBIOS EN EL PATRIMONIO DE ACCIONISTAS COMBINADO</t>
  </si>
  <si>
    <t>POR LOS AÑOS TERMINADOS EL 31 DE DICIEMBRE DEL 2019 Y 2018</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</si>
  <si>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</si>
  <si>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</si>
  <si>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</si>
  <si>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</si>
  <si>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</si>
  <si>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</si>
  <si>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</si>
  <si>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</si>
  <si>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</si>
  <si>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</si>
  <si>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</si>
  <si>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</si>
  <si>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</si>
  <si>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</si>
  <si>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</si>
  <si>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</si>
  <si>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</si>
  <si>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</si>
  <si>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</si>
  <si>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</si>
  <si>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</si>
  <si>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</si>
  <si>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</si>
  <si>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</si>
  <si>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Aporte a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</si>
  <si>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</si>
  <si>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</si>
  <si>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</si>
  <si>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</si>
  <si>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</si>
  <si>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</si>
  <si>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</si>
  <si>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</si>
  <si>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</si>
  <si>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</si>
  <si>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</si>
  <si>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</si>
  <si>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</si>
  <si>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</si>
  <si>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</si>
  <si>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</si>
  <si>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</si>
  <si>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</si>
  <si>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</si>
  <si>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</si>
  <si>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</si>
  <si>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</si>
  <si>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</si>
  <si>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</si>
  <si>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</si>
  <si>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</si>
  <si>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</si>
  <si>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</si>
  <si>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</si>
  <si>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</si>
  <si>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</si>
  <si>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</si>
  <si>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</si>
  <si>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</si>
  <si>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</si>
  <si>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</si>
  <si>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</si>
  <si>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</si>
  <si>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</si>
  <si>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</si>
  <si>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</si>
  <si>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</si>
  <si>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</si>
  <si>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</si>
  <si>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</si>
  <si>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</si>
  <si>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</si>
  <si>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</si>
  <si>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</si>
  <si>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</si>
  <si>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</si>
  <si>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</si>
  <si>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</si>
  <si>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</si>
  <si>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</si>
  <si>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</si>
  <si>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</si>
  <si>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(Megadatos)</t>
    </r>
    <r>
      <rPr>
        <sz val="11"/>
        <color rgb="FF000000"/>
        <rFont val="Calibri"/>
        <family val="2"/>
        <charset val="1"/>
      </rPr>
      <t>.-</t>
    </r>
  </si>
  <si>
    <r>
      <rPr>
        <u/>
        <sz val="11"/>
        <color rgb="FF000000"/>
        <rFont val="Calibri"/>
        <family val="2"/>
        <charset val="1"/>
      </rPr>
      <t>Cuenta por Pagar relacionadas C/P (Telconet)</t>
    </r>
    <r>
      <rPr>
        <sz val="11"/>
        <color rgb="FF000000"/>
        <rFont val="Calibri"/>
        <family val="2"/>
        <charset val="1"/>
      </rPr>
      <t>.-</t>
    </r>
  </si>
  <si>
    <r>
      <rPr>
        <u/>
        <sz val="11"/>
        <color rgb="FF000000"/>
        <rFont val="Calibri"/>
        <family val="2"/>
        <charset val="1"/>
      </rPr>
      <t>Pasivos del Contrato C/P</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</si>
  <si>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</si>
  <si>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</si>
  <si>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</si>
  <si>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Eliminacion de cuentas intercompany</t>
  </si>
  <si>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</si>
  <si>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</si>
  <si>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</si>
  <si>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</si>
  <si>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</si>
  <si>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</si>
  <si>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</si>
  <si>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</si>
  <si>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</si>
  <si>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r>
      <rPr>
        <u/>
        <sz val="11"/>
        <color rgb="FF000000"/>
        <rFont val="Calibri"/>
        <family val="2"/>
        <charset val="1"/>
      </rPr>
      <t>Ingresos Diferidos Telconet, No  Corriente</t>
    </r>
    <r>
      <rPr>
        <sz val="11"/>
        <color rgb="FF000000"/>
        <rFont val="Calibri"/>
        <family val="2"/>
        <charset val="1"/>
      </rPr>
      <t>.-</t>
    </r>
  </si>
  <si>
    <r>
      <rPr>
        <u/>
        <sz val="11"/>
        <color rgb="FF000000"/>
        <rFont val="Calibri"/>
        <family val="2"/>
        <charset val="1"/>
      </rPr>
      <t>Ingresos Diferidos Telconet, Corriente</t>
    </r>
    <r>
      <rPr>
        <sz val="11"/>
        <color rgb="FF000000"/>
        <rFont val="Calibri"/>
        <family val="2"/>
        <charset val="1"/>
      </rPr>
      <t>.-</t>
    </r>
  </si>
  <si>
    <r>
      <rPr>
        <u/>
        <sz val="11"/>
        <color rgb="FF000000"/>
        <rFont val="Calibri"/>
        <family val="2"/>
        <charset val="1"/>
      </rPr>
      <t>Utilidades Retenidas al Principio del Periodo</t>
    </r>
    <r>
      <rPr>
        <sz val="11"/>
        <color rgb="FF000000"/>
        <rFont val="Calibri"/>
        <family val="2"/>
        <charset val="1"/>
      </rPr>
      <t xml:space="preserve"> .-</t>
    </r>
  </si>
  <si>
    <t>Utilidades Retenidas del Ejercicio .-</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</si>
  <si>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</si>
  <si>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</si>
  <si>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</si>
  <si>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</si>
  <si>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</si>
  <si>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</si>
  <si>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</si>
  <si>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</si>
  <si>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</si>
  <si>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</si>
  <si>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</si>
  <si>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</si>
  <si>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</si>
  <si>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</si>
  <si>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</si>
  <si>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</si>
  <si>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</si>
  <si>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</si>
  <si>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</si>
  <si>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</si>
  <si>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</si>
  <si>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-8-</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</si>
  <si>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</si>
  <si>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</si>
  <si>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</si>
  <si>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</si>
  <si>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</si>
  <si>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</si>
  <si>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</si>
  <si>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</si>
  <si>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</si>
  <si>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</si>
  <si>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</si>
  <si>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</si>
  <si>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</si>
  <si>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</si>
  <si>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</si>
  <si>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</si>
  <si>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Valor calculado como el 25% de los efectos de ajustes al P&amp;G en 2018 (22% en anios</t>
  </si>
  <si>
    <t>Otros</t>
  </si>
  <si>
    <t>anteriores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</si>
  <si>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</si>
  <si>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</si>
  <si>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</si>
  <si>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</si>
  <si>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</si>
  <si>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</si>
  <si>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</si>
  <si>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</si>
  <si>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</si>
  <si>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</si>
  <si>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</si>
  <si>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</si>
  <si>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</si>
  <si>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</si>
  <si>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</si>
  <si>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</si>
  <si>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</si>
  <si>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</si>
  <si>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</si>
  <si>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</si>
  <si>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</si>
  <si>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</si>
  <si>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 xml:space="preserve">Saldo de US$15 mil, no material, originado por otros ajustes menores y que se </t>
  </si>
  <si>
    <t>liquidarán en el último anio</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</si>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</sst>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s>
  <fonts count="24"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b/>
      <sz val="10"/>
      <color rgb="FF000000"/>
      <name val="Calibri"/>
      <family val="2"/>
      <charset val="1"/>
    </font>
    <font>
      <sz val="10"/>
      <color rgb="FF000000"/>
      <name val="Calibri"/>
      <family val="2"/>
      <charset val="1"/>
    </font>
    <font>
      <sz val="8"/>
      <color rgb="FF000000"/>
      <name val="Calibri"/>
      <family val="2"/>
      <charset val="1"/>
    </font>
    <font>
      <sz val="7"/>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C0C0C0"/>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bottom/>
      <diagonal/>
    </border>
    <border>
      <left style="hair">
        <color auto="1"/>
      </left>
      <right/>
      <top/>
      <bottom style="hair">
        <color auto="1"/>
      </bottom>
      <diagonal/>
    </border>
    <border>
      <left/>
      <right/>
      <top/>
      <bottom style="hair">
        <color auto="1"/>
      </bottom>
      <diagonal/>
    </border>
    <border>
      <left style="hair">
        <color auto="1"/>
      </left>
      <right style="hair">
        <color auto="1"/>
      </right>
      <top style="thin">
        <color auto="1"/>
      </top>
      <bottom style="thin">
        <color auto="1"/>
      </bottom>
      <diagonal/>
    </border>
    <border>
      <left style="hair">
        <color auto="1"/>
      </left>
      <right style="hair">
        <color auto="1"/>
      </right>
      <top style="thin">
        <color auto="1"/>
      </top>
      <bottom/>
      <diagonal/>
    </border>
    <border>
      <left style="hair">
        <color auto="1"/>
      </left>
      <right style="hair">
        <color auto="1"/>
      </right>
      <top/>
      <bottom style="thin">
        <color auto="1"/>
      </bottom>
      <diagonal/>
    </border>
  </borders>
  <cellStyleXfs count="9">
    <xf numFmtId="0" fontId="0" fillId="0" borderId="0"/>
    <xf numFmtId="165" fontId="23" fillId="0" borderId="0" applyBorder="0" applyProtection="0"/>
    <xf numFmtId="167" fontId="23" fillId="0" borderId="0" applyBorder="0" applyProtection="0"/>
    <xf numFmtId="0" fontId="3" fillId="0" borderId="0" applyBorder="0" applyProtection="0"/>
    <xf numFmtId="164" fontId="23" fillId="0" borderId="0" applyBorder="0" applyProtection="0"/>
    <xf numFmtId="165" fontId="23" fillId="0" borderId="0" applyBorder="0" applyProtection="0"/>
    <xf numFmtId="165" fontId="23" fillId="0" borderId="0" applyBorder="0" applyProtection="0"/>
    <xf numFmtId="0" fontId="1" fillId="0" borderId="0"/>
    <xf numFmtId="0" fontId="2" fillId="0" borderId="0"/>
  </cellStyleXfs>
  <cellXfs count="267">
    <xf numFmtId="0" fontId="0" fillId="0" borderId="0" xfId="0"/>
    <xf numFmtId="0" fontId="0" fillId="0" borderId="4" xfId="0" applyFont="1" applyBorder="1" applyAlignment="1">
      <alignment horizontal="left" wrapText="1"/>
    </xf>
    <xf numFmtId="0" fontId="0" fillId="0" borderId="6" xfId="0" applyBorder="1" applyAlignment="1">
      <alignment horizontal="center"/>
    </xf>
    <xf numFmtId="0" fontId="0" fillId="0" borderId="19" xfId="0" applyBorder="1" applyAlignment="1">
      <alignment horizontal="center"/>
    </xf>
    <xf numFmtId="0" fontId="0" fillId="0" borderId="20" xfId="0" applyBorder="1" applyAlignment="1">
      <alignment horizontal="center" vertical="center"/>
    </xf>
    <xf numFmtId="0" fontId="12" fillId="0" borderId="5" xfId="0" applyFont="1" applyBorder="1" applyAlignment="1">
      <alignment horizontal="left" wrapText="1"/>
    </xf>
    <xf numFmtId="0" fontId="0" fillId="0" borderId="5" xfId="0" applyFont="1" applyBorder="1" applyAlignment="1">
      <alignment horizontal="left"/>
    </xf>
    <xf numFmtId="0" fontId="9" fillId="0" borderId="5" xfId="0" applyFont="1" applyBorder="1" applyAlignment="1">
      <alignment horizontal="left" wrapText="1"/>
    </xf>
    <xf numFmtId="0" fontId="0" fillId="0" borderId="10" xfId="0" applyFont="1" applyBorder="1" applyAlignment="1">
      <alignment horizontal="left"/>
    </xf>
    <xf numFmtId="0" fontId="11" fillId="0" borderId="10" xfId="0" applyFont="1" applyBorder="1" applyAlignment="1">
      <alignment horizontal="left" wrapText="1"/>
    </xf>
    <xf numFmtId="0" fontId="0" fillId="0" borderId="10" xfId="0" applyFont="1" applyBorder="1" applyAlignment="1">
      <alignment horizontal="left" wrapText="1"/>
    </xf>
    <xf numFmtId="0" fontId="0" fillId="0" borderId="5" xfId="0" applyFont="1" applyBorder="1" applyAlignment="1">
      <alignment horizontal="left" wrapText="1"/>
    </xf>
    <xf numFmtId="0" fontId="9" fillId="0" borderId="10" xfId="0" applyFont="1" applyBorder="1" applyAlignment="1">
      <alignment horizontal="left" wrapText="1"/>
    </xf>
    <xf numFmtId="0" fontId="7" fillId="0" borderId="0" xfId="0" applyFont="1" applyBorder="1" applyAlignment="1">
      <alignment horizontal="left" wrapText="1"/>
    </xf>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0" fontId="0" fillId="2" borderId="5" xfId="0" applyFill="1" applyBorder="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5" fillId="0" borderId="1" xfId="0" applyFont="1" applyBorder="1"/>
    <xf numFmtId="0" fontId="0" fillId="0" borderId="12" xfId="0" applyBorder="1"/>
    <xf numFmtId="0" fontId="0" fillId="0" borderId="10" xfId="0" applyBorder="1"/>
    <xf numFmtId="0" fontId="5" fillId="0" borderId="4" xfId="0" applyFont="1" applyBorder="1"/>
    <xf numFmtId="0" fontId="0" fillId="0" borderId="10" xfId="0" applyFont="1" applyBorder="1" applyAlignment="1">
      <alignment horizontal="left" wrapText="1"/>
    </xf>
    <xf numFmtId="0" fontId="0" fillId="0" borderId="0" xfId="0" applyFont="1" applyBorder="1"/>
    <xf numFmtId="0" fontId="0" fillId="0" borderId="10" xfId="0" applyBorder="1" applyAlignment="1">
      <alignment horizontal="left" wrapText="1"/>
    </xf>
    <xf numFmtId="165" fontId="0" fillId="0" borderId="2" xfId="1" applyFont="1" applyBorder="1" applyAlignment="1" applyProtection="1"/>
    <xf numFmtId="0" fontId="10" fillId="0" borderId="13" xfId="0" applyFont="1" applyBorder="1"/>
    <xf numFmtId="0" fontId="0" fillId="0" borderId="14" xfId="0" applyBorder="1"/>
    <xf numFmtId="0" fontId="0" fillId="0" borderId="15" xfId="0" applyBorder="1"/>
    <xf numFmtId="0" fontId="0" fillId="0" borderId="16" xfId="0" applyBorder="1"/>
    <xf numFmtId="0" fontId="0" fillId="0" borderId="1" xfId="0" applyBorder="1"/>
    <xf numFmtId="0" fontId="11" fillId="0" borderId="0" xfId="0" applyFont="1" applyBorder="1"/>
    <xf numFmtId="0" fontId="12" fillId="0" borderId="0" xfId="0" applyFont="1" applyBorder="1"/>
    <xf numFmtId="166" fontId="0" fillId="0" borderId="5" xfId="0" applyNumberFormat="1" applyBorder="1"/>
    <xf numFmtId="166" fontId="0" fillId="2" borderId="5" xfId="1" applyNumberFormat="1" applyFont="1" applyFill="1" applyBorder="1" applyAlignment="1" applyProtection="1"/>
    <xf numFmtId="0" fontId="7" fillId="0" borderId="13" xfId="0" applyFont="1" applyBorder="1"/>
    <xf numFmtId="0" fontId="5" fillId="0" borderId="13" xfId="0" applyFont="1" applyBorder="1"/>
    <xf numFmtId="166" fontId="5" fillId="0" borderId="7" xfId="1" applyNumberFormat="1" applyFont="1" applyBorder="1" applyAlignment="1" applyProtection="1"/>
    <xf numFmtId="166" fontId="5" fillId="0" borderId="6" xfId="1" applyNumberFormat="1" applyFont="1" applyBorder="1" applyAlignment="1" applyProtection="1"/>
    <xf numFmtId="1" fontId="5" fillId="0" borderId="6" xfId="1" applyNumberFormat="1" applyFont="1" applyBorder="1" applyAlignment="1" applyProtection="1"/>
    <xf numFmtId="0" fontId="0" fillId="0" borderId="8" xfId="0" applyFont="1" applyBorder="1"/>
    <xf numFmtId="166" fontId="13" fillId="0" borderId="0" xfId="1" applyNumberFormat="1" applyFont="1" applyBorder="1" applyAlignment="1" applyProtection="1"/>
    <xf numFmtId="0" fontId="14" fillId="3" borderId="0" xfId="0" applyFont="1" applyFill="1"/>
    <xf numFmtId="0" fontId="0" fillId="3" borderId="0" xfId="0" applyFill="1"/>
    <xf numFmtId="166" fontId="15" fillId="3" borderId="0" xfId="1" applyNumberFormat="1" applyFont="1" applyFill="1" applyBorder="1" applyAlignment="1" applyProtection="1"/>
    <xf numFmtId="0" fontId="9" fillId="3" borderId="0" xfId="0" applyFont="1" applyFill="1"/>
    <xf numFmtId="0" fontId="16" fillId="3" borderId="0" xfId="0" applyFont="1" applyFill="1"/>
    <xf numFmtId="166" fontId="15" fillId="3" borderId="0" xfId="1" applyNumberFormat="1" applyFont="1" applyFill="1" applyBorder="1" applyAlignment="1" applyProtection="1">
      <alignment horizontal="center"/>
    </xf>
    <xf numFmtId="0" fontId="16" fillId="3" borderId="0" xfId="0" applyFont="1" applyFill="1" applyAlignment="1">
      <alignment horizontal="center"/>
    </xf>
    <xf numFmtId="0" fontId="16" fillId="3" borderId="0" xfId="0" applyFont="1" applyFill="1" applyAlignment="1">
      <alignment horizontal="center" wrapText="1"/>
    </xf>
    <xf numFmtId="0" fontId="14" fillId="3" borderId="6" xfId="0" applyFont="1" applyFill="1" applyBorder="1"/>
    <xf numFmtId="0" fontId="16" fillId="3" borderId="6" xfId="0" applyFont="1" applyFill="1" applyBorder="1" applyAlignment="1">
      <alignment horizontal="center"/>
    </xf>
    <xf numFmtId="166" fontId="18" fillId="3" borderId="6" xfId="1" applyNumberFormat="1" applyFont="1" applyFill="1" applyBorder="1" applyAlignment="1" applyProtection="1">
      <alignment horizontal="center"/>
    </xf>
    <xf numFmtId="166" fontId="18" fillId="3" borderId="0" xfId="1" applyNumberFormat="1" applyFont="1" applyFill="1" applyBorder="1" applyAlignment="1" applyProtection="1">
      <alignment horizontal="center"/>
    </xf>
    <xf numFmtId="0" fontId="17" fillId="3" borderId="0" xfId="0" applyFont="1" applyFill="1" applyAlignment="1">
      <alignment horizontal="center"/>
    </xf>
    <xf numFmtId="0" fontId="14" fillId="3" borderId="6" xfId="0" applyFont="1" applyFill="1" applyBorder="1" applyAlignment="1">
      <alignment horizontal="center"/>
    </xf>
    <xf numFmtId="165" fontId="19" fillId="3" borderId="0" xfId="5" applyFont="1" applyFill="1" applyBorder="1" applyAlignment="1" applyProtection="1"/>
    <xf numFmtId="0" fontId="20" fillId="3" borderId="0" xfId="0" applyFont="1" applyFill="1" applyAlignment="1">
      <alignment horizontal="center"/>
    </xf>
    <xf numFmtId="0" fontId="14" fillId="3" borderId="5" xfId="0" applyFont="1" applyFill="1" applyBorder="1"/>
    <xf numFmtId="0" fontId="16" fillId="3" borderId="5" xfId="0" applyFont="1" applyFill="1" applyBorder="1"/>
    <xf numFmtId="166" fontId="15" fillId="3" borderId="5" xfId="1" applyNumberFormat="1" applyFont="1" applyFill="1" applyBorder="1" applyAlignment="1" applyProtection="1">
      <alignment horizontal="center"/>
    </xf>
    <xf numFmtId="0" fontId="16" fillId="3" borderId="5" xfId="0" applyFont="1" applyFill="1" applyBorder="1" applyAlignment="1">
      <alignment horizontal="center"/>
    </xf>
    <xf numFmtId="168" fontId="16" fillId="3" borderId="5" xfId="0" applyNumberFormat="1" applyFont="1" applyFill="1" applyBorder="1"/>
    <xf numFmtId="0" fontId="16" fillId="3" borderId="0" xfId="0" applyFont="1" applyFill="1" applyAlignment="1">
      <alignment horizontal="left"/>
    </xf>
    <xf numFmtId="0" fontId="16" fillId="3" borderId="5" xfId="0" applyFont="1" applyFill="1" applyBorder="1" applyAlignment="1">
      <alignment horizontal="left"/>
    </xf>
    <xf numFmtId="0" fontId="16" fillId="3" borderId="0" xfId="7" applyFont="1" applyFill="1" applyAlignment="1">
      <alignment horizontal="left"/>
    </xf>
    <xf numFmtId="168" fontId="16" fillId="3" borderId="5" xfId="7" applyNumberFormat="1" applyFont="1" applyFill="1" applyBorder="1" applyAlignment="1">
      <alignment horizontal="left"/>
    </xf>
    <xf numFmtId="0" fontId="16" fillId="3" borderId="5" xfId="7" applyFont="1" applyFill="1" applyBorder="1" applyAlignment="1">
      <alignment horizontal="left"/>
    </xf>
    <xf numFmtId="169" fontId="16" fillId="3" borderId="5" xfId="4" applyNumberFormat="1" applyFont="1" applyFill="1" applyBorder="1" applyAlignment="1" applyProtection="1"/>
    <xf numFmtId="169" fontId="16" fillId="3" borderId="0" xfId="4" applyNumberFormat="1" applyFont="1" applyFill="1" applyBorder="1" applyAlignment="1" applyProtection="1"/>
    <xf numFmtId="0" fontId="16" fillId="3" borderId="0" xfId="0" applyFont="1" applyFill="1" applyAlignment="1">
      <alignment horizontal="left" indent="1"/>
    </xf>
    <xf numFmtId="166" fontId="14" fillId="3" borderId="5" xfId="1" applyNumberFormat="1" applyFont="1" applyFill="1" applyBorder="1" applyAlignment="1" applyProtection="1"/>
    <xf numFmtId="166" fontId="15" fillId="3" borderId="5" xfId="1" applyNumberFormat="1" applyFont="1" applyFill="1" applyBorder="1" applyAlignment="1" applyProtection="1">
      <alignment horizontal="right"/>
    </xf>
    <xf numFmtId="170" fontId="16" fillId="3" borderId="5" xfId="5" applyNumberFormat="1" applyFont="1" applyFill="1" applyBorder="1" applyAlignment="1" applyProtection="1"/>
    <xf numFmtId="166" fontId="15" fillId="3" borderId="0" xfId="1" applyNumberFormat="1" applyFont="1" applyFill="1" applyBorder="1" applyAlignment="1" applyProtection="1">
      <alignment horizontal="right"/>
    </xf>
    <xf numFmtId="170" fontId="16" fillId="3" borderId="0" xfId="0" applyNumberFormat="1" applyFont="1" applyFill="1"/>
    <xf numFmtId="170" fontId="16" fillId="3" borderId="5" xfId="5" applyNumberFormat="1" applyFont="1" applyFill="1" applyBorder="1" applyAlignment="1" applyProtection="1">
      <alignment horizontal="right"/>
    </xf>
    <xf numFmtId="166" fontId="16" fillId="3" borderId="0" xfId="5" applyNumberFormat="1" applyFont="1" applyFill="1" applyBorder="1" applyAlignment="1" applyProtection="1"/>
    <xf numFmtId="170" fontId="9" fillId="3" borderId="0" xfId="0" applyNumberFormat="1" applyFont="1" applyFill="1"/>
    <xf numFmtId="168" fontId="14" fillId="3" borderId="0" xfId="0" applyNumberFormat="1" applyFont="1" applyFill="1"/>
    <xf numFmtId="165" fontId="14" fillId="3" borderId="0" xfId="5" applyFont="1" applyFill="1" applyBorder="1" applyAlignment="1" applyProtection="1"/>
    <xf numFmtId="170" fontId="16" fillId="3" borderId="5" xfId="4" applyNumberFormat="1" applyFont="1" applyFill="1" applyBorder="1" applyAlignment="1" applyProtection="1">
      <alignment horizontal="right"/>
    </xf>
    <xf numFmtId="166" fontId="14" fillId="3" borderId="0" xfId="0" applyNumberFormat="1" applyFont="1" applyFill="1"/>
    <xf numFmtId="170" fontId="16" fillId="3" borderId="9" xfId="0" applyNumberFormat="1" applyFont="1" applyFill="1" applyBorder="1"/>
    <xf numFmtId="166" fontId="15" fillId="3" borderId="5" xfId="1" applyNumberFormat="1" applyFont="1" applyFill="1" applyBorder="1" applyAlignment="1" applyProtection="1"/>
    <xf numFmtId="0" fontId="0" fillId="3" borderId="5" xfId="0" applyFill="1" applyBorder="1"/>
    <xf numFmtId="171" fontId="16" fillId="3" borderId="5" xfId="5" applyNumberFormat="1" applyFont="1" applyFill="1" applyBorder="1" applyAlignment="1" applyProtection="1"/>
    <xf numFmtId="171" fontId="16" fillId="3" borderId="0" xfId="0" applyNumberFormat="1" applyFont="1" applyFill="1"/>
    <xf numFmtId="166" fontId="14" fillId="3" borderId="7" xfId="1" applyNumberFormat="1" applyFont="1" applyFill="1" applyBorder="1" applyAlignment="1" applyProtection="1"/>
    <xf numFmtId="166" fontId="14" fillId="3" borderId="2" xfId="1" applyNumberFormat="1" applyFont="1" applyFill="1" applyBorder="1" applyAlignment="1" applyProtection="1"/>
    <xf numFmtId="170" fontId="16" fillId="3" borderId="2" xfId="4" applyNumberFormat="1" applyFont="1" applyFill="1" applyBorder="1" applyAlignment="1" applyProtection="1"/>
    <xf numFmtId="0" fontId="16" fillId="3" borderId="0" xfId="7" applyFont="1" applyFill="1"/>
    <xf numFmtId="170" fontId="16" fillId="3" borderId="2" xfId="4" applyNumberFormat="1" applyFont="1" applyFill="1" applyBorder="1" applyAlignment="1" applyProtection="1">
      <alignment horizontal="right"/>
    </xf>
    <xf numFmtId="170" fontId="16" fillId="3" borderId="6" xfId="4" applyNumberFormat="1" applyFont="1" applyFill="1" applyBorder="1" applyAlignment="1" applyProtection="1">
      <alignment horizontal="right"/>
    </xf>
    <xf numFmtId="171" fontId="16" fillId="3" borderId="5" xfId="0" applyNumberFormat="1" applyFont="1" applyFill="1" applyBorder="1"/>
    <xf numFmtId="0" fontId="16" fillId="3" borderId="0" xfId="7" applyFont="1" applyFill="1" applyAlignment="1">
      <alignment horizontal="left" indent="1"/>
    </xf>
    <xf numFmtId="170" fontId="16" fillId="3" borderId="5" xfId="4" applyNumberFormat="1" applyFont="1" applyFill="1" applyBorder="1" applyAlignment="1" applyProtection="1"/>
    <xf numFmtId="169" fontId="14" fillId="3" borderId="0" xfId="0" applyNumberFormat="1" applyFont="1" applyFill="1"/>
    <xf numFmtId="168" fontId="16" fillId="3" borderId="0" xfId="4" applyNumberFormat="1" applyFont="1" applyFill="1" applyBorder="1" applyAlignment="1" applyProtection="1"/>
    <xf numFmtId="170" fontId="16" fillId="3" borderId="7" xfId="5" applyNumberFormat="1" applyFont="1" applyFill="1" applyBorder="1" applyAlignment="1" applyProtection="1"/>
    <xf numFmtId="165" fontId="14" fillId="3" borderId="9" xfId="1" applyFont="1" applyFill="1" applyBorder="1" applyAlignment="1" applyProtection="1"/>
    <xf numFmtId="170" fontId="16" fillId="3" borderId="0" xfId="4" applyNumberFormat="1" applyFont="1" applyFill="1" applyBorder="1" applyAlignment="1" applyProtection="1"/>
    <xf numFmtId="165" fontId="14" fillId="3" borderId="7" xfId="1" applyFont="1" applyFill="1" applyBorder="1" applyAlignment="1" applyProtection="1"/>
    <xf numFmtId="166" fontId="16" fillId="3" borderId="9" xfId="5" applyNumberFormat="1" applyFont="1" applyFill="1" applyBorder="1" applyAlignment="1" applyProtection="1"/>
    <xf numFmtId="166" fontId="14" fillId="3" borderId="6" xfId="1" applyNumberFormat="1" applyFont="1" applyFill="1" applyBorder="1" applyAlignment="1" applyProtection="1"/>
    <xf numFmtId="166" fontId="14" fillId="3" borderId="14" xfId="0" applyNumberFormat="1" applyFont="1" applyFill="1" applyBorder="1"/>
    <xf numFmtId="170" fontId="14" fillId="3" borderId="6" xfId="0" applyNumberFormat="1" applyFont="1" applyFill="1" applyBorder="1"/>
    <xf numFmtId="170" fontId="16" fillId="3" borderId="5" xfId="7" applyNumberFormat="1" applyFont="1" applyFill="1" applyBorder="1"/>
    <xf numFmtId="170" fontId="16" fillId="3" borderId="5" xfId="0" applyNumberFormat="1" applyFont="1" applyFill="1" applyBorder="1"/>
    <xf numFmtId="172" fontId="16" fillId="3" borderId="0" xfId="0" applyNumberFormat="1" applyFont="1" applyFill="1"/>
    <xf numFmtId="172" fontId="16" fillId="3" borderId="0" xfId="0" applyNumberFormat="1" applyFont="1" applyFill="1" applyAlignment="1">
      <alignment horizontal="center"/>
    </xf>
    <xf numFmtId="168" fontId="16" fillId="3" borderId="17" xfId="4" applyNumberFormat="1" applyFont="1" applyFill="1" applyBorder="1" applyAlignment="1" applyProtection="1"/>
    <xf numFmtId="168" fontId="16" fillId="3" borderId="5" xfId="4" applyNumberFormat="1" applyFont="1" applyFill="1" applyBorder="1" applyAlignment="1" applyProtection="1"/>
    <xf numFmtId="168" fontId="16" fillId="3" borderId="18" xfId="4" applyNumberFormat="1" applyFont="1" applyFill="1" applyBorder="1" applyAlignment="1" applyProtection="1"/>
    <xf numFmtId="0" fontId="16" fillId="3" borderId="0" xfId="7" applyFont="1" applyFill="1" applyAlignment="1">
      <alignment wrapText="1"/>
    </xf>
    <xf numFmtId="0" fontId="14" fillId="3" borderId="7" xfId="0" applyFont="1" applyFill="1" applyBorder="1"/>
    <xf numFmtId="166" fontId="15" fillId="3" borderId="7" xfId="1" applyNumberFormat="1" applyFont="1" applyFill="1" applyBorder="1" applyAlignment="1" applyProtection="1"/>
    <xf numFmtId="166" fontId="16" fillId="3" borderId="7" xfId="0" applyNumberFormat="1" applyFont="1" applyFill="1" applyBorder="1"/>
    <xf numFmtId="172" fontId="16" fillId="3" borderId="7" xfId="0" applyNumberFormat="1" applyFont="1" applyFill="1" applyBorder="1"/>
    <xf numFmtId="166" fontId="16" fillId="3" borderId="0" xfId="0" applyNumberFormat="1" applyFont="1" applyFill="1"/>
    <xf numFmtId="0" fontId="14" fillId="3" borderId="1" xfId="0" applyFont="1" applyFill="1" applyBorder="1"/>
    <xf numFmtId="0" fontId="14" fillId="3" borderId="2" xfId="0" applyFont="1" applyFill="1" applyBorder="1"/>
    <xf numFmtId="0" fontId="21" fillId="3" borderId="0" xfId="0" applyFont="1" applyFill="1"/>
    <xf numFmtId="172" fontId="16" fillId="3" borderId="1" xfId="0" applyNumberFormat="1" applyFont="1" applyFill="1" applyBorder="1"/>
    <xf numFmtId="172" fontId="16" fillId="3" borderId="4" xfId="0" applyNumberFormat="1" applyFont="1" applyFill="1" applyBorder="1"/>
    <xf numFmtId="166" fontId="16" fillId="3" borderId="0" xfId="1" applyNumberFormat="1" applyFont="1" applyFill="1" applyBorder="1" applyAlignment="1" applyProtection="1"/>
    <xf numFmtId="0" fontId="14" fillId="3" borderId="4" xfId="0" applyFont="1" applyFill="1" applyBorder="1"/>
    <xf numFmtId="166" fontId="14" fillId="3" borderId="0" xfId="1" applyNumberFormat="1" applyFont="1" applyFill="1" applyBorder="1" applyAlignment="1" applyProtection="1"/>
    <xf numFmtId="173" fontId="16" fillId="3" borderId="4" xfId="0" applyNumberFormat="1" applyFont="1" applyFill="1" applyBorder="1"/>
    <xf numFmtId="173" fontId="16" fillId="3" borderId="0" xfId="0" applyNumberFormat="1" applyFont="1" applyFill="1"/>
    <xf numFmtId="0" fontId="14" fillId="3" borderId="8" xfId="0" applyFont="1" applyFill="1" applyBorder="1"/>
    <xf numFmtId="166" fontId="14" fillId="0" borderId="5" xfId="1" applyNumberFormat="1" applyFont="1" applyBorder="1" applyAlignment="1" applyProtection="1"/>
    <xf numFmtId="166" fontId="21" fillId="3" borderId="0" xfId="1" applyNumberFormat="1" applyFont="1" applyFill="1" applyBorder="1" applyAlignment="1" applyProtection="1"/>
    <xf numFmtId="172" fontId="16" fillId="3" borderId="13" xfId="0" applyNumberFormat="1" applyFont="1" applyFill="1" applyBorder="1"/>
    <xf numFmtId="173" fontId="16" fillId="3" borderId="2" xfId="0" applyNumberFormat="1" applyFont="1" applyFill="1" applyBorder="1"/>
    <xf numFmtId="173" fontId="16" fillId="3" borderId="7" xfId="0" applyNumberFormat="1" applyFont="1" applyFill="1" applyBorder="1"/>
    <xf numFmtId="172" fontId="16" fillId="3" borderId="6" xfId="0" applyNumberFormat="1" applyFont="1" applyFill="1" applyBorder="1"/>
    <xf numFmtId="166" fontId="14" fillId="3" borderId="6" xfId="0" applyNumberFormat="1" applyFont="1" applyFill="1" applyBorder="1"/>
    <xf numFmtId="166" fontId="0" fillId="3" borderId="0" xfId="0" applyNumberFormat="1" applyFill="1"/>
    <xf numFmtId="166" fontId="14" fillId="3" borderId="7" xfId="0" applyNumberFormat="1" applyFont="1" applyFill="1" applyBorder="1"/>
    <xf numFmtId="166" fontId="14" fillId="3" borderId="5" xfId="0" applyNumberFormat="1" applyFont="1" applyFill="1" applyBorder="1"/>
    <xf numFmtId="0" fontId="6" fillId="0" borderId="1" xfId="0" applyFont="1" applyBorder="1"/>
    <xf numFmtId="166" fontId="0" fillId="0" borderId="19" xfId="1" applyNumberFormat="1" applyFont="1" applyBorder="1" applyAlignment="1" applyProtection="1"/>
    <xf numFmtId="166" fontId="0" fillId="0" borderId="20" xfId="1" applyNumberFormat="1" applyFont="1" applyBorder="1" applyAlignment="1" applyProtection="1"/>
    <xf numFmtId="166" fontId="0" fillId="0" borderId="21" xfId="1" applyNumberFormat="1" applyFont="1" applyBorder="1" applyAlignment="1" applyProtection="1"/>
    <xf numFmtId="166" fontId="0" fillId="0" borderId="17"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0" fillId="0" borderId="17"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1"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3" borderId="17" xfId="1" applyNumberFormat="1" applyFont="1" applyFill="1" applyBorder="1" applyAlignment="1" applyProtection="1"/>
    <xf numFmtId="166" fontId="0" fillId="2" borderId="20" xfId="1" applyNumberFormat="1" applyFont="1" applyFill="1" applyBorder="1" applyAlignment="1" applyProtection="1"/>
    <xf numFmtId="166" fontId="0" fillId="0" borderId="22" xfId="1" applyNumberFormat="1" applyFont="1" applyBorder="1" applyAlignment="1" applyProtection="1"/>
    <xf numFmtId="166" fontId="0" fillId="2" borderId="22" xfId="1" applyNumberFormat="1" applyFont="1" applyFill="1" applyBorder="1" applyAlignment="1" applyProtection="1"/>
    <xf numFmtId="0" fontId="0" fillId="0" borderId="23" xfId="0" applyFont="1" applyBorder="1"/>
    <xf numFmtId="166" fontId="0" fillId="0" borderId="20" xfId="1" applyNumberFormat="1" applyFont="1" applyBorder="1" applyAlignment="1" applyProtection="1"/>
    <xf numFmtId="0" fontId="0" fillId="0" borderId="24" xfId="0" applyFont="1" applyBorder="1"/>
    <xf numFmtId="0" fontId="0" fillId="0" borderId="25" xfId="0" applyBorder="1"/>
    <xf numFmtId="166" fontId="12" fillId="0" borderId="3" xfId="1" applyNumberFormat="1" applyFont="1" applyBorder="1" applyAlignment="1" applyProtection="1"/>
    <xf numFmtId="0" fontId="0" fillId="0" borderId="26" xfId="0" applyFont="1" applyBorder="1" applyAlignment="1">
      <alignment horizontal="center"/>
    </xf>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0" fillId="0" borderId="27" xfId="0" applyBorder="1"/>
    <xf numFmtId="0" fontId="0" fillId="0" borderId="22" xfId="0" applyBorder="1"/>
    <xf numFmtId="0" fontId="0" fillId="0" borderId="19" xfId="0" applyBorder="1"/>
    <xf numFmtId="166" fontId="9" fillId="0" borderId="2" xfId="0" applyNumberFormat="1" applyFont="1" applyBorder="1"/>
    <xf numFmtId="0" fontId="22" fillId="0" borderId="4" xfId="0" applyFont="1" applyBorder="1"/>
    <xf numFmtId="0" fontId="0" fillId="0" borderId="16" xfId="0" applyFont="1" applyBorder="1"/>
    <xf numFmtId="0" fontId="0" fillId="0" borderId="0" xfId="0" applyFont="1" applyBorder="1" applyAlignment="1">
      <alignment horizontal="center"/>
    </xf>
    <xf numFmtId="0" fontId="0" fillId="0" borderId="22" xfId="0" applyBorder="1" applyAlignment="1">
      <alignment horizontal="left" wrapText="1"/>
    </xf>
    <xf numFmtId="0" fontId="0" fillId="0" borderId="28" xfId="0" applyBorder="1"/>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Carlos%20Almeida/Document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1AF1695" TargetMode="External"/><Relationship Id="rId1" Type="http://schemas.openxmlformats.org/officeDocument/2006/relationships/externalLinkPath" Target="file:///\\81AF1695\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140625" defaultRowHeight="15" x14ac:dyDescent="0.25"/>
  <cols>
    <col min="2" max="2" width="2.5703125" customWidth="1"/>
    <col min="3" max="3" width="59" customWidth="1"/>
  </cols>
  <sheetData>
    <row r="3" spans="2:3" x14ac:dyDescent="0.25">
      <c r="B3" t="s">
        <v>0</v>
      </c>
      <c r="C3" s="14" t="s">
        <v>1</v>
      </c>
    </row>
    <row r="4" spans="2:3" x14ac:dyDescent="0.25">
      <c r="B4" t="s">
        <v>2</v>
      </c>
      <c r="C4" s="14" t="s">
        <v>3</v>
      </c>
    </row>
    <row r="5" spans="2:3" x14ac:dyDescent="0.25">
      <c r="B5" t="s">
        <v>4</v>
      </c>
      <c r="C5" s="14" t="s">
        <v>5</v>
      </c>
    </row>
    <row r="6" spans="2:3" x14ac:dyDescent="0.25">
      <c r="B6" t="s">
        <v>6</v>
      </c>
      <c r="C6" s="14" t="s">
        <v>7</v>
      </c>
    </row>
    <row r="7" spans="2:3" x14ac:dyDescent="0.25">
      <c r="B7" t="s">
        <v>8</v>
      </c>
      <c r="C7" s="14" t="s">
        <v>9</v>
      </c>
    </row>
    <row r="8" spans="2:3" x14ac:dyDescent="0.25">
      <c r="B8" t="s">
        <v>10</v>
      </c>
      <c r="C8" s="14"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42578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424</v>
      </c>
    </row>
    <row r="4" spans="2:10" x14ac:dyDescent="0.25">
      <c r="C4" s="266" t="s">
        <v>425</v>
      </c>
      <c r="D4" s="266"/>
      <c r="E4" s="266"/>
      <c r="F4" s="260" t="s">
        <v>426</v>
      </c>
      <c r="H4" t="s">
        <v>427</v>
      </c>
    </row>
    <row r="5" spans="2:10" x14ac:dyDescent="0.25">
      <c r="C5">
        <v>2016</v>
      </c>
      <c r="D5">
        <v>2015</v>
      </c>
      <c r="E5">
        <v>2014</v>
      </c>
      <c r="F5" s="260">
        <v>0.33329999999999999</v>
      </c>
      <c r="G5" t="s">
        <v>428</v>
      </c>
      <c r="H5" t="s">
        <v>429</v>
      </c>
      <c r="I5" t="s">
        <v>430</v>
      </c>
      <c r="J5" s="260" t="s">
        <v>365</v>
      </c>
    </row>
    <row r="6" spans="2:10" x14ac:dyDescent="0.25">
      <c r="B6" t="s">
        <v>431</v>
      </c>
      <c r="C6" s="15"/>
      <c r="D6" s="15"/>
      <c r="E6" s="15"/>
      <c r="G6">
        <f t="shared" ref="G6:G17" si="0">+O21</f>
        <v>0</v>
      </c>
    </row>
    <row r="7" spans="2:10" x14ac:dyDescent="0.25">
      <c r="B7" t="s">
        <v>432</v>
      </c>
      <c r="C7" s="15"/>
      <c r="D7" s="15"/>
      <c r="E7" s="15"/>
      <c r="G7">
        <f t="shared" si="0"/>
        <v>0</v>
      </c>
    </row>
    <row r="8" spans="2:10" x14ac:dyDescent="0.25">
      <c r="B8" t="s">
        <v>433</v>
      </c>
      <c r="C8" s="15"/>
      <c r="D8" s="15"/>
      <c r="E8" s="15"/>
      <c r="G8">
        <f t="shared" si="0"/>
        <v>0</v>
      </c>
    </row>
    <row r="9" spans="2:10" x14ac:dyDescent="0.25">
      <c r="B9" t="s">
        <v>434</v>
      </c>
      <c r="C9" s="15"/>
      <c r="D9" s="15"/>
      <c r="E9" s="15"/>
      <c r="G9">
        <f t="shared" si="0"/>
        <v>0</v>
      </c>
    </row>
    <row r="10" spans="2:10" x14ac:dyDescent="0.25">
      <c r="B10" t="s">
        <v>435</v>
      </c>
      <c r="C10" s="15"/>
      <c r="D10" s="15"/>
      <c r="E10" s="15"/>
      <c r="G10">
        <f t="shared" si="0"/>
        <v>0</v>
      </c>
    </row>
    <row r="11" spans="2:10" x14ac:dyDescent="0.25">
      <c r="B11" t="s">
        <v>436</v>
      </c>
      <c r="C11" s="15"/>
      <c r="D11" s="15"/>
      <c r="E11" s="15"/>
      <c r="G11">
        <f t="shared" si="0"/>
        <v>0</v>
      </c>
    </row>
    <row r="12" spans="2:10" x14ac:dyDescent="0.25">
      <c r="B12" t="s">
        <v>437</v>
      </c>
      <c r="C12" s="15"/>
      <c r="D12" s="15"/>
      <c r="E12" s="15"/>
      <c r="G12">
        <f t="shared" si="0"/>
        <v>0</v>
      </c>
    </row>
    <row r="13" spans="2:10" x14ac:dyDescent="0.25">
      <c r="B13" t="s">
        <v>438</v>
      </c>
      <c r="C13" s="15"/>
      <c r="D13" s="15"/>
      <c r="E13" s="15"/>
      <c r="G13">
        <f t="shared" si="0"/>
        <v>0</v>
      </c>
    </row>
    <row r="14" spans="2:10" x14ac:dyDescent="0.25">
      <c r="B14" t="s">
        <v>439</v>
      </c>
      <c r="C14" s="15"/>
      <c r="D14" s="15"/>
      <c r="E14" s="15"/>
      <c r="G14">
        <f t="shared" si="0"/>
        <v>0</v>
      </c>
    </row>
    <row r="15" spans="2:10" x14ac:dyDescent="0.25">
      <c r="B15" t="s">
        <v>440</v>
      </c>
      <c r="C15" s="15"/>
      <c r="D15" s="15"/>
      <c r="E15" s="15"/>
      <c r="G15">
        <f t="shared" si="0"/>
        <v>0</v>
      </c>
    </row>
    <row r="16" spans="2:10" x14ac:dyDescent="0.25">
      <c r="B16" t="s">
        <v>441</v>
      </c>
      <c r="C16" s="15"/>
      <c r="D16" s="15"/>
      <c r="E16" s="15"/>
      <c r="G16">
        <f t="shared" si="0"/>
        <v>0</v>
      </c>
    </row>
    <row r="17" spans="2:15" x14ac:dyDescent="0.25">
      <c r="B17" t="s">
        <v>442</v>
      </c>
      <c r="C17" s="15"/>
      <c r="D17" s="15"/>
      <c r="E17" s="15"/>
      <c r="G17">
        <f t="shared" si="0"/>
        <v>0</v>
      </c>
    </row>
    <row r="18" spans="2:15" x14ac:dyDescent="0.25">
      <c r="B18" t="s">
        <v>319</v>
      </c>
      <c r="C18" s="15">
        <v>15846166</v>
      </c>
      <c r="D18" s="15">
        <v>5700370</v>
      </c>
      <c r="E18" s="15">
        <v>1475332</v>
      </c>
      <c r="G18" s="261">
        <f>3922517-2391661</f>
        <v>1530856</v>
      </c>
      <c r="H18" s="15">
        <f>+D18*F5</f>
        <v>1899933.321</v>
      </c>
      <c r="I18" s="15">
        <f>+E18*F5</f>
        <v>491728.1556</v>
      </c>
      <c r="J18" s="15">
        <f>SUM(G18:I18)</f>
        <v>3922517.4766000002</v>
      </c>
    </row>
    <row r="19" spans="2:15" x14ac:dyDescent="0.25">
      <c r="G19" s="45"/>
      <c r="J19" s="15"/>
    </row>
    <row r="20" spans="2:15" x14ac:dyDescent="0.25">
      <c r="C20" t="s">
        <v>431</v>
      </c>
      <c r="D20" t="s">
        <v>432</v>
      </c>
      <c r="E20" t="s">
        <v>433</v>
      </c>
      <c r="F20" t="s">
        <v>434</v>
      </c>
      <c r="G20" t="s">
        <v>435</v>
      </c>
      <c r="H20" t="s">
        <v>436</v>
      </c>
      <c r="I20" t="s">
        <v>437</v>
      </c>
      <c r="J20" t="s">
        <v>438</v>
      </c>
      <c r="K20" t="s">
        <v>439</v>
      </c>
      <c r="L20" t="s">
        <v>440</v>
      </c>
      <c r="M20" t="s">
        <v>441</v>
      </c>
      <c r="N20" t="s">
        <v>442</v>
      </c>
      <c r="O20" t="s">
        <v>319</v>
      </c>
    </row>
    <row r="21" spans="2:15" x14ac:dyDescent="0.25">
      <c r="B21" t="s">
        <v>431</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432</v>
      </c>
    </row>
    <row r="23" spans="2:15" x14ac:dyDescent="0.25">
      <c r="B23" t="s">
        <v>433</v>
      </c>
    </row>
    <row r="24" spans="2:15" x14ac:dyDescent="0.25">
      <c r="B24" t="s">
        <v>434</v>
      </c>
    </row>
    <row r="25" spans="2:15" x14ac:dyDescent="0.25">
      <c r="B25" t="s">
        <v>435</v>
      </c>
    </row>
    <row r="26" spans="2:15" x14ac:dyDescent="0.25">
      <c r="B26" t="s">
        <v>436</v>
      </c>
    </row>
    <row r="27" spans="2:15" x14ac:dyDescent="0.25">
      <c r="B27" t="s">
        <v>437</v>
      </c>
    </row>
    <row r="28" spans="2:15" x14ac:dyDescent="0.25">
      <c r="B28" t="s">
        <v>438</v>
      </c>
    </row>
    <row r="29" spans="2:15" x14ac:dyDescent="0.25">
      <c r="B29" t="s">
        <v>439</v>
      </c>
    </row>
    <row r="30" spans="2:15" x14ac:dyDescent="0.25">
      <c r="B30" t="s">
        <v>440</v>
      </c>
    </row>
    <row r="31" spans="2:15" x14ac:dyDescent="0.25">
      <c r="B31" t="s">
        <v>441</v>
      </c>
    </row>
    <row r="32" spans="2:15" x14ac:dyDescent="0.25">
      <c r="B32" t="s">
        <v>442</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42578125" defaultRowHeight="15" x14ac:dyDescent="0.25"/>
  <cols>
    <col min="5" max="5" width="11.5703125" customWidth="1"/>
  </cols>
  <sheetData>
    <row r="3" spans="2:5" x14ac:dyDescent="0.25">
      <c r="B3" t="s">
        <v>443</v>
      </c>
      <c r="E3" s="15">
        <f>+'PP&amp;E'!E18</f>
        <v>1475332</v>
      </c>
    </row>
    <row r="4" spans="2:5" x14ac:dyDescent="0.25">
      <c r="B4" t="s">
        <v>444</v>
      </c>
      <c r="E4" s="15">
        <f>+'PP&amp;E'!D18</f>
        <v>5700370</v>
      </c>
    </row>
    <row r="5" spans="2:5" x14ac:dyDescent="0.25">
      <c r="B5" t="s">
        <v>445</v>
      </c>
      <c r="E5" s="15">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U79"/>
  <sheetViews>
    <sheetView zoomScaleNormal="100" workbookViewId="0">
      <pane xSplit="3" ySplit="5" topLeftCell="D65" activePane="bottomRight" state="frozen"/>
      <selection pane="topRight" activeCell="D1" sqref="D1"/>
      <selection pane="bottomLeft" activeCell="A65" sqref="A65"/>
      <selection pane="bottomRight" activeCell="E79" sqref="E79"/>
    </sheetView>
  </sheetViews>
  <sheetFormatPr defaultColWidth="11.42578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15" hidden="1" customWidth="1"/>
    <col min="20" max="20" width="12.7109375" style="15" hidden="1" customWidth="1"/>
    <col min="21" max="21" width="12.28515625" style="15" hidden="1" customWidth="1"/>
    <col min="22" max="22" width="2.7109375" customWidth="1"/>
  </cols>
  <sheetData>
    <row r="1" spans="1:21" x14ac:dyDescent="0.25">
      <c r="A1" s="16" t="s">
        <v>12</v>
      </c>
    </row>
    <row r="2" spans="1:21" x14ac:dyDescent="0.25">
      <c r="A2" s="17" t="s">
        <v>1</v>
      </c>
    </row>
    <row r="3" spans="1:21" x14ac:dyDescent="0.25">
      <c r="A3" s="17" t="s">
        <v>13</v>
      </c>
      <c r="E3" s="18"/>
      <c r="F3" s="19"/>
      <c r="G3" s="20"/>
      <c r="H3" s="18"/>
      <c r="I3" s="19"/>
      <c r="K3" s="18"/>
      <c r="L3" s="19"/>
      <c r="M3" s="20"/>
      <c r="N3" s="18"/>
      <c r="O3" s="19"/>
      <c r="Q3" s="18"/>
      <c r="R3" s="19"/>
      <c r="S3" s="20"/>
      <c r="T3" s="18"/>
      <c r="U3" s="19"/>
    </row>
    <row r="4" spans="1:21" x14ac:dyDescent="0.25">
      <c r="A4" s="21" t="s">
        <v>14</v>
      </c>
      <c r="E4" s="22"/>
      <c r="F4" s="23"/>
      <c r="G4" s="15"/>
      <c r="H4" s="24" t="s">
        <v>15</v>
      </c>
      <c r="I4" s="25">
        <v>2020</v>
      </c>
      <c r="K4" s="22"/>
      <c r="L4" s="23"/>
      <c r="M4" s="15"/>
      <c r="N4" s="24" t="s">
        <v>15</v>
      </c>
      <c r="O4" s="25">
        <v>2019</v>
      </c>
      <c r="Q4" s="22"/>
      <c r="R4" s="23"/>
      <c r="T4" s="24" t="s">
        <v>15</v>
      </c>
      <c r="U4" s="25">
        <v>2017</v>
      </c>
    </row>
    <row r="5" spans="1:21" x14ac:dyDescent="0.25">
      <c r="E5" s="26" t="s">
        <v>16</v>
      </c>
      <c r="F5" s="27" t="s">
        <v>17</v>
      </c>
      <c r="G5" s="28" t="s">
        <v>18</v>
      </c>
      <c r="H5" s="29" t="s">
        <v>19</v>
      </c>
      <c r="I5" s="27" t="s">
        <v>20</v>
      </c>
      <c r="K5" s="26" t="s">
        <v>16</v>
      </c>
      <c r="L5" s="27" t="s">
        <v>17</v>
      </c>
      <c r="M5" s="28" t="s">
        <v>18</v>
      </c>
      <c r="N5" s="29" t="s">
        <v>19</v>
      </c>
      <c r="O5" s="27" t="s">
        <v>20</v>
      </c>
      <c r="Q5" s="26" t="s">
        <v>16</v>
      </c>
      <c r="R5" s="27" t="s">
        <v>17</v>
      </c>
      <c r="S5" s="28" t="s">
        <v>18</v>
      </c>
      <c r="T5" s="29" t="s">
        <v>19</v>
      </c>
      <c r="U5" s="27" t="s">
        <v>20</v>
      </c>
    </row>
    <row r="6" spans="1:21" x14ac:dyDescent="0.25">
      <c r="C6" t="s">
        <v>21</v>
      </c>
      <c r="E6" s="30"/>
      <c r="F6" s="30"/>
      <c r="G6" s="30"/>
      <c r="H6" s="30"/>
      <c r="I6" s="30"/>
      <c r="K6" s="30"/>
      <c r="L6" s="30"/>
      <c r="M6" s="30"/>
      <c r="N6" s="30"/>
      <c r="O6" s="30"/>
      <c r="Q6" s="22"/>
      <c r="R6" s="19"/>
      <c r="T6" s="22"/>
      <c r="U6" s="23"/>
    </row>
    <row r="7" spans="1:21" x14ac:dyDescent="0.25">
      <c r="A7" s="17" t="s">
        <v>22</v>
      </c>
      <c r="E7" s="22"/>
      <c r="F7" s="31"/>
      <c r="G7" s="31"/>
      <c r="H7" s="31"/>
      <c r="I7" s="31"/>
      <c r="K7" s="22"/>
      <c r="L7" s="31"/>
      <c r="M7" s="31"/>
      <c r="N7" s="31"/>
      <c r="O7" s="31"/>
      <c r="Q7" s="22"/>
      <c r="R7" s="23"/>
      <c r="T7" s="22"/>
      <c r="U7" s="23"/>
    </row>
    <row r="8" spans="1:21" x14ac:dyDescent="0.25">
      <c r="B8" t="s">
        <v>23</v>
      </c>
      <c r="E8" s="22">
        <v>19454167</v>
      </c>
      <c r="F8" s="22">
        <v>3657400</v>
      </c>
      <c r="G8" s="23">
        <f>+E8+F8</f>
        <v>23111567</v>
      </c>
      <c r="H8" s="31"/>
      <c r="I8" s="23">
        <f t="shared" ref="I8:I17" si="0">+G8+H8</f>
        <v>23111567</v>
      </c>
      <c r="K8" s="22">
        <v>5683172</v>
      </c>
      <c r="L8" s="22">
        <v>1956404</v>
      </c>
      <c r="M8" s="23">
        <f>+K8+L8</f>
        <v>7639576</v>
      </c>
      <c r="N8" s="31"/>
      <c r="O8" s="23">
        <f t="shared" ref="O8:O17" si="1">+M8+N8</f>
        <v>7639576</v>
      </c>
      <c r="Q8" s="22">
        <v>1607132</v>
      </c>
      <c r="R8" s="23">
        <v>585324</v>
      </c>
      <c r="S8" s="15">
        <f t="shared" ref="S8:S18" si="2">Q8+R8</f>
        <v>2192456</v>
      </c>
      <c r="T8" s="22"/>
      <c r="U8" s="23">
        <f>+S8+T8</f>
        <v>2192456</v>
      </c>
    </row>
    <row r="9" spans="1:21" x14ac:dyDescent="0.25">
      <c r="B9" t="s">
        <v>24</v>
      </c>
      <c r="E9" s="22">
        <v>3119911</v>
      </c>
      <c r="F9" s="22">
        <v>0</v>
      </c>
      <c r="G9" s="23">
        <f>+E9+F9</f>
        <v>3119911</v>
      </c>
      <c r="H9" s="31"/>
      <c r="I9" s="23">
        <f t="shared" si="0"/>
        <v>3119911</v>
      </c>
      <c r="K9" s="22">
        <v>11919</v>
      </c>
      <c r="L9" s="22"/>
      <c r="M9" s="23">
        <f>+K9+L9</f>
        <v>11919</v>
      </c>
      <c r="N9" s="31"/>
      <c r="O9" s="23">
        <f t="shared" si="1"/>
        <v>11919</v>
      </c>
      <c r="Q9" s="22">
        <v>102620</v>
      </c>
      <c r="R9" s="31"/>
      <c r="S9" s="15">
        <f t="shared" si="2"/>
        <v>102620</v>
      </c>
      <c r="T9" s="22"/>
      <c r="U9" s="23">
        <f>+S9+T9</f>
        <v>102620</v>
      </c>
    </row>
    <row r="10" spans="1:21" x14ac:dyDescent="0.25">
      <c r="B10" t="s">
        <v>25</v>
      </c>
      <c r="E10" s="22">
        <v>0</v>
      </c>
      <c r="F10" s="22">
        <v>0</v>
      </c>
      <c r="G10" s="23">
        <f>+E10+F10</f>
        <v>0</v>
      </c>
      <c r="H10" s="31"/>
      <c r="I10" s="23">
        <f t="shared" si="0"/>
        <v>0</v>
      </c>
      <c r="K10" s="22">
        <v>3358789</v>
      </c>
      <c r="L10" s="22"/>
      <c r="M10" s="23">
        <f>+K10+L10</f>
        <v>3358789</v>
      </c>
      <c r="N10" s="31"/>
      <c r="O10" s="23">
        <f t="shared" si="1"/>
        <v>3358789</v>
      </c>
      <c r="Q10" s="22">
        <v>2644455</v>
      </c>
      <c r="R10" s="31"/>
      <c r="S10" s="15">
        <f t="shared" si="2"/>
        <v>2644455</v>
      </c>
      <c r="T10" s="22"/>
      <c r="U10" s="23">
        <f>+S10+T10</f>
        <v>2644455</v>
      </c>
    </row>
    <row r="11" spans="1:21" x14ac:dyDescent="0.25">
      <c r="B11" t="s">
        <v>26</v>
      </c>
      <c r="E11" s="22"/>
      <c r="F11" s="22"/>
      <c r="G11" s="23"/>
      <c r="H11" s="31"/>
      <c r="I11" s="23">
        <f t="shared" si="0"/>
        <v>0</v>
      </c>
      <c r="K11" s="22"/>
      <c r="L11" s="22"/>
      <c r="M11" s="23"/>
      <c r="N11" s="31"/>
      <c r="O11" s="23">
        <f t="shared" si="1"/>
        <v>0</v>
      </c>
      <c r="Q11" s="22"/>
      <c r="R11" s="31"/>
      <c r="S11" s="15">
        <f t="shared" si="2"/>
        <v>0</v>
      </c>
      <c r="T11" s="22"/>
      <c r="U11" s="23"/>
    </row>
    <row r="12" spans="1:21" x14ac:dyDescent="0.25">
      <c r="B12" t="s">
        <v>27</v>
      </c>
      <c r="E12" s="22">
        <v>14149502</v>
      </c>
      <c r="F12" s="22">
        <v>7765139</v>
      </c>
      <c r="G12" s="23">
        <f t="shared" ref="G12:G17" si="3">+E12+F12</f>
        <v>21914641</v>
      </c>
      <c r="H12" s="31"/>
      <c r="I12" s="23">
        <f t="shared" si="0"/>
        <v>21914641</v>
      </c>
      <c r="K12" s="22">
        <v>10095277</v>
      </c>
      <c r="L12" s="22">
        <v>2517669</v>
      </c>
      <c r="M12" s="23">
        <f t="shared" ref="M12:M17" si="4">+K12+L12</f>
        <v>12612946</v>
      </c>
      <c r="N12" s="31"/>
      <c r="O12" s="23">
        <f t="shared" si="1"/>
        <v>12612946</v>
      </c>
      <c r="Q12" s="22">
        <v>10565005</v>
      </c>
      <c r="R12" s="23">
        <v>1247603</v>
      </c>
      <c r="S12" s="15">
        <f t="shared" si="2"/>
        <v>11812608</v>
      </c>
      <c r="T12" s="22"/>
      <c r="U12" s="23">
        <f t="shared" ref="U12:U17" si="5">+S12+T12</f>
        <v>11812608</v>
      </c>
    </row>
    <row r="13" spans="1:21" x14ac:dyDescent="0.25">
      <c r="B13" t="s">
        <v>28</v>
      </c>
      <c r="E13" s="22">
        <v>37922671</v>
      </c>
      <c r="F13" s="22">
        <v>28737194</v>
      </c>
      <c r="G13" s="23">
        <f t="shared" si="3"/>
        <v>66659865</v>
      </c>
      <c r="H13" s="23"/>
      <c r="I13" s="23">
        <f t="shared" si="0"/>
        <v>66659865</v>
      </c>
      <c r="K13" s="22">
        <v>41013343</v>
      </c>
      <c r="L13" s="22">
        <v>19912295</v>
      </c>
      <c r="M13" s="23">
        <f t="shared" si="4"/>
        <v>60925638</v>
      </c>
      <c r="N13" s="23">
        <f>-AD!J18-AD!J36</f>
        <v>-34305534</v>
      </c>
      <c r="O13" s="23">
        <f t="shared" si="1"/>
        <v>26620104</v>
      </c>
      <c r="Q13" s="22">
        <v>32908556</v>
      </c>
      <c r="R13" s="23">
        <v>5055818</v>
      </c>
      <c r="S13" s="15">
        <f t="shared" si="2"/>
        <v>37964374</v>
      </c>
      <c r="T13" s="22">
        <f>-AD!N18-AD!N36</f>
        <v>-10306018</v>
      </c>
      <c r="U13" s="23">
        <f t="shared" si="5"/>
        <v>27658356</v>
      </c>
    </row>
    <row r="14" spans="1:21" x14ac:dyDescent="0.25">
      <c r="B14" t="s">
        <v>29</v>
      </c>
      <c r="E14" s="22">
        <v>12206616</v>
      </c>
      <c r="F14" s="22">
        <v>224008</v>
      </c>
      <c r="G14" s="23">
        <f t="shared" si="3"/>
        <v>12430624</v>
      </c>
      <c r="H14" s="31"/>
      <c r="I14" s="23">
        <f t="shared" si="0"/>
        <v>12430624</v>
      </c>
      <c r="K14" s="22">
        <v>16875125</v>
      </c>
      <c r="L14" s="22">
        <v>1181923</v>
      </c>
      <c r="M14" s="23">
        <f t="shared" si="4"/>
        <v>18057048</v>
      </c>
      <c r="N14" s="31"/>
      <c r="O14" s="23">
        <f t="shared" si="1"/>
        <v>18057048</v>
      </c>
      <c r="Q14" s="22">
        <v>5481731</v>
      </c>
      <c r="R14" s="23">
        <v>156705</v>
      </c>
      <c r="S14" s="15">
        <f t="shared" si="2"/>
        <v>5638436</v>
      </c>
      <c r="T14" s="22"/>
      <c r="U14" s="23">
        <f t="shared" si="5"/>
        <v>5638436</v>
      </c>
    </row>
    <row r="15" spans="1:21" x14ac:dyDescent="0.25">
      <c r="B15" t="s">
        <v>30</v>
      </c>
      <c r="E15" s="22">
        <v>5359704</v>
      </c>
      <c r="F15" s="22">
        <v>1698179</v>
      </c>
      <c r="G15" s="23">
        <f t="shared" si="3"/>
        <v>7057883</v>
      </c>
      <c r="H15" s="31"/>
      <c r="I15" s="23">
        <f t="shared" si="0"/>
        <v>7057883</v>
      </c>
      <c r="K15" s="22">
        <v>4638</v>
      </c>
      <c r="L15" s="22">
        <v>1969204</v>
      </c>
      <c r="M15" s="23">
        <f t="shared" si="4"/>
        <v>1973842</v>
      </c>
      <c r="N15" s="31"/>
      <c r="O15" s="23">
        <f t="shared" si="1"/>
        <v>1973842</v>
      </c>
      <c r="Q15" s="22">
        <v>480186</v>
      </c>
      <c r="R15" s="23">
        <v>1484699</v>
      </c>
      <c r="S15" s="15">
        <f t="shared" si="2"/>
        <v>1964885</v>
      </c>
      <c r="T15" s="22"/>
      <c r="U15" s="23">
        <f t="shared" si="5"/>
        <v>1964885</v>
      </c>
    </row>
    <row r="16" spans="1:21" x14ac:dyDescent="0.25">
      <c r="B16" t="s">
        <v>31</v>
      </c>
      <c r="E16" s="22">
        <v>1768203</v>
      </c>
      <c r="F16" s="22">
        <v>4492933</v>
      </c>
      <c r="G16" s="23">
        <f t="shared" si="3"/>
        <v>6261136</v>
      </c>
      <c r="H16" s="31"/>
      <c r="I16" s="23">
        <f t="shared" si="0"/>
        <v>6261136</v>
      </c>
      <c r="K16" s="22">
        <v>747264</v>
      </c>
      <c r="L16" s="22"/>
      <c r="M16" s="23">
        <f t="shared" si="4"/>
        <v>747264</v>
      </c>
      <c r="N16" s="31"/>
      <c r="O16" s="23">
        <f t="shared" si="1"/>
        <v>747264</v>
      </c>
      <c r="Q16" s="22">
        <v>625964</v>
      </c>
      <c r="R16" s="31"/>
      <c r="S16" s="15">
        <f t="shared" si="2"/>
        <v>625964</v>
      </c>
      <c r="T16" s="22">
        <f>-AD!P52-AD!P25</f>
        <v>0</v>
      </c>
      <c r="U16" s="23">
        <f t="shared" si="5"/>
        <v>625964</v>
      </c>
    </row>
    <row r="17" spans="1:21" x14ac:dyDescent="0.25">
      <c r="B17" t="s">
        <v>32</v>
      </c>
      <c r="E17" s="22">
        <v>28373524</v>
      </c>
      <c r="F17" s="22">
        <v>0</v>
      </c>
      <c r="G17" s="23">
        <f t="shared" si="3"/>
        <v>28373524</v>
      </c>
      <c r="H17" s="31"/>
      <c r="I17" s="23">
        <f t="shared" si="0"/>
        <v>28373524</v>
      </c>
      <c r="K17" s="22">
        <v>28594642</v>
      </c>
      <c r="L17" s="22"/>
      <c r="M17" s="23">
        <f t="shared" si="4"/>
        <v>28594642</v>
      </c>
      <c r="N17" s="31"/>
      <c r="O17" s="23">
        <f t="shared" si="1"/>
        <v>28594642</v>
      </c>
      <c r="Q17" s="22">
        <v>14883321</v>
      </c>
      <c r="R17" s="31"/>
      <c r="S17" s="15">
        <f t="shared" si="2"/>
        <v>14883321</v>
      </c>
      <c r="T17" s="22"/>
      <c r="U17" s="23">
        <f t="shared" si="5"/>
        <v>14883321</v>
      </c>
    </row>
    <row r="18" spans="1:21" x14ac:dyDescent="0.25">
      <c r="A18" s="17" t="s">
        <v>33</v>
      </c>
      <c r="E18" s="32">
        <f>SUM(E8:E17)</f>
        <v>122354298</v>
      </c>
      <c r="F18" s="32">
        <f>SUM(F8:F17)</f>
        <v>46574853</v>
      </c>
      <c r="G18" s="32">
        <f>SUM(G8:G17)</f>
        <v>168929151</v>
      </c>
      <c r="H18" s="32">
        <f>SUM(H8:H17)</f>
        <v>0</v>
      </c>
      <c r="I18" s="32">
        <f>SUM(I8:I17)</f>
        <v>168929151</v>
      </c>
      <c r="K18" s="32">
        <f>SUM(K8:K17)</f>
        <v>106384169</v>
      </c>
      <c r="L18" s="32">
        <f>SUM(L8:L17)</f>
        <v>27537495</v>
      </c>
      <c r="M18" s="32">
        <f>SUM(M8:M17)</f>
        <v>133921664</v>
      </c>
      <c r="N18" s="32">
        <f>SUM(N8:N17)</f>
        <v>-34305534</v>
      </c>
      <c r="O18" s="32">
        <f>SUM(O8:O17)</f>
        <v>99616130</v>
      </c>
      <c r="Q18" s="32">
        <f>SUM(Q8:Q17)</f>
        <v>69298970</v>
      </c>
      <c r="R18" s="32">
        <f>SUM(R8:R17)</f>
        <v>8530149</v>
      </c>
      <c r="S18" s="32">
        <f t="shared" si="2"/>
        <v>77829119</v>
      </c>
      <c r="T18" s="32">
        <f>SUM(T8:T17)</f>
        <v>-10306018</v>
      </c>
      <c r="U18" s="32">
        <f>SUM(U8:U17)</f>
        <v>67523101</v>
      </c>
    </row>
    <row r="19" spans="1:21" x14ac:dyDescent="0.25">
      <c r="E19" s="30"/>
      <c r="F19" s="33"/>
      <c r="G19" s="30"/>
      <c r="H19" s="30"/>
      <c r="I19" s="30"/>
      <c r="K19" s="30"/>
      <c r="L19" s="30"/>
      <c r="M19" s="30"/>
      <c r="N19" s="30"/>
      <c r="O19" s="30"/>
      <c r="Q19" s="22"/>
      <c r="R19" s="23"/>
      <c r="T19" s="22"/>
      <c r="U19" s="23"/>
    </row>
    <row r="20" spans="1:21" ht="27" hidden="1" customHeight="1" x14ac:dyDescent="0.25">
      <c r="A20" s="13" t="s">
        <v>34</v>
      </c>
      <c r="B20" s="13"/>
      <c r="C20" s="13"/>
      <c r="D20" s="34"/>
      <c r="E20" s="35"/>
      <c r="F20" s="35"/>
      <c r="G20" s="35"/>
      <c r="H20" s="35"/>
      <c r="I20" s="35"/>
      <c r="J20" s="34"/>
      <c r="K20" s="35"/>
      <c r="L20" s="35"/>
      <c r="M20" s="35"/>
      <c r="N20" s="35"/>
      <c r="O20" s="35"/>
      <c r="P20" s="34"/>
      <c r="Q20" s="36"/>
      <c r="R20" s="37"/>
      <c r="S20" s="38"/>
      <c r="T20" s="36"/>
      <c r="U20" s="37">
        <f>+S20+T20</f>
        <v>0</v>
      </c>
    </row>
    <row r="21" spans="1:21" hidden="1" x14ac:dyDescent="0.25">
      <c r="E21" s="30"/>
      <c r="F21" s="30"/>
      <c r="G21" s="30"/>
      <c r="H21" s="30"/>
      <c r="I21" s="30"/>
      <c r="K21" s="30"/>
      <c r="L21" s="30"/>
      <c r="M21" s="30"/>
      <c r="N21" s="30"/>
      <c r="O21" s="30"/>
      <c r="Q21" s="19"/>
      <c r="R21" s="39"/>
      <c r="S21" s="19"/>
      <c r="T21" s="39"/>
      <c r="U21" s="19"/>
    </row>
    <row r="22" spans="1:21" x14ac:dyDescent="0.25">
      <c r="A22" s="17" t="s">
        <v>35</v>
      </c>
      <c r="B22" s="17"/>
      <c r="E22" s="31"/>
      <c r="F22" s="31"/>
      <c r="G22" s="31"/>
      <c r="H22" s="31"/>
      <c r="I22" s="31"/>
      <c r="K22" s="31"/>
      <c r="L22" s="31"/>
      <c r="M22" s="31"/>
      <c r="N22" s="31"/>
      <c r="O22" s="31"/>
      <c r="Q22" s="23"/>
      <c r="R22" s="39"/>
      <c r="S22" s="23"/>
      <c r="T22" s="39"/>
      <c r="U22" s="23"/>
    </row>
    <row r="23" spans="1:21" x14ac:dyDescent="0.25">
      <c r="A23" s="17"/>
      <c r="B23" s="21" t="s">
        <v>36</v>
      </c>
      <c r="E23" s="22">
        <v>4372326</v>
      </c>
      <c r="F23" s="31"/>
      <c r="G23" s="23">
        <f t="shared" ref="G23:G32" si="6">+E23+F23</f>
        <v>4372326</v>
      </c>
      <c r="H23" s="31"/>
      <c r="I23" s="23">
        <f t="shared" ref="I23:I32" si="7">+G23+H23</f>
        <v>4372326</v>
      </c>
      <c r="K23" s="22">
        <v>2077739</v>
      </c>
      <c r="L23" s="31"/>
      <c r="M23" s="23">
        <f t="shared" ref="M23:M32" si="8">+K23+L23</f>
        <v>2077739</v>
      </c>
      <c r="N23" s="31"/>
      <c r="O23" s="23">
        <f t="shared" ref="O23:O32" si="9">+M23+N23</f>
        <v>2077739</v>
      </c>
      <c r="Q23" s="22">
        <v>40694</v>
      </c>
      <c r="R23" s="31"/>
      <c r="S23" s="23">
        <f t="shared" ref="S23:S32" si="10">Q23+R23</f>
        <v>40694</v>
      </c>
      <c r="U23" s="23">
        <f t="shared" ref="U23:U32" si="11">+S23+T23</f>
        <v>40694</v>
      </c>
    </row>
    <row r="24" spans="1:21" x14ac:dyDescent="0.25">
      <c r="B24" t="s">
        <v>37</v>
      </c>
      <c r="E24" s="22">
        <v>2416446</v>
      </c>
      <c r="F24" s="31"/>
      <c r="G24" s="23">
        <f t="shared" si="6"/>
        <v>2416446</v>
      </c>
      <c r="H24" s="31"/>
      <c r="I24" s="23">
        <f t="shared" si="7"/>
        <v>2416446</v>
      </c>
      <c r="K24" s="22">
        <v>360864</v>
      </c>
      <c r="L24" s="31"/>
      <c r="M24" s="23">
        <f t="shared" si="8"/>
        <v>360864</v>
      </c>
      <c r="N24" s="31"/>
      <c r="O24" s="23">
        <f t="shared" si="9"/>
        <v>360864</v>
      </c>
      <c r="Q24" s="22">
        <v>3212434</v>
      </c>
      <c r="R24" s="31"/>
      <c r="S24" s="23">
        <f t="shared" si="10"/>
        <v>3212434</v>
      </c>
      <c r="U24" s="23">
        <f t="shared" si="11"/>
        <v>3212434</v>
      </c>
    </row>
    <row r="25" spans="1:21" x14ac:dyDescent="0.25">
      <c r="B25" t="s">
        <v>38</v>
      </c>
      <c r="E25" s="22">
        <f>181312838-146560088</f>
        <v>34752750</v>
      </c>
      <c r="F25" s="22">
        <v>32926159</v>
      </c>
      <c r="G25" s="23">
        <f t="shared" si="6"/>
        <v>67678909</v>
      </c>
      <c r="H25" s="23"/>
      <c r="I25" s="23">
        <f t="shared" si="7"/>
        <v>67678909</v>
      </c>
      <c r="K25" s="22">
        <v>43682484</v>
      </c>
      <c r="L25" s="22">
        <v>15927036</v>
      </c>
      <c r="M25" s="23">
        <f t="shared" si="8"/>
        <v>59609520</v>
      </c>
      <c r="N25" s="23">
        <f>-AD!J23+AD!I40+AD!I47-AD!J53</f>
        <v>-13217070.938548002</v>
      </c>
      <c r="O25" s="23">
        <f t="shared" si="9"/>
        <v>46392449.061452001</v>
      </c>
      <c r="Q25" s="22">
        <v>66573020</v>
      </c>
      <c r="R25" s="22">
        <v>17358621</v>
      </c>
      <c r="S25" s="23">
        <f t="shared" si="10"/>
        <v>83931641</v>
      </c>
      <c r="T25" s="15">
        <f>-AD!N23+AD!M40+AD!M48-AD!N53</f>
        <v>-18536381.523400001</v>
      </c>
      <c r="U25" s="23">
        <f t="shared" si="11"/>
        <v>65395259.476599999</v>
      </c>
    </row>
    <row r="26" spans="1:21" x14ac:dyDescent="0.25">
      <c r="B26" t="s">
        <v>39</v>
      </c>
      <c r="E26" s="22">
        <v>953392</v>
      </c>
      <c r="F26" s="22"/>
      <c r="G26" s="23">
        <f t="shared" si="6"/>
        <v>953392</v>
      </c>
      <c r="H26" s="31"/>
      <c r="I26" s="23">
        <f t="shared" si="7"/>
        <v>953392</v>
      </c>
      <c r="K26" s="22">
        <v>584801</v>
      </c>
      <c r="L26" s="22"/>
      <c r="M26" s="23">
        <f t="shared" si="8"/>
        <v>584801</v>
      </c>
      <c r="N26" s="31"/>
      <c r="O26" s="23">
        <f t="shared" si="9"/>
        <v>584801</v>
      </c>
      <c r="Q26" s="22">
        <v>661755</v>
      </c>
      <c r="R26" s="31"/>
      <c r="S26" s="23">
        <f t="shared" si="10"/>
        <v>661755</v>
      </c>
      <c r="U26" s="23">
        <f t="shared" si="11"/>
        <v>661755</v>
      </c>
    </row>
    <row r="27" spans="1:21" x14ac:dyDescent="0.25">
      <c r="B27" t="s">
        <v>40</v>
      </c>
      <c r="E27" s="22">
        <v>15830682</v>
      </c>
      <c r="F27" s="22">
        <v>417615</v>
      </c>
      <c r="G27" s="23">
        <f t="shared" si="6"/>
        <v>16248297</v>
      </c>
      <c r="H27" s="31"/>
      <c r="I27" s="23">
        <f t="shared" si="7"/>
        <v>16248297</v>
      </c>
      <c r="K27" s="22">
        <v>12779430</v>
      </c>
      <c r="L27" s="22">
        <v>1908158</v>
      </c>
      <c r="M27" s="23">
        <f t="shared" si="8"/>
        <v>14687588</v>
      </c>
      <c r="N27" s="31"/>
      <c r="O27" s="23">
        <f t="shared" si="9"/>
        <v>14687588</v>
      </c>
      <c r="Q27" s="22">
        <v>11586243</v>
      </c>
      <c r="R27" s="22">
        <v>241844</v>
      </c>
      <c r="S27" s="23">
        <f t="shared" si="10"/>
        <v>11828087</v>
      </c>
      <c r="U27" s="23">
        <f t="shared" si="11"/>
        <v>11828087</v>
      </c>
    </row>
    <row r="28" spans="1:21" x14ac:dyDescent="0.25">
      <c r="B28" t="s">
        <v>41</v>
      </c>
      <c r="E28" s="23"/>
      <c r="F28" s="31"/>
      <c r="G28" s="23">
        <f t="shared" si="6"/>
        <v>0</v>
      </c>
      <c r="H28" s="31"/>
      <c r="I28" s="23">
        <f t="shared" si="7"/>
        <v>0</v>
      </c>
      <c r="K28" s="31">
        <v>4147107</v>
      </c>
      <c r="L28" s="31"/>
      <c r="M28" s="23">
        <f t="shared" si="8"/>
        <v>4147107</v>
      </c>
      <c r="N28" s="31"/>
      <c r="O28" s="23">
        <f t="shared" si="9"/>
        <v>4147107</v>
      </c>
      <c r="Q28" s="31"/>
      <c r="R28" s="31"/>
      <c r="S28" s="23">
        <f t="shared" si="10"/>
        <v>0</v>
      </c>
      <c r="U28" s="23">
        <f t="shared" si="11"/>
        <v>0</v>
      </c>
    </row>
    <row r="29" spans="1:21" x14ac:dyDescent="0.25">
      <c r="B29" t="s">
        <v>42</v>
      </c>
      <c r="E29" s="22">
        <v>273347</v>
      </c>
      <c r="F29" s="22">
        <v>1836716</v>
      </c>
      <c r="G29" s="23">
        <f t="shared" si="6"/>
        <v>2110063</v>
      </c>
      <c r="H29" s="31"/>
      <c r="I29" s="23">
        <f t="shared" si="7"/>
        <v>2110063</v>
      </c>
      <c r="K29" s="22">
        <v>1673584</v>
      </c>
      <c r="L29" s="22"/>
      <c r="M29" s="23">
        <f t="shared" si="8"/>
        <v>1673584</v>
      </c>
      <c r="N29" s="31"/>
      <c r="O29" s="23">
        <f t="shared" si="9"/>
        <v>1673584</v>
      </c>
      <c r="Q29" s="22">
        <v>1422229</v>
      </c>
      <c r="R29" s="31"/>
      <c r="S29" s="23">
        <f t="shared" si="10"/>
        <v>1422229</v>
      </c>
      <c r="U29" s="23">
        <f t="shared" si="11"/>
        <v>1422229</v>
      </c>
    </row>
    <row r="30" spans="1:21" x14ac:dyDescent="0.25">
      <c r="B30" t="s">
        <v>43</v>
      </c>
      <c r="E30" s="22">
        <v>42623206</v>
      </c>
      <c r="F30" s="22"/>
      <c r="G30" s="23">
        <f t="shared" si="6"/>
        <v>42623206</v>
      </c>
      <c r="H30" s="31"/>
      <c r="I30" s="23">
        <f t="shared" si="7"/>
        <v>42623206</v>
      </c>
      <c r="K30" s="22">
        <v>39016871</v>
      </c>
      <c r="L30" s="22"/>
      <c r="M30" s="23">
        <f t="shared" si="8"/>
        <v>39016871</v>
      </c>
      <c r="N30" s="31"/>
      <c r="O30" s="23">
        <f t="shared" si="9"/>
        <v>39016871</v>
      </c>
      <c r="Q30" s="22">
        <v>44513438</v>
      </c>
      <c r="R30" s="31"/>
      <c r="S30" s="23">
        <f t="shared" si="10"/>
        <v>44513438</v>
      </c>
      <c r="U30" s="23">
        <f t="shared" si="11"/>
        <v>44513438</v>
      </c>
    </row>
    <row r="31" spans="1:21" x14ac:dyDescent="0.25">
      <c r="B31" t="s">
        <v>44</v>
      </c>
      <c r="E31" s="23">
        <v>0</v>
      </c>
      <c r="F31" s="23">
        <v>280196</v>
      </c>
      <c r="G31" s="23">
        <f t="shared" si="6"/>
        <v>280196</v>
      </c>
      <c r="H31" s="23"/>
      <c r="I31" s="23">
        <f t="shared" si="7"/>
        <v>280196</v>
      </c>
      <c r="K31" s="23">
        <v>261500</v>
      </c>
      <c r="L31" s="23">
        <v>135662</v>
      </c>
      <c r="M31" s="23">
        <f t="shared" si="8"/>
        <v>397162</v>
      </c>
      <c r="N31" s="23">
        <f>+AD!I46+AD!I62</f>
        <v>3164337.1851480007</v>
      </c>
      <c r="O31" s="23">
        <f t="shared" si="9"/>
        <v>3561499.1851480007</v>
      </c>
      <c r="Q31" s="23">
        <v>0</v>
      </c>
      <c r="R31" s="31"/>
      <c r="S31" s="23">
        <f t="shared" si="10"/>
        <v>0</v>
      </c>
      <c r="T31" s="15">
        <f>+AD!M46+AD!M62</f>
        <v>4078003.9351480003</v>
      </c>
      <c r="U31" s="23">
        <f t="shared" si="11"/>
        <v>4078003.9351480003</v>
      </c>
    </row>
    <row r="32" spans="1:21" x14ac:dyDescent="0.25">
      <c r="B32" t="s">
        <v>45</v>
      </c>
      <c r="E32" s="22">
        <v>1983055</v>
      </c>
      <c r="F32" s="22">
        <v>62029</v>
      </c>
      <c r="G32" s="23">
        <f t="shared" si="6"/>
        <v>2045084</v>
      </c>
      <c r="H32" s="40"/>
      <c r="I32" s="23">
        <f t="shared" si="7"/>
        <v>2045084</v>
      </c>
      <c r="K32" s="22">
        <v>1500</v>
      </c>
      <c r="L32" s="22">
        <v>59027</v>
      </c>
      <c r="M32" s="23">
        <f t="shared" si="8"/>
        <v>60527</v>
      </c>
      <c r="N32" s="40"/>
      <c r="O32" s="23">
        <f t="shared" si="9"/>
        <v>60527</v>
      </c>
      <c r="Q32" s="22">
        <v>105894</v>
      </c>
      <c r="R32" s="22">
        <v>35121</v>
      </c>
      <c r="S32" s="23">
        <f t="shared" si="10"/>
        <v>141015</v>
      </c>
      <c r="U32" s="23">
        <f t="shared" si="11"/>
        <v>141015</v>
      </c>
    </row>
    <row r="33" spans="1:21" x14ac:dyDescent="0.25">
      <c r="A33" s="17" t="s">
        <v>46</v>
      </c>
      <c r="E33" s="32">
        <f>SUM(E23:E32)</f>
        <v>103205204</v>
      </c>
      <c r="F33" s="32">
        <f>SUM(F23:F32)</f>
        <v>35522715</v>
      </c>
      <c r="G33" s="32">
        <f>SUM(G23:G32)</f>
        <v>138727919</v>
      </c>
      <c r="H33" s="32">
        <f>SUM(H23:H32)</f>
        <v>0</v>
      </c>
      <c r="I33" s="32">
        <f>SUM(I23:I32)</f>
        <v>138727919</v>
      </c>
      <c r="K33" s="32">
        <f>SUM(K23:K32)</f>
        <v>104585880</v>
      </c>
      <c r="L33" s="32">
        <f>SUM(L23:L32)</f>
        <v>18029883</v>
      </c>
      <c r="M33" s="32">
        <f>SUM(M23:M32)</f>
        <v>122615763</v>
      </c>
      <c r="N33" s="32">
        <f>SUM(N23:N32)</f>
        <v>-10052733.753400002</v>
      </c>
      <c r="O33" s="32">
        <f>SUM(O23:O32)</f>
        <v>112563029.2466</v>
      </c>
      <c r="Q33" s="32">
        <f>SUM(Q23:Q32)</f>
        <v>128115707</v>
      </c>
      <c r="R33" s="32">
        <f>SUM(R23:R32)</f>
        <v>17635586</v>
      </c>
      <c r="S33" s="32">
        <f>SUM(S23:S32)</f>
        <v>145751293</v>
      </c>
      <c r="T33" s="32">
        <f>SUM(T23:T32)</f>
        <v>-14458377.588252001</v>
      </c>
      <c r="U33" s="32">
        <f>SUM(U23:U32)</f>
        <v>131292915.41174799</v>
      </c>
    </row>
    <row r="34" spans="1:21" x14ac:dyDescent="0.25">
      <c r="A34" s="17" t="s">
        <v>47</v>
      </c>
      <c r="E34" s="32">
        <f>E33+E18</f>
        <v>225559502</v>
      </c>
      <c r="F34" s="32">
        <f>F33+F18</f>
        <v>82097568</v>
      </c>
      <c r="G34" s="32">
        <f>G33+G18</f>
        <v>307657070</v>
      </c>
      <c r="H34" s="32">
        <f>H33+H18</f>
        <v>0</v>
      </c>
      <c r="I34" s="32">
        <f>I33+I18</f>
        <v>307657070</v>
      </c>
      <c r="K34" s="32">
        <f>K33+K18</f>
        <v>210970049</v>
      </c>
      <c r="L34" s="32">
        <f>L33+L18</f>
        <v>45567378</v>
      </c>
      <c r="M34" s="32">
        <f>M33+M18</f>
        <v>256537427</v>
      </c>
      <c r="N34" s="32">
        <f>N33+N18</f>
        <v>-44358267.753399998</v>
      </c>
      <c r="O34" s="32">
        <f>O33+O18</f>
        <v>212179159.2466</v>
      </c>
      <c r="Q34" s="32">
        <f>Q33+Q18</f>
        <v>197414677</v>
      </c>
      <c r="R34" s="32">
        <f>R18+R33</f>
        <v>26165735</v>
      </c>
      <c r="S34" s="32">
        <f>Q34+R34</f>
        <v>223580412</v>
      </c>
      <c r="T34" s="32">
        <f>T18+T33</f>
        <v>-24764395.588252001</v>
      </c>
      <c r="U34" s="32">
        <f>+U33+U18</f>
        <v>198816016.41174799</v>
      </c>
    </row>
    <row r="35" spans="1:21" x14ac:dyDescent="0.25">
      <c r="E35" s="30"/>
      <c r="F35" s="30"/>
      <c r="G35" s="30"/>
      <c r="H35" s="30"/>
      <c r="I35" s="30"/>
      <c r="K35" s="30"/>
      <c r="L35" s="30"/>
      <c r="M35" s="30"/>
      <c r="N35" s="30"/>
      <c r="O35" s="30"/>
      <c r="Q35" s="19"/>
      <c r="R35" s="20"/>
      <c r="S35" s="19"/>
      <c r="T35" s="20"/>
      <c r="U35" s="19"/>
    </row>
    <row r="36" spans="1:21" x14ac:dyDescent="0.25">
      <c r="C36" s="41" t="s">
        <v>48</v>
      </c>
      <c r="D36" s="41"/>
      <c r="E36" s="42"/>
      <c r="F36" s="42"/>
      <c r="G36" s="42"/>
      <c r="H36" s="42"/>
      <c r="I36" s="42"/>
      <c r="J36" s="41"/>
      <c r="K36" s="42"/>
      <c r="L36" s="42"/>
      <c r="M36" s="42"/>
      <c r="N36" s="42"/>
      <c r="O36" s="42"/>
      <c r="P36" s="41"/>
      <c r="Q36" s="23"/>
      <c r="S36" s="23"/>
      <c r="U36" s="23"/>
    </row>
    <row r="37" spans="1:21" x14ac:dyDescent="0.25">
      <c r="A37" s="17" t="s">
        <v>49</v>
      </c>
      <c r="E37" s="31"/>
      <c r="F37" s="31"/>
      <c r="G37" s="31"/>
      <c r="H37" s="31"/>
      <c r="I37" s="31"/>
      <c r="K37" s="31"/>
      <c r="L37" s="31"/>
      <c r="M37" s="31"/>
      <c r="N37" s="31"/>
      <c r="O37" s="31"/>
      <c r="Q37" s="23"/>
      <c r="S37" s="23"/>
      <c r="U37" s="23"/>
    </row>
    <row r="38" spans="1:21" x14ac:dyDescent="0.25">
      <c r="A38" s="17"/>
      <c r="B38" t="s">
        <v>50</v>
      </c>
      <c r="E38" s="22">
        <v>9837490</v>
      </c>
      <c r="F38" s="22">
        <v>1479636</v>
      </c>
      <c r="G38" s="23">
        <f>+E38+F38</f>
        <v>11317126</v>
      </c>
      <c r="H38" s="31"/>
      <c r="I38" s="23">
        <f>+G38+H38</f>
        <v>11317126</v>
      </c>
      <c r="K38" s="22">
        <v>50776</v>
      </c>
      <c r="L38" s="43"/>
      <c r="M38" s="23">
        <f>+K38+L38</f>
        <v>50776</v>
      </c>
      <c r="N38" s="31"/>
      <c r="O38" s="23">
        <f t="shared" ref="O38:O50" si="12">+M38+N38</f>
        <v>50776</v>
      </c>
      <c r="Q38" s="22"/>
      <c r="S38" s="23"/>
      <c r="U38" s="23"/>
    </row>
    <row r="39" spans="1:21" x14ac:dyDescent="0.25">
      <c r="B39" t="s">
        <v>51</v>
      </c>
      <c r="E39" s="22">
        <v>38663</v>
      </c>
      <c r="F39" s="22"/>
      <c r="G39" s="23">
        <f>+E39+F39</f>
        <v>38663</v>
      </c>
      <c r="H39" s="31"/>
      <c r="I39" s="23">
        <f>+G39+H39</f>
        <v>38663</v>
      </c>
      <c r="K39" s="22">
        <v>3385113</v>
      </c>
      <c r="L39" s="22">
        <v>1723259</v>
      </c>
      <c r="M39" s="23">
        <f>+K39+L39</f>
        <v>5108372</v>
      </c>
      <c r="N39" s="31"/>
      <c r="O39" s="23">
        <f t="shared" si="12"/>
        <v>5108372</v>
      </c>
      <c r="Q39" s="22">
        <v>25133387</v>
      </c>
      <c r="R39" s="22">
        <v>2011281</v>
      </c>
      <c r="S39" s="23">
        <f>+Q39+R39</f>
        <v>27144668</v>
      </c>
      <c r="U39" s="23">
        <f>+S39+T39</f>
        <v>27144668</v>
      </c>
    </row>
    <row r="40" spans="1:21" x14ac:dyDescent="0.25">
      <c r="B40" t="s">
        <v>52</v>
      </c>
      <c r="E40" s="22">
        <v>4390970</v>
      </c>
      <c r="F40" s="22"/>
      <c r="G40" s="23">
        <f>+E40+F40</f>
        <v>4390970</v>
      </c>
      <c r="H40" s="31"/>
      <c r="I40" s="23">
        <f>+G40+H40</f>
        <v>4390970</v>
      </c>
      <c r="K40" s="22">
        <v>2484731</v>
      </c>
      <c r="L40" s="22"/>
      <c r="M40" s="23">
        <f>+K40+L40</f>
        <v>2484731</v>
      </c>
      <c r="N40" s="31"/>
      <c r="O40" s="23">
        <f t="shared" si="12"/>
        <v>2484731</v>
      </c>
      <c r="Q40" s="22">
        <v>0</v>
      </c>
      <c r="R40" s="22">
        <v>0</v>
      </c>
      <c r="S40" s="23">
        <f>+Q40+R40</f>
        <v>0</v>
      </c>
      <c r="U40" s="23">
        <f>+S40+T40</f>
        <v>0</v>
      </c>
    </row>
    <row r="41" spans="1:21" x14ac:dyDescent="0.25">
      <c r="B41" t="s">
        <v>53</v>
      </c>
      <c r="E41" s="31"/>
      <c r="F41" s="22"/>
      <c r="G41" s="31"/>
      <c r="H41" s="31"/>
      <c r="I41" s="23"/>
      <c r="K41" s="31"/>
      <c r="L41" s="22"/>
      <c r="M41" s="31"/>
      <c r="N41" s="31"/>
      <c r="O41" s="23">
        <f t="shared" si="12"/>
        <v>0</v>
      </c>
      <c r="Q41" s="31"/>
      <c r="R41" s="22"/>
      <c r="S41" s="23"/>
      <c r="U41" s="23"/>
    </row>
    <row r="42" spans="1:21" x14ac:dyDescent="0.25">
      <c r="B42" t="s">
        <v>54</v>
      </c>
      <c r="E42" s="22">
        <v>26267063</v>
      </c>
      <c r="F42" s="22">
        <v>3497207</v>
      </c>
      <c r="G42" s="23">
        <f>+E42+F42</f>
        <v>29764270</v>
      </c>
      <c r="H42" s="31"/>
      <c r="I42" s="23">
        <f t="shared" ref="I42:I50" si="13">+G42+H42</f>
        <v>29764270</v>
      </c>
      <c r="K42" s="22">
        <v>20932053</v>
      </c>
      <c r="L42" s="22">
        <v>2140093</v>
      </c>
      <c r="M42" s="23">
        <f>+K42+L42</f>
        <v>23072146</v>
      </c>
      <c r="N42" s="31"/>
      <c r="O42" s="23">
        <f t="shared" si="12"/>
        <v>23072146</v>
      </c>
      <c r="Q42" s="22">
        <f>19562775-1869732</f>
        <v>17693043</v>
      </c>
      <c r="R42" s="22">
        <v>599812</v>
      </c>
      <c r="S42" s="23">
        <f t="shared" ref="S42:S48" si="14">+Q42+R42</f>
        <v>18292855</v>
      </c>
      <c r="U42" s="23">
        <f t="shared" ref="U42:U48" si="15">+S42+T42</f>
        <v>18292855</v>
      </c>
    </row>
    <row r="43" spans="1:21" x14ac:dyDescent="0.25">
      <c r="B43" t="s">
        <v>28</v>
      </c>
      <c r="E43" s="22">
        <v>673963</v>
      </c>
      <c r="F43" s="22">
        <v>30134511</v>
      </c>
      <c r="G43" s="23">
        <f>+E43+F43</f>
        <v>30808474</v>
      </c>
      <c r="H43" s="23"/>
      <c r="I43" s="23">
        <f t="shared" si="13"/>
        <v>30808474</v>
      </c>
      <c r="K43" s="22">
        <v>5069876</v>
      </c>
      <c r="L43" s="22">
        <v>12478474</v>
      </c>
      <c r="M43" s="23">
        <f>+K43+L43</f>
        <v>17548350</v>
      </c>
      <c r="N43" s="23">
        <f>-AD!I13-AD!I14</f>
        <v>-12628876</v>
      </c>
      <c r="O43" s="23">
        <f t="shared" si="12"/>
        <v>4919474</v>
      </c>
      <c r="Q43" s="22">
        <f>10819633-10628880+1869732</f>
        <v>2060485</v>
      </c>
      <c r="R43" s="22">
        <v>5099200</v>
      </c>
      <c r="S43" s="23">
        <f t="shared" si="14"/>
        <v>7159685</v>
      </c>
      <c r="T43" s="15">
        <f>-AD!M13</f>
        <v>-5099200</v>
      </c>
      <c r="U43" s="23">
        <f t="shared" si="15"/>
        <v>2060485</v>
      </c>
    </row>
    <row r="44" spans="1:21" hidden="1" x14ac:dyDescent="0.25">
      <c r="B44" t="s">
        <v>55</v>
      </c>
      <c r="E44" s="22"/>
      <c r="F44" s="44"/>
      <c r="G44" s="31"/>
      <c r="H44" s="31"/>
      <c r="I44" s="23">
        <f t="shared" si="13"/>
        <v>0</v>
      </c>
      <c r="K44" s="22"/>
      <c r="L44" s="44"/>
      <c r="M44" s="31"/>
      <c r="N44" s="31"/>
      <c r="O44" s="23">
        <f t="shared" si="12"/>
        <v>0</v>
      </c>
      <c r="Q44" s="22"/>
      <c r="R44" s="44"/>
      <c r="S44" s="23">
        <f t="shared" si="14"/>
        <v>0</v>
      </c>
      <c r="U44" s="23">
        <f t="shared" si="15"/>
        <v>0</v>
      </c>
    </row>
    <row r="45" spans="1:21" x14ac:dyDescent="0.25">
      <c r="B45" t="s">
        <v>56</v>
      </c>
      <c r="E45" s="22">
        <v>162450</v>
      </c>
      <c r="F45" s="22">
        <v>2425345</v>
      </c>
      <c r="G45" s="23">
        <f t="shared" ref="G45:G50" si="16">+E45+F45</f>
        <v>2587795</v>
      </c>
      <c r="H45" s="31"/>
      <c r="I45" s="23">
        <f t="shared" si="13"/>
        <v>2587795</v>
      </c>
      <c r="K45" s="22">
        <v>7588859</v>
      </c>
      <c r="L45" s="22">
        <v>1332387</v>
      </c>
      <c r="M45" s="23">
        <f t="shared" ref="M45:M50" si="17">+K45+L45</f>
        <v>8921246</v>
      </c>
      <c r="N45" s="31"/>
      <c r="O45" s="23">
        <f t="shared" si="12"/>
        <v>8921246</v>
      </c>
      <c r="Q45" s="22">
        <f>4228478</f>
        <v>4228478</v>
      </c>
      <c r="R45" s="22">
        <v>355666</v>
      </c>
      <c r="S45" s="23">
        <f t="shared" si="14"/>
        <v>4584144</v>
      </c>
      <c r="U45" s="23">
        <f t="shared" si="15"/>
        <v>4584144</v>
      </c>
    </row>
    <row r="46" spans="1:21" x14ac:dyDescent="0.25">
      <c r="B46" t="s">
        <v>57</v>
      </c>
      <c r="E46" s="22">
        <v>10003495</v>
      </c>
      <c r="F46" s="22">
        <v>978621</v>
      </c>
      <c r="G46" s="23">
        <f t="shared" si="16"/>
        <v>10982116</v>
      </c>
      <c r="H46" s="31"/>
      <c r="I46" s="23">
        <f t="shared" si="13"/>
        <v>10982116</v>
      </c>
      <c r="K46" s="22">
        <v>3860134</v>
      </c>
      <c r="L46" s="22">
        <v>13957</v>
      </c>
      <c r="M46" s="23">
        <f t="shared" si="17"/>
        <v>3874091</v>
      </c>
      <c r="N46" s="31"/>
      <c r="O46" s="23">
        <f t="shared" si="12"/>
        <v>3874091</v>
      </c>
      <c r="Q46" s="22">
        <v>3286332</v>
      </c>
      <c r="R46" s="22">
        <v>18473</v>
      </c>
      <c r="S46" s="23">
        <f t="shared" si="14"/>
        <v>3304805</v>
      </c>
      <c r="U46" s="23">
        <f t="shared" si="15"/>
        <v>3304805</v>
      </c>
    </row>
    <row r="47" spans="1:21" x14ac:dyDescent="0.25">
      <c r="B47" t="s">
        <v>58</v>
      </c>
      <c r="E47" s="22">
        <v>1143928</v>
      </c>
      <c r="F47" s="22">
        <v>676743</v>
      </c>
      <c r="G47" s="23">
        <f t="shared" si="16"/>
        <v>1820671</v>
      </c>
      <c r="H47" s="23"/>
      <c r="I47" s="23">
        <f t="shared" si="13"/>
        <v>1820671</v>
      </c>
      <c r="K47" s="22">
        <v>7675934</v>
      </c>
      <c r="L47" s="22">
        <v>431243</v>
      </c>
      <c r="M47" s="23">
        <f t="shared" si="17"/>
        <v>8107177</v>
      </c>
      <c r="N47" s="23">
        <f>-AD!I29-AD!I15</f>
        <v>-6673333</v>
      </c>
      <c r="O47" s="23">
        <f t="shared" si="12"/>
        <v>1433844</v>
      </c>
      <c r="Q47" s="22">
        <v>1953502</v>
      </c>
      <c r="R47" s="22">
        <v>278886</v>
      </c>
      <c r="S47" s="23">
        <f t="shared" si="14"/>
        <v>2232388</v>
      </c>
      <c r="T47" s="15">
        <f>-AD!M29</f>
        <v>-656393</v>
      </c>
      <c r="U47" s="23">
        <f t="shared" si="15"/>
        <v>1575995</v>
      </c>
    </row>
    <row r="48" spans="1:21" x14ac:dyDescent="0.25">
      <c r="B48" t="s">
        <v>59</v>
      </c>
      <c r="E48" s="22">
        <v>6204090</v>
      </c>
      <c r="F48" s="22">
        <v>4213472</v>
      </c>
      <c r="G48" s="23">
        <f t="shared" si="16"/>
        <v>10417562</v>
      </c>
      <c r="H48" s="31"/>
      <c r="I48" s="23">
        <f t="shared" si="13"/>
        <v>10417562</v>
      </c>
      <c r="K48" s="22">
        <v>7584113</v>
      </c>
      <c r="L48" s="22">
        <v>2169404</v>
      </c>
      <c r="M48" s="23">
        <f t="shared" si="17"/>
        <v>9753517</v>
      </c>
      <c r="N48" s="31"/>
      <c r="O48" s="23">
        <f t="shared" si="12"/>
        <v>9753517</v>
      </c>
      <c r="Q48" s="22">
        <v>4524107</v>
      </c>
      <c r="R48" s="22">
        <v>982596</v>
      </c>
      <c r="S48" s="23">
        <f t="shared" si="14"/>
        <v>5506703</v>
      </c>
      <c r="U48" s="23">
        <f t="shared" si="15"/>
        <v>5506703</v>
      </c>
    </row>
    <row r="49" spans="1:21" x14ac:dyDescent="0.25">
      <c r="B49" t="s">
        <v>60</v>
      </c>
      <c r="E49" s="22"/>
      <c r="F49" s="22"/>
      <c r="G49" s="23">
        <f t="shared" si="16"/>
        <v>0</v>
      </c>
      <c r="H49" s="23"/>
      <c r="I49" s="23">
        <f t="shared" si="13"/>
        <v>0</v>
      </c>
      <c r="K49" s="22">
        <v>1519701</v>
      </c>
      <c r="L49" s="22">
        <v>699516</v>
      </c>
      <c r="M49" s="23">
        <f t="shared" si="17"/>
        <v>2219217</v>
      </c>
      <c r="N49" s="23"/>
      <c r="O49" s="23">
        <f t="shared" si="12"/>
        <v>2219217</v>
      </c>
      <c r="Q49" s="22"/>
      <c r="R49" s="22"/>
      <c r="S49" s="23"/>
      <c r="U49" s="23"/>
    </row>
    <row r="50" spans="1:21" x14ac:dyDescent="0.25">
      <c r="B50" t="s">
        <v>61</v>
      </c>
      <c r="E50" s="22"/>
      <c r="F50" s="22"/>
      <c r="G50" s="23">
        <f t="shared" si="16"/>
        <v>0</v>
      </c>
      <c r="H50" s="37"/>
      <c r="I50" s="23">
        <f t="shared" si="13"/>
        <v>0</v>
      </c>
      <c r="K50" s="22">
        <v>0</v>
      </c>
      <c r="L50" s="22"/>
      <c r="M50" s="23">
        <f t="shared" si="17"/>
        <v>0</v>
      </c>
      <c r="N50" s="37">
        <f>-AD!K32</f>
        <v>0</v>
      </c>
      <c r="O50" s="23">
        <f t="shared" si="12"/>
        <v>0</v>
      </c>
      <c r="Q50" s="22">
        <v>4183053</v>
      </c>
      <c r="R50" s="22">
        <v>249138</v>
      </c>
      <c r="S50" s="23">
        <f>+Q50+R50</f>
        <v>4432191</v>
      </c>
      <c r="T50" s="15">
        <f>-AD!M32</f>
        <v>-2148000</v>
      </c>
      <c r="U50" s="23">
        <f>+S50+T50</f>
        <v>2284191</v>
      </c>
    </row>
    <row r="51" spans="1:21" x14ac:dyDescent="0.25">
      <c r="A51" s="17" t="s">
        <v>62</v>
      </c>
      <c r="E51" s="32">
        <f>SUM(E38:E50)</f>
        <v>58722112</v>
      </c>
      <c r="F51" s="32">
        <f>SUM(F38:F50)</f>
        <v>43405535</v>
      </c>
      <c r="G51" s="32">
        <f>SUM(G38:G50)</f>
        <v>102127647</v>
      </c>
      <c r="H51" s="32">
        <f>SUM(H38:H50)</f>
        <v>0</v>
      </c>
      <c r="I51" s="32">
        <f>SUM(I38:I50)</f>
        <v>102127647</v>
      </c>
      <c r="K51" s="32">
        <f>SUM(K38:K50)</f>
        <v>60151290</v>
      </c>
      <c r="L51" s="32">
        <f>SUM(L38:L50)</f>
        <v>20988333</v>
      </c>
      <c r="M51" s="32">
        <f>SUM(M38:M50)</f>
        <v>81139623</v>
      </c>
      <c r="N51" s="32">
        <f>SUM(N38:N50)</f>
        <v>-19302209</v>
      </c>
      <c r="O51" s="32">
        <f>SUM(O38:O50)</f>
        <v>61837414</v>
      </c>
      <c r="Q51" s="32">
        <f>SUM(Q39:Q50)</f>
        <v>63062387</v>
      </c>
      <c r="R51" s="32">
        <f>SUM(R39:R50)</f>
        <v>9595052</v>
      </c>
      <c r="S51" s="32">
        <f>+Q51+R51</f>
        <v>72657439</v>
      </c>
      <c r="T51" s="32">
        <f>SUM(T39:T50)</f>
        <v>-7903593</v>
      </c>
      <c r="U51" s="32">
        <f>SUM(U39:U50)</f>
        <v>64753846</v>
      </c>
    </row>
    <row r="52" spans="1:21" x14ac:dyDescent="0.25">
      <c r="E52" s="30"/>
      <c r="F52" s="33"/>
      <c r="G52" s="30"/>
      <c r="H52" s="30"/>
      <c r="I52" s="30"/>
      <c r="K52" s="30"/>
      <c r="L52" s="30"/>
      <c r="M52" s="30"/>
      <c r="N52" s="30"/>
      <c r="O52" s="30"/>
      <c r="Q52" s="23"/>
      <c r="S52" s="23"/>
      <c r="U52" s="23"/>
    </row>
    <row r="53" spans="1:21" x14ac:dyDescent="0.25">
      <c r="A53" s="17" t="s">
        <v>63</v>
      </c>
      <c r="E53" s="31"/>
      <c r="F53" s="31"/>
      <c r="G53" s="31"/>
      <c r="H53" s="31"/>
      <c r="I53" s="31"/>
      <c r="K53" s="31"/>
      <c r="L53" s="31"/>
      <c r="M53" s="31"/>
      <c r="N53" s="31"/>
      <c r="O53" s="31"/>
      <c r="Q53" s="23"/>
      <c r="S53" s="23"/>
      <c r="U53" s="23"/>
    </row>
    <row r="54" spans="1:21" x14ac:dyDescent="0.25">
      <c r="B54" t="s">
        <v>64</v>
      </c>
      <c r="E54" s="22">
        <v>8303510</v>
      </c>
      <c r="F54" s="22"/>
      <c r="G54" s="23">
        <f>+E54+F54</f>
        <v>8303510</v>
      </c>
      <c r="H54" s="31"/>
      <c r="I54" s="23">
        <f>+G54+H54</f>
        <v>8303510</v>
      </c>
      <c r="K54" s="22">
        <v>1654005</v>
      </c>
      <c r="L54" s="22">
        <v>909285</v>
      </c>
      <c r="M54" s="23">
        <f>+K54+L54</f>
        <v>2563290</v>
      </c>
      <c r="N54" s="31"/>
      <c r="O54" s="23">
        <f t="shared" ref="O54:O63" si="18">+M54+N54</f>
        <v>2563290</v>
      </c>
      <c r="Q54" s="22">
        <v>16385448</v>
      </c>
      <c r="R54" s="22">
        <v>1354464</v>
      </c>
      <c r="S54" s="23">
        <f>+Q54+R54</f>
        <v>17739912</v>
      </c>
      <c r="U54" s="23">
        <f>+S54+T54</f>
        <v>17739912</v>
      </c>
    </row>
    <row r="55" spans="1:21" x14ac:dyDescent="0.25">
      <c r="B55" t="s">
        <v>65</v>
      </c>
      <c r="E55" s="22">
        <v>0</v>
      </c>
      <c r="F55" s="22"/>
      <c r="G55" s="23">
        <f>+E55+F55</f>
        <v>0</v>
      </c>
      <c r="H55" s="31"/>
      <c r="I55" s="23">
        <f>+G55+H55</f>
        <v>0</v>
      </c>
      <c r="K55" s="22">
        <v>0</v>
      </c>
      <c r="L55" s="22"/>
      <c r="M55" s="23">
        <f>+K55+L55</f>
        <v>0</v>
      </c>
      <c r="N55" s="31"/>
      <c r="O55" s="23">
        <f t="shared" si="18"/>
        <v>0</v>
      </c>
      <c r="Q55" s="22"/>
      <c r="R55" s="22"/>
      <c r="S55" s="23"/>
      <c r="U55" s="23"/>
    </row>
    <row r="56" spans="1:21" x14ac:dyDescent="0.25">
      <c r="B56" t="s">
        <v>53</v>
      </c>
      <c r="E56" s="22"/>
      <c r="F56" s="31"/>
      <c r="G56" s="23"/>
      <c r="H56" s="31"/>
      <c r="I56" s="31"/>
      <c r="K56" s="22"/>
      <c r="L56" s="31"/>
      <c r="M56" s="23"/>
      <c r="N56" s="31"/>
      <c r="O56" s="23">
        <f t="shared" si="18"/>
        <v>0</v>
      </c>
      <c r="Q56" s="22"/>
      <c r="R56" s="31"/>
      <c r="S56" s="23"/>
      <c r="U56" s="23"/>
    </row>
    <row r="57" spans="1:21" x14ac:dyDescent="0.25">
      <c r="B57" s="21" t="s">
        <v>54</v>
      </c>
      <c r="C57" s="21"/>
      <c r="D57" s="21"/>
      <c r="E57" s="22">
        <v>2535062</v>
      </c>
      <c r="F57" s="22"/>
      <c r="G57" s="23">
        <f t="shared" ref="G57:G63" si="19">+E57+F57</f>
        <v>2535062</v>
      </c>
      <c r="H57" s="31"/>
      <c r="I57" s="23">
        <f t="shared" ref="I57:I63" si="20">+G57+H57</f>
        <v>2535062</v>
      </c>
      <c r="K57" s="22">
        <v>0</v>
      </c>
      <c r="L57" s="22"/>
      <c r="M57" s="23">
        <f t="shared" ref="M57:M63" si="21">+K57+L57</f>
        <v>0</v>
      </c>
      <c r="N57" s="31"/>
      <c r="O57" s="23">
        <f t="shared" si="18"/>
        <v>0</v>
      </c>
      <c r="Q57" s="22">
        <v>2203673</v>
      </c>
      <c r="R57" s="31"/>
      <c r="S57" s="23">
        <f>+Q57+R57</f>
        <v>2203673</v>
      </c>
      <c r="U57" s="23">
        <f>+S57+T57</f>
        <v>2203673</v>
      </c>
    </row>
    <row r="58" spans="1:21" x14ac:dyDescent="0.25">
      <c r="B58" t="s">
        <v>66</v>
      </c>
      <c r="E58" s="22">
        <v>26543205</v>
      </c>
      <c r="F58" s="22"/>
      <c r="G58" s="23">
        <f t="shared" si="19"/>
        <v>26543205</v>
      </c>
      <c r="H58" s="31"/>
      <c r="I58" s="23">
        <f t="shared" si="20"/>
        <v>26543205</v>
      </c>
      <c r="K58" s="22">
        <v>0</v>
      </c>
      <c r="L58" s="22"/>
      <c r="M58" s="23">
        <f t="shared" si="21"/>
        <v>0</v>
      </c>
      <c r="N58" s="31"/>
      <c r="O58" s="23">
        <f t="shared" si="18"/>
        <v>0</v>
      </c>
      <c r="Q58" s="22">
        <f>10628880+2936828</f>
        <v>13565708</v>
      </c>
      <c r="R58" s="31"/>
      <c r="S58" s="23">
        <f>+Q58+R58</f>
        <v>13565708</v>
      </c>
      <c r="T58" s="15">
        <f>-AD!O30</f>
        <v>0</v>
      </c>
      <c r="U58" s="23">
        <f>+S58+T58</f>
        <v>13565708</v>
      </c>
    </row>
    <row r="59" spans="1:21" x14ac:dyDescent="0.25">
      <c r="B59" t="s">
        <v>57</v>
      </c>
      <c r="E59" s="22">
        <v>3666071</v>
      </c>
      <c r="F59" s="22">
        <v>1145395</v>
      </c>
      <c r="G59" s="23">
        <f t="shared" si="19"/>
        <v>4811466</v>
      </c>
      <c r="I59" s="23">
        <f t="shared" si="20"/>
        <v>4811466</v>
      </c>
      <c r="K59" s="22">
        <v>13415188</v>
      </c>
      <c r="L59" s="22">
        <v>230650</v>
      </c>
      <c r="M59" s="23">
        <f t="shared" si="21"/>
        <v>13645838</v>
      </c>
      <c r="N59" s="23"/>
      <c r="O59" s="23">
        <f t="shared" si="18"/>
        <v>13645838</v>
      </c>
      <c r="Q59" s="22">
        <f>7566828-2936828+20813206</f>
        <v>25443206</v>
      </c>
      <c r="R59" s="31"/>
      <c r="S59" s="23">
        <f>+Q59+R59</f>
        <v>25443206</v>
      </c>
      <c r="T59" s="15">
        <f>-AD!M31</f>
        <v>-2251425</v>
      </c>
      <c r="U59" s="23">
        <f>+S59+T59</f>
        <v>23191781</v>
      </c>
    </row>
    <row r="60" spans="1:21" x14ac:dyDescent="0.25">
      <c r="B60" t="s">
        <v>58</v>
      </c>
      <c r="E60" s="22">
        <v>2542451</v>
      </c>
      <c r="F60" s="22"/>
      <c r="G60" s="23">
        <f t="shared" si="19"/>
        <v>2542451</v>
      </c>
      <c r="H60" s="23"/>
      <c r="I60" s="23">
        <f t="shared" si="20"/>
        <v>2542451</v>
      </c>
      <c r="K60" s="22">
        <v>33856246</v>
      </c>
      <c r="L60" s="22"/>
      <c r="M60" s="23">
        <f t="shared" si="21"/>
        <v>33856246</v>
      </c>
      <c r="N60" s="23">
        <f>-AD!I30</f>
        <v>-15292925</v>
      </c>
      <c r="O60" s="23">
        <f t="shared" si="18"/>
        <v>18563321</v>
      </c>
      <c r="Q60" s="22"/>
      <c r="R60" s="43"/>
      <c r="S60" s="23"/>
      <c r="U60" s="23"/>
    </row>
    <row r="61" spans="1:21" x14ac:dyDescent="0.25">
      <c r="B61" t="s">
        <v>67</v>
      </c>
      <c r="E61" s="22">
        <v>7193981</v>
      </c>
      <c r="F61" s="22">
        <v>2041698</v>
      </c>
      <c r="G61" s="23">
        <f t="shared" si="19"/>
        <v>9235679</v>
      </c>
      <c r="H61" s="31"/>
      <c r="I61" s="23">
        <f t="shared" si="20"/>
        <v>9235679</v>
      </c>
      <c r="K61" s="22">
        <v>8243480</v>
      </c>
      <c r="L61" s="22">
        <v>1518011</v>
      </c>
      <c r="M61" s="23">
        <f t="shared" si="21"/>
        <v>9761491</v>
      </c>
      <c r="N61" s="31"/>
      <c r="O61" s="23">
        <f t="shared" si="18"/>
        <v>9761491</v>
      </c>
      <c r="Q61" s="22">
        <f>5140510</f>
        <v>5140510</v>
      </c>
      <c r="R61" s="22">
        <v>964717</v>
      </c>
      <c r="S61" s="23">
        <f>+Q61+R61</f>
        <v>6105227</v>
      </c>
      <c r="U61" s="23">
        <f>+S61+T61</f>
        <v>6105227</v>
      </c>
    </row>
    <row r="62" spans="1:21" x14ac:dyDescent="0.25">
      <c r="B62" t="s">
        <v>61</v>
      </c>
      <c r="E62" s="22">
        <v>16083778</v>
      </c>
      <c r="F62" s="22"/>
      <c r="G62" s="23">
        <f t="shared" si="19"/>
        <v>16083778</v>
      </c>
      <c r="H62" s="23"/>
      <c r="I62" s="23">
        <f t="shared" si="20"/>
        <v>16083778</v>
      </c>
      <c r="K62" s="22">
        <v>2580000</v>
      </c>
      <c r="L62" s="22"/>
      <c r="M62" s="23">
        <f t="shared" si="21"/>
        <v>2580000</v>
      </c>
      <c r="N62" s="23"/>
      <c r="O62" s="23">
        <f t="shared" si="18"/>
        <v>2580000</v>
      </c>
      <c r="Q62" s="22">
        <v>0</v>
      </c>
      <c r="R62" s="31"/>
      <c r="S62" s="23">
        <f>+Q62+R62</f>
        <v>0</v>
      </c>
      <c r="U62" s="23">
        <f>+S62+T62</f>
        <v>0</v>
      </c>
    </row>
    <row r="63" spans="1:21" x14ac:dyDescent="0.25">
      <c r="B63" t="s">
        <v>60</v>
      </c>
      <c r="E63" s="22"/>
      <c r="F63" s="23"/>
      <c r="G63" s="23">
        <f t="shared" si="19"/>
        <v>0</v>
      </c>
      <c r="H63" s="31"/>
      <c r="I63" s="23">
        <f t="shared" si="20"/>
        <v>0</v>
      </c>
      <c r="K63" s="22">
        <v>2804159</v>
      </c>
      <c r="L63" s="31">
        <v>920040</v>
      </c>
      <c r="M63" s="23">
        <f t="shared" si="21"/>
        <v>3724199</v>
      </c>
      <c r="N63" s="31"/>
      <c r="O63" s="23">
        <f t="shared" si="18"/>
        <v>3724199</v>
      </c>
      <c r="Q63" s="22">
        <v>772443</v>
      </c>
      <c r="R63" s="31"/>
      <c r="S63" s="37">
        <f>+Q63+R63</f>
        <v>772443</v>
      </c>
      <c r="U63" s="37">
        <f>+S63+T63</f>
        <v>772443</v>
      </c>
    </row>
    <row r="64" spans="1:21" x14ac:dyDescent="0.25">
      <c r="A64" s="17" t="s">
        <v>68</v>
      </c>
      <c r="E64" s="32">
        <f>SUM(E54:E63)</f>
        <v>66868058</v>
      </c>
      <c r="F64" s="32">
        <f>SUM(F54:F63)</f>
        <v>3187093</v>
      </c>
      <c r="G64" s="32">
        <f>SUM(G54:G63)</f>
        <v>70055151</v>
      </c>
      <c r="H64" s="32">
        <f>SUM(H54:H63)</f>
        <v>0</v>
      </c>
      <c r="I64" s="32">
        <f>SUM(I54:I63)</f>
        <v>70055151</v>
      </c>
      <c r="K64" s="32">
        <f>SUM(K54:K63)</f>
        <v>62553078</v>
      </c>
      <c r="L64" s="32">
        <f>SUM(L54:L63)</f>
        <v>3577986</v>
      </c>
      <c r="M64" s="32">
        <f>SUM(M54:M63)</f>
        <v>66131064</v>
      </c>
      <c r="N64" s="32">
        <f>SUM(N54:N63)</f>
        <v>-15292925</v>
      </c>
      <c r="O64" s="32">
        <f>SUM(O54:O63)</f>
        <v>50838139</v>
      </c>
      <c r="Q64" s="32">
        <f>SUM(Q54:Q63)</f>
        <v>63510988</v>
      </c>
      <c r="R64" s="32">
        <f>SUM(R54:R63)</f>
        <v>2319181</v>
      </c>
      <c r="S64" s="32">
        <f>+Q64+R64</f>
        <v>65830169</v>
      </c>
      <c r="T64" s="32">
        <f>SUM(T54:T63)</f>
        <v>-2251425</v>
      </c>
      <c r="U64" s="32">
        <f>SUM(U54:U63)</f>
        <v>63578744</v>
      </c>
    </row>
    <row r="65" spans="1:21" x14ac:dyDescent="0.25">
      <c r="A65" s="17" t="s">
        <v>69</v>
      </c>
      <c r="E65" s="32">
        <f>E51+E64</f>
        <v>125590170</v>
      </c>
      <c r="F65" s="32">
        <f>F51+F64</f>
        <v>46592628</v>
      </c>
      <c r="G65" s="32">
        <f>G51+G64</f>
        <v>172182798</v>
      </c>
      <c r="H65" s="32">
        <f>H51+H64</f>
        <v>0</v>
      </c>
      <c r="I65" s="32">
        <f>I51+I64</f>
        <v>172182798</v>
      </c>
      <c r="K65" s="32">
        <f>K51+K64</f>
        <v>122704368</v>
      </c>
      <c r="L65" s="32">
        <f>L51+L64</f>
        <v>24566319</v>
      </c>
      <c r="M65" s="32">
        <f>M51+M64</f>
        <v>147270687</v>
      </c>
      <c r="N65" s="32">
        <f>N51+N64</f>
        <v>-34595134</v>
      </c>
      <c r="O65" s="32">
        <f>O51+O64</f>
        <v>112675553</v>
      </c>
      <c r="Q65" s="32">
        <f>Q51+Q64</f>
        <v>126573375</v>
      </c>
      <c r="R65" s="32">
        <f>R51+R64</f>
        <v>11914233</v>
      </c>
      <c r="S65" s="32">
        <f>+Q65+R65</f>
        <v>138487608</v>
      </c>
      <c r="T65" s="32">
        <f>+T64+T51</f>
        <v>-10155018</v>
      </c>
      <c r="U65" s="32">
        <f>+U64+U51</f>
        <v>128332590</v>
      </c>
    </row>
    <row r="66" spans="1:21" x14ac:dyDescent="0.25">
      <c r="E66" s="31"/>
      <c r="F66" s="31"/>
      <c r="G66" s="31"/>
      <c r="H66" s="31"/>
      <c r="I66" s="31"/>
      <c r="K66" s="31"/>
      <c r="L66" s="31"/>
      <c r="M66" s="31"/>
      <c r="N66" s="31"/>
      <c r="O66" s="31"/>
      <c r="Q66" s="23"/>
      <c r="R66" s="23"/>
      <c r="S66" s="23"/>
      <c r="T66" s="23"/>
      <c r="U66" s="23"/>
    </row>
    <row r="67" spans="1:21" x14ac:dyDescent="0.25">
      <c r="A67" s="17" t="s">
        <v>70</v>
      </c>
      <c r="B67" s="21"/>
      <c r="C67" s="21"/>
      <c r="D67" s="21"/>
      <c r="E67" s="31"/>
      <c r="F67" s="31"/>
      <c r="G67" s="31"/>
      <c r="H67" s="31"/>
      <c r="I67" s="31"/>
      <c r="J67" s="21"/>
      <c r="K67" s="31"/>
      <c r="L67" s="31"/>
      <c r="M67" s="31"/>
      <c r="N67" s="31"/>
      <c r="O67" s="31"/>
      <c r="P67" s="21"/>
      <c r="Q67" s="23"/>
      <c r="R67" s="23"/>
      <c r="S67" s="23"/>
      <c r="T67" s="23"/>
      <c r="U67" s="23"/>
    </row>
    <row r="68" spans="1:21" x14ac:dyDescent="0.25">
      <c r="A68" s="21"/>
      <c r="B68" s="21" t="s">
        <v>71</v>
      </c>
      <c r="C68" s="21"/>
      <c r="D68" s="45"/>
      <c r="E68" s="22">
        <v>21629181</v>
      </c>
      <c r="F68" s="22">
        <v>18564158</v>
      </c>
      <c r="G68" s="23">
        <f>+E68+F68</f>
        <v>40193339</v>
      </c>
      <c r="H68" s="46"/>
      <c r="I68" s="23">
        <f>+G68+H68</f>
        <v>40193339</v>
      </c>
      <c r="J68" s="21"/>
      <c r="K68" s="22">
        <v>37143362</v>
      </c>
      <c r="L68" s="22">
        <v>13159302</v>
      </c>
      <c r="M68" s="23">
        <f>+K68+L68</f>
        <v>50302664</v>
      </c>
      <c r="N68" s="46"/>
      <c r="O68" s="23">
        <f>+M68+N68</f>
        <v>50302664</v>
      </c>
      <c r="P68" s="21"/>
      <c r="Q68" s="22">
        <f>+PAT!F19</f>
        <v>30006697</v>
      </c>
      <c r="R68" s="22">
        <f>+PAT!G19</f>
        <v>11015563</v>
      </c>
      <c r="S68" s="23">
        <f t="shared" ref="S68:S73" si="22">+Q68+R68</f>
        <v>41022260</v>
      </c>
      <c r="T68" s="23"/>
      <c r="U68" s="23">
        <f>+S68+T68</f>
        <v>41022260</v>
      </c>
    </row>
    <row r="69" spans="1:21" x14ac:dyDescent="0.25">
      <c r="A69" s="21"/>
      <c r="B69" s="21" t="s">
        <v>72</v>
      </c>
      <c r="C69" s="21"/>
      <c r="D69" s="45"/>
      <c r="E69" s="22">
        <v>920</v>
      </c>
      <c r="F69" s="22">
        <v>0</v>
      </c>
      <c r="G69" s="23">
        <f>+E69+F69</f>
        <v>920</v>
      </c>
      <c r="H69" s="46"/>
      <c r="I69" s="23">
        <f>+G69+H69</f>
        <v>920</v>
      </c>
      <c r="J69" s="21"/>
      <c r="K69" s="22">
        <v>6115920</v>
      </c>
      <c r="L69" s="22"/>
      <c r="M69" s="23">
        <f>+K69+L69</f>
        <v>6115920</v>
      </c>
      <c r="N69" s="46"/>
      <c r="O69" s="23">
        <f>+M69+N69</f>
        <v>6115920</v>
      </c>
      <c r="P69" s="21"/>
      <c r="Q69" s="22">
        <f>+PAT!F38</f>
        <v>920</v>
      </c>
      <c r="R69" s="22">
        <f>+PAT!G38</f>
        <v>0</v>
      </c>
      <c r="S69" s="23">
        <f t="shared" si="22"/>
        <v>920</v>
      </c>
      <c r="T69" s="23"/>
      <c r="U69" s="23">
        <f>+S69+T69</f>
        <v>920</v>
      </c>
    </row>
    <row r="70" spans="1:21" x14ac:dyDescent="0.25">
      <c r="A70" s="21"/>
      <c r="B70" s="21" t="s">
        <v>73</v>
      </c>
      <c r="C70" s="21"/>
      <c r="D70" s="45"/>
      <c r="E70" s="22">
        <f>6135362+34797+820045+227072-3202431</f>
        <v>4014845</v>
      </c>
      <c r="F70" s="22">
        <f>2635685+14436+85174-24915-301241</f>
        <v>2409139</v>
      </c>
      <c r="G70" s="23">
        <f>+E70+F70</f>
        <v>6423984</v>
      </c>
      <c r="H70" s="44"/>
      <c r="I70" s="23">
        <f>+G70+H70</f>
        <v>6423984</v>
      </c>
      <c r="J70" s="21"/>
      <c r="K70" s="22">
        <v>6170159</v>
      </c>
      <c r="L70" s="22">
        <v>2026031</v>
      </c>
      <c r="M70" s="23">
        <f>+K70+L70</f>
        <v>8196190</v>
      </c>
      <c r="N70" s="44"/>
      <c r="O70" s="23">
        <f>+M70+N70</f>
        <v>8196190</v>
      </c>
      <c r="P70" s="21"/>
      <c r="Q70" s="22">
        <f>+PAT!F56+PAT!F68</f>
        <v>4697751</v>
      </c>
      <c r="R70" s="22">
        <f>+PAT!G56+PAT!G68+PAT!G78-1</f>
        <v>1651249</v>
      </c>
      <c r="S70" s="23">
        <f t="shared" si="22"/>
        <v>6349000</v>
      </c>
      <c r="T70" s="23"/>
      <c r="U70" s="23">
        <f>+S70+T70</f>
        <v>6349000</v>
      </c>
    </row>
    <row r="71" spans="1:21" x14ac:dyDescent="0.25">
      <c r="A71" s="21"/>
      <c r="B71" s="21" t="s">
        <v>74</v>
      </c>
      <c r="C71" s="21"/>
      <c r="D71" s="45"/>
      <c r="E71" s="47">
        <v>74324386</v>
      </c>
      <c r="F71" s="47">
        <v>14531643</v>
      </c>
      <c r="G71" s="23">
        <f>+E71+F71</f>
        <v>88856029</v>
      </c>
      <c r="H71" s="44"/>
      <c r="I71" s="23">
        <f>+G71+H71</f>
        <v>88856029</v>
      </c>
      <c r="J71" s="21"/>
      <c r="K71" s="47">
        <v>38836240.450000003</v>
      </c>
      <c r="L71" s="47">
        <v>5815726</v>
      </c>
      <c r="M71" s="23">
        <f>+K71+L71</f>
        <v>44651966.450000003</v>
      </c>
      <c r="N71" s="44"/>
      <c r="O71" s="23">
        <f>+M71+N71-1</f>
        <v>44651965.450000003</v>
      </c>
      <c r="P71" s="21"/>
      <c r="Q71" s="22">
        <f>+PAT!F78+PAT!F87+PAT!F101+PAT!F136</f>
        <v>36135934</v>
      </c>
      <c r="R71" s="22">
        <f>+PAT!G87+PAT!G136+PAT!G101</f>
        <v>1584690</v>
      </c>
      <c r="S71" s="23">
        <f t="shared" si="22"/>
        <v>37720624</v>
      </c>
      <c r="T71" s="23">
        <f>+PAT!I136</f>
        <v>-14609377.588252001</v>
      </c>
      <c r="U71" s="23">
        <f>+S71+T71</f>
        <v>23111246.411747999</v>
      </c>
    </row>
    <row r="72" spans="1:21" x14ac:dyDescent="0.25">
      <c r="A72" s="17" t="s">
        <v>75</v>
      </c>
      <c r="B72" s="21"/>
      <c r="C72" s="21"/>
      <c r="D72" s="21"/>
      <c r="E72" s="32">
        <f>SUM(E68:E71)</f>
        <v>99969332</v>
      </c>
      <c r="F72" s="32">
        <f>SUM(F68:F71)</f>
        <v>35504940</v>
      </c>
      <c r="G72" s="32">
        <f>SUM(G68:G71)</f>
        <v>135474272</v>
      </c>
      <c r="H72" s="32">
        <f>SUM(H68:H71)</f>
        <v>0</v>
      </c>
      <c r="I72" s="32">
        <f>SUM(I68:I71)</f>
        <v>135474272</v>
      </c>
      <c r="J72" s="21"/>
      <c r="K72" s="32">
        <f>SUM(K68:K71)</f>
        <v>88265681.450000003</v>
      </c>
      <c r="L72" s="32">
        <f>SUM(L68:L71)</f>
        <v>21001059</v>
      </c>
      <c r="M72" s="32">
        <f>SUM(M68:M71)</f>
        <v>109266740.45</v>
      </c>
      <c r="N72" s="32">
        <f>SUM(N68:N71)</f>
        <v>0</v>
      </c>
      <c r="O72" s="32">
        <f>SUM(O68:O71)</f>
        <v>109266739.45</v>
      </c>
      <c r="P72" s="21"/>
      <c r="Q72" s="32">
        <f>SUM(Q68:Q71)</f>
        <v>70841302</v>
      </c>
      <c r="R72" s="32">
        <f>SUM(R68:R71)</f>
        <v>14251502</v>
      </c>
      <c r="S72" s="32">
        <f t="shared" si="22"/>
        <v>85092804</v>
      </c>
      <c r="T72" s="32">
        <f>SUM(T68:T71)</f>
        <v>-14609377.588252001</v>
      </c>
      <c r="U72" s="32">
        <f>SUM(U68:U71)</f>
        <v>70483426.411747992</v>
      </c>
    </row>
    <row r="73" spans="1:21" x14ac:dyDescent="0.25">
      <c r="A73" s="17" t="s">
        <v>76</v>
      </c>
      <c r="B73" s="21"/>
      <c r="C73" s="21"/>
      <c r="D73" s="21"/>
      <c r="E73" s="37">
        <f>+E72+E65</f>
        <v>225559502</v>
      </c>
      <c r="F73" s="37">
        <f>+F72+F65</f>
        <v>82097568</v>
      </c>
      <c r="G73" s="37">
        <f>+G72+G65</f>
        <v>307657070</v>
      </c>
      <c r="H73" s="37">
        <f>+H72+H65</f>
        <v>0</v>
      </c>
      <c r="I73" s="37">
        <f>+I72+I65</f>
        <v>307657070</v>
      </c>
      <c r="J73" s="21"/>
      <c r="K73" s="37">
        <f>+K72+K65</f>
        <v>210970049.44999999</v>
      </c>
      <c r="L73" s="37">
        <f>+L72+L65</f>
        <v>45567378</v>
      </c>
      <c r="M73" s="37">
        <f>+M72+M65</f>
        <v>256537427.44999999</v>
      </c>
      <c r="N73" s="37">
        <f>+N72+N65</f>
        <v>-34595134</v>
      </c>
      <c r="O73" s="37">
        <f>+O72+O65</f>
        <v>221942292.44999999</v>
      </c>
      <c r="P73" s="21"/>
      <c r="Q73" s="37">
        <f>+Q72+Q65</f>
        <v>197414677</v>
      </c>
      <c r="R73" s="37">
        <f>+R72+R65</f>
        <v>26165735</v>
      </c>
      <c r="S73" s="37">
        <f t="shared" si="22"/>
        <v>223580412</v>
      </c>
      <c r="T73" s="37">
        <f>+T65+T72</f>
        <v>-24764395.588252001</v>
      </c>
      <c r="U73" s="37">
        <f>+U72+U65</f>
        <v>198816016.41174799</v>
      </c>
    </row>
    <row r="74" spans="1:21" s="48" customFormat="1" ht="11.25" x14ac:dyDescent="0.2">
      <c r="E74" s="49">
        <f>+E73-E34</f>
        <v>0</v>
      </c>
      <c r="F74" s="49">
        <f>+F73-F34</f>
        <v>0</v>
      </c>
      <c r="G74" s="49">
        <f>+G73-G34</f>
        <v>0</v>
      </c>
      <c r="H74" s="49">
        <f>+H73-H34</f>
        <v>0</v>
      </c>
      <c r="I74" s="49">
        <f>+I73-I34</f>
        <v>0</v>
      </c>
      <c r="K74" s="49">
        <f>+K73-K34</f>
        <v>0.44999998807907104</v>
      </c>
      <c r="L74" s="49">
        <f>+L73-L34</f>
        <v>0</v>
      </c>
      <c r="M74" s="49">
        <f>+M73-M34</f>
        <v>0.44999998807907104</v>
      </c>
      <c r="N74" s="49">
        <f>+N73-N34</f>
        <v>9763133.7533999979</v>
      </c>
      <c r="O74" s="49">
        <f>+O73-O34</f>
        <v>9763133.203399986</v>
      </c>
      <c r="Q74" s="49">
        <f>+Q73-Q34</f>
        <v>0</v>
      </c>
      <c r="R74" s="49">
        <f>+R73-R34</f>
        <v>0</v>
      </c>
      <c r="S74" s="49">
        <f>+S73-S34</f>
        <v>0</v>
      </c>
      <c r="T74" s="49">
        <f>+T73-T34</f>
        <v>0</v>
      </c>
      <c r="U74" s="49">
        <f>+U73-U34</f>
        <v>0</v>
      </c>
    </row>
    <row r="75" spans="1:21" x14ac:dyDescent="0.25">
      <c r="N75" s="45"/>
    </row>
    <row r="76" spans="1:21" x14ac:dyDescent="0.25">
      <c r="N76" s="45"/>
    </row>
    <row r="78" spans="1:21" x14ac:dyDescent="0.25">
      <c r="K78" s="20" t="s">
        <v>77</v>
      </c>
      <c r="L78" s="20"/>
      <c r="M78" s="20"/>
    </row>
    <row r="79" spans="1:21" x14ac:dyDescent="0.25">
      <c r="K79" s="15" t="s">
        <v>78</v>
      </c>
      <c r="L79" s="15"/>
      <c r="M79" s="15"/>
    </row>
  </sheetData>
  <mergeCells count="1">
    <mergeCell ref="A20:C20"/>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zoomScale="98" zoomScaleNormal="98" workbookViewId="0">
      <pane xSplit="3" ySplit="5" topLeftCell="D29" activePane="bottomRight" state="frozen"/>
      <selection pane="topRight" activeCell="D1" sqref="D1"/>
      <selection pane="bottomLeft" activeCell="A29" sqref="A29"/>
      <selection pane="bottomRight" activeCell="D5" sqref="D5"/>
    </sheetView>
  </sheetViews>
  <sheetFormatPr defaultColWidth="11.42578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2.28515625"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16" t="s">
        <v>12</v>
      </c>
    </row>
    <row r="2" spans="1:20" x14ac:dyDescent="0.25">
      <c r="A2" s="17" t="s">
        <v>79</v>
      </c>
    </row>
    <row r="3" spans="1:20" x14ac:dyDescent="0.25">
      <c r="A3" s="17" t="s">
        <v>13</v>
      </c>
      <c r="D3" s="38"/>
      <c r="E3" s="50"/>
      <c r="F3" s="50"/>
      <c r="G3" s="50"/>
      <c r="H3" s="50"/>
      <c r="P3" s="38"/>
      <c r="Q3" s="50"/>
      <c r="R3" s="50"/>
      <c r="S3" s="50"/>
      <c r="T3" s="50"/>
    </row>
    <row r="4" spans="1:20" x14ac:dyDescent="0.25">
      <c r="A4" s="21" t="s">
        <v>14</v>
      </c>
      <c r="D4" s="23"/>
      <c r="E4" s="31"/>
      <c r="F4" s="31"/>
      <c r="G4" s="51" t="s">
        <v>15</v>
      </c>
      <c r="H4" s="51">
        <v>2020</v>
      </c>
      <c r="J4" s="19"/>
      <c r="K4" s="30"/>
      <c r="L4" s="30"/>
      <c r="M4" s="52" t="s">
        <v>15</v>
      </c>
      <c r="N4" s="52">
        <v>2019</v>
      </c>
      <c r="P4" s="23"/>
      <c r="Q4" s="31"/>
      <c r="R4" s="31"/>
      <c r="S4" s="51" t="s">
        <v>15</v>
      </c>
      <c r="T4" s="51">
        <v>2017</v>
      </c>
    </row>
    <row r="5" spans="1:20" x14ac:dyDescent="0.25">
      <c r="D5" s="27" t="s">
        <v>16</v>
      </c>
      <c r="E5" s="53" t="s">
        <v>17</v>
      </c>
      <c r="F5" s="53" t="s">
        <v>18</v>
      </c>
      <c r="G5" s="54" t="s">
        <v>80</v>
      </c>
      <c r="H5" s="53" t="s">
        <v>20</v>
      </c>
      <c r="J5" s="27" t="s">
        <v>16</v>
      </c>
      <c r="K5" s="53" t="s">
        <v>17</v>
      </c>
      <c r="L5" s="53" t="s">
        <v>18</v>
      </c>
      <c r="M5" s="53" t="s">
        <v>80</v>
      </c>
      <c r="N5" s="53" t="s">
        <v>20</v>
      </c>
      <c r="P5" s="27" t="s">
        <v>16</v>
      </c>
      <c r="Q5" s="53" t="s">
        <v>17</v>
      </c>
      <c r="R5" s="53" t="s">
        <v>18</v>
      </c>
      <c r="S5" s="54" t="s">
        <v>80</v>
      </c>
      <c r="T5" s="53" t="s">
        <v>20</v>
      </c>
    </row>
    <row r="6" spans="1:20" x14ac:dyDescent="0.25">
      <c r="D6" s="23"/>
      <c r="E6" s="31"/>
      <c r="F6" s="31"/>
      <c r="G6" s="31"/>
      <c r="H6" s="31"/>
      <c r="J6" s="23"/>
      <c r="K6" s="31"/>
      <c r="L6" s="31"/>
      <c r="M6" s="31"/>
      <c r="N6" s="31"/>
      <c r="P6" s="23"/>
      <c r="Q6" s="31"/>
      <c r="R6" s="31"/>
      <c r="S6" s="31"/>
      <c r="T6" s="31"/>
    </row>
    <row r="7" spans="1:20" x14ac:dyDescent="0.25">
      <c r="A7" t="s">
        <v>81</v>
      </c>
      <c r="D7" s="23">
        <v>205835336</v>
      </c>
      <c r="E7" s="23">
        <v>174788764</v>
      </c>
      <c r="F7" s="23">
        <f>+D7+E7</f>
        <v>380624100</v>
      </c>
      <c r="G7" s="23"/>
      <c r="H7" s="23">
        <f>+F7+G7</f>
        <v>380624100</v>
      </c>
      <c r="J7" s="23">
        <v>189089112</v>
      </c>
      <c r="K7" s="23">
        <v>136513946</v>
      </c>
      <c r="L7" s="23">
        <f>+J7+K7</f>
        <v>325603058</v>
      </c>
      <c r="M7" s="23">
        <f>-AD!I7-AD!I22</f>
        <v>-93140935</v>
      </c>
      <c r="N7" s="23">
        <f>+L7+M7</f>
        <v>232462123</v>
      </c>
      <c r="P7" s="23">
        <v>152924768</v>
      </c>
      <c r="Q7" s="23">
        <v>73699302</v>
      </c>
      <c r="R7" s="23">
        <f>+P7+Q7</f>
        <v>226624070</v>
      </c>
      <c r="S7" s="23">
        <f>-AD!M7-AD!M22</f>
        <v>-52109713</v>
      </c>
      <c r="T7" s="23">
        <f>+R7+S7</f>
        <v>174514357</v>
      </c>
    </row>
    <row r="8" spans="1:20" x14ac:dyDescent="0.25">
      <c r="A8" t="s">
        <v>82</v>
      </c>
      <c r="D8" s="23">
        <v>-93427191</v>
      </c>
      <c r="E8" s="23">
        <v>-128080645</v>
      </c>
      <c r="F8" s="23">
        <f>+D8+E8</f>
        <v>-221507836</v>
      </c>
      <c r="G8" s="23"/>
      <c r="H8" s="23">
        <f>+F8+G8</f>
        <v>-221507836</v>
      </c>
      <c r="J8" s="23">
        <v>-119055718</v>
      </c>
      <c r="K8" s="23">
        <v>-104336370</v>
      </c>
      <c r="L8" s="23">
        <f>+J8+K8</f>
        <v>-223392088</v>
      </c>
      <c r="M8" s="23">
        <f>+AD!J9+AD!J24+AD!J41</f>
        <v>94574016</v>
      </c>
      <c r="N8" s="23">
        <f>+L8+M8</f>
        <v>-128818072</v>
      </c>
      <c r="P8" s="23">
        <v>-71809934</v>
      </c>
      <c r="Q8" s="23">
        <v>-55517093</v>
      </c>
      <c r="R8" s="23">
        <f>+P8+Q8</f>
        <v>-127327027</v>
      </c>
      <c r="S8" s="23">
        <f>+AD!N9+AD!N24+AD!N41</f>
        <v>53367742</v>
      </c>
      <c r="T8" s="23">
        <f>+R8+S8</f>
        <v>-73959285</v>
      </c>
    </row>
    <row r="9" spans="1:20" x14ac:dyDescent="0.25">
      <c r="A9" t="s">
        <v>83</v>
      </c>
      <c r="D9" s="32">
        <f>+D7+D8</f>
        <v>112408145</v>
      </c>
      <c r="E9" s="32">
        <f>+E7+E8</f>
        <v>46708119</v>
      </c>
      <c r="F9" s="32">
        <f>+F7+F8</f>
        <v>159116264</v>
      </c>
      <c r="G9" s="32">
        <f>+G7+G8</f>
        <v>0</v>
      </c>
      <c r="H9" s="32">
        <f>+H7+H8</f>
        <v>159116264</v>
      </c>
      <c r="J9" s="32">
        <f>+J7+J8</f>
        <v>70033394</v>
      </c>
      <c r="K9" s="32">
        <f>+K7+K8</f>
        <v>32177576</v>
      </c>
      <c r="L9" s="32">
        <f>+L7+L8</f>
        <v>102210970</v>
      </c>
      <c r="M9" s="32">
        <f>+M7+M8</f>
        <v>1433081</v>
      </c>
      <c r="N9" s="32">
        <f>+N7+N8</f>
        <v>103644051</v>
      </c>
      <c r="P9" s="32">
        <f>+P7+P8</f>
        <v>81114834</v>
      </c>
      <c r="Q9" s="32">
        <f>+Q7+Q8</f>
        <v>18182209</v>
      </c>
      <c r="R9" s="32">
        <f>+R7+R8</f>
        <v>99297043</v>
      </c>
      <c r="S9" s="32">
        <f>+S7+S8</f>
        <v>1258029</v>
      </c>
      <c r="T9" s="32">
        <f>+T7+T8</f>
        <v>100555072</v>
      </c>
    </row>
    <row r="10" spans="1:20" x14ac:dyDescent="0.25">
      <c r="D10" s="23"/>
      <c r="E10" s="23"/>
      <c r="F10" s="23"/>
      <c r="G10" s="23"/>
      <c r="H10" s="23"/>
      <c r="J10" s="23"/>
      <c r="K10" s="23"/>
      <c r="L10" s="23"/>
      <c r="M10" s="23"/>
      <c r="N10" s="23"/>
      <c r="P10" s="23"/>
      <c r="Q10" s="23"/>
      <c r="R10" s="23"/>
      <c r="S10" s="23"/>
      <c r="T10" s="23"/>
    </row>
    <row r="11" spans="1:20" x14ac:dyDescent="0.25">
      <c r="A11" t="s">
        <v>84</v>
      </c>
      <c r="D11" s="23">
        <v>-80529826</v>
      </c>
      <c r="E11" s="23">
        <v>-27675371</v>
      </c>
      <c r="F11" s="23">
        <f t="shared" ref="F11:F25" si="0">+D11+E11</f>
        <v>-108205197</v>
      </c>
      <c r="G11" s="23"/>
      <c r="H11" s="37">
        <f t="shared" ref="H11:H28" si="1">+F11+G11</f>
        <v>-108205197</v>
      </c>
      <c r="J11" s="37">
        <v>-41266215</v>
      </c>
      <c r="K11" s="37">
        <v>-20672565</v>
      </c>
      <c r="L11" s="55">
        <f>+J11+K11</f>
        <v>-61938780</v>
      </c>
      <c r="M11" s="37"/>
      <c r="N11" s="37">
        <f t="shared" ref="N11:N28" si="2">+L11+M11</f>
        <v>-61938780</v>
      </c>
      <c r="P11" s="23">
        <v>-63291970</v>
      </c>
      <c r="Q11" s="23">
        <v>-14726048</v>
      </c>
      <c r="R11" s="23">
        <f t="shared" ref="R11:R25" si="3">+P11+Q11</f>
        <v>-78018018</v>
      </c>
      <c r="S11" s="23"/>
      <c r="T11" s="37">
        <f t="shared" ref="T11:T28" si="4">+R11+S11</f>
        <v>-78018018</v>
      </c>
    </row>
    <row r="12" spans="1:20" hidden="1" outlineLevel="1" x14ac:dyDescent="0.25">
      <c r="A12" t="s">
        <v>85</v>
      </c>
      <c r="D12" s="23"/>
      <c r="E12" s="23"/>
      <c r="F12" s="23">
        <f t="shared" si="0"/>
        <v>0</v>
      </c>
      <c r="G12" s="23"/>
      <c r="H12" s="23">
        <f t="shared" si="1"/>
        <v>0</v>
      </c>
      <c r="J12" s="23"/>
      <c r="K12" s="23"/>
      <c r="L12" s="23"/>
      <c r="M12" s="23"/>
      <c r="N12" s="23">
        <f t="shared" si="2"/>
        <v>0</v>
      </c>
      <c r="P12" s="23"/>
      <c r="Q12" s="23"/>
      <c r="R12" s="23">
        <f t="shared" si="3"/>
        <v>0</v>
      </c>
      <c r="S12" s="23"/>
      <c r="T12" s="23">
        <f t="shared" si="4"/>
        <v>0</v>
      </c>
    </row>
    <row r="13" spans="1:20" hidden="1" outlineLevel="1" x14ac:dyDescent="0.25">
      <c r="A13" t="s">
        <v>86</v>
      </c>
      <c r="D13" s="23"/>
      <c r="E13" s="23"/>
      <c r="F13" s="23">
        <f t="shared" si="0"/>
        <v>0</v>
      </c>
      <c r="G13" s="23"/>
      <c r="H13" s="23">
        <f t="shared" si="1"/>
        <v>0</v>
      </c>
      <c r="J13" s="23"/>
      <c r="K13" s="23"/>
      <c r="L13" s="23"/>
      <c r="M13" s="23"/>
      <c r="N13" s="23">
        <f t="shared" si="2"/>
        <v>0</v>
      </c>
      <c r="P13" s="23"/>
      <c r="Q13" s="23"/>
      <c r="R13" s="23">
        <f t="shared" si="3"/>
        <v>0</v>
      </c>
      <c r="S13" s="23"/>
      <c r="T13" s="23">
        <f t="shared" si="4"/>
        <v>0</v>
      </c>
    </row>
    <row r="14" spans="1:20" hidden="1" outlineLevel="1" x14ac:dyDescent="0.25">
      <c r="A14" t="s">
        <v>87</v>
      </c>
      <c r="D14" s="23"/>
      <c r="E14" s="23"/>
      <c r="F14" s="23">
        <f t="shared" si="0"/>
        <v>0</v>
      </c>
      <c r="G14" s="23"/>
      <c r="H14" s="23">
        <f t="shared" si="1"/>
        <v>0</v>
      </c>
      <c r="J14" s="23"/>
      <c r="K14" s="23"/>
      <c r="L14" s="23"/>
      <c r="M14" s="23"/>
      <c r="N14" s="23">
        <f t="shared" si="2"/>
        <v>0</v>
      </c>
      <c r="P14" s="23"/>
      <c r="Q14" s="23"/>
      <c r="R14" s="23">
        <f t="shared" si="3"/>
        <v>0</v>
      </c>
      <c r="S14" s="23"/>
      <c r="T14" s="23">
        <f t="shared" si="4"/>
        <v>0</v>
      </c>
    </row>
    <row r="15" spans="1:20" hidden="1" outlineLevel="1" x14ac:dyDescent="0.25">
      <c r="A15" t="s">
        <v>88</v>
      </c>
      <c r="D15" s="23"/>
      <c r="E15" s="23"/>
      <c r="F15" s="23">
        <f t="shared" si="0"/>
        <v>0</v>
      </c>
      <c r="G15" s="23"/>
      <c r="H15" s="23">
        <f t="shared" si="1"/>
        <v>0</v>
      </c>
      <c r="J15" s="23"/>
      <c r="K15" s="23"/>
      <c r="L15" s="23"/>
      <c r="M15" s="23"/>
      <c r="N15" s="23">
        <f t="shared" si="2"/>
        <v>0</v>
      </c>
      <c r="P15" s="23"/>
      <c r="Q15" s="23"/>
      <c r="R15" s="23">
        <f t="shared" si="3"/>
        <v>0</v>
      </c>
      <c r="S15" s="23"/>
      <c r="T15" s="23">
        <f t="shared" si="4"/>
        <v>0</v>
      </c>
    </row>
    <row r="16" spans="1:20" hidden="1" outlineLevel="1" x14ac:dyDescent="0.25">
      <c r="A16" t="s">
        <v>89</v>
      </c>
      <c r="D16" s="23"/>
      <c r="E16" s="23"/>
      <c r="F16" s="23">
        <f t="shared" si="0"/>
        <v>0</v>
      </c>
      <c r="G16" s="23"/>
      <c r="H16" s="23">
        <f t="shared" si="1"/>
        <v>0</v>
      </c>
      <c r="J16" s="23"/>
      <c r="K16" s="23"/>
      <c r="L16" s="23"/>
      <c r="M16" s="23"/>
      <c r="N16" s="23">
        <f t="shared" si="2"/>
        <v>0</v>
      </c>
      <c r="P16" s="23"/>
      <c r="Q16" s="23"/>
      <c r="R16" s="23">
        <f t="shared" si="3"/>
        <v>0</v>
      </c>
      <c r="S16" s="23"/>
      <c r="T16" s="23">
        <f t="shared" si="4"/>
        <v>0</v>
      </c>
    </row>
    <row r="17" spans="1:20" hidden="1" outlineLevel="1" x14ac:dyDescent="0.25">
      <c r="A17" t="s">
        <v>90</v>
      </c>
      <c r="D17" s="23"/>
      <c r="E17" s="23"/>
      <c r="F17" s="23">
        <f t="shared" si="0"/>
        <v>0</v>
      </c>
      <c r="G17" s="23"/>
      <c r="H17" s="23">
        <f t="shared" si="1"/>
        <v>0</v>
      </c>
      <c r="J17" s="23"/>
      <c r="K17" s="23"/>
      <c r="L17" s="23"/>
      <c r="M17" s="23"/>
      <c r="N17" s="23">
        <f t="shared" si="2"/>
        <v>0</v>
      </c>
      <c r="P17" s="23"/>
      <c r="Q17" s="23"/>
      <c r="R17" s="23">
        <f t="shared" si="3"/>
        <v>0</v>
      </c>
      <c r="S17" s="23"/>
      <c r="T17" s="23">
        <f t="shared" si="4"/>
        <v>0</v>
      </c>
    </row>
    <row r="18" spans="1:20" hidden="1" outlineLevel="1" x14ac:dyDescent="0.25">
      <c r="A18" t="s">
        <v>91</v>
      </c>
      <c r="D18" s="23"/>
      <c r="E18" s="23"/>
      <c r="F18" s="23">
        <f t="shared" si="0"/>
        <v>0</v>
      </c>
      <c r="G18" s="23"/>
      <c r="H18" s="23">
        <f t="shared" si="1"/>
        <v>0</v>
      </c>
      <c r="J18" s="23"/>
      <c r="K18" s="23"/>
      <c r="L18" s="23"/>
      <c r="M18" s="23"/>
      <c r="N18" s="23">
        <f t="shared" si="2"/>
        <v>0</v>
      </c>
      <c r="P18" s="23"/>
      <c r="Q18" s="23"/>
      <c r="R18" s="23">
        <f t="shared" si="3"/>
        <v>0</v>
      </c>
      <c r="S18" s="23"/>
      <c r="T18" s="23">
        <f t="shared" si="4"/>
        <v>0</v>
      </c>
    </row>
    <row r="19" spans="1:20" hidden="1" outlineLevel="1" x14ac:dyDescent="0.25">
      <c r="A19" t="s">
        <v>92</v>
      </c>
      <c r="D19" s="23"/>
      <c r="E19" s="23"/>
      <c r="F19" s="23">
        <f t="shared" si="0"/>
        <v>0</v>
      </c>
      <c r="G19" s="23"/>
      <c r="H19" s="23">
        <f t="shared" si="1"/>
        <v>0</v>
      </c>
      <c r="J19" s="23"/>
      <c r="K19" s="23"/>
      <c r="L19" s="23"/>
      <c r="M19" s="23"/>
      <c r="N19" s="23">
        <f t="shared" si="2"/>
        <v>0</v>
      </c>
      <c r="P19" s="23"/>
      <c r="Q19" s="23"/>
      <c r="R19" s="23">
        <f t="shared" si="3"/>
        <v>0</v>
      </c>
      <c r="S19" s="23"/>
      <c r="T19" s="23">
        <f t="shared" si="4"/>
        <v>0</v>
      </c>
    </row>
    <row r="20" spans="1:20" hidden="1" outlineLevel="1" x14ac:dyDescent="0.25">
      <c r="A20" t="s">
        <v>93</v>
      </c>
      <c r="D20" s="23"/>
      <c r="E20" s="23"/>
      <c r="F20" s="23">
        <f t="shared" si="0"/>
        <v>0</v>
      </c>
      <c r="G20" s="23"/>
      <c r="H20" s="23">
        <f t="shared" si="1"/>
        <v>0</v>
      </c>
      <c r="J20" s="23"/>
      <c r="K20" s="23"/>
      <c r="L20" s="23"/>
      <c r="M20" s="23"/>
      <c r="N20" s="23">
        <f t="shared" si="2"/>
        <v>0</v>
      </c>
      <c r="P20" s="23"/>
      <c r="Q20" s="23"/>
      <c r="R20" s="23">
        <f t="shared" si="3"/>
        <v>0</v>
      </c>
      <c r="S20" s="23"/>
      <c r="T20" s="23">
        <f t="shared" si="4"/>
        <v>0</v>
      </c>
    </row>
    <row r="21" spans="1:20" hidden="1" outlineLevel="1" x14ac:dyDescent="0.25">
      <c r="A21" t="s">
        <v>94</v>
      </c>
      <c r="D21" s="23"/>
      <c r="E21" s="23"/>
      <c r="F21" s="23">
        <f t="shared" si="0"/>
        <v>0</v>
      </c>
      <c r="G21" s="23"/>
      <c r="H21" s="23">
        <f t="shared" si="1"/>
        <v>0</v>
      </c>
      <c r="J21" s="23"/>
      <c r="K21" s="23"/>
      <c r="L21" s="23"/>
      <c r="M21" s="23"/>
      <c r="N21" s="23">
        <f t="shared" si="2"/>
        <v>0</v>
      </c>
      <c r="P21" s="23"/>
      <c r="Q21" s="23"/>
      <c r="R21" s="23">
        <f t="shared" si="3"/>
        <v>0</v>
      </c>
      <c r="S21" s="23"/>
      <c r="T21" s="23">
        <f t="shared" si="4"/>
        <v>0</v>
      </c>
    </row>
    <row r="22" spans="1:20" hidden="1" outlineLevel="1" x14ac:dyDescent="0.25">
      <c r="A22" t="s">
        <v>95</v>
      </c>
      <c r="D22" s="23"/>
      <c r="E22" s="23"/>
      <c r="F22" s="23">
        <f t="shared" si="0"/>
        <v>0</v>
      </c>
      <c r="G22" s="23"/>
      <c r="H22" s="23">
        <f t="shared" si="1"/>
        <v>0</v>
      </c>
      <c r="J22" s="23"/>
      <c r="K22" s="23"/>
      <c r="L22" s="23"/>
      <c r="M22" s="23"/>
      <c r="N22" s="23">
        <f t="shared" si="2"/>
        <v>0</v>
      </c>
      <c r="P22" s="23"/>
      <c r="Q22" s="23"/>
      <c r="R22" s="23">
        <f t="shared" si="3"/>
        <v>0</v>
      </c>
      <c r="S22" s="23"/>
      <c r="T22" s="23">
        <f t="shared" si="4"/>
        <v>0</v>
      </c>
    </row>
    <row r="23" spans="1:20" hidden="1" outlineLevel="1" x14ac:dyDescent="0.25">
      <c r="A23" t="s">
        <v>96</v>
      </c>
      <c r="D23" s="23"/>
      <c r="E23" s="23"/>
      <c r="F23" s="23">
        <f t="shared" si="0"/>
        <v>0</v>
      </c>
      <c r="G23" s="23"/>
      <c r="H23" s="23">
        <f t="shared" si="1"/>
        <v>0</v>
      </c>
      <c r="J23" s="23"/>
      <c r="K23" s="23"/>
      <c r="L23" s="23"/>
      <c r="M23" s="23"/>
      <c r="N23" s="23">
        <f t="shared" si="2"/>
        <v>0</v>
      </c>
      <c r="P23" s="23"/>
      <c r="Q23" s="23"/>
      <c r="R23" s="23">
        <f t="shared" si="3"/>
        <v>0</v>
      </c>
      <c r="S23" s="23"/>
      <c r="T23" s="23">
        <f t="shared" si="4"/>
        <v>0</v>
      </c>
    </row>
    <row r="24" spans="1:20" hidden="1" outlineLevel="1" x14ac:dyDescent="0.25">
      <c r="A24" t="s">
        <v>97</v>
      </c>
      <c r="D24" s="23"/>
      <c r="E24" s="23"/>
      <c r="F24" s="23">
        <f t="shared" si="0"/>
        <v>0</v>
      </c>
      <c r="G24" s="23"/>
      <c r="H24" s="23">
        <f t="shared" si="1"/>
        <v>0</v>
      </c>
      <c r="J24" s="23"/>
      <c r="K24" s="23"/>
      <c r="L24" s="23"/>
      <c r="M24" s="23"/>
      <c r="N24" s="23">
        <f t="shared" si="2"/>
        <v>0</v>
      </c>
      <c r="P24" s="23"/>
      <c r="Q24" s="23"/>
      <c r="R24" s="23">
        <f t="shared" si="3"/>
        <v>0</v>
      </c>
      <c r="S24" s="23"/>
      <c r="T24" s="23">
        <f t="shared" si="4"/>
        <v>0</v>
      </c>
    </row>
    <row r="25" spans="1:20" x14ac:dyDescent="0.25">
      <c r="A25" t="s">
        <v>98</v>
      </c>
      <c r="D25" s="19">
        <f>D11</f>
        <v>-80529826</v>
      </c>
      <c r="E25" s="19">
        <f>E11</f>
        <v>-27675371</v>
      </c>
      <c r="F25" s="19">
        <f t="shared" si="0"/>
        <v>-108205197</v>
      </c>
      <c r="G25" s="19">
        <f>SUM(G12:G24)</f>
        <v>0</v>
      </c>
      <c r="H25" s="23">
        <f t="shared" si="1"/>
        <v>-108205197</v>
      </c>
      <c r="J25" s="23">
        <f>J11</f>
        <v>-41266215</v>
      </c>
      <c r="K25" s="23">
        <f>K11</f>
        <v>-20672565</v>
      </c>
      <c r="L25" s="23">
        <f>+J25+K25</f>
        <v>-61938780</v>
      </c>
      <c r="M25" s="19">
        <v>0</v>
      </c>
      <c r="N25" s="23">
        <f t="shared" si="2"/>
        <v>-61938780</v>
      </c>
      <c r="P25" s="19">
        <f>P11</f>
        <v>-63291970</v>
      </c>
      <c r="Q25" s="19">
        <f>Q11</f>
        <v>-14726048</v>
      </c>
      <c r="R25" s="19">
        <f t="shared" si="3"/>
        <v>-78018018</v>
      </c>
      <c r="S25" s="19">
        <f>SUM(S12:S24)</f>
        <v>0</v>
      </c>
      <c r="T25" s="23">
        <f t="shared" si="4"/>
        <v>-78018018</v>
      </c>
    </row>
    <row r="26" spans="1:20" x14ac:dyDescent="0.25">
      <c r="D26" s="23"/>
      <c r="E26" s="23"/>
      <c r="F26" s="23"/>
      <c r="G26" s="23"/>
      <c r="H26" s="23">
        <f t="shared" si="1"/>
        <v>0</v>
      </c>
      <c r="J26" s="23"/>
      <c r="K26" s="23"/>
      <c r="L26" s="23"/>
      <c r="M26" s="23"/>
      <c r="N26" s="23">
        <f t="shared" si="2"/>
        <v>0</v>
      </c>
      <c r="P26" s="23"/>
      <c r="Q26" s="23"/>
      <c r="R26" s="23"/>
      <c r="S26" s="23"/>
      <c r="T26" s="23">
        <f t="shared" si="4"/>
        <v>0</v>
      </c>
    </row>
    <row r="27" spans="1:20" hidden="1" x14ac:dyDescent="0.25">
      <c r="A27" t="s">
        <v>99</v>
      </c>
      <c r="D27" s="21"/>
      <c r="E27" s="23"/>
      <c r="F27" s="23">
        <f>+D27+E27</f>
        <v>0</v>
      </c>
      <c r="G27" s="23"/>
      <c r="H27" s="23">
        <f t="shared" si="1"/>
        <v>0</v>
      </c>
      <c r="J27" s="21"/>
      <c r="K27" s="23"/>
      <c r="L27" s="23">
        <f>+J27+K27</f>
        <v>0</v>
      </c>
      <c r="M27" s="23"/>
      <c r="N27" s="23">
        <f t="shared" si="2"/>
        <v>0</v>
      </c>
      <c r="P27" s="21"/>
      <c r="Q27" s="23"/>
      <c r="R27" s="23">
        <f>+P27+Q27</f>
        <v>0</v>
      </c>
      <c r="S27" s="23"/>
      <c r="T27" s="23">
        <f t="shared" si="4"/>
        <v>0</v>
      </c>
    </row>
    <row r="28" spans="1:20" x14ac:dyDescent="0.25">
      <c r="A28" t="s">
        <v>100</v>
      </c>
      <c r="D28" s="23">
        <v>-502143</v>
      </c>
      <c r="E28" s="23">
        <v>1386241</v>
      </c>
      <c r="F28" s="23">
        <f>+D28+E28</f>
        <v>884098</v>
      </c>
      <c r="G28" s="23"/>
      <c r="H28" s="23">
        <f t="shared" si="1"/>
        <v>884098</v>
      </c>
      <c r="J28" s="23">
        <v>53527</v>
      </c>
      <c r="K28" s="23">
        <v>451754</v>
      </c>
      <c r="L28" s="23">
        <f>+J28+K28</f>
        <v>505281</v>
      </c>
      <c r="M28" s="23">
        <f>+AD!J48+AD!J16</f>
        <v>687293</v>
      </c>
      <c r="N28" s="23">
        <f t="shared" si="2"/>
        <v>1192574</v>
      </c>
      <c r="P28" s="23">
        <v>-3618624</v>
      </c>
      <c r="Q28" s="23">
        <f>-85300+344362</f>
        <v>259062</v>
      </c>
      <c r="R28" s="23">
        <f>+P28+Q28</f>
        <v>-3359562</v>
      </c>
      <c r="S28" s="23">
        <f>-AD!M16</f>
        <v>-12940</v>
      </c>
      <c r="T28" s="23">
        <f t="shared" si="4"/>
        <v>-3372502</v>
      </c>
    </row>
    <row r="29" spans="1:20" x14ac:dyDescent="0.25">
      <c r="A29" t="s">
        <v>101</v>
      </c>
      <c r="D29" s="32">
        <f>+D9+D25+D27+D28</f>
        <v>31376176</v>
      </c>
      <c r="E29" s="32">
        <f>+E9+E25+E27+E28</f>
        <v>20418989</v>
      </c>
      <c r="F29" s="32">
        <f>+F9+F25+F27+F28</f>
        <v>51795165</v>
      </c>
      <c r="G29" s="32">
        <f>+G9+G25+G27+G28</f>
        <v>0</v>
      </c>
      <c r="H29" s="32">
        <f>+H9+H25+H27+H28</f>
        <v>51795165</v>
      </c>
      <c r="J29" s="32">
        <f>+J9+J25+J27+J28</f>
        <v>28820706</v>
      </c>
      <c r="K29" s="32">
        <f>+K9+K25+K27+K28</f>
        <v>11956765</v>
      </c>
      <c r="L29" s="32">
        <f>+L9+L25+L27+L28</f>
        <v>40777471</v>
      </c>
      <c r="M29" s="32">
        <f>+M9+M25+M27+M28</f>
        <v>2120374</v>
      </c>
      <c r="N29" s="32">
        <f>+N9+N25+N27+N28</f>
        <v>42897845</v>
      </c>
      <c r="P29" s="32">
        <f>+P9+P25+P27+P28</f>
        <v>14204240</v>
      </c>
      <c r="Q29" s="32">
        <f>+Q9+Q25+Q27+Q28</f>
        <v>3715223</v>
      </c>
      <c r="R29" s="32">
        <f>+R9+R25+R27+R28</f>
        <v>17919463</v>
      </c>
      <c r="S29" s="32">
        <f>+S9+S25+S27+S28</f>
        <v>1245089</v>
      </c>
      <c r="T29" s="32">
        <f>+T9+T25+T27+T28</f>
        <v>19164552</v>
      </c>
    </row>
    <row r="30" spans="1:20" x14ac:dyDescent="0.25">
      <c r="D30" s="23"/>
      <c r="E30" s="23"/>
      <c r="F30" s="23"/>
      <c r="G30" s="23"/>
      <c r="H30" s="23"/>
      <c r="J30" s="23"/>
      <c r="K30" s="23"/>
      <c r="L30" s="23"/>
      <c r="M30" s="23"/>
      <c r="N30" s="23"/>
      <c r="P30" s="23"/>
      <c r="Q30" s="23"/>
      <c r="R30" s="23"/>
      <c r="S30" s="23"/>
      <c r="T30" s="23"/>
    </row>
    <row r="31" spans="1:20" x14ac:dyDescent="0.25">
      <c r="A31" t="s">
        <v>102</v>
      </c>
      <c r="D31" s="23">
        <v>0</v>
      </c>
      <c r="E31" s="23">
        <v>-674385</v>
      </c>
      <c r="F31" s="23">
        <f>+D31+E31</f>
        <v>-674385</v>
      </c>
      <c r="G31" s="23"/>
      <c r="H31" s="23">
        <f>+F31+G31</f>
        <v>-674385</v>
      </c>
      <c r="J31" s="23">
        <v>-2310882</v>
      </c>
      <c r="K31" s="23">
        <v>-670216</v>
      </c>
      <c r="L31" s="23">
        <f>+J31+K31</f>
        <v>-2981098</v>
      </c>
      <c r="M31" s="23">
        <v>0</v>
      </c>
      <c r="N31" s="23">
        <f>+L31+M31</f>
        <v>-2981098</v>
      </c>
      <c r="P31" s="23">
        <v>-5186848</v>
      </c>
      <c r="Q31" s="23">
        <v>-445202</v>
      </c>
      <c r="R31" s="23">
        <f>+P31+Q31</f>
        <v>-5632050</v>
      </c>
      <c r="S31" s="23"/>
      <c r="T31" s="23">
        <f>+R31+S31</f>
        <v>-5632050</v>
      </c>
    </row>
    <row r="32" spans="1:20" x14ac:dyDescent="0.25">
      <c r="A32" t="s">
        <v>103</v>
      </c>
      <c r="D32" s="32">
        <f>+D29+D31</f>
        <v>31376176</v>
      </c>
      <c r="E32" s="32">
        <f>+E29+E31</f>
        <v>19744604</v>
      </c>
      <c r="F32" s="32">
        <f>+F29+F31</f>
        <v>51120780</v>
      </c>
      <c r="G32" s="32">
        <f>+G29+G31</f>
        <v>0</v>
      </c>
      <c r="H32" s="32">
        <f>+H29+H31</f>
        <v>51120780</v>
      </c>
      <c r="J32" s="32">
        <f>+J29+J31</f>
        <v>26509824</v>
      </c>
      <c r="K32" s="32">
        <f>+K29+K31</f>
        <v>11286549</v>
      </c>
      <c r="L32" s="32">
        <f>+L29+L31</f>
        <v>37796373</v>
      </c>
      <c r="M32" s="32">
        <f>+M29+M31</f>
        <v>2120374</v>
      </c>
      <c r="N32" s="32">
        <f>+N29+N31</f>
        <v>39916747</v>
      </c>
      <c r="P32" s="32">
        <f>+P29+P31</f>
        <v>9017392</v>
      </c>
      <c r="Q32" s="32">
        <f>+Q29+Q31</f>
        <v>3270021</v>
      </c>
      <c r="R32" s="32">
        <f>+R29+R31</f>
        <v>12287413</v>
      </c>
      <c r="S32" s="32">
        <f>+S29+S31</f>
        <v>1245089</v>
      </c>
      <c r="T32" s="32">
        <f>+T29+T31</f>
        <v>13532502</v>
      </c>
    </row>
    <row r="33" spans="1:21" x14ac:dyDescent="0.25">
      <c r="D33" s="23"/>
      <c r="E33" s="23"/>
      <c r="F33" s="23"/>
      <c r="G33" s="23"/>
      <c r="H33" s="23"/>
      <c r="J33" s="23"/>
      <c r="K33" s="23"/>
      <c r="L33" s="23"/>
      <c r="M33" s="23"/>
      <c r="N33" s="23"/>
      <c r="P33" s="23"/>
      <c r="Q33" s="23"/>
      <c r="R33" s="23"/>
      <c r="S33" s="23"/>
      <c r="T33" s="23"/>
    </row>
    <row r="34" spans="1:21" x14ac:dyDescent="0.25">
      <c r="A34" t="s">
        <v>104</v>
      </c>
      <c r="D34" s="23"/>
      <c r="E34" s="23">
        <v>0</v>
      </c>
      <c r="F34" s="23">
        <f>+D34+E34</f>
        <v>0</v>
      </c>
      <c r="G34" s="23"/>
      <c r="H34" s="23">
        <f>+F34+G34</f>
        <v>0</v>
      </c>
      <c r="J34" s="23">
        <v>-3976474</v>
      </c>
      <c r="K34" s="23">
        <v>-1692982</v>
      </c>
      <c r="L34" s="23">
        <f>+J34+K34</f>
        <v>-5669456</v>
      </c>
      <c r="M34" s="23"/>
      <c r="N34" s="23">
        <f>+L34+M34</f>
        <v>-5669456</v>
      </c>
      <c r="P34" s="23"/>
      <c r="Q34" s="23"/>
      <c r="R34" s="23"/>
      <c r="S34" s="23"/>
      <c r="T34" s="23"/>
    </row>
    <row r="35" spans="1:21" x14ac:dyDescent="0.25">
      <c r="A35" t="s">
        <v>105</v>
      </c>
      <c r="D35" s="23"/>
      <c r="E35" s="23">
        <v>-5164625</v>
      </c>
      <c r="F35" s="23">
        <f>+D35+E35</f>
        <v>-5164625</v>
      </c>
      <c r="G35" s="23"/>
      <c r="H35" s="23">
        <f>+F35+G35</f>
        <v>-5164625</v>
      </c>
      <c r="J35" s="23">
        <v>-7316715</v>
      </c>
      <c r="K35" s="23">
        <v>-2500922</v>
      </c>
      <c r="L35" s="23">
        <f>+J35+K35</f>
        <v>-9817637</v>
      </c>
      <c r="M35" s="23">
        <f>+AD!J63</f>
        <v>-358270.25</v>
      </c>
      <c r="N35" s="23">
        <f>+L35+M35</f>
        <v>-10175907.25</v>
      </c>
      <c r="P35" s="23">
        <v>-3550763</v>
      </c>
      <c r="Q35" s="23">
        <v>-676345</v>
      </c>
      <c r="R35" s="23">
        <f>+P35+Q35</f>
        <v>-4227108</v>
      </c>
      <c r="S35" s="23">
        <f>AD!N63</f>
        <v>591847.41514800023</v>
      </c>
      <c r="T35" s="23">
        <f>+R35+S35</f>
        <v>-3635260.5848519998</v>
      </c>
    </row>
    <row r="36" spans="1:21" x14ac:dyDescent="0.25">
      <c r="A36" t="s">
        <v>106</v>
      </c>
      <c r="D36" s="32">
        <f>SUM(D32:D35)</f>
        <v>31376176</v>
      </c>
      <c r="E36" s="32">
        <f>SUM(E32:E35)</f>
        <v>14579979</v>
      </c>
      <c r="F36" s="32">
        <f>SUM(F32:F35)</f>
        <v>45956155</v>
      </c>
      <c r="G36" s="32">
        <f>SUM(G32:G35)</f>
        <v>0</v>
      </c>
      <c r="H36" s="32">
        <f>SUM(H32:H35)</f>
        <v>45956155</v>
      </c>
      <c r="J36" s="32">
        <f>SUM(J32:J35)</f>
        <v>15216635</v>
      </c>
      <c r="K36" s="32">
        <f>SUM(K32:K35)</f>
        <v>7092645</v>
      </c>
      <c r="L36" s="32">
        <f>SUM(L32:L35)</f>
        <v>22309280</v>
      </c>
      <c r="M36" s="32">
        <f>SUM(M32:M35)</f>
        <v>1762103.75</v>
      </c>
      <c r="N36" s="32">
        <f>SUM(N32:N35)</f>
        <v>24071383.75</v>
      </c>
      <c r="P36" s="32">
        <f>+P32+P35</f>
        <v>5466629</v>
      </c>
      <c r="Q36" s="32">
        <f>+Q32+Q35</f>
        <v>2593676</v>
      </c>
      <c r="R36" s="32">
        <f>+R32+R35</f>
        <v>8060305</v>
      </c>
      <c r="S36" s="32">
        <f>+S32+S35</f>
        <v>1836936.4151480002</v>
      </c>
      <c r="T36" s="32">
        <f>+T32+T35</f>
        <v>9897241.4151480012</v>
      </c>
    </row>
    <row r="37" spans="1:21" x14ac:dyDescent="0.25">
      <c r="D37" s="56"/>
      <c r="E37" s="56"/>
      <c r="F37" s="56"/>
      <c r="G37" s="56"/>
      <c r="H37" s="56"/>
      <c r="J37" s="56"/>
      <c r="K37" s="56"/>
      <c r="L37" s="56"/>
      <c r="M37" s="56"/>
      <c r="N37" s="56"/>
      <c r="P37" s="56"/>
      <c r="Q37" s="56"/>
      <c r="R37" s="56"/>
      <c r="S37" s="56"/>
      <c r="T37" s="56"/>
    </row>
    <row r="38" spans="1:21" x14ac:dyDescent="0.25">
      <c r="A38" t="s">
        <v>107</v>
      </c>
      <c r="D38" s="23"/>
      <c r="E38" s="23"/>
      <c r="F38" s="23"/>
      <c r="G38" s="23"/>
      <c r="H38" s="23"/>
      <c r="J38" s="23"/>
      <c r="K38" s="23"/>
      <c r="L38" s="23"/>
      <c r="M38" s="23"/>
      <c r="N38" s="23"/>
      <c r="P38" s="23"/>
      <c r="Q38" s="23"/>
      <c r="R38" s="23"/>
      <c r="S38" s="23"/>
      <c r="T38" s="23"/>
    </row>
    <row r="39" spans="1:21" ht="28.9" customHeight="1" x14ac:dyDescent="0.25">
      <c r="A39" s="12" t="s">
        <v>108</v>
      </c>
      <c r="B39" s="12"/>
      <c r="C39" s="12"/>
      <c r="D39" s="23"/>
      <c r="E39" s="23">
        <v>139500</v>
      </c>
      <c r="F39" s="23">
        <f>+D39+E39</f>
        <v>139500</v>
      </c>
      <c r="G39" s="31"/>
      <c r="H39" s="23">
        <f>+F39+G39</f>
        <v>139500</v>
      </c>
      <c r="I39" s="58"/>
      <c r="J39" s="23">
        <v>-1099700</v>
      </c>
      <c r="K39" s="23">
        <v>-15737</v>
      </c>
      <c r="L39" s="23">
        <f>+J39+K39</f>
        <v>-1115437</v>
      </c>
      <c r="M39" s="31"/>
      <c r="N39" s="23">
        <f>+L39+M39</f>
        <v>-1115437</v>
      </c>
      <c r="O39" s="57"/>
      <c r="P39" s="23">
        <v>1849659</v>
      </c>
      <c r="Q39" s="23">
        <v>-26254</v>
      </c>
      <c r="R39" s="23">
        <f>+P39+Q39</f>
        <v>1823405</v>
      </c>
      <c r="S39" s="31"/>
      <c r="T39" s="23">
        <f>+R39+S39</f>
        <v>1823405</v>
      </c>
      <c r="U39" s="58"/>
    </row>
    <row r="40" spans="1:21" x14ac:dyDescent="0.25">
      <c r="A40" t="s">
        <v>106</v>
      </c>
      <c r="D40" s="59">
        <f>+D36+D39</f>
        <v>31376176</v>
      </c>
      <c r="E40" s="32">
        <f>+E36+E39</f>
        <v>14719479</v>
      </c>
      <c r="F40" s="32">
        <f>+F36+F39</f>
        <v>46095655</v>
      </c>
      <c r="G40" s="32">
        <f>+G36+G39</f>
        <v>0</v>
      </c>
      <c r="H40" s="32">
        <f>+H36+H39</f>
        <v>46095655</v>
      </c>
      <c r="I40" s="23"/>
      <c r="J40" s="59">
        <f>+J36+J39</f>
        <v>14116935</v>
      </c>
      <c r="K40" s="32">
        <f>+K36+K39</f>
        <v>7076908</v>
      </c>
      <c r="L40" s="32">
        <f>+L36+L39</f>
        <v>21193843</v>
      </c>
      <c r="M40" s="32">
        <f>+M36+M39</f>
        <v>1762103.75</v>
      </c>
      <c r="N40" s="32">
        <f>+N36+N39</f>
        <v>22955946.75</v>
      </c>
      <c r="P40" s="59">
        <f t="shared" ref="P40:U40" si="5">+P36+P39</f>
        <v>7316288</v>
      </c>
      <c r="Q40" s="32">
        <f t="shared" si="5"/>
        <v>2567422</v>
      </c>
      <c r="R40" s="32">
        <f t="shared" si="5"/>
        <v>9883710</v>
      </c>
      <c r="S40" s="32">
        <f t="shared" si="5"/>
        <v>1836936.4151480002</v>
      </c>
      <c r="T40" s="32">
        <f t="shared" si="5"/>
        <v>11720646.415148001</v>
      </c>
      <c r="U40" s="23">
        <f t="shared" si="5"/>
        <v>0</v>
      </c>
    </row>
    <row r="41" spans="1:21" x14ac:dyDescent="0.25">
      <c r="I41" s="58"/>
      <c r="J41" s="60"/>
      <c r="K41" s="61"/>
      <c r="U41" s="58"/>
    </row>
    <row r="42" spans="1:21" x14ac:dyDescent="0.25">
      <c r="H42" s="45"/>
      <c r="I42" s="58"/>
      <c r="J42" s="62"/>
      <c r="K42" s="45"/>
      <c r="M42" s="63"/>
      <c r="N42" s="63"/>
      <c r="U42" s="58"/>
    </row>
    <row r="43" spans="1:21" x14ac:dyDescent="0.25">
      <c r="D43" s="58"/>
      <c r="E43" s="58"/>
      <c r="F43" s="58"/>
    </row>
    <row r="44" spans="1:21" x14ac:dyDescent="0.25">
      <c r="D44" s="15"/>
      <c r="E44" s="58"/>
      <c r="F44" s="58"/>
      <c r="J44" s="20" t="s">
        <v>77</v>
      </c>
      <c r="K44" s="64"/>
      <c r="L44" s="64"/>
      <c r="P44" s="20" t="s">
        <v>77</v>
      </c>
      <c r="Q44" s="64"/>
      <c r="R44" s="64"/>
    </row>
    <row r="45" spans="1:21" x14ac:dyDescent="0.25">
      <c r="D45" s="15"/>
      <c r="E45" s="58"/>
      <c r="F45" s="58"/>
      <c r="J45" s="15" t="s">
        <v>78</v>
      </c>
      <c r="P45" s="15" t="s">
        <v>78</v>
      </c>
    </row>
  </sheetData>
  <mergeCells count="1">
    <mergeCell ref="A39:C39"/>
  </mergeCells>
  <pageMargins left="0.7" right="0.7" top="0.75" bottom="0.75" header="0.51180555555555496" footer="0.51180555555555496"/>
  <pageSetup scale="88" firstPageNumber="0" orientation="portrait" horizontalDpi="300" verticalDpi="300"/>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79"/>
  <sheetViews>
    <sheetView zoomScaleNormal="100" workbookViewId="0">
      <pane xSplit="4" ySplit="5" topLeftCell="E67" activePane="bottomRight" state="frozen"/>
      <selection pane="topRight" activeCell="E1" sqref="E1"/>
      <selection pane="bottomLeft" activeCell="A67" sqref="A67"/>
      <selection pane="bottomRight" activeCell="I79" sqref="I79"/>
    </sheetView>
  </sheetViews>
  <sheetFormatPr defaultColWidth="11.42578125" defaultRowHeight="15" outlineLevelCol="1" x14ac:dyDescent="0.25"/>
  <cols>
    <col min="1" max="1" width="1.28515625" customWidth="1"/>
    <col min="2" max="2" width="1.5703125" customWidth="1"/>
    <col min="3" max="3" width="21.42578125" customWidth="1"/>
    <col min="4" max="4" width="30.7109375" customWidth="1"/>
    <col min="5" max="5" width="12.28515625" style="15" hidden="1" customWidth="1" outlineLevel="1"/>
    <col min="6" max="6" width="14.140625" style="15" hidden="1" customWidth="1" outlineLevel="1"/>
    <col min="7" max="7" width="12.7109375" hidden="1" customWidth="1" outlineLevel="1"/>
    <col min="8" max="8" width="12.140625" style="21" hidden="1" customWidth="1" outlineLevel="1"/>
    <col min="9" max="9" width="12.28515625" customWidth="1"/>
    <col min="10" max="10" width="3" customWidth="1"/>
    <col min="11" max="11" width="12.42578125" style="21" customWidth="1"/>
    <col min="12" max="12" width="14.140625" customWidth="1"/>
    <col min="13" max="13" width="12.7109375" customWidth="1"/>
    <col min="14" max="14" width="12.5703125" customWidth="1"/>
    <col min="15" max="15" width="12.28515625" customWidth="1"/>
    <col min="16" max="16" width="2.5703125" hidden="1" customWidth="1"/>
    <col min="17" max="17" width="12.28515625" style="15" hidden="1" customWidth="1"/>
    <col min="18" max="18" width="14.140625" style="15" hidden="1" customWidth="1"/>
    <col min="19" max="19" width="12.7109375" hidden="1" customWidth="1"/>
    <col min="20" max="20" width="12.140625" style="21" hidden="1" customWidth="1"/>
    <col min="21" max="21" width="12.140625" hidden="1" customWidth="1"/>
    <col min="22" max="22" width="3" hidden="1" customWidth="1"/>
  </cols>
  <sheetData>
    <row r="1" spans="1:21" x14ac:dyDescent="0.25">
      <c r="A1" s="16" t="s">
        <v>12</v>
      </c>
    </row>
    <row r="2" spans="1:21" x14ac:dyDescent="0.25">
      <c r="A2" s="17" t="s">
        <v>109</v>
      </c>
      <c r="L2" s="15"/>
    </row>
    <row r="3" spans="1:21" x14ac:dyDescent="0.25">
      <c r="A3" s="17" t="s">
        <v>13</v>
      </c>
      <c r="E3" s="19"/>
      <c r="F3" s="19"/>
      <c r="G3" s="30"/>
      <c r="H3" s="30"/>
      <c r="I3" s="30"/>
      <c r="K3" s="19"/>
      <c r="L3" s="19"/>
      <c r="M3" s="30"/>
      <c r="N3" s="30"/>
      <c r="O3" s="30"/>
      <c r="Q3" s="19"/>
      <c r="R3" s="19"/>
      <c r="S3" s="30"/>
      <c r="T3" s="30"/>
      <c r="U3" s="30"/>
    </row>
    <row r="4" spans="1:21" x14ac:dyDescent="0.25">
      <c r="A4" s="21" t="s">
        <v>14</v>
      </c>
      <c r="E4" s="23"/>
      <c r="F4" s="23"/>
      <c r="G4" s="31"/>
      <c r="H4" s="51" t="s">
        <v>15</v>
      </c>
      <c r="I4" s="51">
        <v>2019</v>
      </c>
      <c r="K4" s="23"/>
      <c r="L4" s="23"/>
      <c r="M4" s="31"/>
      <c r="N4" s="51" t="s">
        <v>15</v>
      </c>
      <c r="O4" s="51">
        <v>2018</v>
      </c>
      <c r="Q4" s="23"/>
      <c r="R4" s="23"/>
      <c r="S4" s="31"/>
      <c r="T4" s="51" t="s">
        <v>15</v>
      </c>
      <c r="U4" s="51">
        <v>2017</v>
      </c>
    </row>
    <row r="5" spans="1:21" x14ac:dyDescent="0.25">
      <c r="E5" s="27" t="s">
        <v>16</v>
      </c>
      <c r="F5" s="27" t="s">
        <v>17</v>
      </c>
      <c r="G5" s="53" t="s">
        <v>18</v>
      </c>
      <c r="H5" s="54" t="s">
        <v>19</v>
      </c>
      <c r="I5" s="53" t="s">
        <v>20</v>
      </c>
      <c r="K5" s="27" t="s">
        <v>16</v>
      </c>
      <c r="L5" s="27" t="s">
        <v>17</v>
      </c>
      <c r="M5" s="53" t="s">
        <v>18</v>
      </c>
      <c r="N5" s="54" t="s">
        <v>19</v>
      </c>
      <c r="O5" s="53" t="s">
        <v>20</v>
      </c>
      <c r="Q5" s="27" t="s">
        <v>16</v>
      </c>
      <c r="R5" s="27" t="s">
        <v>17</v>
      </c>
      <c r="S5" s="53" t="s">
        <v>18</v>
      </c>
      <c r="T5" s="54" t="s">
        <v>19</v>
      </c>
      <c r="U5" s="53" t="s">
        <v>20</v>
      </c>
    </row>
    <row r="6" spans="1:21" x14ac:dyDescent="0.25">
      <c r="E6" s="23"/>
      <c r="F6" s="23"/>
      <c r="G6" s="31"/>
      <c r="H6" s="31"/>
      <c r="I6" s="31"/>
      <c r="K6" s="23"/>
      <c r="L6" s="23"/>
      <c r="M6" s="31"/>
      <c r="N6" s="31"/>
      <c r="O6" s="31"/>
      <c r="Q6" s="23"/>
      <c r="R6" s="23"/>
      <c r="S6" s="31"/>
      <c r="T6" s="31"/>
      <c r="U6" s="31"/>
    </row>
    <row r="7" spans="1:21" x14ac:dyDescent="0.25">
      <c r="B7" s="65" t="s">
        <v>110</v>
      </c>
      <c r="C7" s="64"/>
      <c r="D7" s="66"/>
      <c r="E7" s="23"/>
      <c r="F7" s="23"/>
      <c r="G7" s="23"/>
      <c r="H7" s="23"/>
      <c r="I7" s="23"/>
      <c r="K7" s="23"/>
      <c r="L7" s="23"/>
      <c r="M7" s="23"/>
      <c r="N7" s="23"/>
      <c r="O7" s="23"/>
      <c r="P7" s="67"/>
      <c r="Q7" s="23"/>
      <c r="R7" s="23"/>
      <c r="S7" s="23"/>
      <c r="T7" s="23"/>
      <c r="U7" s="23"/>
    </row>
    <row r="8" spans="1:21" x14ac:dyDescent="0.25">
      <c r="B8" s="68" t="s">
        <v>111</v>
      </c>
      <c r="C8" s="58"/>
      <c r="D8" s="67"/>
      <c r="E8" s="23">
        <f>+ER!D40-ER!D35</f>
        <v>31376176</v>
      </c>
      <c r="F8" s="23">
        <f>+ER!E40-ER!E35</f>
        <v>19884104</v>
      </c>
      <c r="G8" s="23">
        <f>+E8+F8</f>
        <v>51260280</v>
      </c>
      <c r="H8" s="23">
        <f>+ER!G40-ER!G35</f>
        <v>0</v>
      </c>
      <c r="I8" s="23">
        <f>+G8+H8</f>
        <v>51260280</v>
      </c>
      <c r="K8" s="23">
        <f>ER!J32</f>
        <v>26509824</v>
      </c>
      <c r="L8" s="23">
        <v>5215409</v>
      </c>
      <c r="M8" s="23">
        <f>+K8+L8</f>
        <v>31725233</v>
      </c>
      <c r="N8" s="23">
        <f>+ER!M32</f>
        <v>2120374</v>
      </c>
      <c r="O8" s="23">
        <f>+M8+N8</f>
        <v>33845607</v>
      </c>
      <c r="P8" s="67"/>
      <c r="Q8" s="23">
        <f>10608696-1591304</f>
        <v>9017392</v>
      </c>
      <c r="R8" s="23">
        <v>3270021</v>
      </c>
      <c r="S8" s="23">
        <f>+Q8+R8</f>
        <v>12287413</v>
      </c>
      <c r="T8" s="23">
        <f>+ER!S32</f>
        <v>1245089</v>
      </c>
      <c r="U8" s="23">
        <f>+S8+T8</f>
        <v>13532502</v>
      </c>
    </row>
    <row r="9" spans="1:21" ht="28.15" customHeight="1" x14ac:dyDescent="0.25">
      <c r="B9" s="11" t="s">
        <v>112</v>
      </c>
      <c r="C9" s="11"/>
      <c r="D9" s="11"/>
      <c r="E9" s="23"/>
      <c r="F9" s="23"/>
      <c r="G9" s="23"/>
      <c r="H9" s="23"/>
      <c r="I9" s="23"/>
      <c r="K9" s="23"/>
      <c r="L9" s="23"/>
      <c r="M9" s="23"/>
      <c r="N9" s="23"/>
      <c r="O9" s="23"/>
      <c r="P9" s="69"/>
      <c r="Q9" s="23"/>
      <c r="R9" s="23"/>
      <c r="S9" s="23"/>
      <c r="T9" s="23"/>
      <c r="U9" s="23"/>
    </row>
    <row r="10" spans="1:21" x14ac:dyDescent="0.25">
      <c r="B10" s="43"/>
      <c r="C10" s="58" t="s">
        <v>113</v>
      </c>
      <c r="D10" s="67"/>
      <c r="E10" s="23">
        <v>49054</v>
      </c>
      <c r="F10" s="23">
        <v>251248</v>
      </c>
      <c r="G10" s="23">
        <f t="shared" ref="G10:G22" si="0">+E10+F10</f>
        <v>300302</v>
      </c>
      <c r="H10" s="23"/>
      <c r="I10" s="23">
        <f t="shared" ref="I10:I19" si="1">+G10+H10</f>
        <v>300302</v>
      </c>
      <c r="K10" s="23">
        <v>23826</v>
      </c>
      <c r="L10" s="23">
        <v>511226</v>
      </c>
      <c r="M10" s="23">
        <f t="shared" ref="M10:M22" si="2">+K10+L10</f>
        <v>535052</v>
      </c>
      <c r="N10" s="23"/>
      <c r="O10" s="23">
        <f t="shared" ref="O10:O22" si="3">+M10+N10</f>
        <v>535052</v>
      </c>
      <c r="P10" s="67"/>
      <c r="Q10" s="23">
        <v>200000</v>
      </c>
      <c r="R10" s="23">
        <v>281795</v>
      </c>
      <c r="S10" s="23">
        <f t="shared" ref="S10:S21" si="4">+Q10+R10</f>
        <v>481795</v>
      </c>
      <c r="T10" s="23"/>
      <c r="U10" s="23">
        <f t="shared" ref="U10:U21" si="5">+S10+T10</f>
        <v>481795</v>
      </c>
    </row>
    <row r="11" spans="1:21" x14ac:dyDescent="0.25">
      <c r="B11" s="43"/>
      <c r="C11" s="58" t="s">
        <v>114</v>
      </c>
      <c r="D11" s="67"/>
      <c r="E11" s="23"/>
      <c r="F11" s="23"/>
      <c r="G11" s="23">
        <f t="shared" si="0"/>
        <v>0</v>
      </c>
      <c r="H11" s="23"/>
      <c r="I11" s="23">
        <f t="shared" si="1"/>
        <v>0</v>
      </c>
      <c r="K11" s="23">
        <v>2607519</v>
      </c>
      <c r="L11" s="23"/>
      <c r="M11" s="23">
        <f t="shared" si="2"/>
        <v>2607519</v>
      </c>
      <c r="N11" s="23"/>
      <c r="O11" s="23">
        <f t="shared" si="3"/>
        <v>2607519</v>
      </c>
      <c r="P11" s="67"/>
      <c r="Q11" s="23">
        <v>2268000</v>
      </c>
      <c r="R11" s="23"/>
      <c r="S11" s="23">
        <f t="shared" si="4"/>
        <v>2268000</v>
      </c>
      <c r="T11" s="23"/>
      <c r="U11" s="23">
        <f t="shared" si="5"/>
        <v>2268000</v>
      </c>
    </row>
    <row r="12" spans="1:21" x14ac:dyDescent="0.25">
      <c r="B12" s="43"/>
      <c r="C12" s="70" t="s">
        <v>115</v>
      </c>
      <c r="D12" s="67"/>
      <c r="E12" s="23">
        <v>18732617</v>
      </c>
      <c r="F12" s="23">
        <v>9736239</v>
      </c>
      <c r="G12" s="23">
        <f t="shared" si="0"/>
        <v>28468856</v>
      </c>
      <c r="H12" s="23"/>
      <c r="I12" s="23">
        <f t="shared" si="1"/>
        <v>28468856</v>
      </c>
      <c r="K12" s="23">
        <v>19329207</v>
      </c>
      <c r="L12" s="23">
        <v>9817785</v>
      </c>
      <c r="M12" s="23">
        <f t="shared" si="2"/>
        <v>29146992</v>
      </c>
      <c r="N12" s="23">
        <f>-AD!L41</f>
        <v>-9726442</v>
      </c>
      <c r="O12" s="23">
        <f t="shared" si="3"/>
        <v>19420550</v>
      </c>
      <c r="P12" s="67"/>
      <c r="Q12" s="23">
        <v>17346688</v>
      </c>
      <c r="R12" s="23">
        <v>8496450</v>
      </c>
      <c r="S12" s="23">
        <f t="shared" si="4"/>
        <v>25843138</v>
      </c>
      <c r="T12" s="23">
        <f>-AD!N41</f>
        <v>-8402210</v>
      </c>
      <c r="U12" s="23">
        <f t="shared" si="5"/>
        <v>17440928</v>
      </c>
    </row>
    <row r="13" spans="1:21" x14ac:dyDescent="0.25">
      <c r="B13" s="43"/>
      <c r="C13" s="70" t="s">
        <v>116</v>
      </c>
      <c r="D13" s="67"/>
      <c r="E13" s="23">
        <v>39210</v>
      </c>
      <c r="F13" s="23"/>
      <c r="G13" s="23">
        <f t="shared" si="0"/>
        <v>39210</v>
      </c>
      <c r="H13" s="23"/>
      <c r="I13" s="23">
        <f t="shared" si="1"/>
        <v>39210</v>
      </c>
      <c r="K13" s="23">
        <v>37744</v>
      </c>
      <c r="L13" s="23"/>
      <c r="M13" s="23">
        <f t="shared" si="2"/>
        <v>37744</v>
      </c>
      <c r="N13" s="23"/>
      <c r="O13" s="23">
        <f t="shared" si="3"/>
        <v>37744</v>
      </c>
      <c r="P13" s="67"/>
      <c r="Q13" s="23">
        <v>39210</v>
      </c>
      <c r="R13" s="23"/>
      <c r="S13" s="23">
        <f t="shared" si="4"/>
        <v>39210</v>
      </c>
      <c r="T13" s="23"/>
      <c r="U13" s="23">
        <f t="shared" si="5"/>
        <v>39210</v>
      </c>
    </row>
    <row r="14" spans="1:21" ht="15" customHeight="1" x14ac:dyDescent="0.25">
      <c r="B14" s="43"/>
      <c r="C14" s="10" t="s">
        <v>117</v>
      </c>
      <c r="D14" s="10"/>
      <c r="E14" s="23">
        <v>1484293</v>
      </c>
      <c r="F14" s="23">
        <v>565841</v>
      </c>
      <c r="G14" s="23">
        <f t="shared" si="0"/>
        <v>2050134</v>
      </c>
      <c r="H14" s="23"/>
      <c r="I14" s="23">
        <f t="shared" si="1"/>
        <v>2050134</v>
      </c>
      <c r="K14" s="23">
        <v>0</v>
      </c>
      <c r="L14" s="23"/>
      <c r="M14" s="23">
        <f t="shared" si="2"/>
        <v>0</v>
      </c>
      <c r="N14" s="23"/>
      <c r="O14" s="23">
        <f t="shared" si="3"/>
        <v>0</v>
      </c>
      <c r="P14" s="71"/>
      <c r="Q14" s="23"/>
      <c r="R14" s="23"/>
      <c r="S14" s="23">
        <f t="shared" si="4"/>
        <v>0</v>
      </c>
      <c r="T14" s="23"/>
      <c r="U14" s="23">
        <f t="shared" si="5"/>
        <v>0</v>
      </c>
    </row>
    <row r="15" spans="1:21" x14ac:dyDescent="0.25">
      <c r="B15" s="43"/>
      <c r="C15" s="58" t="s">
        <v>118</v>
      </c>
      <c r="D15" s="67"/>
      <c r="E15" s="23"/>
      <c r="F15" s="23"/>
      <c r="G15" s="23">
        <f t="shared" si="0"/>
        <v>0</v>
      </c>
      <c r="H15" s="23"/>
      <c r="I15" s="23">
        <f t="shared" si="1"/>
        <v>0</v>
      </c>
      <c r="K15" s="23">
        <v>0</v>
      </c>
      <c r="L15" s="23"/>
      <c r="M15" s="23">
        <f t="shared" si="2"/>
        <v>0</v>
      </c>
      <c r="N15" s="23"/>
      <c r="O15" s="23">
        <f t="shared" si="3"/>
        <v>0</v>
      </c>
      <c r="P15" s="67"/>
      <c r="Q15" s="23">
        <v>0</v>
      </c>
      <c r="R15" s="23"/>
      <c r="S15" s="23">
        <f t="shared" si="4"/>
        <v>0</v>
      </c>
      <c r="T15" s="23"/>
      <c r="U15" s="23">
        <f t="shared" si="5"/>
        <v>0</v>
      </c>
    </row>
    <row r="16" spans="1:21" x14ac:dyDescent="0.25">
      <c r="B16" s="43"/>
      <c r="C16" s="58" t="s">
        <v>119</v>
      </c>
      <c r="D16" s="67"/>
      <c r="E16" s="23">
        <v>2692522</v>
      </c>
      <c r="F16" s="23">
        <v>31853</v>
      </c>
      <c r="G16" s="23">
        <f t="shared" si="0"/>
        <v>2724375</v>
      </c>
      <c r="H16" s="23"/>
      <c r="I16" s="23">
        <f t="shared" si="1"/>
        <v>2724375</v>
      </c>
      <c r="K16" s="23">
        <v>2230401</v>
      </c>
      <c r="L16" s="23">
        <v>25583</v>
      </c>
      <c r="M16" s="23">
        <f t="shared" si="2"/>
        <v>2255984</v>
      </c>
      <c r="N16" s="23"/>
      <c r="O16" s="23">
        <f t="shared" si="3"/>
        <v>2255984</v>
      </c>
      <c r="P16" s="67"/>
      <c r="Q16" s="23">
        <v>2028637</v>
      </c>
      <c r="R16" s="23">
        <v>26371</v>
      </c>
      <c r="S16" s="23">
        <f t="shared" si="4"/>
        <v>2055008</v>
      </c>
      <c r="T16" s="23"/>
      <c r="U16" s="23">
        <f t="shared" si="5"/>
        <v>2055008</v>
      </c>
    </row>
    <row r="17" spans="2:21" x14ac:dyDescent="0.25">
      <c r="B17" s="43"/>
      <c r="C17" s="70" t="s">
        <v>120</v>
      </c>
      <c r="D17" s="67"/>
      <c r="E17" s="23"/>
      <c r="F17" s="23"/>
      <c r="G17" s="23">
        <f t="shared" si="0"/>
        <v>0</v>
      </c>
      <c r="H17" s="23"/>
      <c r="I17" s="23">
        <f t="shared" si="1"/>
        <v>0</v>
      </c>
      <c r="K17" s="23">
        <v>366832</v>
      </c>
      <c r="L17" s="23"/>
      <c r="M17" s="23">
        <f t="shared" si="2"/>
        <v>366832</v>
      </c>
      <c r="N17" s="23"/>
      <c r="O17" s="23">
        <f t="shared" si="3"/>
        <v>366832</v>
      </c>
      <c r="P17" s="67"/>
      <c r="Q17" s="23">
        <v>0</v>
      </c>
      <c r="R17" s="23"/>
      <c r="S17" s="23">
        <f t="shared" si="4"/>
        <v>0</v>
      </c>
      <c r="T17" s="23"/>
      <c r="U17" s="23">
        <f t="shared" si="5"/>
        <v>0</v>
      </c>
    </row>
    <row r="18" spans="2:21" x14ac:dyDescent="0.25">
      <c r="B18" s="43"/>
      <c r="C18" s="58" t="s">
        <v>121</v>
      </c>
      <c r="D18" s="67"/>
      <c r="E18" s="23">
        <f>-ER!D34</f>
        <v>0</v>
      </c>
      <c r="F18" s="23">
        <f>-ER!E34</f>
        <v>0</v>
      </c>
      <c r="G18" s="23">
        <f t="shared" si="0"/>
        <v>0</v>
      </c>
      <c r="H18" s="23"/>
      <c r="I18" s="23">
        <f t="shared" si="1"/>
        <v>0</v>
      </c>
      <c r="K18" s="23">
        <v>2404929</v>
      </c>
      <c r="L18" s="23"/>
      <c r="M18" s="23">
        <f t="shared" si="2"/>
        <v>2404929</v>
      </c>
      <c r="N18" s="23"/>
      <c r="O18" s="23">
        <f t="shared" si="3"/>
        <v>2404929</v>
      </c>
      <c r="P18" s="67"/>
      <c r="Q18" s="23">
        <v>3074772</v>
      </c>
      <c r="R18" s="23"/>
      <c r="S18" s="23">
        <f t="shared" si="4"/>
        <v>3074772</v>
      </c>
      <c r="T18" s="23"/>
      <c r="U18" s="23">
        <f t="shared" si="5"/>
        <v>3074772</v>
      </c>
    </row>
    <row r="19" spans="2:21" x14ac:dyDescent="0.25">
      <c r="B19" s="43"/>
      <c r="C19" s="58" t="s">
        <v>122</v>
      </c>
      <c r="D19" s="67"/>
      <c r="E19" s="23">
        <v>2973618</v>
      </c>
      <c r="F19" s="23">
        <f>236814+94216</f>
        <v>331030</v>
      </c>
      <c r="G19" s="23">
        <f t="shared" si="0"/>
        <v>3304648</v>
      </c>
      <c r="H19" s="23"/>
      <c r="I19" s="23">
        <f t="shared" si="1"/>
        <v>3304648</v>
      </c>
      <c r="K19" s="23">
        <v>1293142</v>
      </c>
      <c r="L19" s="23">
        <v>251418</v>
      </c>
      <c r="M19" s="23">
        <f t="shared" si="2"/>
        <v>1544560</v>
      </c>
      <c r="N19" s="23"/>
      <c r="O19" s="23">
        <f t="shared" si="3"/>
        <v>1544560</v>
      </c>
      <c r="P19" s="67"/>
      <c r="Q19" s="23">
        <v>1591304</v>
      </c>
      <c r="R19" s="23"/>
      <c r="S19" s="23">
        <f t="shared" si="4"/>
        <v>1591304</v>
      </c>
      <c r="T19" s="23"/>
      <c r="U19" s="23">
        <f t="shared" si="5"/>
        <v>1591304</v>
      </c>
    </row>
    <row r="20" spans="2:21" x14ac:dyDescent="0.25">
      <c r="B20" s="43"/>
      <c r="C20" s="58" t="s">
        <v>123</v>
      </c>
      <c r="D20" s="67"/>
      <c r="E20" s="23"/>
      <c r="F20" s="23"/>
      <c r="G20" s="23">
        <f t="shared" si="0"/>
        <v>0</v>
      </c>
      <c r="H20" s="23"/>
      <c r="I20" s="23">
        <f>+'Hoja de trabajo'!B86</f>
        <v>3354890.1851480007</v>
      </c>
      <c r="K20" s="23">
        <v>7559526</v>
      </c>
      <c r="L20" s="23"/>
      <c r="M20" s="23">
        <f t="shared" si="2"/>
        <v>7559526</v>
      </c>
      <c r="N20" s="23"/>
      <c r="O20" s="23">
        <f t="shared" si="3"/>
        <v>7559526</v>
      </c>
      <c r="P20" s="67"/>
      <c r="Q20" s="23">
        <f>1308073+234029</f>
        <v>1542102</v>
      </c>
      <c r="R20" s="23">
        <v>175726</v>
      </c>
      <c r="S20" s="23">
        <f t="shared" si="4"/>
        <v>1717828</v>
      </c>
      <c r="T20" s="23"/>
      <c r="U20" s="23">
        <f t="shared" si="5"/>
        <v>1717828</v>
      </c>
    </row>
    <row r="21" spans="2:21" x14ac:dyDescent="0.25">
      <c r="B21" s="43"/>
      <c r="C21" s="58" t="s">
        <v>124</v>
      </c>
      <c r="D21" s="67"/>
      <c r="E21" s="23"/>
      <c r="F21" s="23"/>
      <c r="G21" s="23">
        <f t="shared" si="0"/>
        <v>0</v>
      </c>
      <c r="H21" s="23"/>
      <c r="I21" s="23">
        <f>+'Hoja de trabajo'!K39</f>
        <v>-1881937</v>
      </c>
      <c r="K21" s="23">
        <v>251108</v>
      </c>
      <c r="L21" s="23"/>
      <c r="M21" s="23">
        <f t="shared" si="2"/>
        <v>251108</v>
      </c>
      <c r="N21" s="23"/>
      <c r="O21" s="23">
        <f t="shared" si="3"/>
        <v>251108</v>
      </c>
      <c r="P21" s="67"/>
      <c r="Q21" s="23"/>
      <c r="R21" s="23"/>
      <c r="S21" s="23">
        <f t="shared" si="4"/>
        <v>0</v>
      </c>
      <c r="T21" s="23"/>
      <c r="U21" s="23">
        <f t="shared" si="5"/>
        <v>0</v>
      </c>
    </row>
    <row r="22" spans="2:21" x14ac:dyDescent="0.25">
      <c r="B22" s="43"/>
      <c r="C22" s="58" t="s">
        <v>125</v>
      </c>
      <c r="D22" s="67"/>
      <c r="E22" s="23"/>
      <c r="F22" s="23">
        <v>-73587</v>
      </c>
      <c r="G22" s="23">
        <f t="shared" si="0"/>
        <v>-73587</v>
      </c>
      <c r="H22" s="23"/>
      <c r="I22" s="23">
        <f>+G22+H22</f>
        <v>-73587</v>
      </c>
      <c r="K22" s="23">
        <v>-261500</v>
      </c>
      <c r="L22" s="23"/>
      <c r="M22" s="23">
        <f t="shared" si="2"/>
        <v>-261500</v>
      </c>
      <c r="N22" s="23">
        <f>-ER!M35</f>
        <v>358270.25</v>
      </c>
      <c r="O22" s="23">
        <f t="shared" si="3"/>
        <v>96770.25</v>
      </c>
      <c r="P22" s="67"/>
      <c r="Q22" s="23">
        <v>476468</v>
      </c>
      <c r="R22" s="23"/>
      <c r="S22" s="23"/>
      <c r="T22" s="23"/>
      <c r="U22" s="23"/>
    </row>
    <row r="23" spans="2:21" x14ac:dyDescent="0.25">
      <c r="B23" s="43"/>
      <c r="C23" s="58"/>
      <c r="D23" s="67"/>
      <c r="E23" s="19">
        <f>SUM(E8:E22)</f>
        <v>57347490</v>
      </c>
      <c r="F23" s="19">
        <f>SUM(F8:F22)</f>
        <v>30726728</v>
      </c>
      <c r="G23" s="19">
        <f>SUM(G8:G22)</f>
        <v>88074218</v>
      </c>
      <c r="H23" s="19">
        <f>SUM(H8:H22)</f>
        <v>0</v>
      </c>
      <c r="I23" s="19">
        <f>SUM(I8:I22)</f>
        <v>89547171.185148001</v>
      </c>
      <c r="K23" s="19">
        <f>SUM(K8:K22)</f>
        <v>62352558</v>
      </c>
      <c r="L23" s="19">
        <f>SUM(L8:L22)</f>
        <v>15821421</v>
      </c>
      <c r="M23" s="19">
        <f>SUM(M8:M22)</f>
        <v>78173979</v>
      </c>
      <c r="N23" s="19">
        <f>SUM(N8:N22)</f>
        <v>-7247797.75</v>
      </c>
      <c r="O23" s="19">
        <f>SUM(O8:O22)</f>
        <v>70926181.25</v>
      </c>
      <c r="P23" s="67"/>
      <c r="Q23" s="19">
        <f>SUM(Q8:Q22)</f>
        <v>37584573</v>
      </c>
      <c r="R23" s="72">
        <f>SUM(R8:R21)</f>
        <v>12250363</v>
      </c>
      <c r="S23" s="19">
        <f>SUM(S8:S21)</f>
        <v>49358468</v>
      </c>
      <c r="T23" s="19">
        <f>SUM(T8:T21)</f>
        <v>-7157121</v>
      </c>
      <c r="U23" s="19">
        <f>SUM(U8:U21)</f>
        <v>42201347</v>
      </c>
    </row>
    <row r="24" spans="2:21" x14ac:dyDescent="0.25">
      <c r="B24" s="68" t="s">
        <v>126</v>
      </c>
      <c r="C24" s="58"/>
      <c r="D24" s="67"/>
      <c r="E24" s="23"/>
      <c r="F24" s="23"/>
      <c r="G24" s="23"/>
      <c r="H24" s="23"/>
      <c r="I24" s="23"/>
      <c r="K24" s="23"/>
      <c r="L24" s="23"/>
      <c r="M24" s="23"/>
      <c r="N24" s="23"/>
      <c r="O24" s="23"/>
      <c r="P24" s="67"/>
      <c r="Q24" s="23"/>
      <c r="R24" s="23"/>
      <c r="S24" s="23"/>
      <c r="T24" s="23"/>
      <c r="U24" s="23"/>
    </row>
    <row r="25" spans="2:21" x14ac:dyDescent="0.25">
      <c r="B25" s="43"/>
      <c r="C25" s="58" t="s">
        <v>127</v>
      </c>
      <c r="D25" s="67"/>
      <c r="E25" s="23"/>
      <c r="F25" s="23"/>
      <c r="G25" s="23">
        <f t="shared" ref="G25:G35" si="6">+E25+F25</f>
        <v>0</v>
      </c>
      <c r="H25" s="23"/>
      <c r="I25" s="23">
        <f>+'Hoja de trabajo'!B81</f>
        <v>-9601997</v>
      </c>
      <c r="K25" s="23">
        <v>3944169</v>
      </c>
      <c r="L25" s="23">
        <v>-602469</v>
      </c>
      <c r="M25" s="23">
        <f t="shared" ref="M25:M41" si="7">+K25+L25</f>
        <v>3341700</v>
      </c>
      <c r="N25" s="23"/>
      <c r="O25" s="23">
        <f t="shared" ref="O25:O41" si="8">+M25+N25</f>
        <v>3341700</v>
      </c>
      <c r="P25" s="67"/>
      <c r="Q25" s="23">
        <v>2173914</v>
      </c>
      <c r="R25" s="23">
        <v>153450</v>
      </c>
      <c r="S25" s="23">
        <f t="shared" ref="S25:S35" si="9">+Q25+R25</f>
        <v>2327364</v>
      </c>
      <c r="T25" s="23"/>
      <c r="U25" s="23">
        <f t="shared" ref="U25:U35" si="10">+S25+T25</f>
        <v>2327364</v>
      </c>
    </row>
    <row r="26" spans="2:21" x14ac:dyDescent="0.25">
      <c r="B26" s="43"/>
      <c r="C26" s="58" t="s">
        <v>36</v>
      </c>
      <c r="D26" s="67"/>
      <c r="E26" s="23"/>
      <c r="F26" s="23"/>
      <c r="G26" s="23">
        <f t="shared" si="6"/>
        <v>0</v>
      </c>
      <c r="H26" s="23"/>
      <c r="I26" s="23">
        <f>+'Hoja de trabajo'!C9+'Hoja de trabajo'!C19</f>
        <v>-42334348</v>
      </c>
      <c r="K26" s="23">
        <v>-10765719</v>
      </c>
      <c r="L26" s="23">
        <v>-5894109</v>
      </c>
      <c r="M26" s="23">
        <f t="shared" si="7"/>
        <v>-16659828</v>
      </c>
      <c r="N26" s="23"/>
      <c r="O26" s="23">
        <f t="shared" si="8"/>
        <v>-16659828</v>
      </c>
      <c r="P26" s="67"/>
      <c r="Q26" s="23">
        <v>-16324141</v>
      </c>
      <c r="R26" s="23"/>
      <c r="S26" s="23">
        <f t="shared" si="9"/>
        <v>-16324141</v>
      </c>
      <c r="T26" s="23"/>
      <c r="U26" s="23">
        <f t="shared" si="10"/>
        <v>-16324141</v>
      </c>
    </row>
    <row r="27" spans="2:21" x14ac:dyDescent="0.25">
      <c r="B27" s="43"/>
      <c r="C27" s="58" t="s">
        <v>37</v>
      </c>
      <c r="D27" s="67"/>
      <c r="E27" s="23"/>
      <c r="F27" s="23"/>
      <c r="G27" s="23">
        <f t="shared" si="6"/>
        <v>0</v>
      </c>
      <c r="H27" s="23"/>
      <c r="I27" s="23">
        <f>+'Hoja de trabajo'!C11+'Hoja de trabajo'!C18</f>
        <v>3570842</v>
      </c>
      <c r="K27" s="23">
        <v>-233583</v>
      </c>
      <c r="L27" s="23">
        <f>-8535012-L26-L25</f>
        <v>-2038434</v>
      </c>
      <c r="M27" s="23">
        <f t="shared" si="7"/>
        <v>-2272017</v>
      </c>
      <c r="N27" s="23"/>
      <c r="O27" s="23">
        <f t="shared" si="8"/>
        <v>-2272017</v>
      </c>
      <c r="P27" s="67"/>
      <c r="Q27" s="23">
        <v>-6350190</v>
      </c>
      <c r="R27" s="23"/>
      <c r="S27" s="23">
        <f t="shared" si="9"/>
        <v>-6350190</v>
      </c>
      <c r="T27" s="23"/>
      <c r="U27" s="23">
        <f t="shared" si="10"/>
        <v>-6350190</v>
      </c>
    </row>
    <row r="28" spans="2:21" x14ac:dyDescent="0.25">
      <c r="B28" s="43"/>
      <c r="C28" s="58" t="s">
        <v>30</v>
      </c>
      <c r="D28" s="67"/>
      <c r="E28" s="23"/>
      <c r="F28" s="23"/>
      <c r="G28" s="23">
        <f t="shared" si="6"/>
        <v>0</v>
      </c>
      <c r="H28" s="23"/>
      <c r="I28" s="23">
        <f>+'Hoja de trabajo'!C10</f>
        <v>-5084041</v>
      </c>
      <c r="K28" s="23">
        <v>475548</v>
      </c>
      <c r="L28" s="23"/>
      <c r="M28" s="23">
        <f t="shared" si="7"/>
        <v>475548</v>
      </c>
      <c r="N28" s="23"/>
      <c r="O28" s="23">
        <f t="shared" si="8"/>
        <v>475548</v>
      </c>
      <c r="P28" s="67"/>
      <c r="Q28" s="23">
        <v>546462</v>
      </c>
      <c r="R28" s="23"/>
      <c r="S28" s="23">
        <f t="shared" si="9"/>
        <v>546462</v>
      </c>
      <c r="T28" s="23"/>
      <c r="U28" s="23">
        <f t="shared" si="10"/>
        <v>546462</v>
      </c>
    </row>
    <row r="29" spans="2:21" x14ac:dyDescent="0.25">
      <c r="B29" s="43"/>
      <c r="C29" s="58" t="s">
        <v>31</v>
      </c>
      <c r="D29" s="67"/>
      <c r="E29" s="23"/>
      <c r="F29" s="23"/>
      <c r="G29" s="23">
        <f t="shared" si="6"/>
        <v>0</v>
      </c>
      <c r="H29" s="23"/>
      <c r="I29" s="23">
        <f>+'Hoja de trabajo'!C12</f>
        <v>-5513872</v>
      </c>
      <c r="K29" s="23">
        <v>124930</v>
      </c>
      <c r="L29" s="23"/>
      <c r="M29" s="23">
        <f t="shared" si="7"/>
        <v>124930</v>
      </c>
      <c r="N29" s="23"/>
      <c r="O29" s="23">
        <f t="shared" si="8"/>
        <v>124930</v>
      </c>
      <c r="P29" s="67"/>
      <c r="Q29" s="23">
        <v>1692356</v>
      </c>
      <c r="R29" s="23"/>
      <c r="S29" s="23">
        <f t="shared" si="9"/>
        <v>1692356</v>
      </c>
      <c r="T29" s="23"/>
      <c r="U29" s="23">
        <f t="shared" si="10"/>
        <v>1692356</v>
      </c>
    </row>
    <row r="30" spans="2:21" x14ac:dyDescent="0.25">
      <c r="B30" s="43"/>
      <c r="C30" s="58" t="s">
        <v>32</v>
      </c>
      <c r="D30" s="67"/>
      <c r="E30" s="23"/>
      <c r="F30" s="23"/>
      <c r="G30" s="23">
        <f t="shared" si="6"/>
        <v>0</v>
      </c>
      <c r="H30" s="23"/>
      <c r="I30" s="23">
        <f>+'Hoja de trabajo'!C13</f>
        <v>221118</v>
      </c>
      <c r="K30" s="23">
        <v>-9031384</v>
      </c>
      <c r="L30" s="23"/>
      <c r="M30" s="23">
        <f t="shared" si="7"/>
        <v>-9031384</v>
      </c>
      <c r="N30" s="23"/>
      <c r="O30" s="23">
        <f t="shared" si="8"/>
        <v>-9031384</v>
      </c>
      <c r="P30" s="67"/>
      <c r="Q30" s="23">
        <v>3855566</v>
      </c>
      <c r="R30" s="23">
        <v>16620</v>
      </c>
      <c r="S30" s="23">
        <f t="shared" si="9"/>
        <v>3872186</v>
      </c>
      <c r="T30" s="23"/>
      <c r="U30" s="23">
        <f t="shared" si="10"/>
        <v>3872186</v>
      </c>
    </row>
    <row r="31" spans="2:21" x14ac:dyDescent="0.25">
      <c r="B31" s="43"/>
      <c r="C31" s="58" t="s">
        <v>45</v>
      </c>
      <c r="D31" s="67"/>
      <c r="E31" s="23"/>
      <c r="F31" s="23"/>
      <c r="G31" s="23">
        <f t="shared" si="6"/>
        <v>0</v>
      </c>
      <c r="H31" s="23"/>
      <c r="I31" s="23">
        <f>+'Hoja de trabajo'!C25</f>
        <v>-1984557</v>
      </c>
      <c r="K31" s="23"/>
      <c r="L31" s="23">
        <v>-86645</v>
      </c>
      <c r="M31" s="23">
        <f t="shared" si="7"/>
        <v>-86645</v>
      </c>
      <c r="N31" s="23"/>
      <c r="O31" s="23">
        <f t="shared" si="8"/>
        <v>-86645</v>
      </c>
      <c r="P31" s="67"/>
      <c r="Q31" s="23">
        <v>-1495</v>
      </c>
      <c r="R31" s="23">
        <v>-97195</v>
      </c>
      <c r="S31" s="23">
        <f t="shared" si="9"/>
        <v>-98690</v>
      </c>
      <c r="T31" s="23"/>
      <c r="U31" s="23">
        <f t="shared" si="10"/>
        <v>-98690</v>
      </c>
    </row>
    <row r="32" spans="2:21" x14ac:dyDescent="0.25">
      <c r="B32" s="43"/>
      <c r="C32" s="58" t="s">
        <v>128</v>
      </c>
      <c r="D32" s="67"/>
      <c r="E32" s="23"/>
      <c r="F32" s="23"/>
      <c r="G32" s="23">
        <f t="shared" si="6"/>
        <v>0</v>
      </c>
      <c r="H32" s="23"/>
      <c r="I32" s="23">
        <f>+'Hoja de trabajo'!L8+'Hoja de trabajo'!L20</f>
        <v>9227186</v>
      </c>
      <c r="K32" s="23">
        <v>-2518955</v>
      </c>
      <c r="L32" s="23">
        <v>94649</v>
      </c>
      <c r="M32" s="23">
        <f t="shared" si="7"/>
        <v>-2424306</v>
      </c>
      <c r="N32" s="23"/>
      <c r="O32" s="23">
        <f t="shared" si="8"/>
        <v>-2424306</v>
      </c>
      <c r="P32" s="67"/>
      <c r="Q32" s="23">
        <v>-3759434</v>
      </c>
      <c r="R32" s="23">
        <v>-751038</v>
      </c>
      <c r="S32" s="23">
        <f t="shared" si="9"/>
        <v>-4510472</v>
      </c>
      <c r="T32" s="23"/>
      <c r="U32" s="23">
        <f t="shared" si="10"/>
        <v>-4510472</v>
      </c>
    </row>
    <row r="33" spans="2:21" x14ac:dyDescent="0.25">
      <c r="B33" s="43"/>
      <c r="C33" s="58" t="s">
        <v>129</v>
      </c>
      <c r="D33" s="67"/>
      <c r="E33" s="23"/>
      <c r="F33" s="23"/>
      <c r="G33" s="23">
        <f t="shared" si="6"/>
        <v>0</v>
      </c>
      <c r="H33" s="23"/>
      <c r="I33" s="23">
        <f>+'Hoja de trabajo'!L9+'Hoja de trabajo'!L21</f>
        <v>52432205</v>
      </c>
      <c r="K33" s="23">
        <v>618571</v>
      </c>
      <c r="L33" s="23">
        <v>5583218</v>
      </c>
      <c r="M33" s="23">
        <f t="shared" si="7"/>
        <v>6201789</v>
      </c>
      <c r="N33" s="23"/>
      <c r="O33" s="23">
        <f t="shared" si="8"/>
        <v>6201789</v>
      </c>
      <c r="P33" s="67"/>
      <c r="Q33" s="23">
        <v>1235126</v>
      </c>
      <c r="R33" s="23"/>
      <c r="S33" s="23">
        <f t="shared" si="9"/>
        <v>1235126</v>
      </c>
      <c r="T33" s="23"/>
      <c r="U33" s="23">
        <f t="shared" si="10"/>
        <v>1235126</v>
      </c>
    </row>
    <row r="34" spans="2:21" x14ac:dyDescent="0.25">
      <c r="B34" s="43"/>
      <c r="C34" s="58" t="s">
        <v>130</v>
      </c>
      <c r="D34" s="67"/>
      <c r="E34" s="23"/>
      <c r="F34" s="23"/>
      <c r="G34" s="23">
        <f t="shared" si="6"/>
        <v>0</v>
      </c>
      <c r="H34" s="23"/>
      <c r="I34" s="23">
        <f>+'Hoja de trabajo'!B70</f>
        <v>-9406957</v>
      </c>
      <c r="K34" s="23">
        <v>2484728</v>
      </c>
      <c r="L34" s="23">
        <v>-1023114</v>
      </c>
      <c r="M34" s="23">
        <f t="shared" si="7"/>
        <v>1461614</v>
      </c>
      <c r="N34" s="23"/>
      <c r="O34" s="23">
        <f t="shared" si="8"/>
        <v>1461614</v>
      </c>
      <c r="P34" s="67"/>
      <c r="Q34" s="23">
        <v>64755</v>
      </c>
      <c r="R34" s="23">
        <v>-273465</v>
      </c>
      <c r="S34" s="23">
        <f t="shared" si="9"/>
        <v>-208710</v>
      </c>
      <c r="T34" s="23"/>
      <c r="U34" s="23">
        <f t="shared" si="10"/>
        <v>-208710</v>
      </c>
    </row>
    <row r="35" spans="2:21" x14ac:dyDescent="0.25">
      <c r="B35" s="43"/>
      <c r="C35" s="58" t="s">
        <v>131</v>
      </c>
      <c r="D35" s="67"/>
      <c r="E35" s="23"/>
      <c r="F35" s="23"/>
      <c r="G35" s="23">
        <f t="shared" si="6"/>
        <v>0</v>
      </c>
      <c r="H35" s="23"/>
      <c r="I35" s="23">
        <f>+'Hoja de trabajo'!L11+'Hoja de trabajo'!L22</f>
        <v>-1726347</v>
      </c>
      <c r="K35" s="23">
        <v>-4641544</v>
      </c>
      <c r="L35" s="23">
        <f>5964089-L33-L32</f>
        <v>286222</v>
      </c>
      <c r="M35" s="23">
        <f t="shared" si="7"/>
        <v>-4355322</v>
      </c>
      <c r="N35" s="23">
        <v>-295764</v>
      </c>
      <c r="O35" s="23">
        <f t="shared" si="8"/>
        <v>-4651086</v>
      </c>
      <c r="P35" s="67"/>
      <c r="Q35" s="23">
        <v>4568360</v>
      </c>
      <c r="R35" s="23"/>
      <c r="S35" s="23">
        <f t="shared" si="9"/>
        <v>4568360</v>
      </c>
      <c r="T35" s="23"/>
      <c r="U35" s="23">
        <f t="shared" si="10"/>
        <v>4568360</v>
      </c>
    </row>
    <row r="36" spans="2:21" x14ac:dyDescent="0.25">
      <c r="B36" s="43"/>
      <c r="C36" s="70" t="s">
        <v>58</v>
      </c>
      <c r="D36" s="67"/>
      <c r="E36" s="23"/>
      <c r="F36" s="23"/>
      <c r="G36" s="23"/>
      <c r="H36" s="23"/>
      <c r="I36" s="23">
        <f>+'Hoja de trabajo'!L12+'Hoja de trabajo'!L24</f>
        <v>-15634043</v>
      </c>
      <c r="K36" s="23"/>
      <c r="L36" s="23"/>
      <c r="M36" s="23">
        <f t="shared" si="7"/>
        <v>0</v>
      </c>
      <c r="N36" s="23"/>
      <c r="O36" s="23">
        <f t="shared" si="8"/>
        <v>0</v>
      </c>
      <c r="P36" s="67"/>
      <c r="Q36" s="23"/>
      <c r="R36" s="23"/>
      <c r="S36" s="23"/>
      <c r="T36" s="23"/>
      <c r="U36" s="23"/>
    </row>
    <row r="37" spans="2:21" x14ac:dyDescent="0.25">
      <c r="B37" s="43"/>
      <c r="C37" s="58" t="s">
        <v>132</v>
      </c>
      <c r="D37" s="67"/>
      <c r="E37" s="23"/>
      <c r="F37" s="23"/>
      <c r="G37" s="23">
        <f>+E37+F37</f>
        <v>0</v>
      </c>
      <c r="H37" s="23"/>
      <c r="I37" s="23">
        <v>0</v>
      </c>
      <c r="K37" s="23">
        <v>-81914</v>
      </c>
      <c r="L37" s="23"/>
      <c r="M37" s="23">
        <f t="shared" si="7"/>
        <v>-81914</v>
      </c>
      <c r="N37" s="23"/>
      <c r="O37" s="23">
        <f t="shared" si="8"/>
        <v>-81914</v>
      </c>
      <c r="P37" s="67"/>
      <c r="Q37" s="23">
        <v>-2404770</v>
      </c>
      <c r="R37" s="23"/>
      <c r="S37" s="23">
        <f>+Q37+R37</f>
        <v>-2404770</v>
      </c>
      <c r="T37" s="23"/>
      <c r="U37" s="23">
        <f>+S37+T37</f>
        <v>-2404770</v>
      </c>
    </row>
    <row r="38" spans="2:21" x14ac:dyDescent="0.25">
      <c r="B38" s="43"/>
      <c r="C38" s="58" t="s">
        <v>59</v>
      </c>
      <c r="D38" s="67"/>
      <c r="E38" s="23"/>
      <c r="F38" s="23"/>
      <c r="G38" s="23">
        <f>+E38+F38</f>
        <v>0</v>
      </c>
      <c r="H38" s="23"/>
      <c r="I38" s="23">
        <f>+'Hoja de trabajo'!B76</f>
        <v>3504271</v>
      </c>
      <c r="K38" s="23">
        <v>577820</v>
      </c>
      <c r="L38" s="23">
        <v>417024</v>
      </c>
      <c r="M38" s="23">
        <f t="shared" si="7"/>
        <v>994844</v>
      </c>
      <c r="N38" s="23"/>
      <c r="O38" s="23">
        <f t="shared" si="8"/>
        <v>994844</v>
      </c>
      <c r="P38" s="67"/>
      <c r="Q38" s="23">
        <v>344260</v>
      </c>
      <c r="R38" s="23">
        <v>-620687</v>
      </c>
      <c r="S38" s="23">
        <f>+Q38+R38</f>
        <v>-276427</v>
      </c>
      <c r="T38" s="23"/>
      <c r="U38" s="23">
        <f>+S38+T38</f>
        <v>-276427</v>
      </c>
    </row>
    <row r="39" spans="2:21" hidden="1" x14ac:dyDescent="0.25">
      <c r="B39" s="43"/>
      <c r="C39" s="58" t="s">
        <v>133</v>
      </c>
      <c r="D39" s="67"/>
      <c r="E39" s="23"/>
      <c r="F39" s="23"/>
      <c r="G39" s="23">
        <f>+E39+F39</f>
        <v>0</v>
      </c>
      <c r="H39" s="23"/>
      <c r="I39" s="23">
        <f>+G39+H39</f>
        <v>0</v>
      </c>
      <c r="K39" s="23"/>
      <c r="L39" s="23"/>
      <c r="M39" s="23">
        <f t="shared" si="7"/>
        <v>0</v>
      </c>
      <c r="N39" s="23"/>
      <c r="O39" s="23">
        <f t="shared" si="8"/>
        <v>0</v>
      </c>
      <c r="P39" s="67"/>
      <c r="Q39" s="23"/>
      <c r="R39" s="23"/>
      <c r="S39" s="23">
        <f>+Q39+R39</f>
        <v>0</v>
      </c>
      <c r="T39" s="23"/>
      <c r="U39" s="23">
        <f>+S39+T39</f>
        <v>0</v>
      </c>
    </row>
    <row r="40" spans="2:21" hidden="1" x14ac:dyDescent="0.25">
      <c r="B40" s="43"/>
      <c r="C40" s="58" t="s">
        <v>134</v>
      </c>
      <c r="D40" s="67"/>
      <c r="E40" s="23"/>
      <c r="F40" s="23"/>
      <c r="G40" s="23">
        <f>+E40+F40</f>
        <v>0</v>
      </c>
      <c r="H40" s="23"/>
      <c r="I40" s="23">
        <f>+G40+H40</f>
        <v>0</v>
      </c>
      <c r="K40" s="23"/>
      <c r="L40" s="23"/>
      <c r="M40" s="23">
        <f t="shared" si="7"/>
        <v>0</v>
      </c>
      <c r="N40" s="23"/>
      <c r="O40" s="23">
        <f t="shared" si="8"/>
        <v>0</v>
      </c>
      <c r="P40" s="67"/>
      <c r="Q40" s="23"/>
      <c r="R40" s="23"/>
      <c r="S40" s="23">
        <f>+Q40+R40</f>
        <v>0</v>
      </c>
      <c r="T40" s="23"/>
      <c r="U40" s="23">
        <f>+S40+T40</f>
        <v>0</v>
      </c>
    </row>
    <row r="41" spans="2:21" x14ac:dyDescent="0.25">
      <c r="B41" s="43"/>
      <c r="C41" s="58" t="s">
        <v>135</v>
      </c>
      <c r="D41" s="67"/>
      <c r="E41" s="37"/>
      <c r="F41" s="37"/>
      <c r="G41" s="23">
        <f>+E41+F41</f>
        <v>0</v>
      </c>
      <c r="H41" s="23"/>
      <c r="I41" s="23">
        <v>0</v>
      </c>
      <c r="K41" s="37">
        <v>-992443</v>
      </c>
      <c r="L41" s="37"/>
      <c r="M41" s="23">
        <f t="shared" si="7"/>
        <v>-992443</v>
      </c>
      <c r="N41" s="23"/>
      <c r="O41" s="23">
        <f t="shared" si="8"/>
        <v>-992443</v>
      </c>
      <c r="P41" s="67"/>
      <c r="Q41" s="37">
        <v>-2999556</v>
      </c>
      <c r="R41" s="37"/>
      <c r="S41" s="23">
        <f>+Q41+R41</f>
        <v>-2999556</v>
      </c>
      <c r="T41" s="23"/>
      <c r="U41" s="23">
        <f>+S41+T41</f>
        <v>-2999556</v>
      </c>
    </row>
    <row r="42" spans="2:21" x14ac:dyDescent="0.25">
      <c r="B42" s="68" t="s">
        <v>136</v>
      </c>
      <c r="C42" s="58"/>
      <c r="D42" s="67"/>
      <c r="E42" s="23">
        <f>SUM(E23:E41)</f>
        <v>57347490</v>
      </c>
      <c r="F42" s="23">
        <f>SUM(F23:F41)</f>
        <v>30726728</v>
      </c>
      <c r="G42" s="19">
        <f>SUM(G23:G41)</f>
        <v>88074218</v>
      </c>
      <c r="H42" s="19">
        <f>SUM(H23:H41)</f>
        <v>0</v>
      </c>
      <c r="I42" s="19">
        <f>SUM(I23:I41)</f>
        <v>67216631.185148001</v>
      </c>
      <c r="K42" s="23">
        <f>SUM(K23:K41)</f>
        <v>42312782</v>
      </c>
      <c r="L42" s="23">
        <f>SUM(L23:L41)</f>
        <v>12557763</v>
      </c>
      <c r="M42" s="19">
        <f>SUM(M23:M41)</f>
        <v>54870545</v>
      </c>
      <c r="N42" s="19">
        <f>SUM(N23:N41)</f>
        <v>-7543561.75</v>
      </c>
      <c r="O42" s="19">
        <f>SUM(O23:O41)</f>
        <v>47326983.25</v>
      </c>
      <c r="P42" s="67"/>
      <c r="Q42" s="23">
        <f>SUM(Q23:Q41)</f>
        <v>20225786</v>
      </c>
      <c r="R42" s="23">
        <f>SUM(R23:R41)</f>
        <v>10678048</v>
      </c>
      <c r="S42" s="19">
        <f>SUM(S23:S41)</f>
        <v>30427366</v>
      </c>
      <c r="T42" s="19">
        <f>SUM(T23:T41)</f>
        <v>-7157121</v>
      </c>
      <c r="U42" s="19">
        <f>SUM(U23:U41)</f>
        <v>23270245</v>
      </c>
    </row>
    <row r="43" spans="2:21" x14ac:dyDescent="0.25">
      <c r="B43" s="43"/>
      <c r="C43" s="58" t="s">
        <v>137</v>
      </c>
      <c r="D43" s="67"/>
      <c r="E43" s="23"/>
      <c r="F43" s="23">
        <v>-2091119</v>
      </c>
      <c r="G43" s="23">
        <f>+E43+F43</f>
        <v>-2091119</v>
      </c>
      <c r="H43" s="31"/>
      <c r="I43" s="23">
        <f>+G43+H43</f>
        <v>-2091119</v>
      </c>
      <c r="K43" s="23">
        <v>-4237903</v>
      </c>
      <c r="L43" s="23"/>
      <c r="M43" s="23">
        <f>+K43+L43</f>
        <v>-4237903</v>
      </c>
      <c r="N43" s="31"/>
      <c r="O43" s="23">
        <f>+M43+N43</f>
        <v>-4237903</v>
      </c>
      <c r="P43" s="67"/>
      <c r="Q43" s="23">
        <v>-3550763</v>
      </c>
      <c r="R43" s="23">
        <v>0</v>
      </c>
      <c r="S43" s="23">
        <f>+Q43+R43</f>
        <v>-3550763</v>
      </c>
      <c r="T43" s="31"/>
      <c r="U43" s="23">
        <f>+S43+T43</f>
        <v>-3550763</v>
      </c>
    </row>
    <row r="44" spans="2:21" x14ac:dyDescent="0.25">
      <c r="B44" s="43"/>
      <c r="C44" s="58" t="s">
        <v>138</v>
      </c>
      <c r="D44" s="67"/>
      <c r="E44" s="23">
        <v>-2840226</v>
      </c>
      <c r="F44" s="23"/>
      <c r="G44" s="23">
        <f>+E44+F44</f>
        <v>-2840226</v>
      </c>
      <c r="H44" s="31"/>
      <c r="I44" s="23">
        <f>+G44+H44</f>
        <v>-2840226</v>
      </c>
      <c r="K44" s="23">
        <v>-1591304</v>
      </c>
      <c r="L44" s="23"/>
      <c r="M44" s="23">
        <f>+K44+L44</f>
        <v>-1591304</v>
      </c>
      <c r="N44" s="31"/>
      <c r="O44" s="23">
        <f>+M44+N44</f>
        <v>-1591304</v>
      </c>
      <c r="P44" s="67"/>
      <c r="Q44" s="23">
        <v>-1759101</v>
      </c>
      <c r="R44" s="23"/>
      <c r="S44" s="23">
        <f>+Q44+R44</f>
        <v>-1759101</v>
      </c>
      <c r="T44" s="31"/>
      <c r="U44" s="23">
        <f>+S44+T44</f>
        <v>-1759101</v>
      </c>
    </row>
    <row r="45" spans="2:21" x14ac:dyDescent="0.25">
      <c r="B45" s="43"/>
      <c r="C45" s="58" t="s">
        <v>139</v>
      </c>
      <c r="D45" s="67"/>
      <c r="E45" s="37"/>
      <c r="F45" s="37"/>
      <c r="G45" s="23">
        <f>+E45+F45</f>
        <v>0</v>
      </c>
      <c r="H45" s="31"/>
      <c r="I45" s="23">
        <f>+'Hoja de trabajo'!B54</f>
        <v>-3830460</v>
      </c>
      <c r="K45" s="37">
        <v>-207177</v>
      </c>
      <c r="L45" s="37"/>
      <c r="M45" s="23">
        <f>+K45+L45</f>
        <v>-207177</v>
      </c>
      <c r="N45" s="31"/>
      <c r="O45" s="23">
        <f>+M45+N45</f>
        <v>-207177</v>
      </c>
      <c r="P45" s="67"/>
      <c r="Q45" s="37">
        <v>-107410</v>
      </c>
      <c r="R45" s="37"/>
      <c r="S45" s="23">
        <f>+Q45+R45</f>
        <v>-107410</v>
      </c>
      <c r="T45" s="31"/>
      <c r="U45" s="23">
        <f>+S45+T45</f>
        <v>-107410</v>
      </c>
    </row>
    <row r="46" spans="2:21" x14ac:dyDescent="0.25">
      <c r="B46" s="73" t="s">
        <v>140</v>
      </c>
      <c r="C46" s="74"/>
      <c r="D46" s="75"/>
      <c r="E46" s="32">
        <f>SUM(E42:E45)</f>
        <v>54507264</v>
      </c>
      <c r="F46" s="32">
        <f>SUM(F42:F45)</f>
        <v>28635609</v>
      </c>
      <c r="G46" s="32">
        <f>SUM(G42:G45)</f>
        <v>83142873</v>
      </c>
      <c r="H46" s="32">
        <f>SUM(H42:H45)</f>
        <v>0</v>
      </c>
      <c r="I46" s="32">
        <f>SUM(I42:I45)</f>
        <v>58454826.185148001</v>
      </c>
      <c r="K46" s="32">
        <f>SUM(K42:K45)</f>
        <v>36276398</v>
      </c>
      <c r="L46" s="32">
        <f>SUM(L42:L45)</f>
        <v>12557763</v>
      </c>
      <c r="M46" s="32">
        <f>SUM(M42:M45)</f>
        <v>48834161</v>
      </c>
      <c r="N46" s="32">
        <f>SUM(N42:N45)</f>
        <v>-7543561.75</v>
      </c>
      <c r="O46" s="32">
        <f>SUM(O42:O45)</f>
        <v>41290599.25</v>
      </c>
      <c r="P46" s="76"/>
      <c r="Q46" s="32">
        <f>SUM(Q42:Q45)</f>
        <v>14808512</v>
      </c>
      <c r="R46" s="32">
        <f>SUM(R42:R45)</f>
        <v>10678048</v>
      </c>
      <c r="S46" s="32">
        <f>SUM(S42:S45)</f>
        <v>25010092</v>
      </c>
      <c r="T46" s="32">
        <f>SUM(T42:T45)</f>
        <v>-7157121</v>
      </c>
      <c r="U46" s="32">
        <f>SUM(U42:U45)</f>
        <v>17852971</v>
      </c>
    </row>
    <row r="47" spans="2:21" x14ac:dyDescent="0.25">
      <c r="B47" s="77"/>
      <c r="C47" s="64"/>
      <c r="D47" s="66"/>
      <c r="E47" s="23"/>
      <c r="F47" s="23"/>
      <c r="G47" s="31"/>
      <c r="H47" s="31"/>
      <c r="I47" s="31"/>
      <c r="K47" s="23"/>
      <c r="L47" s="23"/>
      <c r="M47" s="31"/>
      <c r="N47" s="31"/>
      <c r="O47" s="31"/>
      <c r="Q47" s="23"/>
      <c r="R47" s="23"/>
      <c r="S47" s="31"/>
      <c r="T47" s="31"/>
      <c r="U47" s="31"/>
    </row>
    <row r="48" spans="2:21" x14ac:dyDescent="0.25">
      <c r="B48" s="68" t="s">
        <v>141</v>
      </c>
      <c r="C48" s="58"/>
      <c r="D48" s="67"/>
      <c r="E48" s="23"/>
      <c r="F48" s="23"/>
      <c r="G48" s="31"/>
      <c r="H48" s="31"/>
      <c r="I48" s="31"/>
      <c r="K48" s="23"/>
      <c r="L48" s="23"/>
      <c r="M48" s="31"/>
      <c r="N48" s="31"/>
      <c r="O48" s="31"/>
      <c r="Q48" s="23"/>
      <c r="R48" s="23"/>
      <c r="S48" s="31"/>
      <c r="T48" s="31"/>
      <c r="U48" s="31"/>
    </row>
    <row r="49" spans="2:21" ht="27.75" customHeight="1" x14ac:dyDescent="0.25">
      <c r="B49" s="43"/>
      <c r="C49" s="9" t="s">
        <v>142</v>
      </c>
      <c r="D49" s="9"/>
      <c r="E49" s="23"/>
      <c r="F49" s="23"/>
      <c r="G49" s="23">
        <f>+E49+F49</f>
        <v>0</v>
      </c>
      <c r="H49" s="31"/>
      <c r="I49" s="23">
        <f>+'Hoja de trabajo'!C7</f>
        <v>3358789</v>
      </c>
      <c r="K49" s="23">
        <v>251011</v>
      </c>
      <c r="L49" s="23"/>
      <c r="M49" s="23">
        <f>+K49+L49</f>
        <v>251011</v>
      </c>
      <c r="N49" s="31"/>
      <c r="O49" s="23">
        <f>+M49+N49</f>
        <v>251011</v>
      </c>
      <c r="Q49" s="23">
        <v>-593863</v>
      </c>
      <c r="R49" s="23"/>
      <c r="S49" s="23">
        <f>+Q49+R49</f>
        <v>-593863</v>
      </c>
      <c r="T49" s="31"/>
      <c r="U49" s="23">
        <f>+S49+T49</f>
        <v>-593863</v>
      </c>
    </row>
    <row r="50" spans="2:21" x14ac:dyDescent="0.25">
      <c r="B50" s="43"/>
      <c r="C50" s="78" t="s">
        <v>143</v>
      </c>
      <c r="D50" s="67"/>
      <c r="E50" s="23"/>
      <c r="F50" s="23"/>
      <c r="G50" s="23">
        <f>+E50+F50</f>
        <v>0</v>
      </c>
      <c r="H50" s="31"/>
      <c r="I50" s="23">
        <f>+'Hoja de trabajo'!C6</f>
        <v>-3107992</v>
      </c>
      <c r="K50" s="23">
        <v>29809</v>
      </c>
      <c r="L50" s="23">
        <v>-205582</v>
      </c>
      <c r="M50" s="23">
        <f>+K50+L50</f>
        <v>-175773</v>
      </c>
      <c r="N50" s="31"/>
      <c r="O50" s="23">
        <f>+M50+N50</f>
        <v>-175773</v>
      </c>
      <c r="Q50" s="23">
        <v>5828169</v>
      </c>
      <c r="R50" s="23"/>
      <c r="S50" s="23">
        <f>+Q50+R50</f>
        <v>5828169</v>
      </c>
      <c r="T50" s="31"/>
      <c r="U50" s="23">
        <f>+S50+T50</f>
        <v>5828169</v>
      </c>
    </row>
    <row r="51" spans="2:21" x14ac:dyDescent="0.25">
      <c r="B51" s="43"/>
      <c r="C51" s="70" t="s">
        <v>144</v>
      </c>
      <c r="D51" s="67"/>
      <c r="E51" s="23"/>
      <c r="F51" s="23"/>
      <c r="G51" s="23"/>
      <c r="H51" s="31"/>
      <c r="I51" s="23">
        <f>+'Hoja de trabajo'!C23</f>
        <v>-436479</v>
      </c>
      <c r="K51" s="23"/>
      <c r="L51" s="23"/>
      <c r="M51" s="23"/>
      <c r="N51" s="31"/>
      <c r="O51" s="23"/>
      <c r="Q51" s="23"/>
      <c r="R51" s="23"/>
      <c r="S51" s="23"/>
      <c r="T51" s="31"/>
      <c r="U51" s="23"/>
    </row>
    <row r="52" spans="2:21" x14ac:dyDescent="0.25">
      <c r="B52" s="43"/>
      <c r="C52" s="8" t="s">
        <v>145</v>
      </c>
      <c r="D52" s="8"/>
      <c r="E52" s="23"/>
      <c r="F52" s="23">
        <v>205582</v>
      </c>
      <c r="G52" s="23">
        <f>+E52+F52</f>
        <v>205582</v>
      </c>
      <c r="H52" s="31"/>
      <c r="I52" s="23">
        <f>+'Hoja de trabajo'!B49</f>
        <v>8040389</v>
      </c>
      <c r="K52" s="23"/>
      <c r="L52" s="23"/>
      <c r="M52" s="23">
        <f>+K52+L52</f>
        <v>0</v>
      </c>
      <c r="N52" s="31"/>
      <c r="O52" s="23"/>
      <c r="Q52" s="23">
        <v>0</v>
      </c>
      <c r="R52" s="23"/>
      <c r="S52" s="23">
        <f>+Q52+R52</f>
        <v>0</v>
      </c>
      <c r="T52" s="31"/>
      <c r="U52" s="23"/>
    </row>
    <row r="53" spans="2:21" x14ac:dyDescent="0.25">
      <c r="B53" s="43"/>
      <c r="C53" s="58" t="s">
        <v>146</v>
      </c>
      <c r="D53" s="67"/>
      <c r="E53" s="23"/>
      <c r="F53" s="23"/>
      <c r="G53" s="23">
        <f>+E53+F53</f>
        <v>0</v>
      </c>
      <c r="H53" s="31"/>
      <c r="I53" s="23">
        <f>+'Hoja de trabajo'!C24</f>
        <v>-3606335</v>
      </c>
      <c r="K53" s="23">
        <v>1978971</v>
      </c>
      <c r="L53" s="23"/>
      <c r="M53" s="23">
        <f>+K53+L53</f>
        <v>1978971</v>
      </c>
      <c r="N53" s="31"/>
      <c r="O53" s="23">
        <f>+M53+N53</f>
        <v>1978971</v>
      </c>
      <c r="Q53" s="23">
        <v>-962949</v>
      </c>
      <c r="R53" s="23"/>
      <c r="S53" s="23">
        <f>+Q53+R53</f>
        <v>-962949</v>
      </c>
      <c r="T53" s="31"/>
      <c r="U53" s="23">
        <f>+S53+T53</f>
        <v>-962949</v>
      </c>
    </row>
    <row r="54" spans="2:21" x14ac:dyDescent="0.25">
      <c r="B54" s="43"/>
      <c r="C54" s="58" t="s">
        <v>147</v>
      </c>
      <c r="D54" s="67"/>
      <c r="E54" s="23"/>
      <c r="F54" s="23">
        <v>-11702814</v>
      </c>
      <c r="G54" s="23">
        <f>+E54+F54</f>
        <v>-11702814</v>
      </c>
      <c r="H54" s="23"/>
      <c r="I54" s="23">
        <f>+'Hoja de trabajo'!B43</f>
        <v>-49755315.938547999</v>
      </c>
      <c r="K54" s="23">
        <v>-10976052</v>
      </c>
      <c r="L54" s="23">
        <v>-6427483</v>
      </c>
      <c r="M54" s="23">
        <f>+K54+L54</f>
        <v>-17403535</v>
      </c>
      <c r="N54" s="23">
        <f>+AD!L23</f>
        <v>5827272</v>
      </c>
      <c r="O54" s="23">
        <f>+M54+N54</f>
        <v>-11576263</v>
      </c>
      <c r="Q54" s="23">
        <v>-13974701</v>
      </c>
      <c r="R54" s="23">
        <v>-7233185</v>
      </c>
      <c r="S54" s="23">
        <f>+Q54+R54</f>
        <v>-21207886</v>
      </c>
      <c r="T54" s="23">
        <f>+AD!N23</f>
        <v>7144181</v>
      </c>
      <c r="U54" s="23">
        <f>+S54+T54</f>
        <v>-14063705</v>
      </c>
    </row>
    <row r="55" spans="2:21" hidden="1" x14ac:dyDescent="0.25">
      <c r="B55" s="43"/>
      <c r="C55" s="58" t="s">
        <v>148</v>
      </c>
      <c r="D55" s="67"/>
      <c r="E55" s="23"/>
      <c r="F55" s="23"/>
      <c r="G55" s="23">
        <f>+E55+F55</f>
        <v>0</v>
      </c>
      <c r="H55" s="31"/>
      <c r="I55" s="23">
        <f>+G55+H55</f>
        <v>0</v>
      </c>
      <c r="K55" s="23"/>
      <c r="L55" s="23"/>
      <c r="M55" s="23">
        <f>+K55+L55</f>
        <v>0</v>
      </c>
      <c r="N55" s="31"/>
      <c r="O55" s="23">
        <f>+M55+N55</f>
        <v>0</v>
      </c>
      <c r="Q55" s="23">
        <v>0</v>
      </c>
      <c r="R55" s="23"/>
      <c r="S55" s="23">
        <f>+Q55+R55</f>
        <v>0</v>
      </c>
      <c r="T55" s="31"/>
      <c r="U55" s="23">
        <f>+S55+T55</f>
        <v>0</v>
      </c>
    </row>
    <row r="56" spans="2:21" hidden="1" x14ac:dyDescent="0.25">
      <c r="B56" s="43"/>
      <c r="C56" s="79" t="s">
        <v>149</v>
      </c>
      <c r="D56" s="67"/>
      <c r="E56" s="23"/>
      <c r="F56" s="23"/>
      <c r="G56" s="23"/>
      <c r="H56" s="31"/>
      <c r="I56" s="23">
        <f>+G56+H56</f>
        <v>0</v>
      </c>
      <c r="K56" s="23"/>
      <c r="L56" s="23"/>
      <c r="M56" s="23"/>
      <c r="N56" s="31"/>
      <c r="O56" s="23">
        <f>+M56+N56</f>
        <v>0</v>
      </c>
      <c r="Q56" s="23"/>
      <c r="R56" s="23"/>
      <c r="S56" s="23"/>
      <c r="T56" s="31"/>
      <c r="U56" s="23">
        <f>+S56+T56</f>
        <v>0</v>
      </c>
    </row>
    <row r="57" spans="2:21" x14ac:dyDescent="0.25">
      <c r="B57" s="43"/>
      <c r="C57" s="58" t="s">
        <v>150</v>
      </c>
      <c r="D57" s="67"/>
      <c r="E57" s="37"/>
      <c r="F57" s="37">
        <v>-231006</v>
      </c>
      <c r="G57" s="23">
        <f>+E57+F57</f>
        <v>-231006</v>
      </c>
      <c r="H57" s="31"/>
      <c r="I57" s="23">
        <f>+'Hoja de trabajo'!B59</f>
        <v>-4285084</v>
      </c>
      <c r="K57" s="37">
        <v>-4862718</v>
      </c>
      <c r="L57" s="37">
        <v>-15600</v>
      </c>
      <c r="M57" s="23">
        <f>+K57+L57</f>
        <v>-4878318</v>
      </c>
      <c r="N57" s="31"/>
      <c r="O57" s="23">
        <f>+M57+N57</f>
        <v>-4878318</v>
      </c>
      <c r="Q57" s="37">
        <v>-1204028</v>
      </c>
      <c r="R57" s="37">
        <v>-261435</v>
      </c>
      <c r="S57" s="23">
        <f>+Q57+R57</f>
        <v>-1465463</v>
      </c>
      <c r="T57" s="31"/>
      <c r="U57" s="23">
        <f>+S57+T57</f>
        <v>-1465463</v>
      </c>
    </row>
    <row r="58" spans="2:21" x14ac:dyDescent="0.25">
      <c r="B58" s="73" t="s">
        <v>151</v>
      </c>
      <c r="C58" s="74"/>
      <c r="D58" s="75"/>
      <c r="E58" s="32">
        <f>E49+E50+E52+E53+E54+E55+E57</f>
        <v>0</v>
      </c>
      <c r="F58" s="32">
        <f>SUM(F49:F57)</f>
        <v>-11728238</v>
      </c>
      <c r="G58" s="32">
        <f>SUM(G49:G57)</f>
        <v>-11728238</v>
      </c>
      <c r="H58" s="32">
        <f>SUM(H49:H57)</f>
        <v>0</v>
      </c>
      <c r="I58" s="32">
        <f>SUM(I49:I57)</f>
        <v>-49792027.938547999</v>
      </c>
      <c r="K58" s="32">
        <f>K49+K50+K52+K53+K54+K55+K57</f>
        <v>-13578979</v>
      </c>
      <c r="L58" s="32">
        <f>SUM(L49:L57)</f>
        <v>-6648665</v>
      </c>
      <c r="M58" s="32">
        <f>SUM(M49:M57)</f>
        <v>-20227644</v>
      </c>
      <c r="N58" s="32">
        <f>SUM(N49:N57)</f>
        <v>5827272</v>
      </c>
      <c r="O58" s="32">
        <f>SUM(O49:O57)</f>
        <v>-14400372</v>
      </c>
      <c r="Q58" s="32">
        <f>Q49+Q50+Q52+Q53+Q54+Q55+Q57</f>
        <v>-10907372</v>
      </c>
      <c r="R58" s="32">
        <f>SUM(R49:R57)</f>
        <v>-7494620</v>
      </c>
      <c r="S58" s="32">
        <f>SUM(S49:S57)</f>
        <v>-18401992</v>
      </c>
      <c r="T58" s="32">
        <f>SUM(T49:T57)</f>
        <v>7144181</v>
      </c>
      <c r="U58" s="32">
        <f>SUM(U49:U57)</f>
        <v>-11257811</v>
      </c>
    </row>
    <row r="59" spans="2:21" x14ac:dyDescent="0.25">
      <c r="B59" s="77"/>
      <c r="C59" s="64"/>
      <c r="D59" s="66"/>
      <c r="E59" s="23"/>
      <c r="F59" s="23"/>
      <c r="G59" s="31"/>
      <c r="H59" s="31"/>
      <c r="I59" s="31"/>
      <c r="K59" s="23"/>
      <c r="L59" s="23"/>
      <c r="M59" s="31"/>
      <c r="N59" s="31"/>
      <c r="O59" s="31"/>
      <c r="Q59" s="23"/>
      <c r="R59" s="23"/>
      <c r="S59" s="31"/>
      <c r="T59" s="31"/>
      <c r="U59" s="31"/>
    </row>
    <row r="60" spans="2:21" x14ac:dyDescent="0.25">
      <c r="B60" s="68" t="s">
        <v>152</v>
      </c>
      <c r="C60" s="58"/>
      <c r="D60" s="67"/>
      <c r="E60" s="23"/>
      <c r="F60" s="23"/>
      <c r="G60" s="31"/>
      <c r="H60" s="31"/>
      <c r="I60" s="31"/>
      <c r="K60" s="23"/>
      <c r="L60" s="23"/>
      <c r="M60" s="23">
        <f>+K60+L60</f>
        <v>0</v>
      </c>
      <c r="N60" s="31"/>
      <c r="O60" s="31"/>
      <c r="Q60" s="23"/>
      <c r="R60" s="23"/>
      <c r="S60" s="31"/>
      <c r="T60" s="31"/>
      <c r="U60" s="31"/>
    </row>
    <row r="61" spans="2:21" hidden="1" x14ac:dyDescent="0.25">
      <c r="B61" s="43"/>
      <c r="C61" s="58" t="s">
        <v>153</v>
      </c>
      <c r="D61" s="67"/>
      <c r="E61" s="23">
        <v>0</v>
      </c>
      <c r="F61" s="23"/>
      <c r="G61" s="80">
        <f t="shared" ref="G61:G68" si="11">+E61+F61</f>
        <v>0</v>
      </c>
      <c r="H61" s="31"/>
      <c r="I61" s="23">
        <f>+G61+H61</f>
        <v>0</v>
      </c>
      <c r="K61" s="23">
        <v>0</v>
      </c>
      <c r="L61" s="23"/>
      <c r="M61" s="23">
        <f>+K61+L61</f>
        <v>0</v>
      </c>
      <c r="N61" s="31"/>
      <c r="O61" s="23">
        <f>+M61+N61</f>
        <v>0</v>
      </c>
      <c r="Q61" s="23">
        <v>0</v>
      </c>
      <c r="R61" s="23"/>
      <c r="S61" s="80">
        <f>+Q61+R61</f>
        <v>0</v>
      </c>
      <c r="T61" s="31"/>
      <c r="U61" s="23">
        <f>+S61+T61</f>
        <v>0</v>
      </c>
    </row>
    <row r="62" spans="2:21" hidden="1" x14ac:dyDescent="0.25">
      <c r="B62" s="43"/>
      <c r="C62" s="58" t="s">
        <v>72</v>
      </c>
      <c r="D62" s="67"/>
      <c r="E62" s="23"/>
      <c r="F62" s="23"/>
      <c r="G62" s="23">
        <f t="shared" si="11"/>
        <v>0</v>
      </c>
      <c r="H62" s="31"/>
      <c r="I62" s="23">
        <f>+G62+H62</f>
        <v>0</v>
      </c>
      <c r="K62" s="23"/>
      <c r="L62" s="23"/>
      <c r="M62" s="23">
        <f>+K62+L62</f>
        <v>0</v>
      </c>
      <c r="N62" s="31"/>
      <c r="O62" s="23">
        <f>+M62+N62</f>
        <v>0</v>
      </c>
      <c r="Q62" s="23"/>
      <c r="R62" s="23"/>
      <c r="S62" s="23">
        <f>+Q62+R62</f>
        <v>0</v>
      </c>
      <c r="T62" s="31"/>
      <c r="U62" s="23">
        <f>+S62+T62</f>
        <v>0</v>
      </c>
    </row>
    <row r="63" spans="2:21" hidden="1" x14ac:dyDescent="0.25">
      <c r="B63" s="43"/>
      <c r="C63" s="58" t="s">
        <v>154</v>
      </c>
      <c r="D63" s="67"/>
      <c r="E63" s="23"/>
      <c r="F63" s="23"/>
      <c r="G63" s="23">
        <f t="shared" si="11"/>
        <v>0</v>
      </c>
      <c r="H63" s="31"/>
      <c r="I63" s="23">
        <f>+G63+H63</f>
        <v>0</v>
      </c>
      <c r="K63" s="23"/>
      <c r="L63" s="23"/>
      <c r="M63" s="23">
        <f>+K63+L63</f>
        <v>0</v>
      </c>
      <c r="N63" s="31"/>
      <c r="O63" s="23">
        <f>+M63+N63</f>
        <v>0</v>
      </c>
      <c r="Q63" s="23"/>
      <c r="R63" s="23"/>
      <c r="S63" s="23">
        <f>+Q63+R63</f>
        <v>0</v>
      </c>
      <c r="T63" s="31"/>
      <c r="U63" s="23">
        <f>+S63+T63</f>
        <v>0</v>
      </c>
    </row>
    <row r="64" spans="2:21" x14ac:dyDescent="0.25">
      <c r="B64" s="43"/>
      <c r="C64" s="58" t="s">
        <v>155</v>
      </c>
      <c r="D64" s="67"/>
      <c r="E64" s="23"/>
      <c r="F64" s="23">
        <v>-1606362</v>
      </c>
      <c r="G64" s="23">
        <f t="shared" si="11"/>
        <v>-1606362</v>
      </c>
      <c r="H64" s="31"/>
      <c r="I64" s="23">
        <f>+'Hoja de trabajo'!L6+'Hoja de trabajo'!L18</f>
        <v>670511</v>
      </c>
      <c r="K64" s="23">
        <v>-7240853</v>
      </c>
      <c r="L64" s="23">
        <v>873161</v>
      </c>
      <c r="M64" s="23">
        <f>+K64+L64</f>
        <v>-6367692</v>
      </c>
      <c r="N64" s="31"/>
      <c r="O64" s="23">
        <f>+M64+N64</f>
        <v>-6367692</v>
      </c>
      <c r="Q64" s="23">
        <v>-4709384</v>
      </c>
      <c r="R64" s="23">
        <v>-3372028</v>
      </c>
      <c r="S64" s="23">
        <f>+Q64+R64</f>
        <v>-8081412</v>
      </c>
      <c r="T64" s="31"/>
      <c r="U64" s="23">
        <f>+S64+T64</f>
        <v>-8081412</v>
      </c>
    </row>
    <row r="65" spans="1:21" hidden="1" x14ac:dyDescent="0.25">
      <c r="B65" s="43"/>
      <c r="C65" s="70" t="s">
        <v>156</v>
      </c>
      <c r="D65" s="67"/>
      <c r="E65" s="23"/>
      <c r="F65" s="23">
        <v>-715413</v>
      </c>
      <c r="G65" s="23">
        <f t="shared" si="11"/>
        <v>-715413</v>
      </c>
      <c r="H65" s="31"/>
      <c r="I65" s="23">
        <f>+'Hoja de trabajo'!B92</f>
        <v>-11886832</v>
      </c>
      <c r="K65" s="23"/>
      <c r="L65" s="23"/>
      <c r="M65" s="23"/>
      <c r="N65" s="31"/>
      <c r="O65" s="23"/>
      <c r="Q65" s="23"/>
      <c r="R65" s="23"/>
      <c r="S65" s="23"/>
      <c r="T65" s="31"/>
      <c r="U65" s="23"/>
    </row>
    <row r="66" spans="1:21" x14ac:dyDescent="0.25">
      <c r="B66" s="43"/>
      <c r="C66" s="70" t="s">
        <v>157</v>
      </c>
      <c r="D66" s="67"/>
      <c r="E66" s="23">
        <v>-5488035</v>
      </c>
      <c r="F66" s="23">
        <v>-3373023</v>
      </c>
      <c r="G66" s="23">
        <f t="shared" si="11"/>
        <v>-8861058</v>
      </c>
      <c r="H66" s="31"/>
      <c r="I66" s="23">
        <f>+G66+H66</f>
        <v>-8861058</v>
      </c>
      <c r="K66" s="23"/>
      <c r="L66" s="23"/>
      <c r="M66" s="23"/>
      <c r="N66" s="31"/>
      <c r="O66" s="23"/>
      <c r="Q66" s="23"/>
      <c r="R66" s="23"/>
      <c r="S66" s="23"/>
      <c r="T66" s="31"/>
      <c r="U66" s="23"/>
    </row>
    <row r="67" spans="1:21" x14ac:dyDescent="0.25">
      <c r="B67" s="43"/>
      <c r="C67" s="58" t="s">
        <v>158</v>
      </c>
      <c r="D67" s="67"/>
      <c r="E67" s="23"/>
      <c r="F67" s="23"/>
      <c r="G67" s="23">
        <f t="shared" si="11"/>
        <v>0</v>
      </c>
      <c r="H67" s="31"/>
      <c r="I67" s="23">
        <f>+'Hoja de trabajo'!L7+'Hoja de trabajo'!L19</f>
        <v>1906239</v>
      </c>
      <c r="K67" s="23">
        <v>-7134782</v>
      </c>
      <c r="L67" s="23"/>
      <c r="M67" s="23">
        <f>+K67+L67</f>
        <v>-7134782</v>
      </c>
      <c r="N67" s="31"/>
      <c r="O67" s="23">
        <f>+M67+N67</f>
        <v>-7134782</v>
      </c>
      <c r="Q67" s="23">
        <v>-8370991</v>
      </c>
      <c r="R67" s="23">
        <v>0</v>
      </c>
      <c r="S67" s="23">
        <f>+Q67+R67</f>
        <v>-8370991</v>
      </c>
      <c r="T67" s="31"/>
      <c r="U67" s="23">
        <f>+S67+T67</f>
        <v>-8370991</v>
      </c>
    </row>
    <row r="68" spans="1:21" hidden="1" x14ac:dyDescent="0.25">
      <c r="B68" s="43"/>
      <c r="C68" s="58" t="s">
        <v>159</v>
      </c>
      <c r="D68" s="67"/>
      <c r="E68" s="23"/>
      <c r="F68" s="23"/>
      <c r="G68" s="23">
        <f t="shared" si="11"/>
        <v>0</v>
      </c>
      <c r="H68" s="31"/>
      <c r="I68" s="23">
        <f>+G68+H68</f>
        <v>0</v>
      </c>
      <c r="K68" s="23"/>
      <c r="L68" s="81"/>
      <c r="M68" s="23">
        <f>+K68+L68</f>
        <v>0</v>
      </c>
      <c r="N68" s="31"/>
      <c r="O68" s="23">
        <f>+M68+N68</f>
        <v>0</v>
      </c>
      <c r="Q68" s="23"/>
      <c r="R68" s="23"/>
      <c r="S68" s="23">
        <f>+Q68+R68</f>
        <v>0</v>
      </c>
      <c r="T68" s="31"/>
      <c r="U68" s="23">
        <f>+S68+T68</f>
        <v>0</v>
      </c>
    </row>
    <row r="69" spans="1:21" x14ac:dyDescent="0.25">
      <c r="B69" s="82" t="s">
        <v>160</v>
      </c>
      <c r="C69" s="74"/>
      <c r="D69" s="75"/>
      <c r="E69" s="32">
        <f>SUM(E61:E68)</f>
        <v>-5488035</v>
      </c>
      <c r="F69" s="32">
        <f>SUM(F61:F68)</f>
        <v>-5694798</v>
      </c>
      <c r="G69" s="32">
        <f>SUM(G61:G68)</f>
        <v>-11182833</v>
      </c>
      <c r="H69" s="32">
        <f>SUM(H61:H68)</f>
        <v>0</v>
      </c>
      <c r="I69" s="32">
        <f>SUM(I61:I68)</f>
        <v>-18171140</v>
      </c>
      <c r="K69" s="32">
        <f>SUM(K61:K68)</f>
        <v>-14375635</v>
      </c>
      <c r="L69" s="32">
        <f>SUM(L61:L68)</f>
        <v>873161</v>
      </c>
      <c r="M69" s="32">
        <f>SUM(M61:M68)</f>
        <v>-13502474</v>
      </c>
      <c r="N69" s="32">
        <f>SUM(N61:N68)</f>
        <v>0</v>
      </c>
      <c r="O69" s="32">
        <f>SUM(O61:O68)</f>
        <v>-13502474</v>
      </c>
      <c r="Q69" s="32">
        <f>SUM(Q61:Q68)</f>
        <v>-13080375</v>
      </c>
      <c r="R69" s="32">
        <f>SUM(R61:R68)</f>
        <v>-3372028</v>
      </c>
      <c r="S69" s="32">
        <f>SUM(S61:S68)</f>
        <v>-16452403</v>
      </c>
      <c r="T69" s="32">
        <f>SUM(T61:T68)</f>
        <v>0</v>
      </c>
      <c r="U69" s="32">
        <f>SUM(U61:U68)</f>
        <v>-16452403</v>
      </c>
    </row>
    <row r="70" spans="1:21" x14ac:dyDescent="0.25">
      <c r="B70" s="83" t="s">
        <v>161</v>
      </c>
      <c r="C70" s="74"/>
      <c r="D70" s="75"/>
      <c r="E70" s="84">
        <f>+E69+E58+E46</f>
        <v>49019229</v>
      </c>
      <c r="F70" s="84">
        <f>+F69+F58+F46</f>
        <v>11212573</v>
      </c>
      <c r="G70" s="85">
        <f>+G69+G58+G46</f>
        <v>60231802</v>
      </c>
      <c r="H70" s="85">
        <f>+H69+H58+H46</f>
        <v>0</v>
      </c>
      <c r="I70" s="85">
        <f>+I69+I58+I46</f>
        <v>-9508341.7533999979</v>
      </c>
      <c r="K70" s="84">
        <f>+K69+K58+K46</f>
        <v>8321784</v>
      </c>
      <c r="L70" s="84">
        <f>+L69+L58+L46</f>
        <v>6782259</v>
      </c>
      <c r="M70" s="85">
        <f>+M69+M58+M46</f>
        <v>15104043</v>
      </c>
      <c r="N70" s="86">
        <f>+N69+N58+N46</f>
        <v>-1716289.75</v>
      </c>
      <c r="O70" s="85">
        <f>+O69+O58+O46</f>
        <v>13387753.25</v>
      </c>
      <c r="Q70" s="84">
        <f>+Q69+Q58+Q46</f>
        <v>-9179235</v>
      </c>
      <c r="R70" s="84">
        <f>+R69+R58+R46</f>
        <v>-188600</v>
      </c>
      <c r="S70" s="85">
        <f>+S69+S58+S46</f>
        <v>-9844303</v>
      </c>
      <c r="T70" s="85">
        <f>+T69+T58+T46</f>
        <v>-12940</v>
      </c>
      <c r="U70" s="85">
        <f>+U69+U58+U46</f>
        <v>-9857243</v>
      </c>
    </row>
    <row r="71" spans="1:21" x14ac:dyDescent="0.25">
      <c r="A71" s="58"/>
      <c r="K71" s="15"/>
      <c r="L71" s="15"/>
      <c r="M71" s="45">
        <f>+L70+K70-M70</f>
        <v>0</v>
      </c>
      <c r="N71" s="21"/>
    </row>
    <row r="72" spans="1:21" x14ac:dyDescent="0.25">
      <c r="A72" s="43"/>
      <c r="B72" s="77" t="s">
        <v>162</v>
      </c>
      <c r="C72" s="64"/>
      <c r="D72" s="64"/>
      <c r="E72" s="19">
        <f>+E70</f>
        <v>49019229</v>
      </c>
      <c r="F72" s="19">
        <v>-188600</v>
      </c>
      <c r="G72" s="19">
        <f>+E72+F72</f>
        <v>48830629</v>
      </c>
      <c r="H72" s="30"/>
      <c r="I72" s="33">
        <f>+I70</f>
        <v>-9508341.7533999979</v>
      </c>
      <c r="K72" s="19">
        <f>+K70</f>
        <v>8321784</v>
      </c>
      <c r="L72" s="19">
        <f>+L70</f>
        <v>6782259</v>
      </c>
      <c r="M72" s="19">
        <f>+K72+L72</f>
        <v>15104043</v>
      </c>
      <c r="N72" s="30"/>
      <c r="O72" s="33">
        <f>+M72+N72</f>
        <v>15104043</v>
      </c>
      <c r="P72" s="64"/>
      <c r="Q72" s="19">
        <f>+Q70</f>
        <v>-9179235</v>
      </c>
      <c r="R72" s="19">
        <v>-188600</v>
      </c>
      <c r="S72" s="19">
        <f>+Q72+R72</f>
        <v>-9367835</v>
      </c>
      <c r="T72" s="30"/>
      <c r="U72" s="33">
        <f>+S72+T72</f>
        <v>-9367835</v>
      </c>
    </row>
    <row r="73" spans="1:21" x14ac:dyDescent="0.25">
      <c r="A73" s="43"/>
      <c r="B73" s="43" t="s">
        <v>163</v>
      </c>
      <c r="C73" s="58"/>
      <c r="D73" s="58"/>
      <c r="E73" s="23">
        <f>+K74</f>
        <v>9668514</v>
      </c>
      <c r="F73" s="23">
        <f>+L74</f>
        <v>7367583</v>
      </c>
      <c r="G73" s="23">
        <f>+E73+F73</f>
        <v>17036097</v>
      </c>
      <c r="H73" s="31"/>
      <c r="I73" s="80">
        <f>+'Hoja de trabajo'!D5-'Hoja de trabajo'!M5</f>
        <v>7588800</v>
      </c>
      <c r="K73" s="23">
        <v>1346730</v>
      </c>
      <c r="L73" s="23">
        <v>585324</v>
      </c>
      <c r="M73" s="23">
        <f>+K73+L73</f>
        <v>1932054</v>
      </c>
      <c r="N73" s="31"/>
      <c r="O73" s="80">
        <f>+M73</f>
        <v>1932054</v>
      </c>
      <c r="P73" s="58"/>
      <c r="Q73" s="23">
        <v>10525965</v>
      </c>
      <c r="R73" s="23">
        <v>773924</v>
      </c>
      <c r="S73" s="23">
        <f>+Q73+R73</f>
        <v>11299889</v>
      </c>
      <c r="T73" s="31"/>
      <c r="U73" s="80">
        <f>+S73</f>
        <v>11299889</v>
      </c>
    </row>
    <row r="74" spans="1:21" x14ac:dyDescent="0.25">
      <c r="A74" s="43"/>
      <c r="B74" s="87" t="s">
        <v>164</v>
      </c>
      <c r="C74" s="50"/>
      <c r="D74" s="50"/>
      <c r="E74" s="32">
        <f>E72+E73</f>
        <v>58687743</v>
      </c>
      <c r="F74" s="32">
        <f>F72+F73</f>
        <v>7178983</v>
      </c>
      <c r="G74" s="32">
        <f>+G72+G73</f>
        <v>65866726</v>
      </c>
      <c r="H74" s="32">
        <f>+H72+H73</f>
        <v>0</v>
      </c>
      <c r="I74" s="32">
        <f>+I72+I73</f>
        <v>-1919541.7533999979</v>
      </c>
      <c r="K74" s="32">
        <f>K72+K73</f>
        <v>9668514</v>
      </c>
      <c r="L74" s="32">
        <f>L72+L73</f>
        <v>7367583</v>
      </c>
      <c r="M74" s="32">
        <f>+M72+M73</f>
        <v>17036097</v>
      </c>
      <c r="N74" s="32">
        <f>+N72+N73</f>
        <v>0</v>
      </c>
      <c r="O74" s="32">
        <f>+O72+O73</f>
        <v>17036097</v>
      </c>
      <c r="P74" s="50"/>
      <c r="Q74" s="32">
        <f>Q72+Q73</f>
        <v>1346730</v>
      </c>
      <c r="R74" s="32">
        <f>R72+R73</f>
        <v>585324</v>
      </c>
      <c r="S74" s="32">
        <f>+S72+S73</f>
        <v>1932054</v>
      </c>
      <c r="T74" s="32">
        <f>+T72+T73</f>
        <v>0</v>
      </c>
      <c r="U74" s="32">
        <f>+U72+U73</f>
        <v>1932054</v>
      </c>
    </row>
    <row r="75" spans="1:21" x14ac:dyDescent="0.25">
      <c r="A75" s="58"/>
      <c r="I75" s="88">
        <f>+'Hoja de trabajo'!B5-'Hoja de trabajo'!K5-I74</f>
        <v>13713982.753399998</v>
      </c>
      <c r="K75" s="15"/>
      <c r="L75" s="15"/>
      <c r="N75" s="21"/>
    </row>
    <row r="76" spans="1:21" x14ac:dyDescent="0.25">
      <c r="I76" s="45"/>
      <c r="K76" s="15"/>
      <c r="L76" s="15"/>
      <c r="N76" s="21"/>
    </row>
    <row r="77" spans="1:21" x14ac:dyDescent="0.25">
      <c r="G77" s="15"/>
      <c r="H77" s="15"/>
      <c r="I77" s="15"/>
      <c r="K77" s="15"/>
      <c r="L77" s="15"/>
      <c r="N77" s="21"/>
      <c r="S77" s="15"/>
      <c r="T77" s="15"/>
      <c r="U77" s="15"/>
    </row>
    <row r="78" spans="1:21" x14ac:dyDescent="0.25">
      <c r="F78" s="58"/>
      <c r="G78" s="58"/>
      <c r="I78" s="45"/>
      <c r="K78" s="20" t="s">
        <v>77</v>
      </c>
      <c r="L78" s="64"/>
      <c r="M78" s="64"/>
      <c r="N78" s="21"/>
      <c r="R78" s="58"/>
      <c r="S78" s="58"/>
    </row>
    <row r="79" spans="1:21" x14ac:dyDescent="0.25">
      <c r="F79" s="58"/>
      <c r="G79" s="58"/>
      <c r="K79" s="15" t="s">
        <v>78</v>
      </c>
      <c r="N79" s="21"/>
      <c r="R79" s="58"/>
      <c r="S79" s="58"/>
    </row>
  </sheetData>
  <mergeCells count="4">
    <mergeCell ref="B9:D9"/>
    <mergeCell ref="C14:D14"/>
    <mergeCell ref="C49:D49"/>
    <mergeCell ref="C52:D52"/>
  </mergeCells>
  <pageMargins left="0.7" right="0.7" top="0.75" bottom="0.75" header="0.51180555555555496" footer="0.51180555555555496"/>
  <pageSetup scale="50"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4"/>
  <sheetViews>
    <sheetView topLeftCell="A13" zoomScaleNormal="100" workbookViewId="0">
      <selection activeCell="M34" sqref="M34"/>
    </sheetView>
  </sheetViews>
  <sheetFormatPr defaultColWidth="11.42578125" defaultRowHeight="15" x14ac:dyDescent="0.25"/>
  <cols>
    <col min="1" max="1" width="38.85546875" style="89" customWidth="1"/>
    <col min="2" max="2" width="12" style="90" customWidth="1"/>
    <col min="3" max="3" width="11.5703125" style="89" customWidth="1"/>
    <col min="4" max="4" width="11.7109375" style="89" customWidth="1"/>
    <col min="5" max="5" width="11.5703125" style="91" hidden="1" customWidth="1"/>
    <col min="6" max="6" width="11.7109375" style="89" hidden="1" customWidth="1"/>
    <col min="7" max="7" width="11" style="91" hidden="1" customWidth="1"/>
    <col min="8" max="8" width="11.7109375" style="89" hidden="1" customWidth="1"/>
    <col min="9" max="9" width="1.7109375" style="89" customWidth="1"/>
    <col min="10" max="10" width="41.5703125" style="89" customWidth="1"/>
    <col min="11" max="11" width="12" style="90" customWidth="1"/>
    <col min="12" max="13" width="11.7109375" style="89" customWidth="1"/>
    <col min="14" max="14" width="10.5703125" style="91" hidden="1" customWidth="1"/>
    <col min="15" max="15" width="11.7109375" style="89" hidden="1" customWidth="1"/>
    <col min="16" max="16" width="10.5703125" style="91" hidden="1" customWidth="1"/>
    <col min="17" max="17" width="12" style="89" hidden="1" customWidth="1"/>
    <col min="18" max="18" width="11.5703125" style="92" hidden="1" customWidth="1"/>
    <col min="19" max="19" width="11.42578125" style="89"/>
    <col min="20" max="20" width="13.28515625" style="89" customWidth="1"/>
    <col min="21" max="1024" width="11.42578125" style="89"/>
  </cols>
  <sheetData>
    <row r="1" spans="1:21" s="89" customFormat="1" ht="9" customHeight="1" x14ac:dyDescent="0.2">
      <c r="A1" s="93"/>
      <c r="C1" s="93"/>
      <c r="D1" s="93"/>
      <c r="E1" s="94"/>
      <c r="F1" s="95"/>
      <c r="G1" s="94"/>
      <c r="H1" s="93"/>
      <c r="I1" s="95"/>
      <c r="J1" s="93"/>
      <c r="L1" s="93"/>
      <c r="M1" s="93"/>
      <c r="N1" s="94"/>
      <c r="O1" s="95"/>
      <c r="P1" s="94"/>
      <c r="Q1" s="96"/>
      <c r="R1" s="92"/>
    </row>
    <row r="2" spans="1:21" ht="12" customHeight="1" x14ac:dyDescent="0.25">
      <c r="A2" s="95" t="s">
        <v>165</v>
      </c>
      <c r="B2" s="97">
        <v>2020</v>
      </c>
      <c r="C2" s="98"/>
      <c r="D2" s="98">
        <v>2019</v>
      </c>
      <c r="E2" s="99"/>
      <c r="F2" s="98">
        <v>2017</v>
      </c>
      <c r="G2" s="100"/>
      <c r="H2" s="95">
        <v>2016</v>
      </c>
      <c r="I2" s="101"/>
      <c r="J2" s="95" t="s">
        <v>166</v>
      </c>
      <c r="K2" s="102">
        <v>2020</v>
      </c>
      <c r="L2" s="98"/>
      <c r="M2" s="98">
        <v>2019</v>
      </c>
      <c r="N2" s="99"/>
      <c r="O2" s="98">
        <v>2017</v>
      </c>
      <c r="P2" s="100"/>
      <c r="Q2" s="101">
        <v>2016</v>
      </c>
      <c r="S2" s="103"/>
      <c r="T2" s="104"/>
      <c r="U2" s="104"/>
    </row>
    <row r="3" spans="1:21" ht="12" customHeight="1" x14ac:dyDescent="0.25">
      <c r="A3" s="93"/>
      <c r="B3" s="105"/>
      <c r="C3" s="106"/>
      <c r="D3" s="106"/>
      <c r="E3" s="107"/>
      <c r="F3" s="108"/>
      <c r="G3" s="94"/>
      <c r="H3" s="93"/>
      <c r="I3" s="95"/>
      <c r="J3" s="93"/>
      <c r="K3" s="105"/>
      <c r="L3" s="109"/>
      <c r="M3" s="106"/>
      <c r="N3" s="107"/>
      <c r="O3" s="106"/>
      <c r="P3" s="94"/>
      <c r="Q3" s="93"/>
    </row>
    <row r="4" spans="1:21" ht="12" customHeight="1" x14ac:dyDescent="0.25">
      <c r="A4" s="110" t="s">
        <v>167</v>
      </c>
      <c r="B4" s="105"/>
      <c r="C4" s="111"/>
      <c r="D4" s="111"/>
      <c r="E4" s="107"/>
      <c r="F4" s="108"/>
      <c r="G4" s="94"/>
      <c r="H4" s="110"/>
      <c r="I4" s="95"/>
      <c r="J4" s="112" t="s">
        <v>168</v>
      </c>
      <c r="K4" s="105"/>
      <c r="L4" s="113"/>
      <c r="M4" s="114"/>
      <c r="N4" s="107"/>
      <c r="O4" s="115"/>
      <c r="P4" s="94"/>
      <c r="Q4" s="116"/>
    </row>
    <row r="5" spans="1:21" ht="12" customHeight="1" x14ac:dyDescent="0.25">
      <c r="A5" s="117" t="s">
        <v>169</v>
      </c>
      <c r="B5" s="118">
        <f>+'BG '!I8</f>
        <v>23111567</v>
      </c>
      <c r="C5" s="119">
        <f t="shared" ref="C5:C13" si="0">+D5-B5</f>
        <v>-15471991</v>
      </c>
      <c r="D5" s="118">
        <f>+'BG '!O8</f>
        <v>7639576</v>
      </c>
      <c r="E5" s="119">
        <f t="shared" ref="E5:E13" si="1">+F5-D5</f>
        <v>-5897014</v>
      </c>
      <c r="F5" s="120">
        <f>'[1]Planilla Final 2017'!R5</f>
        <v>1742562</v>
      </c>
      <c r="G5" s="121">
        <f t="shared" ref="G5:G13" si="2">F5-H5</f>
        <v>-9053595</v>
      </c>
      <c r="H5" s="122">
        <v>10796157</v>
      </c>
      <c r="I5" s="95"/>
      <c r="J5" s="117" t="s">
        <v>170</v>
      </c>
      <c r="K5" s="118">
        <f>+'BG '!I38</f>
        <v>11317126</v>
      </c>
      <c r="L5" s="119">
        <f t="shared" ref="L5:L14" si="3">+K5-M5</f>
        <v>11266350</v>
      </c>
      <c r="M5" s="118">
        <f>+'BG '!O38</f>
        <v>50776</v>
      </c>
      <c r="N5" s="119">
        <f t="shared" ref="N5:N12" si="4">+M5-O5</f>
        <v>-209626</v>
      </c>
      <c r="O5" s="123">
        <f>'[1]Planilla Final 2017'!R24</f>
        <v>260402</v>
      </c>
      <c r="P5" s="121">
        <f t="shared" ref="P5:P12" si="5">+O5-Q5</f>
        <v>61512</v>
      </c>
      <c r="Q5" s="124">
        <v>198890</v>
      </c>
      <c r="R5" s="125">
        <f>+D5-M5</f>
        <v>7588800</v>
      </c>
      <c r="S5" s="126"/>
      <c r="T5" s="127"/>
      <c r="U5" s="127"/>
    </row>
    <row r="6" spans="1:21" ht="12" customHeight="1" x14ac:dyDescent="0.25">
      <c r="A6" s="117" t="s">
        <v>171</v>
      </c>
      <c r="B6" s="118">
        <f>+'BG '!I9</f>
        <v>3119911</v>
      </c>
      <c r="C6" s="119">
        <f t="shared" si="0"/>
        <v>-3107992</v>
      </c>
      <c r="D6" s="118">
        <f>+'BG '!O9</f>
        <v>11919</v>
      </c>
      <c r="E6" s="119">
        <f t="shared" si="1"/>
        <v>90701</v>
      </c>
      <c r="F6" s="120">
        <f>'[1]Planilla Final 2017'!R7</f>
        <v>102620</v>
      </c>
      <c r="G6" s="121">
        <f t="shared" si="2"/>
        <v>-5828169</v>
      </c>
      <c r="H6" s="122">
        <v>5930789</v>
      </c>
      <c r="I6" s="93"/>
      <c r="J6" s="117" t="s">
        <v>172</v>
      </c>
      <c r="K6" s="118">
        <f>+'BG '!I39</f>
        <v>38663</v>
      </c>
      <c r="L6" s="119">
        <f t="shared" si="3"/>
        <v>-5069709</v>
      </c>
      <c r="M6" s="118">
        <f>+'BG '!O39</f>
        <v>5108372</v>
      </c>
      <c r="N6" s="119">
        <f t="shared" si="4"/>
        <v>-8305303</v>
      </c>
      <c r="O6" s="128">
        <f>'[1]Planilla Final 2017'!R25</f>
        <v>13413675</v>
      </c>
      <c r="P6" s="121">
        <f t="shared" si="5"/>
        <v>-4986126</v>
      </c>
      <c r="Q6" s="116">
        <f>31524342-198890-12925651</f>
        <v>18399801</v>
      </c>
      <c r="S6" s="129"/>
      <c r="T6" s="127"/>
      <c r="U6" s="127"/>
    </row>
    <row r="7" spans="1:21" ht="12" customHeight="1" x14ac:dyDescent="0.25">
      <c r="A7" s="117" t="s">
        <v>25</v>
      </c>
      <c r="B7" s="118">
        <f>+'BG '!I10</f>
        <v>0</v>
      </c>
      <c r="C7" s="119">
        <f t="shared" si="0"/>
        <v>3358789</v>
      </c>
      <c r="D7" s="118">
        <f>+'BG '!O10</f>
        <v>3358789</v>
      </c>
      <c r="E7" s="119">
        <f t="shared" si="1"/>
        <v>-714334</v>
      </c>
      <c r="F7" s="120">
        <f>'[1]Planilla Final 2017'!R6</f>
        <v>2644455</v>
      </c>
      <c r="G7" s="121">
        <f t="shared" si="2"/>
        <v>593863</v>
      </c>
      <c r="H7" s="122">
        <v>2050592</v>
      </c>
      <c r="I7" s="95"/>
      <c r="J7" s="117" t="s">
        <v>173</v>
      </c>
      <c r="K7" s="118">
        <f>+'BG '!I40</f>
        <v>4390970</v>
      </c>
      <c r="L7" s="119">
        <f t="shared" si="3"/>
        <v>1906239</v>
      </c>
      <c r="M7" s="118">
        <f>+'BG '!O40</f>
        <v>2484731</v>
      </c>
      <c r="N7" s="119">
        <f t="shared" si="4"/>
        <v>-8974579</v>
      </c>
      <c r="O7" s="128">
        <f>'[1]Planilla Final 2017'!R26</f>
        <v>11459310</v>
      </c>
      <c r="P7" s="121">
        <f t="shared" si="5"/>
        <v>-1466341</v>
      </c>
      <c r="Q7" s="116">
        <v>12925651</v>
      </c>
      <c r="S7" s="129"/>
      <c r="T7" s="127"/>
      <c r="U7" s="127"/>
    </row>
    <row r="8" spans="1:21" ht="12" customHeight="1" x14ac:dyDescent="0.25">
      <c r="A8" s="117" t="s">
        <v>174</v>
      </c>
      <c r="B8" s="118">
        <f>+'BG '!I12</f>
        <v>21914641</v>
      </c>
      <c r="C8" s="119">
        <f t="shared" si="0"/>
        <v>-9301695</v>
      </c>
      <c r="D8" s="118">
        <f>+'BG '!O12</f>
        <v>12612946</v>
      </c>
      <c r="E8" s="119">
        <f t="shared" si="1"/>
        <v>2950458</v>
      </c>
      <c r="F8" s="120">
        <f>'[1]Planilla Final 2017'!R8</f>
        <v>15563404</v>
      </c>
      <c r="G8" s="121">
        <f t="shared" si="2"/>
        <v>1100909</v>
      </c>
      <c r="H8" s="122">
        <v>14462495</v>
      </c>
      <c r="I8" s="95"/>
      <c r="J8" s="117" t="s">
        <v>175</v>
      </c>
      <c r="K8" s="118">
        <f>+'BG '!I42</f>
        <v>29764270</v>
      </c>
      <c r="L8" s="119">
        <f t="shared" si="3"/>
        <v>6692124</v>
      </c>
      <c r="M8" s="118">
        <f>+'BG '!O42</f>
        <v>23072146</v>
      </c>
      <c r="N8" s="119">
        <f t="shared" si="4"/>
        <v>2636101</v>
      </c>
      <c r="O8" s="128">
        <f>'[1]Planilla Final 2017'!R27</f>
        <v>20436045</v>
      </c>
      <c r="P8" s="121">
        <f t="shared" si="5"/>
        <v>1910661</v>
      </c>
      <c r="Q8" s="116">
        <v>18525384</v>
      </c>
      <c r="S8" s="129"/>
      <c r="T8" s="127"/>
      <c r="U8" s="127"/>
    </row>
    <row r="9" spans="1:21" ht="12" customHeight="1" x14ac:dyDescent="0.25">
      <c r="A9" s="117" t="s">
        <v>176</v>
      </c>
      <c r="B9" s="118">
        <f>+'BG '!I13</f>
        <v>66659865</v>
      </c>
      <c r="C9" s="119">
        <f t="shared" si="0"/>
        <v>-40039761</v>
      </c>
      <c r="D9" s="118">
        <f>+'BG '!O13</f>
        <v>26620104</v>
      </c>
      <c r="E9" s="119">
        <f t="shared" si="1"/>
        <v>-1545107</v>
      </c>
      <c r="F9" s="120">
        <f>'[1]Planilla Final 2017'!R9</f>
        <v>25074997</v>
      </c>
      <c r="G9" s="121">
        <f t="shared" si="2"/>
        <v>11254398</v>
      </c>
      <c r="H9" s="122">
        <v>13820599</v>
      </c>
      <c r="I9" s="95"/>
      <c r="J9" s="117" t="s">
        <v>177</v>
      </c>
      <c r="K9" s="118">
        <f>+'BG '!I43</f>
        <v>30808474</v>
      </c>
      <c r="L9" s="119">
        <f t="shared" si="3"/>
        <v>25889000</v>
      </c>
      <c r="M9" s="118">
        <f>+'BG '!O43</f>
        <v>4919474</v>
      </c>
      <c r="N9" s="119">
        <f t="shared" si="4"/>
        <v>3005845</v>
      </c>
      <c r="O9" s="128">
        <f>'[1]Planilla Final 2017'!R28</f>
        <v>1913629</v>
      </c>
      <c r="P9" s="121">
        <f t="shared" si="5"/>
        <v>1651239</v>
      </c>
      <c r="Q9" s="116">
        <v>262390</v>
      </c>
      <c r="T9" s="127"/>
      <c r="U9" s="127"/>
    </row>
    <row r="10" spans="1:21" ht="12" customHeight="1" x14ac:dyDescent="0.25">
      <c r="A10" s="117" t="s">
        <v>30</v>
      </c>
      <c r="B10" s="118">
        <f>+'BG '!I15</f>
        <v>7057883</v>
      </c>
      <c r="C10" s="119">
        <f t="shared" si="0"/>
        <v>-5084041</v>
      </c>
      <c r="D10" s="118">
        <f>+'BG '!O15</f>
        <v>1973842</v>
      </c>
      <c r="E10" s="119">
        <f t="shared" si="1"/>
        <v>-849063</v>
      </c>
      <c r="F10" s="120">
        <f>'[1]Planilla Final 2017'!R11</f>
        <v>1124779</v>
      </c>
      <c r="G10" s="121">
        <f t="shared" si="2"/>
        <v>-685042</v>
      </c>
      <c r="H10" s="122">
        <v>1809821</v>
      </c>
      <c r="I10" s="95"/>
      <c r="J10" s="117" t="s">
        <v>178</v>
      </c>
      <c r="K10" s="118">
        <f>+'BG '!I45</f>
        <v>2587795</v>
      </c>
      <c r="L10" s="119">
        <f t="shared" si="3"/>
        <v>-6333451</v>
      </c>
      <c r="M10" s="118">
        <f>+'BG '!O45</f>
        <v>8921246</v>
      </c>
      <c r="N10" s="119">
        <f t="shared" si="4"/>
        <v>4646339</v>
      </c>
      <c r="O10" s="128">
        <f>'[1]Planilla Final 2017'!R29</f>
        <v>4274907</v>
      </c>
      <c r="P10" s="121">
        <f t="shared" si="5"/>
        <v>130512</v>
      </c>
      <c r="Q10" s="116">
        <v>4144395</v>
      </c>
      <c r="T10" s="127"/>
      <c r="U10" s="127"/>
    </row>
    <row r="11" spans="1:21" ht="12" customHeight="1" x14ac:dyDescent="0.25">
      <c r="A11" s="117" t="s">
        <v>37</v>
      </c>
      <c r="B11" s="118">
        <f>+'BG '!I14</f>
        <v>12430624</v>
      </c>
      <c r="C11" s="119">
        <f t="shared" si="0"/>
        <v>5626424</v>
      </c>
      <c r="D11" s="118">
        <f>+'BG '!O14</f>
        <v>18057048</v>
      </c>
      <c r="E11" s="119">
        <f t="shared" si="1"/>
        <v>-12518600</v>
      </c>
      <c r="F11" s="120">
        <f>'[1]Planilla Final 2017'!R10</f>
        <v>5538448</v>
      </c>
      <c r="G11" s="121">
        <f t="shared" si="2"/>
        <v>2963608</v>
      </c>
      <c r="H11" s="122">
        <v>2574840</v>
      </c>
      <c r="I11" s="95"/>
      <c r="J11" s="117" t="s">
        <v>131</v>
      </c>
      <c r="K11" s="118">
        <f>+'BG '!I46</f>
        <v>10982116</v>
      </c>
      <c r="L11" s="119">
        <f t="shared" si="3"/>
        <v>7108025</v>
      </c>
      <c r="M11" s="118">
        <f>+'BG '!O46</f>
        <v>3874091</v>
      </c>
      <c r="N11" s="119">
        <f t="shared" si="4"/>
        <v>185723</v>
      </c>
      <c r="O11" s="128">
        <f>'[1]Planilla Final 2017'!R30</f>
        <v>3688368</v>
      </c>
      <c r="P11" s="121">
        <f t="shared" si="5"/>
        <v>-31613</v>
      </c>
      <c r="Q11" s="116">
        <f>783153+2936828</f>
        <v>3719981</v>
      </c>
      <c r="T11" s="127"/>
      <c r="U11" s="127"/>
    </row>
    <row r="12" spans="1:21" ht="12" customHeight="1" x14ac:dyDescent="0.25">
      <c r="A12" s="117" t="s">
        <v>31</v>
      </c>
      <c r="B12" s="118">
        <f>+'BG '!I16</f>
        <v>6261136</v>
      </c>
      <c r="C12" s="119">
        <f t="shared" si="0"/>
        <v>-5513872</v>
      </c>
      <c r="D12" s="118">
        <f>+'BG '!O16</f>
        <v>747264</v>
      </c>
      <c r="E12" s="119">
        <f t="shared" si="1"/>
        <v>-105080</v>
      </c>
      <c r="F12" s="120">
        <f>'[1]Planilla Final 2017'!R12</f>
        <v>642184</v>
      </c>
      <c r="G12" s="121">
        <f t="shared" si="2"/>
        <v>-1728719</v>
      </c>
      <c r="H12" s="122">
        <v>2370903</v>
      </c>
      <c r="I12" s="93"/>
      <c r="J12" s="117" t="s">
        <v>58</v>
      </c>
      <c r="K12" s="118">
        <f>+'BG '!I47</f>
        <v>1820671</v>
      </c>
      <c r="L12" s="119">
        <f t="shared" si="3"/>
        <v>386827</v>
      </c>
      <c r="M12" s="118">
        <f>+'BG '!O47</f>
        <v>1433844</v>
      </c>
      <c r="N12" s="119">
        <f t="shared" si="4"/>
        <v>-4702711</v>
      </c>
      <c r="O12" s="128">
        <f>'[1]Planilla Final 2017'!R31+'[1]Planilla Final 2017'!R33</f>
        <v>6136555</v>
      </c>
      <c r="P12" s="121">
        <f t="shared" si="5"/>
        <v>-2446877</v>
      </c>
      <c r="Q12" s="116">
        <f>4358272+4225160</f>
        <v>8583432</v>
      </c>
      <c r="T12" s="127"/>
      <c r="U12" s="127"/>
    </row>
    <row r="13" spans="1:21" ht="12" customHeight="1" x14ac:dyDescent="0.25">
      <c r="A13" s="117" t="s">
        <v>32</v>
      </c>
      <c r="B13" s="118">
        <f>+'BG '!I17</f>
        <v>28373524</v>
      </c>
      <c r="C13" s="119">
        <f t="shared" si="0"/>
        <v>221118</v>
      </c>
      <c r="D13" s="118">
        <f>+'BG '!O17</f>
        <v>28594642</v>
      </c>
      <c r="E13" s="119">
        <f t="shared" si="1"/>
        <v>-13709615</v>
      </c>
      <c r="F13" s="120">
        <f>'[1]Planilla Final 2017'!R13</f>
        <v>14885027</v>
      </c>
      <c r="G13" s="121">
        <f t="shared" si="2"/>
        <v>-4055589</v>
      </c>
      <c r="H13" s="130">
        <v>18940616</v>
      </c>
      <c r="I13" s="95"/>
      <c r="J13" s="89" t="s">
        <v>179</v>
      </c>
      <c r="K13" s="118">
        <f>+'BG '!I49</f>
        <v>0</v>
      </c>
      <c r="L13" s="119">
        <f t="shared" si="3"/>
        <v>-2219217</v>
      </c>
      <c r="M13" s="118">
        <f>+'BG '!O49</f>
        <v>2219217</v>
      </c>
      <c r="N13" s="131"/>
      <c r="O13" s="105">
        <v>0</v>
      </c>
      <c r="P13" s="121">
        <f>+O14-Q13</f>
        <v>184123</v>
      </c>
      <c r="Q13" s="116">
        <v>4375344</v>
      </c>
      <c r="T13" s="127"/>
      <c r="U13" s="127"/>
    </row>
    <row r="14" spans="1:21" ht="12" customHeight="1" x14ac:dyDescent="0.25">
      <c r="B14" s="132"/>
      <c r="C14" s="105"/>
      <c r="D14" s="105"/>
      <c r="E14" s="119"/>
      <c r="F14" s="133"/>
      <c r="G14" s="121"/>
      <c r="H14" s="134"/>
      <c r="I14" s="93"/>
      <c r="J14" s="117" t="s">
        <v>180</v>
      </c>
      <c r="K14" s="135">
        <f>+'BG '!I48</f>
        <v>10417562</v>
      </c>
      <c r="L14" s="119">
        <f t="shared" si="3"/>
        <v>664045</v>
      </c>
      <c r="M14" s="135">
        <f>+'BG '!O48</f>
        <v>9753517</v>
      </c>
      <c r="N14" s="119">
        <f>+M14-O14</f>
        <v>5194050</v>
      </c>
      <c r="O14" s="128">
        <f>'[1]Planilla Final 2017'!R32</f>
        <v>4559467</v>
      </c>
      <c r="T14" s="127"/>
      <c r="U14" s="127"/>
    </row>
    <row r="15" spans="1:21" ht="12" customHeight="1" x14ac:dyDescent="0.25">
      <c r="A15" s="110" t="s">
        <v>181</v>
      </c>
      <c r="B15" s="136">
        <f>SUM(B5:B13)</f>
        <v>168929151</v>
      </c>
      <c r="C15" s="119"/>
      <c r="D15" s="137">
        <f>SUM(D5:D13)</f>
        <v>99616130</v>
      </c>
      <c r="E15" s="119"/>
      <c r="F15" s="133"/>
      <c r="G15" s="121"/>
      <c r="H15" s="134"/>
      <c r="I15" s="95"/>
      <c r="J15" s="138" t="s">
        <v>182</v>
      </c>
      <c r="K15" s="118">
        <f>SUM(K5:K14)</f>
        <v>102127647</v>
      </c>
      <c r="L15" s="119"/>
      <c r="M15" s="139">
        <f>SUM(M5:M14)</f>
        <v>61837414</v>
      </c>
      <c r="N15" s="119"/>
      <c r="O15" s="140">
        <f>SUM(O5:O14)</f>
        <v>66142358</v>
      </c>
      <c r="P15" s="121"/>
      <c r="T15" s="127"/>
      <c r="U15" s="127"/>
    </row>
    <row r="16" spans="1:21" ht="12" customHeight="1" x14ac:dyDescent="0.25">
      <c r="A16" s="117"/>
      <c r="B16" s="105"/>
      <c r="C16" s="119"/>
      <c r="D16" s="141"/>
      <c r="E16" s="119">
        <f t="shared" ref="E16:E23" si="6">+F16-D18</f>
        <v>2851570</v>
      </c>
      <c r="F16" s="120">
        <f>'[1]Planilla Final 2017'!R15</f>
        <v>3212434</v>
      </c>
      <c r="G16" s="121">
        <f t="shared" ref="G16:G23" si="7">F16-H16</f>
        <v>206140</v>
      </c>
      <c r="H16" s="122">
        <v>3006294</v>
      </c>
      <c r="I16" s="93"/>
      <c r="K16" s="118"/>
      <c r="L16" s="131"/>
      <c r="M16" s="105"/>
      <c r="N16" s="131"/>
      <c r="O16" s="105"/>
      <c r="P16" s="121">
        <f t="shared" ref="P16:P23" si="8">+O18-Q16</f>
        <v>251068</v>
      </c>
      <c r="Q16" s="116">
        <f>23039030-13615166</f>
        <v>9423864</v>
      </c>
      <c r="T16" s="127"/>
      <c r="U16" s="127"/>
    </row>
    <row r="17" spans="1:25" ht="12" customHeight="1" x14ac:dyDescent="0.25">
      <c r="A17" s="110" t="s">
        <v>183</v>
      </c>
      <c r="B17" s="105"/>
      <c r="C17" s="119"/>
      <c r="D17" s="141"/>
      <c r="E17" s="119">
        <f t="shared" si="6"/>
        <v>1073025</v>
      </c>
      <c r="F17" s="105">
        <f>+'[1]Planilla Final 2017'!R14</f>
        <v>3150764</v>
      </c>
      <c r="G17" s="121">
        <f t="shared" si="7"/>
        <v>3150764</v>
      </c>
      <c r="H17" s="122">
        <v>0</v>
      </c>
      <c r="I17" s="95"/>
      <c r="J17" s="112" t="s">
        <v>184</v>
      </c>
      <c r="K17" s="118"/>
      <c r="L17" s="119"/>
      <c r="M17" s="114"/>
      <c r="N17" s="119"/>
      <c r="O17" s="105"/>
      <c r="P17" s="121">
        <f t="shared" si="8"/>
        <v>-6904650</v>
      </c>
      <c r="Q17" s="116">
        <v>13615166</v>
      </c>
      <c r="T17" s="127"/>
      <c r="U17" s="127"/>
    </row>
    <row r="18" spans="1:25" ht="12" customHeight="1" x14ac:dyDescent="0.25">
      <c r="A18" s="117" t="s">
        <v>37</v>
      </c>
      <c r="B18" s="118">
        <f>+'BG '!I24</f>
        <v>2416446</v>
      </c>
      <c r="C18" s="119">
        <f t="shared" ref="C18:C27" si="9">+D18-B18</f>
        <v>-2055582</v>
      </c>
      <c r="D18" s="118">
        <f>+'BG '!O24</f>
        <v>360864</v>
      </c>
      <c r="E18" s="119">
        <f t="shared" si="6"/>
        <v>66493951.938547999</v>
      </c>
      <c r="F18" s="120">
        <f>'[1]Planilla Final 2017'!R16</f>
        <v>112886401</v>
      </c>
      <c r="G18" s="121">
        <f t="shared" si="7"/>
        <v>-2499431</v>
      </c>
      <c r="H18" s="122">
        <v>115385832</v>
      </c>
      <c r="I18" s="95"/>
      <c r="J18" s="142" t="s">
        <v>185</v>
      </c>
      <c r="K18" s="118">
        <f>+'BG '!I54</f>
        <v>8303510</v>
      </c>
      <c r="L18" s="119">
        <f t="shared" ref="L18:L26" si="10">+K18-M18</f>
        <v>5740220</v>
      </c>
      <c r="M18" s="118">
        <f>+'BG '!O54</f>
        <v>2563290</v>
      </c>
      <c r="N18" s="119">
        <f t="shared" ref="N18:N26" si="11">+M18-O18</f>
        <v>-7111642</v>
      </c>
      <c r="O18" s="143">
        <f>'[1]Planilla Final 2017'!R34</f>
        <v>9674932</v>
      </c>
      <c r="P18" s="121">
        <f t="shared" si="8"/>
        <v>-3509537</v>
      </c>
      <c r="Q18" s="116">
        <v>5713210</v>
      </c>
      <c r="T18" s="127"/>
      <c r="U18" s="127"/>
    </row>
    <row r="19" spans="1:25" ht="12" customHeight="1" x14ac:dyDescent="0.25">
      <c r="A19" s="117" t="s">
        <v>176</v>
      </c>
      <c r="B19" s="118">
        <f>+'BG '!I23</f>
        <v>4372326</v>
      </c>
      <c r="C19" s="119">
        <f t="shared" si="9"/>
        <v>-2294587</v>
      </c>
      <c r="D19" s="118">
        <f>+'BG '!O23</f>
        <v>2077739</v>
      </c>
      <c r="E19" s="119">
        <f t="shared" si="6"/>
        <v>76954</v>
      </c>
      <c r="F19" s="120">
        <f>'[1]Planilla Final 2017'!R17</f>
        <v>661755</v>
      </c>
      <c r="G19" s="121">
        <f t="shared" si="7"/>
        <v>-39210</v>
      </c>
      <c r="H19" s="122">
        <v>700965</v>
      </c>
      <c r="I19" s="95"/>
      <c r="J19" s="142" t="s">
        <v>186</v>
      </c>
      <c r="K19" s="118">
        <f>+'BG '!I55</f>
        <v>0</v>
      </c>
      <c r="L19" s="119">
        <f t="shared" si="10"/>
        <v>0</v>
      </c>
      <c r="M19" s="118">
        <f>+'BG '!O55</f>
        <v>0</v>
      </c>
      <c r="N19" s="119">
        <f t="shared" si="11"/>
        <v>-6710516</v>
      </c>
      <c r="O19" s="143">
        <f>'[1]Planilla Final 2017'!R35</f>
        <v>6710516</v>
      </c>
      <c r="P19" s="121">
        <f t="shared" si="8"/>
        <v>2</v>
      </c>
      <c r="Q19" s="116">
        <v>10628878</v>
      </c>
      <c r="S19" s="144"/>
      <c r="T19" s="127"/>
      <c r="U19" s="127"/>
      <c r="W19" s="145"/>
      <c r="Y19" s="145"/>
    </row>
    <row r="20" spans="1:25" ht="12" customHeight="1" x14ac:dyDescent="0.25">
      <c r="A20" s="117" t="s">
        <v>187</v>
      </c>
      <c r="B20" s="118">
        <f>+'BG '!I25</f>
        <v>67678909</v>
      </c>
      <c r="C20" s="119">
        <f t="shared" si="9"/>
        <v>-21286459.938547999</v>
      </c>
      <c r="D20" s="118">
        <f>+'BG '!O25</f>
        <v>46392449.061452001</v>
      </c>
      <c r="E20" s="119">
        <f t="shared" si="6"/>
        <v>-3411476</v>
      </c>
      <c r="F20" s="120">
        <f>'[1]Planilla Final 2017'!R18</f>
        <v>11276112</v>
      </c>
      <c r="G20" s="121">
        <f t="shared" si="7"/>
        <v>-841341</v>
      </c>
      <c r="H20" s="122">
        <v>12117453</v>
      </c>
      <c r="I20" s="95"/>
      <c r="J20" s="117" t="s">
        <v>175</v>
      </c>
      <c r="K20" s="118">
        <f>+'BG '!I57</f>
        <v>2535062</v>
      </c>
      <c r="L20" s="119">
        <f t="shared" si="10"/>
        <v>2535062</v>
      </c>
      <c r="M20" s="118">
        <f>+'BG '!O57</f>
        <v>0</v>
      </c>
      <c r="N20" s="119">
        <f t="shared" si="11"/>
        <v>-2203673</v>
      </c>
      <c r="O20" s="143">
        <f>'[1]Planilla Final 2017'!R36</f>
        <v>2203673</v>
      </c>
      <c r="P20" s="121">
        <f t="shared" si="8"/>
        <v>-477887</v>
      </c>
      <c r="Q20" s="116">
        <f>2766149+27717</f>
        <v>2793866</v>
      </c>
      <c r="T20" s="127"/>
      <c r="U20" s="127"/>
      <c r="V20" s="95"/>
      <c r="W20" s="145"/>
      <c r="X20" s="95"/>
      <c r="Y20" s="145"/>
    </row>
    <row r="21" spans="1:25" ht="12" customHeight="1" x14ac:dyDescent="0.25">
      <c r="A21" s="117" t="s">
        <v>188</v>
      </c>
      <c r="B21" s="118">
        <f>+'BG '!I26</f>
        <v>953392</v>
      </c>
      <c r="C21" s="119">
        <f t="shared" si="9"/>
        <v>-368591</v>
      </c>
      <c r="D21" s="118">
        <f>+'BG '!O26</f>
        <v>584801</v>
      </c>
      <c r="E21" s="119">
        <f t="shared" si="6"/>
        <v>-251355</v>
      </c>
      <c r="F21" s="120">
        <f>'[1]Planilla Final 2017'!R19</f>
        <v>1422229</v>
      </c>
      <c r="G21" s="121">
        <f t="shared" si="7"/>
        <v>0</v>
      </c>
      <c r="H21" s="122">
        <v>1422229</v>
      </c>
      <c r="I21" s="95"/>
      <c r="J21" s="117" t="s">
        <v>177</v>
      </c>
      <c r="K21" s="118">
        <f>+'BG '!I58</f>
        <v>26543205</v>
      </c>
      <c r="L21" s="119">
        <f t="shared" si="10"/>
        <v>26543205</v>
      </c>
      <c r="M21" s="118">
        <f>+'BG '!O58</f>
        <v>0</v>
      </c>
      <c r="N21" s="119">
        <f t="shared" si="11"/>
        <v>-10628880</v>
      </c>
      <c r="O21" s="143">
        <f>'[1]Planilla Final 2017'!R37</f>
        <v>10628880</v>
      </c>
      <c r="P21" s="121">
        <f t="shared" si="8"/>
        <v>-610580</v>
      </c>
      <c r="Q21" s="116">
        <v>5796127</v>
      </c>
      <c r="T21" s="127"/>
      <c r="U21" s="127"/>
    </row>
    <row r="22" spans="1:25" ht="12" customHeight="1" x14ac:dyDescent="0.25">
      <c r="A22" s="117" t="s">
        <v>189</v>
      </c>
      <c r="B22" s="118">
        <f>+'BG '!I27</f>
        <v>16248297</v>
      </c>
      <c r="C22" s="119">
        <f t="shared" si="9"/>
        <v>-1560709</v>
      </c>
      <c r="D22" s="118">
        <f>+'BG '!O27</f>
        <v>14687588</v>
      </c>
      <c r="E22" s="119">
        <f t="shared" si="6"/>
        <v>-35698843</v>
      </c>
      <c r="F22" s="120">
        <f>'[1]Planilla Final 2017'!R20</f>
        <v>3318028</v>
      </c>
      <c r="G22" s="121">
        <f t="shared" si="7"/>
        <v>-3227531</v>
      </c>
      <c r="H22" s="122">
        <v>6545559</v>
      </c>
      <c r="I22" s="95"/>
      <c r="J22" s="117" t="s">
        <v>131</v>
      </c>
      <c r="K22" s="118">
        <f>+'BG '!I59</f>
        <v>4811466</v>
      </c>
      <c r="L22" s="119">
        <f t="shared" si="10"/>
        <v>-8834372</v>
      </c>
      <c r="M22" s="118">
        <f>+'BG '!O59</f>
        <v>13645838</v>
      </c>
      <c r="N22" s="119">
        <f t="shared" si="11"/>
        <v>11329859</v>
      </c>
      <c r="O22" s="143">
        <f>'[1]Planilla Final 2017'!R38</f>
        <v>2315979</v>
      </c>
      <c r="P22" s="121">
        <f t="shared" si="8"/>
        <v>3116879</v>
      </c>
      <c r="Q22" s="116">
        <v>17696327</v>
      </c>
      <c r="T22" s="127"/>
      <c r="U22" s="127"/>
    </row>
    <row r="23" spans="1:25" ht="12" customHeight="1" x14ac:dyDescent="0.25">
      <c r="A23" s="117" t="s">
        <v>42</v>
      </c>
      <c r="B23" s="118">
        <f>+'BG '!I29</f>
        <v>2110063</v>
      </c>
      <c r="C23" s="119">
        <f t="shared" si="9"/>
        <v>-436479</v>
      </c>
      <c r="D23" s="118">
        <f>+'BG '!O29</f>
        <v>1673584</v>
      </c>
      <c r="E23" s="119">
        <f t="shared" si="6"/>
        <v>4266160</v>
      </c>
      <c r="F23" s="120">
        <f>'[1]Planilla Final 2017'!R21+'[1]Planilla Final 2017'!R22</f>
        <v>4326687</v>
      </c>
      <c r="G23" s="121">
        <f t="shared" si="7"/>
        <v>1190535</v>
      </c>
      <c r="H23" s="122">
        <f>106009+3030143</f>
        <v>3136152</v>
      </c>
      <c r="I23" s="95"/>
      <c r="J23" s="117" t="s">
        <v>190</v>
      </c>
      <c r="K23" s="118">
        <f>+'BG '!I61</f>
        <v>9235679</v>
      </c>
      <c r="L23" s="119">
        <f t="shared" si="10"/>
        <v>-525812</v>
      </c>
      <c r="M23" s="118">
        <f>+'BG '!O61</f>
        <v>9761491</v>
      </c>
      <c r="N23" s="119">
        <f t="shared" si="11"/>
        <v>4575944</v>
      </c>
      <c r="O23" s="143">
        <f>'[1]Planilla Final 2017'!R39</f>
        <v>5185547</v>
      </c>
      <c r="P23" s="121">
        <f t="shared" si="8"/>
        <v>0</v>
      </c>
      <c r="Q23" s="116">
        <v>3572443</v>
      </c>
      <c r="T23" s="127"/>
      <c r="U23" s="127"/>
    </row>
    <row r="24" spans="1:25" ht="12" customHeight="1" x14ac:dyDescent="0.25">
      <c r="A24" s="117" t="s">
        <v>191</v>
      </c>
      <c r="B24" s="118">
        <f>+'BG '!I30</f>
        <v>42623206</v>
      </c>
      <c r="C24" s="119">
        <f t="shared" si="9"/>
        <v>-3606335</v>
      </c>
      <c r="D24" s="118">
        <f>+'BG '!O30</f>
        <v>39016871</v>
      </c>
      <c r="E24" s="119"/>
      <c r="F24" s="120">
        <v>0</v>
      </c>
      <c r="G24" s="121"/>
      <c r="H24" s="122"/>
      <c r="I24" s="95"/>
      <c r="J24" s="117" t="s">
        <v>58</v>
      </c>
      <c r="K24" s="118">
        <f>+'BG '!I60</f>
        <v>2542451</v>
      </c>
      <c r="L24" s="119">
        <f t="shared" si="10"/>
        <v>-16020870</v>
      </c>
      <c r="M24" s="118">
        <f>+'BG '!O60</f>
        <v>18563321</v>
      </c>
      <c r="N24" s="119">
        <f t="shared" si="11"/>
        <v>-2249885</v>
      </c>
      <c r="O24" s="143">
        <f>'[1]Planilla Final 2017'!R40</f>
        <v>20813206</v>
      </c>
      <c r="P24" s="121"/>
      <c r="Q24" s="116"/>
      <c r="T24" s="127"/>
      <c r="U24" s="127"/>
    </row>
    <row r="25" spans="1:25" ht="12" customHeight="1" x14ac:dyDescent="0.25">
      <c r="A25" s="117" t="s">
        <v>45</v>
      </c>
      <c r="B25" s="118">
        <f>+'BG '!I32</f>
        <v>2045084</v>
      </c>
      <c r="C25" s="119">
        <f t="shared" si="9"/>
        <v>-1984557</v>
      </c>
      <c r="D25" s="118">
        <f>+'BG '!O32</f>
        <v>60527</v>
      </c>
      <c r="E25" s="119">
        <f>+F25-D27</f>
        <v>-3561499.1851480007</v>
      </c>
      <c r="F25" s="146">
        <v>0</v>
      </c>
      <c r="G25" s="121">
        <f>F25-H25</f>
        <v>0</v>
      </c>
      <c r="H25" s="130">
        <v>0</v>
      </c>
      <c r="J25" s="117" t="s">
        <v>192</v>
      </c>
      <c r="K25" s="118">
        <f>+'BG '!I63</f>
        <v>0</v>
      </c>
      <c r="L25" s="119">
        <f t="shared" si="10"/>
        <v>-3724199</v>
      </c>
      <c r="M25" s="118">
        <f>+'BG '!O63</f>
        <v>3724199</v>
      </c>
      <c r="N25" s="119">
        <f t="shared" si="11"/>
        <v>151756</v>
      </c>
      <c r="O25" s="143">
        <f>'[1]Planilla Final 2017'!R41</f>
        <v>3572443</v>
      </c>
      <c r="P25" s="121">
        <f>+O26-Q25</f>
        <v>0</v>
      </c>
      <c r="Q25" s="147">
        <v>0</v>
      </c>
      <c r="T25" s="127"/>
      <c r="U25" s="127"/>
    </row>
    <row r="26" spans="1:25" ht="12" customHeight="1" x14ac:dyDescent="0.25">
      <c r="A26" s="117" t="s">
        <v>41</v>
      </c>
      <c r="B26" s="118">
        <f>+'BG '!I28</f>
        <v>0</v>
      </c>
      <c r="C26" s="119">
        <f t="shared" si="9"/>
        <v>4147107</v>
      </c>
      <c r="D26" s="118">
        <f>+'BG '!O28</f>
        <v>4147107</v>
      </c>
      <c r="E26" s="131"/>
      <c r="F26" s="143">
        <f>SUM(F16:F25)</f>
        <v>140254410</v>
      </c>
      <c r="H26" s="148">
        <f>SUM(H16:H25)</f>
        <v>142314484</v>
      </c>
      <c r="I26" s="95"/>
      <c r="J26" s="117" t="s">
        <v>61</v>
      </c>
      <c r="K26" s="118">
        <f>+'BG '!I62</f>
        <v>16083778</v>
      </c>
      <c r="L26" s="119">
        <f t="shared" si="10"/>
        <v>13503778</v>
      </c>
      <c r="M26" s="118">
        <f>+'BG '!O62</f>
        <v>2580000</v>
      </c>
      <c r="N26" s="119">
        <f t="shared" si="11"/>
        <v>2580000</v>
      </c>
      <c r="O26" s="149">
        <v>0</v>
      </c>
      <c r="Q26" s="150">
        <f>SUM(Q16:Q25)</f>
        <v>69239881</v>
      </c>
      <c r="T26" s="127"/>
      <c r="U26" s="127"/>
    </row>
    <row r="27" spans="1:25" ht="12" customHeight="1" x14ac:dyDescent="0.25">
      <c r="A27" s="117" t="s">
        <v>125</v>
      </c>
      <c r="B27" s="135">
        <f>+'BG '!I31</f>
        <v>280196</v>
      </c>
      <c r="C27" s="119">
        <f t="shared" si="9"/>
        <v>3281303.1851480007</v>
      </c>
      <c r="D27" s="135">
        <f>+'BG '!O31</f>
        <v>3561499.1851480007</v>
      </c>
      <c r="E27" s="131"/>
      <c r="F27" s="105"/>
      <c r="J27" s="138" t="s">
        <v>193</v>
      </c>
      <c r="K27" s="151">
        <f>SUM(K18:K26)</f>
        <v>70055151</v>
      </c>
      <c r="L27" s="131"/>
      <c r="M27" s="146">
        <f>SUM(M18:M26)</f>
        <v>50838139</v>
      </c>
      <c r="N27" s="131"/>
      <c r="O27" s="146">
        <f>SUM(O18:O25)</f>
        <v>61105176</v>
      </c>
      <c r="Q27" s="152" t="e">
        <f>+#REF!+Q26</f>
        <v>#REF!</v>
      </c>
      <c r="T27" s="127"/>
      <c r="U27" s="127"/>
    </row>
    <row r="28" spans="1:25" ht="12" customHeight="1" x14ac:dyDescent="0.25">
      <c r="A28" s="110" t="s">
        <v>194</v>
      </c>
      <c r="B28" s="118">
        <f>SUM(B18:B27)</f>
        <v>138727919</v>
      </c>
      <c r="C28" s="143"/>
      <c r="D28" s="143">
        <f>SUM(D18:D27)</f>
        <v>112563029.2466</v>
      </c>
      <c r="E28" s="131"/>
      <c r="F28" s="105"/>
      <c r="J28" s="138" t="s">
        <v>195</v>
      </c>
      <c r="K28" s="151">
        <f>+K15+K27</f>
        <v>172182798</v>
      </c>
      <c r="L28" s="131"/>
      <c r="M28" s="153">
        <f>+M27+M15</f>
        <v>112675553</v>
      </c>
      <c r="N28" s="131"/>
      <c r="O28" s="153">
        <f>+O15+O27</f>
        <v>127247534</v>
      </c>
      <c r="Q28" s="129"/>
      <c r="T28" s="127"/>
      <c r="U28" s="127"/>
    </row>
    <row r="29" spans="1:25" ht="12" customHeight="1" x14ac:dyDescent="0.25">
      <c r="B29" s="118"/>
      <c r="C29" s="105"/>
      <c r="D29" s="105"/>
      <c r="E29" s="131"/>
      <c r="F29" s="105"/>
      <c r="I29" s="95"/>
      <c r="J29" s="138"/>
      <c r="K29" s="118"/>
      <c r="L29" s="131"/>
      <c r="M29" s="154"/>
      <c r="N29" s="131"/>
      <c r="O29" s="155"/>
      <c r="Q29" s="156"/>
      <c r="T29" s="127"/>
      <c r="U29" s="127"/>
    </row>
    <row r="30" spans="1:25" ht="12" customHeight="1" x14ac:dyDescent="0.25">
      <c r="B30" s="118"/>
      <c r="C30" s="105"/>
      <c r="D30" s="105"/>
      <c r="E30" s="131"/>
      <c r="F30" s="105"/>
      <c r="J30" s="138" t="s">
        <v>196</v>
      </c>
      <c r="K30" s="118">
        <f>+'BG '!I72</f>
        <v>135474272</v>
      </c>
      <c r="L30" s="131">
        <f>K30-M30</f>
        <v>26207532.549999997</v>
      </c>
      <c r="M30" s="118">
        <f>+'BG '!O72</f>
        <v>109266739.45</v>
      </c>
      <c r="N30" s="131">
        <f>M30-O30</f>
        <v>28941387.450000003</v>
      </c>
      <c r="O30" s="120">
        <f>'[1]Planilla Final 2017'!R51</f>
        <v>80325352</v>
      </c>
      <c r="P30" s="91">
        <f>O30-Q30</f>
        <v>5629205</v>
      </c>
      <c r="Q30" s="124">
        <f>77632975-2936828</f>
        <v>74696147</v>
      </c>
      <c r="S30" s="129"/>
      <c r="T30" s="127"/>
      <c r="U30" s="127"/>
    </row>
    <row r="31" spans="1:25" ht="12" customHeight="1" x14ac:dyDescent="0.25">
      <c r="B31" s="118"/>
      <c r="C31" s="105"/>
      <c r="D31" s="105"/>
      <c r="E31" s="131"/>
      <c r="F31" s="105"/>
      <c r="I31" s="157"/>
      <c r="K31" s="105"/>
      <c r="L31" s="105"/>
      <c r="M31" s="105"/>
      <c r="N31" s="131"/>
      <c r="O31" s="105"/>
      <c r="T31" s="127"/>
      <c r="U31" s="127"/>
    </row>
    <row r="32" spans="1:25" ht="12" customHeight="1" x14ac:dyDescent="0.25">
      <c r="A32" s="93" t="s">
        <v>197</v>
      </c>
      <c r="B32" s="158">
        <f>+B28+B15</f>
        <v>307657070</v>
      </c>
      <c r="C32" s="159"/>
      <c r="D32" s="158">
        <f>+D28+D15</f>
        <v>212179159.2466</v>
      </c>
      <c r="E32" s="107"/>
      <c r="F32" s="158" t="e">
        <f>+F26+#REF!</f>
        <v>#REF!</v>
      </c>
      <c r="G32" s="94"/>
      <c r="H32" s="160" t="e">
        <f>+H26+#REF!</f>
        <v>#REF!</v>
      </c>
      <c r="I32" s="95"/>
      <c r="J32" s="161" t="s">
        <v>198</v>
      </c>
      <c r="K32" s="158">
        <f>+K30+K28</f>
        <v>307657070</v>
      </c>
      <c r="L32" s="159"/>
      <c r="M32" s="158">
        <f>+M30+M28</f>
        <v>221942292.44999999</v>
      </c>
      <c r="N32" s="107"/>
      <c r="O32" s="158">
        <f>+O28+O30</f>
        <v>207572886</v>
      </c>
      <c r="P32" s="94"/>
      <c r="Q32" s="160" t="e">
        <f>+Q27+Q30</f>
        <v>#REF!</v>
      </c>
      <c r="T32" s="127"/>
      <c r="U32" s="127"/>
    </row>
    <row r="33" spans="1:20" ht="5.0999999999999996" customHeight="1" x14ac:dyDescent="0.25">
      <c r="B33" s="162"/>
      <c r="C33" s="162"/>
      <c r="D33" s="162"/>
      <c r="E33" s="163"/>
      <c r="F33" s="164"/>
      <c r="I33" s="95"/>
      <c r="J33" s="156"/>
      <c r="K33" s="162"/>
      <c r="L33" s="165"/>
      <c r="M33" s="165"/>
      <c r="N33" s="163"/>
      <c r="O33" s="162"/>
      <c r="T33" s="156"/>
    </row>
    <row r="34" spans="1:20" ht="9" customHeight="1" x14ac:dyDescent="0.25">
      <c r="B34" s="89"/>
      <c r="F34" s="166"/>
      <c r="I34" s="95"/>
      <c r="J34" s="156"/>
      <c r="K34" s="126">
        <f>+K32-B32</f>
        <v>0</v>
      </c>
      <c r="L34" s="126">
        <f>+L32-C32</f>
        <v>0</v>
      </c>
      <c r="M34" s="126">
        <f>+M32-D32</f>
        <v>9763133.203399986</v>
      </c>
      <c r="T34" s="156"/>
    </row>
    <row r="35" spans="1:20" ht="12" customHeight="1" x14ac:dyDescent="0.25">
      <c r="B35" s="89"/>
      <c r="F35" s="156"/>
      <c r="I35" s="95"/>
      <c r="J35" s="156"/>
      <c r="K35" s="89"/>
      <c r="L35" s="156"/>
      <c r="M35" s="156"/>
      <c r="O35" s="156"/>
      <c r="Q35" s="156"/>
      <c r="T35" s="156"/>
    </row>
    <row r="36" spans="1:20" ht="12" customHeight="1" x14ac:dyDescent="0.25">
      <c r="A36" s="167" t="s">
        <v>199</v>
      </c>
      <c r="B36" s="168"/>
      <c r="D36" s="169"/>
      <c r="E36" s="94"/>
      <c r="F36" s="156"/>
      <c r="G36" s="94"/>
      <c r="I36" s="95"/>
      <c r="J36" s="170" t="s">
        <v>200</v>
      </c>
      <c r="K36" s="168"/>
      <c r="L36" s="156"/>
      <c r="M36" s="156"/>
      <c r="N36" s="94"/>
      <c r="P36" s="94"/>
      <c r="T36" s="156"/>
    </row>
    <row r="37" spans="1:20" ht="12" customHeight="1" x14ac:dyDescent="0.25">
      <c r="A37" s="171" t="s">
        <v>201</v>
      </c>
      <c r="B37" s="118">
        <v>0</v>
      </c>
      <c r="C37" s="172"/>
      <c r="D37" s="172"/>
      <c r="E37" s="94"/>
      <c r="F37" s="156"/>
      <c r="G37" s="94"/>
      <c r="H37" s="156"/>
      <c r="I37" s="95"/>
      <c r="J37" s="171" t="s">
        <v>202</v>
      </c>
      <c r="K37" s="118">
        <f>+ER!H40</f>
        <v>46095655</v>
      </c>
      <c r="L37" s="156"/>
      <c r="M37" s="156"/>
      <c r="N37" s="94"/>
      <c r="P37" s="94"/>
      <c r="T37" s="156"/>
    </row>
    <row r="38" spans="1:20" ht="12" customHeight="1" x14ac:dyDescent="0.25">
      <c r="A38" s="173" t="s">
        <v>203</v>
      </c>
      <c r="B38" s="135">
        <v>0</v>
      </c>
      <c r="C38" s="174"/>
      <c r="D38" s="174"/>
      <c r="E38" s="94"/>
      <c r="F38" s="156"/>
      <c r="G38" s="94"/>
      <c r="J38" s="175" t="s">
        <v>157</v>
      </c>
      <c r="K38" s="118">
        <f>+PAT!J189</f>
        <v>-8861058</v>
      </c>
      <c r="L38" s="176"/>
      <c r="M38" s="176"/>
      <c r="N38" s="94"/>
      <c r="P38" s="94"/>
      <c r="T38" s="156"/>
    </row>
    <row r="39" spans="1:20" ht="12" customHeight="1" x14ac:dyDescent="0.25">
      <c r="A39" s="177" t="s">
        <v>204</v>
      </c>
      <c r="B39" s="135">
        <f>+B37+B38</f>
        <v>0</v>
      </c>
      <c r="C39" s="174"/>
      <c r="D39" s="174"/>
      <c r="E39" s="94"/>
      <c r="F39" s="156"/>
      <c r="G39" s="94"/>
      <c r="I39" s="95"/>
      <c r="J39" s="171" t="s">
        <v>205</v>
      </c>
      <c r="K39" s="178">
        <f>+PAT!J188</f>
        <v>-1881937</v>
      </c>
      <c r="L39" s="176"/>
      <c r="M39" s="176"/>
      <c r="N39" s="94"/>
      <c r="P39" s="94"/>
      <c r="T39" s="156"/>
    </row>
    <row r="40" spans="1:20" ht="12" customHeight="1" x14ac:dyDescent="0.25">
      <c r="B40" s="179">
        <f>+B39-C24</f>
        <v>3606335</v>
      </c>
      <c r="F40" s="156"/>
      <c r="I40" s="95"/>
      <c r="J40" s="171" t="s">
        <v>206</v>
      </c>
      <c r="K40" s="118">
        <v>0</v>
      </c>
      <c r="L40" s="156"/>
      <c r="M40" s="156"/>
      <c r="O40" s="156"/>
      <c r="Q40" s="156"/>
      <c r="T40" s="156"/>
    </row>
    <row r="41" spans="1:20" ht="12" customHeight="1" x14ac:dyDescent="0.25">
      <c r="A41" s="167" t="s">
        <v>207</v>
      </c>
      <c r="B41" s="168"/>
      <c r="E41" s="94"/>
      <c r="F41" s="156"/>
      <c r="G41" s="94"/>
      <c r="I41" s="95"/>
      <c r="J41" s="180" t="s">
        <v>204</v>
      </c>
      <c r="K41" s="151">
        <f>SUM(K37:K40)</f>
        <v>35352660</v>
      </c>
      <c r="L41" s="156"/>
      <c r="M41" s="156"/>
      <c r="N41" s="94"/>
      <c r="P41" s="94"/>
      <c r="T41" s="156"/>
    </row>
    <row r="42" spans="1:20" ht="12" customHeight="1" x14ac:dyDescent="0.25">
      <c r="A42" s="171" t="s">
        <v>208</v>
      </c>
      <c r="B42" s="118">
        <f>+EFE!I12</f>
        <v>28468856</v>
      </c>
      <c r="C42" s="172"/>
      <c r="D42" s="172"/>
      <c r="E42" s="94"/>
      <c r="F42" s="156"/>
      <c r="G42" s="94"/>
      <c r="H42" s="156"/>
      <c r="I42" s="95"/>
      <c r="J42" s="176"/>
      <c r="K42" s="174">
        <f>+K41-L30</f>
        <v>9145127.450000003</v>
      </c>
      <c r="L42" s="156"/>
      <c r="M42" s="156"/>
      <c r="N42" s="94"/>
      <c r="P42" s="94"/>
      <c r="T42" s="156"/>
    </row>
    <row r="43" spans="1:20" ht="12" customHeight="1" x14ac:dyDescent="0.25">
      <c r="A43" s="173" t="s">
        <v>203</v>
      </c>
      <c r="B43" s="135">
        <f>-B42+C20</f>
        <v>-49755315.938547999</v>
      </c>
      <c r="C43" s="174"/>
      <c r="D43" s="174"/>
      <c r="E43" s="94"/>
      <c r="F43" s="156"/>
      <c r="G43" s="94"/>
      <c r="J43" s="181" t="s">
        <v>202</v>
      </c>
      <c r="K43" s="136">
        <f>+K37</f>
        <v>46095655</v>
      </c>
      <c r="L43" s="176"/>
      <c r="M43" s="176"/>
      <c r="N43" s="94"/>
      <c r="P43" s="94"/>
      <c r="T43" s="156"/>
    </row>
    <row r="44" spans="1:20" ht="12" customHeight="1" x14ac:dyDescent="0.25">
      <c r="A44" s="177" t="s">
        <v>204</v>
      </c>
      <c r="B44" s="135">
        <f>+B42+B43</f>
        <v>-21286459.938547999</v>
      </c>
      <c r="C44" s="174"/>
      <c r="D44" s="174"/>
      <c r="E44" s="94"/>
      <c r="F44" s="156"/>
      <c r="G44" s="94"/>
      <c r="I44" s="95"/>
      <c r="J44" s="182" t="s">
        <v>209</v>
      </c>
      <c r="K44" s="135">
        <f>B68</f>
        <v>5164625</v>
      </c>
      <c r="L44" s="176"/>
      <c r="M44" s="176"/>
      <c r="N44" s="94"/>
      <c r="P44" s="94"/>
      <c r="T44" s="156"/>
    </row>
    <row r="45" spans="1:20" ht="12" customHeight="1" x14ac:dyDescent="0.25">
      <c r="B45" s="174">
        <f>+B44-C20</f>
        <v>0</v>
      </c>
      <c r="C45" s="174"/>
      <c r="D45" s="174"/>
      <c r="F45" s="166"/>
      <c r="J45" s="183" t="s">
        <v>210</v>
      </c>
      <c r="K45" s="184">
        <f>+K43+K44</f>
        <v>51260280</v>
      </c>
      <c r="L45" s="176"/>
      <c r="M45" s="176"/>
      <c r="T45" s="156"/>
    </row>
    <row r="46" spans="1:20" ht="12" customHeight="1" x14ac:dyDescent="0.25">
      <c r="A46" s="167" t="s">
        <v>211</v>
      </c>
      <c r="B46" s="168"/>
      <c r="E46" s="94"/>
      <c r="F46" s="156"/>
      <c r="G46" s="94"/>
      <c r="I46" s="95"/>
      <c r="K46" s="185">
        <f>+K45-EFE!I8</f>
        <v>0</v>
      </c>
      <c r="L46" s="156"/>
      <c r="M46" s="156"/>
      <c r="N46" s="94"/>
      <c r="P46" s="94"/>
      <c r="T46" s="156"/>
    </row>
    <row r="47" spans="1:20" ht="12" customHeight="1" x14ac:dyDescent="0.25">
      <c r="A47" s="171" t="s">
        <v>208</v>
      </c>
      <c r="B47" s="118">
        <f>+EFE!I14</f>
        <v>2050134</v>
      </c>
      <c r="C47" s="172"/>
      <c r="D47" s="172"/>
      <c r="E47" s="94"/>
      <c r="F47" s="156"/>
      <c r="G47" s="94"/>
      <c r="H47" s="156"/>
      <c r="I47" s="95"/>
      <c r="K47" s="185"/>
      <c r="L47" s="156"/>
      <c r="M47" s="156"/>
      <c r="N47" s="94"/>
      <c r="P47" s="94"/>
      <c r="T47" s="156"/>
    </row>
    <row r="48" spans="1:20" ht="12" customHeight="1" x14ac:dyDescent="0.25">
      <c r="A48" s="173" t="s">
        <v>212</v>
      </c>
      <c r="B48" s="118">
        <f>-4323860-1619556</f>
        <v>-5943416</v>
      </c>
      <c r="C48" s="174"/>
      <c r="D48" s="174"/>
      <c r="E48" s="94"/>
      <c r="F48" s="156"/>
      <c r="G48" s="94"/>
      <c r="J48" s="176"/>
      <c r="K48" s="89"/>
      <c r="L48" s="176"/>
      <c r="M48" s="176"/>
      <c r="N48" s="94"/>
      <c r="P48" s="94"/>
      <c r="T48" s="156"/>
    </row>
    <row r="49" spans="1:20" ht="12" customHeight="1" x14ac:dyDescent="0.25">
      <c r="A49" s="173" t="s">
        <v>213</v>
      </c>
      <c r="B49" s="135">
        <f>+C26-B47-B48</f>
        <v>8040389</v>
      </c>
      <c r="C49" s="174"/>
      <c r="D49" s="174"/>
      <c r="E49" s="94"/>
      <c r="F49" s="156"/>
      <c r="G49" s="94"/>
      <c r="J49" s="176"/>
      <c r="K49" s="89"/>
      <c r="L49" s="176"/>
      <c r="M49" s="176"/>
      <c r="N49" s="94"/>
      <c r="P49" s="94"/>
      <c r="T49" s="156"/>
    </row>
    <row r="50" spans="1:20" ht="12" customHeight="1" x14ac:dyDescent="0.25">
      <c r="A50" s="177" t="s">
        <v>204</v>
      </c>
      <c r="B50" s="135">
        <f>SUM(B47:B49)</f>
        <v>4147107</v>
      </c>
      <c r="C50" s="174"/>
      <c r="D50" s="174"/>
      <c r="E50" s="94"/>
      <c r="F50" s="156"/>
      <c r="G50" s="94"/>
      <c r="I50" s="95"/>
      <c r="J50" s="176"/>
      <c r="K50" s="89"/>
      <c r="L50" s="176"/>
      <c r="M50" s="176"/>
      <c r="N50" s="94"/>
      <c r="P50" s="94"/>
      <c r="T50" s="156"/>
    </row>
    <row r="51" spans="1:20" ht="12" customHeight="1" x14ac:dyDescent="0.25">
      <c r="B51" s="174">
        <f>+C26-B50</f>
        <v>0</v>
      </c>
      <c r="C51" s="174"/>
      <c r="D51" s="174"/>
      <c r="E51" s="94"/>
      <c r="F51" s="156"/>
      <c r="G51" s="94"/>
      <c r="I51" s="95"/>
      <c r="J51" s="176"/>
      <c r="K51" s="89"/>
      <c r="L51" s="176"/>
      <c r="M51" s="176"/>
      <c r="N51" s="94"/>
      <c r="P51" s="94"/>
      <c r="T51" s="156"/>
    </row>
    <row r="52" spans="1:20" ht="12" customHeight="1" x14ac:dyDescent="0.25">
      <c r="A52" s="167" t="s">
        <v>214</v>
      </c>
      <c r="B52" s="168"/>
      <c r="C52" s="174"/>
      <c r="D52" s="174"/>
      <c r="E52" s="94"/>
      <c r="F52" s="156"/>
      <c r="G52" s="94"/>
      <c r="I52" s="95"/>
      <c r="J52" s="176"/>
      <c r="K52" s="89"/>
      <c r="L52" s="176"/>
      <c r="M52" s="176"/>
      <c r="N52" s="94"/>
      <c r="P52" s="94"/>
      <c r="T52" s="156"/>
    </row>
    <row r="53" spans="1:20" ht="12" customHeight="1" x14ac:dyDescent="0.25">
      <c r="A53" s="171" t="s">
        <v>215</v>
      </c>
      <c r="B53" s="118">
        <f>+EFE!I19</f>
        <v>3304648</v>
      </c>
      <c r="C53" s="174"/>
      <c r="D53" s="174"/>
      <c r="I53" s="95"/>
      <c r="J53" s="176"/>
      <c r="K53" s="89"/>
      <c r="L53" s="176"/>
      <c r="M53" s="176"/>
      <c r="T53" s="156"/>
    </row>
    <row r="54" spans="1:20" ht="12" customHeight="1" x14ac:dyDescent="0.25">
      <c r="A54" s="173" t="s">
        <v>216</v>
      </c>
      <c r="B54" s="135">
        <f>-B53+L23</f>
        <v>-3830460</v>
      </c>
      <c r="C54" s="174"/>
      <c r="D54" s="174"/>
      <c r="E54" s="94"/>
      <c r="F54" s="156"/>
      <c r="G54" s="94"/>
      <c r="I54" s="95"/>
      <c r="J54" s="176"/>
      <c r="K54" s="89"/>
      <c r="L54" s="176"/>
      <c r="M54" s="176"/>
      <c r="N54" s="94"/>
      <c r="P54" s="94"/>
      <c r="T54" s="156"/>
    </row>
    <row r="55" spans="1:20" ht="12" customHeight="1" x14ac:dyDescent="0.25">
      <c r="A55" s="177" t="s">
        <v>204</v>
      </c>
      <c r="B55" s="135">
        <f>+B53+B54</f>
        <v>-525812</v>
      </c>
      <c r="C55" s="174"/>
      <c r="D55" s="174"/>
      <c r="E55" s="94"/>
      <c r="F55" s="156"/>
      <c r="G55" s="94"/>
      <c r="I55" s="95"/>
      <c r="J55" s="176"/>
      <c r="K55" s="89"/>
      <c r="L55" s="176"/>
      <c r="M55" s="176"/>
      <c r="N55" s="94"/>
      <c r="P55" s="94"/>
      <c r="T55" s="156"/>
    </row>
    <row r="56" spans="1:20" ht="12" customHeight="1" x14ac:dyDescent="0.25">
      <c r="B56" s="174">
        <f>+B55-L23</f>
        <v>0</v>
      </c>
      <c r="C56" s="174"/>
      <c r="D56" s="174"/>
      <c r="E56" s="94"/>
      <c r="F56" s="156"/>
      <c r="G56" s="94"/>
      <c r="I56" s="95"/>
      <c r="J56" s="176"/>
      <c r="K56" s="89"/>
      <c r="L56" s="176"/>
      <c r="M56" s="176"/>
      <c r="N56" s="94"/>
      <c r="P56" s="94"/>
      <c r="T56" s="156"/>
    </row>
    <row r="57" spans="1:20" ht="12" customHeight="1" x14ac:dyDescent="0.25">
      <c r="A57" s="167" t="s">
        <v>217</v>
      </c>
      <c r="B57" s="168"/>
      <c r="C57" s="174"/>
      <c r="D57" s="174"/>
      <c r="E57" s="94"/>
      <c r="F57" s="156"/>
      <c r="G57" s="94"/>
      <c r="I57" s="95"/>
      <c r="J57" s="176"/>
      <c r="K57" s="89"/>
      <c r="L57" s="176"/>
      <c r="M57" s="176"/>
      <c r="N57" s="94"/>
      <c r="P57" s="94"/>
      <c r="T57" s="156"/>
    </row>
    <row r="58" spans="1:20" ht="12" customHeight="1" x14ac:dyDescent="0.25">
      <c r="A58" s="171" t="s">
        <v>218</v>
      </c>
      <c r="B58" s="118">
        <f>+EFE!I16</f>
        <v>2724375</v>
      </c>
      <c r="C58" s="174"/>
      <c r="D58" s="174"/>
      <c r="E58" s="94"/>
      <c r="F58" s="156"/>
      <c r="G58" s="94"/>
      <c r="J58" s="176"/>
      <c r="K58" s="89"/>
      <c r="L58" s="176"/>
      <c r="M58" s="176"/>
      <c r="N58" s="94"/>
      <c r="P58" s="94"/>
      <c r="T58" s="156"/>
    </row>
    <row r="59" spans="1:20" ht="12" customHeight="1" x14ac:dyDescent="0.25">
      <c r="A59" s="173" t="s">
        <v>203</v>
      </c>
      <c r="B59" s="135">
        <f>-B58+C22</f>
        <v>-4285084</v>
      </c>
      <c r="C59" s="174"/>
      <c r="D59" s="174"/>
      <c r="E59" s="94"/>
      <c r="F59" s="156"/>
      <c r="G59" s="94"/>
      <c r="J59" s="176"/>
      <c r="K59" s="89"/>
      <c r="L59" s="176"/>
      <c r="M59" s="176"/>
      <c r="N59" s="94"/>
      <c r="P59" s="94"/>
      <c r="T59" s="156"/>
    </row>
    <row r="60" spans="1:20" ht="12" customHeight="1" x14ac:dyDescent="0.25">
      <c r="A60" s="177" t="s">
        <v>204</v>
      </c>
      <c r="B60" s="135">
        <f>+B58+B59</f>
        <v>-1560709</v>
      </c>
      <c r="C60" s="174"/>
      <c r="D60" s="174"/>
      <c r="F60" s="176"/>
      <c r="J60" s="176"/>
      <c r="K60" s="89"/>
      <c r="L60" s="176"/>
      <c r="M60" s="176"/>
      <c r="T60" s="156"/>
    </row>
    <row r="61" spans="1:20" ht="12" customHeight="1" x14ac:dyDescent="0.25">
      <c r="B61" s="174">
        <f>+B60-C22</f>
        <v>0</v>
      </c>
      <c r="C61" s="174"/>
      <c r="D61" s="174"/>
      <c r="F61" s="176"/>
      <c r="J61" s="176"/>
      <c r="K61" s="89"/>
      <c r="L61" s="176"/>
      <c r="M61" s="176"/>
      <c r="T61" s="156"/>
    </row>
    <row r="62" spans="1:20" ht="12" customHeight="1" x14ac:dyDescent="0.25">
      <c r="A62" s="167" t="s">
        <v>219</v>
      </c>
      <c r="B62" s="168"/>
      <c r="C62" s="174"/>
      <c r="D62" s="174"/>
      <c r="J62" s="176"/>
      <c r="K62" s="89"/>
      <c r="L62" s="176"/>
      <c r="M62" s="176"/>
      <c r="T62" s="156"/>
    </row>
    <row r="63" spans="1:20" ht="12" customHeight="1" x14ac:dyDescent="0.25">
      <c r="A63" s="171" t="s">
        <v>220</v>
      </c>
      <c r="B63" s="118">
        <f>+EFE!I13</f>
        <v>39210</v>
      </c>
      <c r="C63" s="174"/>
      <c r="D63" s="174"/>
      <c r="J63" s="176"/>
      <c r="K63" s="89"/>
      <c r="L63" s="176"/>
      <c r="M63" s="176"/>
      <c r="T63" s="156"/>
    </row>
    <row r="64" spans="1:20" ht="12" customHeight="1" x14ac:dyDescent="0.25">
      <c r="A64" s="173" t="s">
        <v>203</v>
      </c>
      <c r="B64" s="135">
        <f>-B63+C21</f>
        <v>-407801</v>
      </c>
      <c r="C64" s="174"/>
      <c r="D64" s="174"/>
      <c r="K64" s="89"/>
      <c r="T64" s="156"/>
    </row>
    <row r="65" spans="1:20" ht="12" customHeight="1" x14ac:dyDescent="0.25">
      <c r="A65" s="177" t="s">
        <v>221</v>
      </c>
      <c r="B65" s="135">
        <f>+B63+B64</f>
        <v>-368591</v>
      </c>
      <c r="C65" s="174"/>
      <c r="D65" s="174"/>
      <c r="K65" s="89"/>
      <c r="T65" s="156"/>
    </row>
    <row r="66" spans="1:20" ht="12" customHeight="1" x14ac:dyDescent="0.25">
      <c r="B66" s="174">
        <f>+B65-C21</f>
        <v>0</v>
      </c>
      <c r="C66" s="174"/>
      <c r="D66" s="174"/>
      <c r="K66" s="89"/>
      <c r="T66" s="156"/>
    </row>
    <row r="67" spans="1:20" ht="12" customHeight="1" x14ac:dyDescent="0.25">
      <c r="A67" s="167" t="s">
        <v>222</v>
      </c>
      <c r="B67" s="136"/>
      <c r="C67" s="174"/>
      <c r="D67" s="174"/>
      <c r="K67" s="89"/>
      <c r="T67" s="156"/>
    </row>
    <row r="68" spans="1:20" ht="12" customHeight="1" x14ac:dyDescent="0.25">
      <c r="A68" s="173" t="s">
        <v>223</v>
      </c>
      <c r="B68" s="118">
        <f>-ER!H35</f>
        <v>5164625</v>
      </c>
      <c r="K68" s="89"/>
      <c r="T68" s="156"/>
    </row>
    <row r="69" spans="1:20" ht="12" customHeight="1" x14ac:dyDescent="0.25">
      <c r="A69" s="173" t="s">
        <v>224</v>
      </c>
      <c r="B69" s="118">
        <f>+EFE!I43</f>
        <v>-2091119</v>
      </c>
      <c r="K69" s="89"/>
      <c r="T69" s="156"/>
    </row>
    <row r="70" spans="1:20" ht="12" customHeight="1" x14ac:dyDescent="0.25">
      <c r="A70" s="173" t="s">
        <v>225</v>
      </c>
      <c r="B70" s="186">
        <f>-B68-B69+L10</f>
        <v>-9406957</v>
      </c>
      <c r="K70" s="89"/>
      <c r="T70" s="156"/>
    </row>
    <row r="71" spans="1:20" ht="12" customHeight="1" x14ac:dyDescent="0.25">
      <c r="A71" s="177" t="s">
        <v>221</v>
      </c>
      <c r="B71" s="186">
        <f>SUM(B68:B70)</f>
        <v>-6333451</v>
      </c>
      <c r="K71" s="89"/>
      <c r="T71" s="156"/>
    </row>
    <row r="72" spans="1:20" ht="12" customHeight="1" x14ac:dyDescent="0.25">
      <c r="B72" s="129">
        <f>+B71-L10</f>
        <v>0</v>
      </c>
      <c r="K72" s="89"/>
      <c r="T72" s="156"/>
    </row>
    <row r="73" spans="1:20" ht="12" customHeight="1" x14ac:dyDescent="0.25">
      <c r="A73" s="167" t="s">
        <v>226</v>
      </c>
      <c r="B73" s="136"/>
      <c r="K73" s="89"/>
      <c r="T73" s="156"/>
    </row>
    <row r="74" spans="1:20" ht="12" customHeight="1" x14ac:dyDescent="0.25">
      <c r="A74" s="173" t="s">
        <v>227</v>
      </c>
      <c r="B74" s="118">
        <f>-ER!H34</f>
        <v>0</v>
      </c>
      <c r="K74" s="89"/>
      <c r="T74" s="156"/>
    </row>
    <row r="75" spans="1:20" ht="12" customHeight="1" x14ac:dyDescent="0.25">
      <c r="A75" s="173" t="s">
        <v>228</v>
      </c>
      <c r="B75" s="187">
        <f>+EFE!I44</f>
        <v>-2840226</v>
      </c>
      <c r="K75" s="89"/>
      <c r="T75" s="156"/>
    </row>
    <row r="76" spans="1:20" ht="12" customHeight="1" x14ac:dyDescent="0.25">
      <c r="A76" s="173" t="s">
        <v>225</v>
      </c>
      <c r="B76" s="186">
        <f>-B74-B75+L14</f>
        <v>3504271</v>
      </c>
      <c r="K76" s="89"/>
      <c r="T76" s="156"/>
    </row>
    <row r="77" spans="1:20" ht="12" customHeight="1" x14ac:dyDescent="0.25">
      <c r="A77" s="177" t="s">
        <v>221</v>
      </c>
      <c r="B77" s="186">
        <f>SUM(B74:B76)</f>
        <v>664045</v>
      </c>
      <c r="K77" s="89"/>
      <c r="T77" s="156"/>
    </row>
    <row r="78" spans="1:20" ht="12" customHeight="1" x14ac:dyDescent="0.25">
      <c r="B78" s="129">
        <f>+B77-L14</f>
        <v>0</v>
      </c>
      <c r="K78" s="89"/>
      <c r="T78" s="156"/>
    </row>
    <row r="79" spans="1:20" ht="12" customHeight="1" x14ac:dyDescent="0.25">
      <c r="A79" s="167" t="s">
        <v>229</v>
      </c>
      <c r="B79" s="168"/>
      <c r="K79" s="89"/>
      <c r="T79" s="156"/>
    </row>
    <row r="80" spans="1:20" ht="12" customHeight="1" x14ac:dyDescent="0.25">
      <c r="A80" s="171" t="s">
        <v>230</v>
      </c>
      <c r="B80" s="118">
        <f>+EFE!I10</f>
        <v>300302</v>
      </c>
      <c r="K80" s="89"/>
      <c r="T80" s="156"/>
    </row>
    <row r="81" spans="1:20" ht="12" customHeight="1" x14ac:dyDescent="0.25">
      <c r="A81" s="173" t="s">
        <v>231</v>
      </c>
      <c r="B81" s="135">
        <f>-B80+C8</f>
        <v>-9601997</v>
      </c>
      <c r="K81" s="89"/>
      <c r="T81" s="156"/>
    </row>
    <row r="82" spans="1:20" ht="12" customHeight="1" x14ac:dyDescent="0.25">
      <c r="A82" s="177" t="s">
        <v>221</v>
      </c>
      <c r="B82" s="135">
        <f>+B80+B81</f>
        <v>-9301695</v>
      </c>
      <c r="K82" s="89"/>
      <c r="T82" s="156"/>
    </row>
    <row r="83" spans="1:20" ht="12" customHeight="1" x14ac:dyDescent="0.25">
      <c r="B83" s="174">
        <f>+B82-C8</f>
        <v>0</v>
      </c>
      <c r="K83" s="89"/>
      <c r="T83" s="156"/>
    </row>
    <row r="84" spans="1:20" ht="12" customHeight="1" x14ac:dyDescent="0.25">
      <c r="A84" s="167" t="s">
        <v>232</v>
      </c>
      <c r="B84" s="168"/>
      <c r="K84" s="89"/>
      <c r="T84" s="156"/>
    </row>
    <row r="85" spans="1:20" ht="12" customHeight="1" x14ac:dyDescent="0.25">
      <c r="A85" s="171" t="s">
        <v>233</v>
      </c>
      <c r="B85" s="118">
        <f>+EFE!I22</f>
        <v>-73587</v>
      </c>
      <c r="K85" s="89"/>
      <c r="T85" s="156"/>
    </row>
    <row r="86" spans="1:20" ht="12" customHeight="1" x14ac:dyDescent="0.25">
      <c r="A86" s="173" t="s">
        <v>225</v>
      </c>
      <c r="B86" s="135">
        <f>-B85+C27</f>
        <v>3354890.1851480007</v>
      </c>
    </row>
    <row r="87" spans="1:20" ht="12" customHeight="1" x14ac:dyDescent="0.25">
      <c r="A87" s="177" t="s">
        <v>221</v>
      </c>
      <c r="B87" s="135">
        <f>+B85+B86</f>
        <v>3281303.1851480007</v>
      </c>
    </row>
    <row r="88" spans="1:20" ht="12" customHeight="1" x14ac:dyDescent="0.25">
      <c r="B88" s="185">
        <f>+B87-C27</f>
        <v>0</v>
      </c>
    </row>
    <row r="89" spans="1:20" ht="12" customHeight="1" x14ac:dyDescent="0.25">
      <c r="A89" s="167" t="s">
        <v>234</v>
      </c>
      <c r="B89" s="168"/>
    </row>
    <row r="90" spans="1:20" ht="12" customHeight="1" x14ac:dyDescent="0.25">
      <c r="A90" s="171" t="s">
        <v>235</v>
      </c>
      <c r="B90" s="118"/>
    </row>
    <row r="91" spans="1:20" ht="12" customHeight="1" x14ac:dyDescent="0.25">
      <c r="A91" s="171" t="s">
        <v>236</v>
      </c>
      <c r="B91" s="118">
        <f>-B48</f>
        <v>5943416</v>
      </c>
    </row>
    <row r="92" spans="1:20" ht="12" customHeight="1" x14ac:dyDescent="0.25">
      <c r="A92" s="173" t="s">
        <v>225</v>
      </c>
      <c r="B92" s="135">
        <f>+L13+L25-B91</f>
        <v>-11886832</v>
      </c>
    </row>
    <row r="93" spans="1:20" ht="12" customHeight="1" x14ac:dyDescent="0.25">
      <c r="A93" s="177" t="s">
        <v>221</v>
      </c>
      <c r="B93" s="135">
        <f>SUM(B90:B92)</f>
        <v>-5943416</v>
      </c>
    </row>
    <row r="94" spans="1:20" ht="12" customHeight="1" x14ac:dyDescent="0.25">
      <c r="B94" s="185">
        <f>+B93-L13-L25</f>
        <v>0</v>
      </c>
    </row>
    <row r="95" spans="1:20" ht="12" customHeight="1" x14ac:dyDescent="0.25"/>
    <row r="96" spans="1:20"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2"/>
  <sheetViews>
    <sheetView tabSelected="1" zoomScaleNormal="100" workbookViewId="0">
      <selection activeCell="C200" sqref="C200"/>
    </sheetView>
  </sheetViews>
  <sheetFormatPr defaultColWidth="11.42578125" defaultRowHeight="15" outlineLevelRow="1" x14ac:dyDescent="0.25"/>
  <cols>
    <col min="1" max="1" width="2.85546875" customWidth="1"/>
    <col min="2" max="4" width="11.42578125" style="21"/>
    <col min="5" max="5" width="12.140625" style="21" customWidth="1"/>
    <col min="6" max="7" width="12.7109375" style="15" customWidth="1"/>
    <col min="8" max="8" width="12.5703125" customWidth="1"/>
    <col min="9" max="9" width="13.42578125" customWidth="1"/>
    <col min="10" max="10" width="13.140625" customWidth="1"/>
    <col min="11" max="12" width="12.28515625" customWidth="1"/>
  </cols>
  <sheetData>
    <row r="1" spans="1:10" x14ac:dyDescent="0.25">
      <c r="A1" s="16" t="s">
        <v>12</v>
      </c>
    </row>
    <row r="2" spans="1:10" x14ac:dyDescent="0.25">
      <c r="A2" s="17" t="s">
        <v>237</v>
      </c>
    </row>
    <row r="3" spans="1:10" x14ac:dyDescent="0.25">
      <c r="A3" s="17" t="s">
        <v>238</v>
      </c>
    </row>
    <row r="4" spans="1:10" x14ac:dyDescent="0.25">
      <c r="A4" s="21" t="s">
        <v>14</v>
      </c>
      <c r="F4" s="19"/>
      <c r="G4" s="19"/>
      <c r="H4" s="30"/>
      <c r="I4" s="30"/>
      <c r="J4" s="30"/>
    </row>
    <row r="5" spans="1:10" x14ac:dyDescent="0.25">
      <c r="F5" s="23"/>
      <c r="G5" s="23"/>
      <c r="H5" s="31"/>
      <c r="I5" s="51" t="s">
        <v>15</v>
      </c>
      <c r="J5" s="51"/>
    </row>
    <row r="6" spans="1:10" x14ac:dyDescent="0.25">
      <c r="F6" s="27" t="s">
        <v>16</v>
      </c>
      <c r="G6" s="27" t="s">
        <v>17</v>
      </c>
      <c r="H6" s="53" t="s">
        <v>18</v>
      </c>
      <c r="I6" s="54" t="s">
        <v>19</v>
      </c>
      <c r="J6" s="53" t="s">
        <v>20</v>
      </c>
    </row>
    <row r="7" spans="1:10" x14ac:dyDescent="0.25">
      <c r="B7" s="188" t="s">
        <v>239</v>
      </c>
      <c r="C7" s="64"/>
      <c r="D7" s="64"/>
      <c r="E7" s="64"/>
      <c r="F7" s="23"/>
      <c r="G7" s="23"/>
      <c r="H7" s="31"/>
      <c r="I7" s="31"/>
      <c r="J7" s="31"/>
    </row>
    <row r="8" spans="1:10" hidden="1" outlineLevel="1" x14ac:dyDescent="0.25">
      <c r="B8" s="43" t="s">
        <v>240</v>
      </c>
      <c r="C8" s="70"/>
      <c r="D8" s="70"/>
      <c r="E8" s="70"/>
      <c r="F8" s="23">
        <v>11061874</v>
      </c>
      <c r="G8" s="23">
        <v>4032283</v>
      </c>
      <c r="H8" s="23">
        <f t="shared" ref="H8:H15" si="0">+F8+G8</f>
        <v>15094157</v>
      </c>
      <c r="I8" s="23"/>
      <c r="J8" s="23">
        <f t="shared" ref="J8:J15" si="1">+H8+I8</f>
        <v>15094157</v>
      </c>
    </row>
    <row r="9" spans="1:10" hidden="1" outlineLevel="1" x14ac:dyDescent="0.25">
      <c r="B9" s="43" t="s">
        <v>241</v>
      </c>
      <c r="C9" s="70"/>
      <c r="D9" s="70"/>
      <c r="E9" s="70"/>
      <c r="F9" s="23">
        <f>+F8</f>
        <v>11061874</v>
      </c>
      <c r="G9" s="23">
        <f>+G8</f>
        <v>4032283</v>
      </c>
      <c r="H9" s="23">
        <f t="shared" si="0"/>
        <v>15094157</v>
      </c>
      <c r="I9" s="23"/>
      <c r="J9" s="23">
        <f t="shared" si="1"/>
        <v>15094157</v>
      </c>
    </row>
    <row r="10" spans="1:10" hidden="1" outlineLevel="1" x14ac:dyDescent="0.25">
      <c r="B10" s="43" t="s">
        <v>242</v>
      </c>
      <c r="C10" s="70"/>
      <c r="D10" s="70"/>
      <c r="E10" s="70"/>
      <c r="F10" s="23"/>
      <c r="G10" s="23">
        <v>1228319</v>
      </c>
      <c r="H10" s="23">
        <f t="shared" si="0"/>
        <v>1228319</v>
      </c>
      <c r="I10" s="23"/>
      <c r="J10" s="23">
        <f t="shared" si="1"/>
        <v>1228319</v>
      </c>
    </row>
    <row r="11" spans="1:10" hidden="1" outlineLevel="1" x14ac:dyDescent="0.25">
      <c r="B11" s="43" t="s">
        <v>243</v>
      </c>
      <c r="C11" s="70"/>
      <c r="D11" s="70"/>
      <c r="E11" s="70"/>
      <c r="F11" s="23">
        <v>7077000</v>
      </c>
      <c r="G11" s="23"/>
      <c r="H11" s="23">
        <f t="shared" si="0"/>
        <v>7077000</v>
      </c>
      <c r="I11" s="23"/>
      <c r="J11" s="23">
        <f t="shared" si="1"/>
        <v>7077000</v>
      </c>
    </row>
    <row r="12" spans="1:10" hidden="1" outlineLevel="1" x14ac:dyDescent="0.25">
      <c r="B12" s="43" t="s">
        <v>244</v>
      </c>
      <c r="C12" s="70"/>
      <c r="D12" s="70"/>
      <c r="E12" s="70"/>
      <c r="F12" s="23">
        <v>5470478</v>
      </c>
      <c r="G12" s="23"/>
      <c r="H12" s="23">
        <f t="shared" si="0"/>
        <v>5470478</v>
      </c>
      <c r="I12" s="23"/>
      <c r="J12" s="23">
        <f t="shared" si="1"/>
        <v>5470478</v>
      </c>
    </row>
    <row r="13" spans="1:10" hidden="1" outlineLevel="1" x14ac:dyDescent="0.25">
      <c r="B13" s="43" t="s">
        <v>245</v>
      </c>
      <c r="C13" s="70"/>
      <c r="D13" s="70"/>
      <c r="E13" s="70"/>
      <c r="F13" s="23">
        <v>270000</v>
      </c>
      <c r="G13" s="23"/>
      <c r="H13" s="23">
        <f t="shared" si="0"/>
        <v>270000</v>
      </c>
      <c r="I13" s="23"/>
      <c r="J13" s="23">
        <f t="shared" si="1"/>
        <v>270000</v>
      </c>
    </row>
    <row r="14" spans="1:10" hidden="1" outlineLevel="1" x14ac:dyDescent="0.25">
      <c r="B14" s="43" t="s">
        <v>246</v>
      </c>
      <c r="C14" s="70"/>
      <c r="D14" s="70"/>
      <c r="E14" s="70"/>
      <c r="F14" s="23">
        <v>23879352</v>
      </c>
      <c r="G14" s="23">
        <f>+G9+G10</f>
        <v>5260602</v>
      </c>
      <c r="H14" s="23">
        <f t="shared" si="0"/>
        <v>29139954</v>
      </c>
      <c r="I14" s="23"/>
      <c r="J14" s="23">
        <f t="shared" si="1"/>
        <v>29139954</v>
      </c>
    </row>
    <row r="15" spans="1:10" hidden="1" outlineLevel="1" x14ac:dyDescent="0.25">
      <c r="B15" s="43" t="s">
        <v>247</v>
      </c>
      <c r="C15" s="70"/>
      <c r="D15" s="70"/>
      <c r="E15" s="70"/>
      <c r="F15" s="37">
        <v>0</v>
      </c>
      <c r="G15" s="37">
        <v>2340607</v>
      </c>
      <c r="H15" s="37">
        <f t="shared" si="0"/>
        <v>2340607</v>
      </c>
      <c r="I15" s="37"/>
      <c r="J15" s="37">
        <f t="shared" si="1"/>
        <v>2340607</v>
      </c>
    </row>
    <row r="16" spans="1:10" hidden="1" x14ac:dyDescent="0.25">
      <c r="B16" s="43" t="s">
        <v>248</v>
      </c>
      <c r="C16" s="70"/>
      <c r="D16" s="70"/>
      <c r="E16" s="70"/>
      <c r="F16" s="19">
        <f>+F14+F15</f>
        <v>23879352</v>
      </c>
      <c r="G16" s="19">
        <f>+G14+G15</f>
        <v>7601209</v>
      </c>
      <c r="H16" s="19">
        <f>+H14+H15</f>
        <v>31480561</v>
      </c>
      <c r="I16" s="19">
        <f>+I14+I15</f>
        <v>0</v>
      </c>
      <c r="J16" s="19">
        <f>+J14+J15</f>
        <v>31480561</v>
      </c>
    </row>
    <row r="17" spans="2:10" hidden="1" x14ac:dyDescent="0.25">
      <c r="B17" s="43" t="s">
        <v>249</v>
      </c>
      <c r="C17" s="70"/>
      <c r="D17" s="70"/>
      <c r="E17" s="70"/>
      <c r="F17" s="23">
        <v>6127345</v>
      </c>
      <c r="G17" s="23">
        <v>0</v>
      </c>
      <c r="H17" s="23">
        <f>+F17+G17</f>
        <v>6127345</v>
      </c>
      <c r="I17" s="23"/>
      <c r="J17" s="23">
        <f>+H17+I17</f>
        <v>6127345</v>
      </c>
    </row>
    <row r="18" spans="2:10" hidden="1" x14ac:dyDescent="0.25">
      <c r="B18" s="43" t="s">
        <v>247</v>
      </c>
      <c r="C18" s="70"/>
      <c r="D18" s="70"/>
      <c r="E18" s="70"/>
      <c r="F18" s="37">
        <v>0</v>
      </c>
      <c r="G18" s="37">
        <v>3414354</v>
      </c>
      <c r="H18" s="23">
        <f>+F18+G18</f>
        <v>3414354</v>
      </c>
      <c r="I18" s="37"/>
      <c r="J18" s="23">
        <f>+H18+I18</f>
        <v>3414354</v>
      </c>
    </row>
    <row r="19" spans="2:10" x14ac:dyDescent="0.25">
      <c r="B19" s="43" t="s">
        <v>250</v>
      </c>
      <c r="C19" s="70"/>
      <c r="D19" s="70"/>
      <c r="E19" s="70"/>
      <c r="F19" s="19">
        <f>+F16+F17</f>
        <v>30006697</v>
      </c>
      <c r="G19" s="19">
        <f>+G16+G17+G18</f>
        <v>11015563</v>
      </c>
      <c r="H19" s="19">
        <f>+H16+H17+H18</f>
        <v>41022260</v>
      </c>
      <c r="I19" s="19"/>
      <c r="J19" s="19">
        <f>+J16+J17+J18</f>
        <v>41022260</v>
      </c>
    </row>
    <row r="20" spans="2:10" x14ac:dyDescent="0.25">
      <c r="B20" s="43" t="s">
        <v>247</v>
      </c>
      <c r="C20" s="70"/>
      <c r="D20" s="70"/>
      <c r="E20" s="70"/>
      <c r="F20" s="23">
        <v>5035990</v>
      </c>
      <c r="G20" s="23">
        <v>2143739</v>
      </c>
      <c r="H20" s="23">
        <f>+F20+G20</f>
        <v>7179729</v>
      </c>
      <c r="I20" s="23"/>
      <c r="J20" s="23">
        <f>+H20+I20</f>
        <v>7179729</v>
      </c>
    </row>
    <row r="21" spans="2:10" x14ac:dyDescent="0.25">
      <c r="B21" s="43" t="s">
        <v>251</v>
      </c>
      <c r="C21" s="70"/>
      <c r="D21" s="70"/>
      <c r="E21" s="70"/>
      <c r="F21" s="19">
        <f>SUM(F19:F20)</f>
        <v>35042687</v>
      </c>
      <c r="G21" s="19">
        <f>SUM(G19:G20)</f>
        <v>13159302</v>
      </c>
      <c r="H21" s="19">
        <f>SUM(H19:H20)</f>
        <v>48201989</v>
      </c>
      <c r="I21" s="19">
        <f>SUM(I19:I20)</f>
        <v>0</v>
      </c>
      <c r="J21" s="19">
        <f>SUM(J19:J20)</f>
        <v>48201989</v>
      </c>
    </row>
    <row r="22" spans="2:10" x14ac:dyDescent="0.25">
      <c r="B22" s="43" t="s">
        <v>252</v>
      </c>
      <c r="C22" s="70"/>
      <c r="D22" s="70"/>
      <c r="E22" s="70"/>
      <c r="F22" s="23">
        <v>8215675</v>
      </c>
      <c r="G22" s="23"/>
      <c r="H22" s="23">
        <f>+F22+G22</f>
        <v>8215675</v>
      </c>
      <c r="I22" s="23"/>
      <c r="J22" s="23">
        <f>+H22+I22</f>
        <v>8215675</v>
      </c>
    </row>
    <row r="23" spans="2:10" x14ac:dyDescent="0.25">
      <c r="B23" s="43" t="s">
        <v>253</v>
      </c>
      <c r="C23" s="70"/>
      <c r="D23" s="70"/>
      <c r="E23" s="70"/>
      <c r="F23" s="23">
        <v>-6115000</v>
      </c>
      <c r="G23" s="23"/>
      <c r="H23" s="23">
        <f>+F23+G23</f>
        <v>-6115000</v>
      </c>
      <c r="I23" s="23"/>
      <c r="J23" s="23">
        <f>+H23+I23</f>
        <v>-6115000</v>
      </c>
    </row>
    <row r="24" spans="2:10" x14ac:dyDescent="0.25">
      <c r="B24" s="43" t="s">
        <v>254</v>
      </c>
      <c r="C24" s="70"/>
      <c r="D24" s="70"/>
      <c r="E24" s="70"/>
      <c r="F24" s="189">
        <f>SUM(F21:F23)</f>
        <v>37143362</v>
      </c>
      <c r="G24" s="189">
        <f>SUM(G21:G23)</f>
        <v>13159302</v>
      </c>
      <c r="H24" s="189">
        <f>SUM(H21:H23)</f>
        <v>50302664</v>
      </c>
      <c r="I24" s="189">
        <f>SUM(I21:I23)</f>
        <v>0</v>
      </c>
      <c r="J24" s="189">
        <f>SUM(J21:J23)</f>
        <v>50302664</v>
      </c>
    </row>
    <row r="25" spans="2:10" x14ac:dyDescent="0.25">
      <c r="B25" s="43" t="s">
        <v>255</v>
      </c>
      <c r="C25" s="70"/>
      <c r="D25" s="70"/>
      <c r="E25" s="70"/>
      <c r="F25" s="190">
        <v>-21629181</v>
      </c>
      <c r="G25" s="190"/>
      <c r="H25" s="23">
        <f>+F25+G25</f>
        <v>-21629181</v>
      </c>
      <c r="I25" s="190"/>
      <c r="J25" s="190"/>
    </row>
    <row r="26" spans="2:10" x14ac:dyDescent="0.25">
      <c r="B26" s="43" t="s">
        <v>252</v>
      </c>
      <c r="C26" s="70"/>
      <c r="D26" s="70"/>
      <c r="E26" s="70"/>
      <c r="F26" s="191">
        <v>6115000</v>
      </c>
      <c r="G26" s="191">
        <v>5404856</v>
      </c>
      <c r="H26" s="23">
        <f>+F26+G26</f>
        <v>11519856</v>
      </c>
      <c r="I26" s="191"/>
      <c r="J26" s="191"/>
    </row>
    <row r="27" spans="2:10" x14ac:dyDescent="0.25">
      <c r="B27" s="43" t="s">
        <v>256</v>
      </c>
      <c r="C27" s="70"/>
      <c r="D27" s="70"/>
      <c r="E27" s="70"/>
      <c r="F27" s="192">
        <f>SUM(F24:F26)</f>
        <v>21629181</v>
      </c>
      <c r="G27" s="192">
        <f>SUM(G24:G26)</f>
        <v>18564158</v>
      </c>
      <c r="H27" s="192">
        <f>SUM(H24:H26)</f>
        <v>40193339</v>
      </c>
      <c r="I27" s="192">
        <f>SUM(I24:I26)</f>
        <v>0</v>
      </c>
      <c r="J27" s="192">
        <f>SUM(J24:J26)</f>
        <v>50302664</v>
      </c>
    </row>
    <row r="28" spans="2:10" x14ac:dyDescent="0.25">
      <c r="B28" s="43"/>
      <c r="C28" s="70"/>
      <c r="D28" s="70"/>
      <c r="E28" s="70"/>
      <c r="F28" s="23"/>
      <c r="G28" s="23"/>
      <c r="H28" s="23"/>
      <c r="I28" s="23"/>
      <c r="J28" s="23"/>
    </row>
    <row r="29" spans="2:10" x14ac:dyDescent="0.25">
      <c r="B29" s="193" t="s">
        <v>257</v>
      </c>
      <c r="C29" s="70"/>
      <c r="D29" s="70"/>
      <c r="E29" s="70"/>
      <c r="F29" s="23"/>
      <c r="G29" s="23"/>
      <c r="H29" s="23"/>
      <c r="I29" s="23"/>
      <c r="J29" s="23"/>
    </row>
    <row r="30" spans="2:10" hidden="1" outlineLevel="1" x14ac:dyDescent="0.25">
      <c r="B30" s="43" t="s">
        <v>258</v>
      </c>
      <c r="C30" s="70"/>
      <c r="D30" s="70"/>
      <c r="E30" s="70"/>
      <c r="F30" s="23">
        <v>9572420</v>
      </c>
      <c r="G30" s="23"/>
      <c r="H30" s="23">
        <f t="shared" ref="H30:H38" si="2">+F30+G30</f>
        <v>9572420</v>
      </c>
      <c r="I30" s="23"/>
      <c r="J30" s="23">
        <f t="shared" ref="J30:J38" si="3">+H30+I30</f>
        <v>9572420</v>
      </c>
    </row>
    <row r="31" spans="2:10" hidden="1" outlineLevel="1" x14ac:dyDescent="0.25">
      <c r="B31" s="43" t="s">
        <v>259</v>
      </c>
      <c r="C31" s="70"/>
      <c r="D31" s="70"/>
      <c r="E31" s="70"/>
      <c r="F31" s="23">
        <v>1304919</v>
      </c>
      <c r="G31" s="23"/>
      <c r="H31" s="23">
        <f t="shared" si="2"/>
        <v>1304919</v>
      </c>
      <c r="I31" s="23"/>
      <c r="J31" s="23">
        <f t="shared" si="3"/>
        <v>1304919</v>
      </c>
    </row>
    <row r="32" spans="2:10" hidden="1" outlineLevel="1" x14ac:dyDescent="0.25">
      <c r="B32" s="43" t="s">
        <v>241</v>
      </c>
      <c r="C32" s="70"/>
      <c r="D32" s="70"/>
      <c r="E32" s="70"/>
      <c r="F32" s="23">
        <f>+F30+F31</f>
        <v>10877339</v>
      </c>
      <c r="G32" s="23"/>
      <c r="H32" s="23">
        <f t="shared" si="2"/>
        <v>10877339</v>
      </c>
      <c r="I32" s="23"/>
      <c r="J32" s="23">
        <f t="shared" si="3"/>
        <v>10877339</v>
      </c>
    </row>
    <row r="33" spans="2:10" hidden="1" outlineLevel="1" x14ac:dyDescent="0.25">
      <c r="B33" s="43" t="s">
        <v>260</v>
      </c>
      <c r="C33" s="70"/>
      <c r="D33" s="70"/>
      <c r="E33" s="70"/>
      <c r="F33" s="23">
        <v>-3094403</v>
      </c>
      <c r="G33" s="23"/>
      <c r="H33" s="23">
        <f t="shared" si="2"/>
        <v>-3094403</v>
      </c>
      <c r="I33" s="31"/>
      <c r="J33" s="23">
        <f t="shared" si="3"/>
        <v>-3094403</v>
      </c>
    </row>
    <row r="34" spans="2:10" hidden="1" outlineLevel="1" x14ac:dyDescent="0.25">
      <c r="B34" s="43" t="s">
        <v>243</v>
      </c>
      <c r="C34" s="70"/>
      <c r="D34" s="70"/>
      <c r="E34" s="70"/>
      <c r="F34" s="23">
        <v>-7077000</v>
      </c>
      <c r="G34" s="23"/>
      <c r="H34" s="23">
        <f t="shared" si="2"/>
        <v>-7077000</v>
      </c>
      <c r="I34" s="31"/>
      <c r="J34" s="23">
        <f t="shared" si="3"/>
        <v>-7077000</v>
      </c>
    </row>
    <row r="35" spans="2:10" hidden="1" outlineLevel="1" x14ac:dyDescent="0.25">
      <c r="B35" s="43" t="s">
        <v>246</v>
      </c>
      <c r="C35" s="70"/>
      <c r="D35" s="70"/>
      <c r="E35" s="70"/>
      <c r="F35" s="37">
        <f>SUM(F32:F34)</f>
        <v>705936</v>
      </c>
      <c r="G35" s="37">
        <v>0</v>
      </c>
      <c r="H35" s="37">
        <f t="shared" si="2"/>
        <v>705936</v>
      </c>
      <c r="I35" s="40"/>
      <c r="J35" s="37">
        <f t="shared" si="3"/>
        <v>705936</v>
      </c>
    </row>
    <row r="36" spans="2:10" hidden="1" x14ac:dyDescent="0.25">
      <c r="B36" s="43" t="s">
        <v>248</v>
      </c>
      <c r="C36" s="70"/>
      <c r="D36" s="70"/>
      <c r="E36" s="70"/>
      <c r="F36" s="19">
        <f>+F35</f>
        <v>705936</v>
      </c>
      <c r="G36" s="19">
        <v>0</v>
      </c>
      <c r="H36" s="19">
        <f t="shared" si="2"/>
        <v>705936</v>
      </c>
      <c r="I36" s="30"/>
      <c r="J36" s="19">
        <f t="shared" si="3"/>
        <v>705936</v>
      </c>
    </row>
    <row r="37" spans="2:10" ht="42.75" hidden="1" customHeight="1" x14ac:dyDescent="0.25">
      <c r="B37" s="7" t="s">
        <v>261</v>
      </c>
      <c r="C37" s="7"/>
      <c r="D37" s="7"/>
      <c r="E37" s="7"/>
      <c r="F37" s="37">
        <v>-705016</v>
      </c>
      <c r="G37" s="37">
        <v>0</v>
      </c>
      <c r="H37" s="37">
        <f t="shared" si="2"/>
        <v>-705016</v>
      </c>
      <c r="I37" s="40"/>
      <c r="J37" s="37">
        <f t="shared" si="3"/>
        <v>-705016</v>
      </c>
    </row>
    <row r="38" spans="2:10" x14ac:dyDescent="0.25">
      <c r="B38" s="6" t="s">
        <v>250</v>
      </c>
      <c r="C38" s="6"/>
      <c r="D38" s="6"/>
      <c r="E38" s="6"/>
      <c r="F38" s="19">
        <f>+F36+F37</f>
        <v>920</v>
      </c>
      <c r="G38" s="19">
        <v>0</v>
      </c>
      <c r="H38" s="19">
        <f t="shared" si="2"/>
        <v>920</v>
      </c>
      <c r="I38" s="30"/>
      <c r="J38" s="19">
        <f t="shared" si="3"/>
        <v>920</v>
      </c>
    </row>
    <row r="39" spans="2:10" x14ac:dyDescent="0.25">
      <c r="B39" s="6" t="s">
        <v>251</v>
      </c>
      <c r="C39" s="6"/>
      <c r="D39" s="6"/>
      <c r="E39" s="6"/>
      <c r="F39" s="19">
        <f>SUM(F38:F38)</f>
        <v>920</v>
      </c>
      <c r="G39" s="19">
        <f>SUM(G38:G38)</f>
        <v>0</v>
      </c>
      <c r="H39" s="19">
        <f>SUM(H38:H38)</f>
        <v>920</v>
      </c>
      <c r="I39" s="19">
        <f>SUM(I38:I38)</f>
        <v>0</v>
      </c>
      <c r="J39" s="19">
        <f>SUM(J38:J38)</f>
        <v>920</v>
      </c>
    </row>
    <row r="40" spans="2:10" x14ac:dyDescent="0.25">
      <c r="B40" s="6" t="s">
        <v>262</v>
      </c>
      <c r="C40" s="6"/>
      <c r="D40" s="6"/>
      <c r="E40" s="6"/>
      <c r="F40" s="23">
        <v>6115000</v>
      </c>
      <c r="G40" s="23"/>
      <c r="H40" s="23">
        <f>+F40+G40</f>
        <v>6115000</v>
      </c>
      <c r="I40" s="23"/>
      <c r="J40" s="23">
        <f>+H40+I40</f>
        <v>6115000</v>
      </c>
    </row>
    <row r="41" spans="2:10" x14ac:dyDescent="0.25">
      <c r="B41" s="43" t="s">
        <v>254</v>
      </c>
      <c r="C41" s="70"/>
      <c r="D41" s="70"/>
      <c r="E41" s="70"/>
      <c r="F41" s="189">
        <f>+F39+F40</f>
        <v>6115920</v>
      </c>
      <c r="G41" s="189">
        <f>+G39+G40</f>
        <v>0</v>
      </c>
      <c r="H41" s="189">
        <f>+H39+H40</f>
        <v>6115920</v>
      </c>
      <c r="I41" s="189">
        <f>+I39+I40</f>
        <v>0</v>
      </c>
      <c r="J41" s="189">
        <f>+J39+J40</f>
        <v>6115920</v>
      </c>
    </row>
    <row r="42" spans="2:10" x14ac:dyDescent="0.25">
      <c r="B42" s="43" t="s">
        <v>263</v>
      </c>
      <c r="C42" s="70"/>
      <c r="D42" s="70"/>
      <c r="E42" s="70"/>
      <c r="F42" s="191">
        <v>-6115000</v>
      </c>
      <c r="G42" s="191"/>
      <c r="H42" s="191">
        <f>+F42+G42</f>
        <v>-6115000</v>
      </c>
      <c r="I42" s="191"/>
      <c r="J42" s="191">
        <f>+H42+I42</f>
        <v>-6115000</v>
      </c>
    </row>
    <row r="43" spans="2:10" x14ac:dyDescent="0.25">
      <c r="B43" s="43" t="s">
        <v>256</v>
      </c>
      <c r="C43" s="70"/>
      <c r="D43" s="70"/>
      <c r="E43" s="70"/>
      <c r="F43" s="189">
        <f>SUM(F41:F42)</f>
        <v>920</v>
      </c>
      <c r="G43" s="189">
        <f>SUM(G41:G42)</f>
        <v>0</v>
      </c>
      <c r="H43" s="189">
        <f>SUM(H41:H42)</f>
        <v>920</v>
      </c>
      <c r="I43" s="189">
        <f>SUM(I41:I42)</f>
        <v>0</v>
      </c>
      <c r="J43" s="189">
        <f>SUM(J41:J42)</f>
        <v>920</v>
      </c>
    </row>
    <row r="44" spans="2:10" x14ac:dyDescent="0.25">
      <c r="B44" s="43"/>
      <c r="C44" s="70"/>
      <c r="D44" s="70"/>
      <c r="E44" s="70"/>
      <c r="F44" s="23"/>
      <c r="G44" s="23"/>
      <c r="H44" s="23"/>
      <c r="I44" s="23"/>
      <c r="J44" s="23"/>
    </row>
    <row r="45" spans="2:10" x14ac:dyDescent="0.25">
      <c r="B45" s="193" t="s">
        <v>264</v>
      </c>
      <c r="C45" s="70"/>
      <c r="D45" s="70"/>
      <c r="E45" s="70"/>
      <c r="F45" s="23"/>
      <c r="G45" s="23"/>
      <c r="H45" s="23"/>
      <c r="I45" s="31"/>
      <c r="J45" s="31"/>
    </row>
    <row r="46" spans="2:10" hidden="1" outlineLevel="1" x14ac:dyDescent="0.25">
      <c r="B46" s="43" t="s">
        <v>258</v>
      </c>
      <c r="C46" s="70"/>
      <c r="D46" s="70"/>
      <c r="E46" s="70"/>
      <c r="F46" s="23">
        <v>570206</v>
      </c>
      <c r="G46" s="23">
        <v>516352</v>
      </c>
      <c r="H46" s="23">
        <f>+F46+G46</f>
        <v>1086558</v>
      </c>
      <c r="I46" s="31"/>
      <c r="J46" s="80">
        <f>+H46+I46</f>
        <v>1086558</v>
      </c>
    </row>
    <row r="47" spans="2:10" hidden="1" outlineLevel="1" x14ac:dyDescent="0.25">
      <c r="B47" s="43" t="s">
        <v>265</v>
      </c>
      <c r="C47" s="70"/>
      <c r="D47" s="70"/>
      <c r="E47" s="70"/>
      <c r="F47" s="23">
        <v>359244</v>
      </c>
      <c r="G47" s="23"/>
      <c r="H47" s="23">
        <f>+F47+G47</f>
        <v>359244</v>
      </c>
      <c r="I47" s="31"/>
      <c r="J47" s="23">
        <f>+H47+I47</f>
        <v>359244</v>
      </c>
    </row>
    <row r="48" spans="2:10" hidden="1" outlineLevel="1" x14ac:dyDescent="0.25">
      <c r="B48" s="43" t="s">
        <v>241</v>
      </c>
      <c r="C48" s="70"/>
      <c r="D48" s="70"/>
      <c r="E48" s="70"/>
      <c r="F48" s="23">
        <f>+F47+F46</f>
        <v>929450</v>
      </c>
      <c r="G48" s="23">
        <f>+G46+G47</f>
        <v>516352</v>
      </c>
      <c r="H48" s="23">
        <f>+F48+G48</f>
        <v>1445802</v>
      </c>
      <c r="I48" s="31"/>
      <c r="J48" s="23">
        <f>+H48+I48</f>
        <v>1445802</v>
      </c>
    </row>
    <row r="49" spans="2:11" hidden="1" outlineLevel="1" x14ac:dyDescent="0.25">
      <c r="B49" s="43" t="s">
        <v>266</v>
      </c>
      <c r="C49" s="70"/>
      <c r="D49" s="70"/>
      <c r="E49" s="70"/>
      <c r="F49" s="23">
        <v>1710803</v>
      </c>
      <c r="G49" s="23">
        <v>136481</v>
      </c>
      <c r="H49" s="23">
        <f>+F49+G49</f>
        <v>1847284</v>
      </c>
      <c r="I49" s="31"/>
      <c r="J49" s="23">
        <f>+H49+I49</f>
        <v>1847284</v>
      </c>
    </row>
    <row r="50" spans="2:11" hidden="1" outlineLevel="1" x14ac:dyDescent="0.25">
      <c r="B50" s="43" t="s">
        <v>246</v>
      </c>
      <c r="C50" s="70"/>
      <c r="D50" s="70"/>
      <c r="E50" s="70"/>
      <c r="F50" s="23">
        <f>+F49+F48</f>
        <v>2640253</v>
      </c>
      <c r="G50" s="23">
        <f>+G49+G48</f>
        <v>652833</v>
      </c>
      <c r="H50" s="23">
        <f>+F50+G50</f>
        <v>3293086</v>
      </c>
      <c r="I50" s="31"/>
      <c r="J50" s="23">
        <f>+H50+I50</f>
        <v>3293086</v>
      </c>
    </row>
    <row r="51" spans="2:11" hidden="1" outlineLevel="1" x14ac:dyDescent="0.25">
      <c r="B51" s="43" t="s">
        <v>267</v>
      </c>
      <c r="C51" s="70"/>
      <c r="D51" s="70"/>
      <c r="E51" s="70"/>
      <c r="F51" s="19">
        <f>+F50</f>
        <v>2640253</v>
      </c>
      <c r="G51" s="19">
        <f>+G50</f>
        <v>652833</v>
      </c>
      <c r="H51" s="19">
        <f>+H50</f>
        <v>3293086</v>
      </c>
      <c r="I51" s="19">
        <f>+I50</f>
        <v>0</v>
      </c>
      <c r="J51" s="19">
        <f>+J50</f>
        <v>3293086</v>
      </c>
    </row>
    <row r="52" spans="2:11" hidden="1" outlineLevel="1" x14ac:dyDescent="0.25">
      <c r="B52" s="43" t="s">
        <v>266</v>
      </c>
      <c r="C52" s="70"/>
      <c r="D52" s="70"/>
      <c r="E52" s="70"/>
      <c r="F52" s="39">
        <v>1341885</v>
      </c>
      <c r="G52" s="39">
        <v>260067</v>
      </c>
      <c r="H52" s="23">
        <f>+F52+G52</f>
        <v>1601952</v>
      </c>
      <c r="I52" s="31"/>
      <c r="J52" s="23">
        <f>+H52+I52</f>
        <v>1601952</v>
      </c>
    </row>
    <row r="53" spans="2:11" hidden="1" outlineLevel="1" x14ac:dyDescent="0.25">
      <c r="B53" s="68" t="s">
        <v>268</v>
      </c>
      <c r="C53" s="70"/>
      <c r="D53" s="70"/>
      <c r="E53" s="70"/>
      <c r="F53" s="23"/>
      <c r="G53" s="194">
        <v>379372</v>
      </c>
      <c r="H53" s="23">
        <f>+F53+G53</f>
        <v>379372</v>
      </c>
      <c r="I53" s="31"/>
      <c r="J53" s="23">
        <f>+H53+I53</f>
        <v>379372</v>
      </c>
    </row>
    <row r="54" spans="2:11" hidden="1" x14ac:dyDescent="0.25">
      <c r="B54" s="43" t="s">
        <v>269</v>
      </c>
      <c r="C54" s="70"/>
      <c r="D54" s="70"/>
      <c r="E54" s="70"/>
      <c r="F54" s="19">
        <f>+F50+F52</f>
        <v>3982138</v>
      </c>
      <c r="G54" s="19">
        <f>+G51+G52+G53</f>
        <v>1292272</v>
      </c>
      <c r="H54" s="19">
        <f>+H51+H52+H53</f>
        <v>5274410</v>
      </c>
      <c r="I54" s="19">
        <f>+I50+I52</f>
        <v>0</v>
      </c>
      <c r="J54" s="19">
        <f>+J51+J52+J53</f>
        <v>5274410</v>
      </c>
    </row>
    <row r="55" spans="2:11" hidden="1" x14ac:dyDescent="0.25">
      <c r="B55" s="43" t="s">
        <v>255</v>
      </c>
      <c r="C55" s="70"/>
      <c r="D55" s="70"/>
      <c r="E55" s="70"/>
      <c r="F55" s="23">
        <v>680816</v>
      </c>
      <c r="G55" s="23">
        <v>259368</v>
      </c>
      <c r="H55" s="23">
        <f>+F55+G55</f>
        <v>940184</v>
      </c>
      <c r="I55" s="23"/>
      <c r="J55" s="23">
        <f>+H55+I55</f>
        <v>940184</v>
      </c>
    </row>
    <row r="56" spans="2:11" x14ac:dyDescent="0.25">
      <c r="B56" s="43" t="s">
        <v>270</v>
      </c>
      <c r="C56" s="70"/>
      <c r="D56" s="70"/>
      <c r="E56" s="70"/>
      <c r="F56" s="19">
        <v>4662954</v>
      </c>
      <c r="G56" s="19">
        <f>+G54+G55</f>
        <v>1551640</v>
      </c>
      <c r="H56" s="19">
        <f>+H54+H55</f>
        <v>6214594</v>
      </c>
      <c r="I56" s="19"/>
      <c r="J56" s="19">
        <f>+J54+J55</f>
        <v>6214594</v>
      </c>
    </row>
    <row r="57" spans="2:11" x14ac:dyDescent="0.25">
      <c r="B57" s="43" t="s">
        <v>271</v>
      </c>
      <c r="C57" s="70"/>
      <c r="D57" s="70"/>
      <c r="E57" s="62"/>
      <c r="F57" s="23">
        <v>559555</v>
      </c>
      <c r="G57" s="23"/>
      <c r="H57" s="23">
        <f>+F57+G57</f>
        <v>559555</v>
      </c>
      <c r="I57" s="31"/>
      <c r="J57" s="80">
        <f>+H57+I57</f>
        <v>559555</v>
      </c>
    </row>
    <row r="58" spans="2:11" x14ac:dyDescent="0.25">
      <c r="B58" s="43" t="s">
        <v>251</v>
      </c>
      <c r="C58" s="70"/>
      <c r="D58" s="70"/>
      <c r="E58" s="70"/>
      <c r="F58" s="19">
        <f>SUM(F56:F57)</f>
        <v>5222509</v>
      </c>
      <c r="G58" s="19">
        <f>SUM(G56:G57)</f>
        <v>1551640</v>
      </c>
      <c r="H58" s="19">
        <f>SUM(H56:H57)</f>
        <v>6774149</v>
      </c>
      <c r="I58" s="19">
        <f>SUM(I56:I57)</f>
        <v>0</v>
      </c>
      <c r="J58" s="19">
        <f>SUM(J56:J57)</f>
        <v>6774149</v>
      </c>
      <c r="K58" s="45"/>
    </row>
    <row r="59" spans="2:11" x14ac:dyDescent="0.25">
      <c r="B59" s="43" t="s">
        <v>266</v>
      </c>
      <c r="C59" s="70"/>
      <c r="D59" s="70"/>
      <c r="E59" s="70"/>
      <c r="F59" s="23">
        <v>912853</v>
      </c>
      <c r="G59" s="23">
        <v>374781</v>
      </c>
      <c r="H59" s="23">
        <f>+F59+G59</f>
        <v>1287634</v>
      </c>
      <c r="I59" s="23"/>
      <c r="J59" s="23">
        <f>+H59+I59</f>
        <v>1287634</v>
      </c>
      <c r="K59" s="45"/>
    </row>
    <row r="60" spans="2:11" x14ac:dyDescent="0.25">
      <c r="B60" s="43" t="s">
        <v>254</v>
      </c>
      <c r="C60" s="70"/>
      <c r="D60" s="70"/>
      <c r="E60" s="70"/>
      <c r="F60" s="192">
        <f>+F58+F59</f>
        <v>6135362</v>
      </c>
      <c r="G60" s="192">
        <f>+G58+G59</f>
        <v>1926421</v>
      </c>
      <c r="H60" s="192">
        <f>+H58+H59</f>
        <v>8061783</v>
      </c>
      <c r="I60" s="192">
        <f>+I58+I59</f>
        <v>0</v>
      </c>
      <c r="J60" s="192">
        <f>+J58+J59</f>
        <v>8061783</v>
      </c>
      <c r="K60" s="45"/>
    </row>
    <row r="61" spans="2:11" x14ac:dyDescent="0.25">
      <c r="B61" s="43" t="s">
        <v>252</v>
      </c>
      <c r="C61" s="70"/>
      <c r="D61" s="70"/>
      <c r="E61" s="70"/>
      <c r="F61" s="191">
        <v>0</v>
      </c>
      <c r="G61" s="191">
        <v>709264</v>
      </c>
      <c r="H61" s="23">
        <f>+F61+G61</f>
        <v>709264</v>
      </c>
      <c r="I61" s="191"/>
      <c r="J61" s="23">
        <f>+H61+I61</f>
        <v>709264</v>
      </c>
      <c r="K61" s="45"/>
    </row>
    <row r="62" spans="2:11" x14ac:dyDescent="0.25">
      <c r="B62" s="43" t="s">
        <v>256</v>
      </c>
      <c r="C62" s="70"/>
      <c r="D62" s="70"/>
      <c r="E62" s="70"/>
      <c r="F62" s="192">
        <f>SUM(F60:F61)</f>
        <v>6135362</v>
      </c>
      <c r="G62" s="192">
        <f>SUM(G60:G61)</f>
        <v>2635685</v>
      </c>
      <c r="H62" s="192">
        <f>SUM(H60:H61)</f>
        <v>8771047</v>
      </c>
      <c r="I62" s="192">
        <f>SUM(I60:I61)</f>
        <v>0</v>
      </c>
      <c r="J62" s="192">
        <f>SUM(J60:J61)</f>
        <v>8771047</v>
      </c>
      <c r="K62" s="45"/>
    </row>
    <row r="63" spans="2:11" x14ac:dyDescent="0.25">
      <c r="B63" s="43"/>
      <c r="C63" s="70"/>
      <c r="D63" s="70"/>
      <c r="E63" s="62"/>
      <c r="F63" s="23"/>
      <c r="G63" s="23"/>
      <c r="H63" s="23"/>
      <c r="I63" s="31"/>
      <c r="J63" s="31"/>
    </row>
    <row r="64" spans="2:11" x14ac:dyDescent="0.25">
      <c r="B64" s="193" t="s">
        <v>272</v>
      </c>
      <c r="C64" s="70"/>
      <c r="D64" s="70"/>
      <c r="E64" s="70"/>
      <c r="F64" s="23"/>
      <c r="G64" s="23"/>
      <c r="H64" s="23">
        <f t="shared" ref="H64:H70" si="4">+F64+G64</f>
        <v>0</v>
      </c>
      <c r="I64" s="31"/>
      <c r="J64" s="31"/>
    </row>
    <row r="65" spans="2:11" hidden="1" outlineLevel="1" x14ac:dyDescent="0.25">
      <c r="B65" s="43" t="s">
        <v>273</v>
      </c>
      <c r="C65" s="70"/>
      <c r="D65" s="70"/>
      <c r="E65" s="70"/>
      <c r="F65" s="37">
        <v>34797</v>
      </c>
      <c r="G65" s="37">
        <v>14436</v>
      </c>
      <c r="H65" s="37">
        <f t="shared" si="4"/>
        <v>49233</v>
      </c>
      <c r="I65" s="40"/>
      <c r="J65" s="37">
        <f t="shared" ref="J65:J70" si="5">+H65+I65</f>
        <v>49233</v>
      </c>
    </row>
    <row r="66" spans="2:11" hidden="1" outlineLevel="1" x14ac:dyDescent="0.25">
      <c r="B66" s="43" t="s">
        <v>274</v>
      </c>
      <c r="C66" s="70"/>
      <c r="D66" s="70"/>
      <c r="E66" s="70"/>
      <c r="F66" s="32">
        <f t="shared" ref="F66:G70" si="6">+F65</f>
        <v>34797</v>
      </c>
      <c r="G66" s="32">
        <f t="shared" si="6"/>
        <v>14436</v>
      </c>
      <c r="H66" s="32">
        <f t="shared" si="4"/>
        <v>49233</v>
      </c>
      <c r="I66" s="195"/>
      <c r="J66" s="32">
        <f t="shared" si="5"/>
        <v>49233</v>
      </c>
    </row>
    <row r="67" spans="2:11" hidden="1" x14ac:dyDescent="0.25">
      <c r="B67" s="43" t="s">
        <v>269</v>
      </c>
      <c r="C67" s="70"/>
      <c r="D67" s="70"/>
      <c r="E67" s="70"/>
      <c r="F67" s="32">
        <f t="shared" si="6"/>
        <v>34797</v>
      </c>
      <c r="G67" s="32">
        <f t="shared" si="6"/>
        <v>14436</v>
      </c>
      <c r="H67" s="32">
        <f t="shared" si="4"/>
        <v>49233</v>
      </c>
      <c r="I67" s="195"/>
      <c r="J67" s="32">
        <f t="shared" si="5"/>
        <v>49233</v>
      </c>
    </row>
    <row r="68" spans="2:11" x14ac:dyDescent="0.25">
      <c r="B68" s="43" t="s">
        <v>250</v>
      </c>
      <c r="C68" s="70"/>
      <c r="D68" s="70"/>
      <c r="E68" s="70"/>
      <c r="F68" s="32">
        <f t="shared" si="6"/>
        <v>34797</v>
      </c>
      <c r="G68" s="32">
        <f t="shared" si="6"/>
        <v>14436</v>
      </c>
      <c r="H68" s="32">
        <f t="shared" si="4"/>
        <v>49233</v>
      </c>
      <c r="I68" s="195"/>
      <c r="J68" s="32">
        <f t="shared" si="5"/>
        <v>49233</v>
      </c>
    </row>
    <row r="69" spans="2:11" x14ac:dyDescent="0.25">
      <c r="B69" s="43" t="s">
        <v>251</v>
      </c>
      <c r="C69" s="70"/>
      <c r="D69" s="70"/>
      <c r="E69" s="70"/>
      <c r="F69" s="23">
        <f t="shared" si="6"/>
        <v>34797</v>
      </c>
      <c r="G69" s="23">
        <f t="shared" si="6"/>
        <v>14436</v>
      </c>
      <c r="H69" s="23">
        <f t="shared" si="4"/>
        <v>49233</v>
      </c>
      <c r="I69" s="31"/>
      <c r="J69" s="23">
        <f t="shared" si="5"/>
        <v>49233</v>
      </c>
    </row>
    <row r="70" spans="2:11" x14ac:dyDescent="0.25">
      <c r="B70" s="43" t="s">
        <v>254</v>
      </c>
      <c r="C70" s="70"/>
      <c r="D70" s="70"/>
      <c r="E70" s="70"/>
      <c r="F70" s="192">
        <f t="shared" si="6"/>
        <v>34797</v>
      </c>
      <c r="G70" s="192">
        <f t="shared" si="6"/>
        <v>14436</v>
      </c>
      <c r="H70" s="192">
        <f t="shared" si="4"/>
        <v>49233</v>
      </c>
      <c r="I70" s="196"/>
      <c r="J70" s="192">
        <f t="shared" si="5"/>
        <v>49233</v>
      </c>
    </row>
    <row r="71" spans="2:11" x14ac:dyDescent="0.25">
      <c r="B71" s="43" t="s">
        <v>256</v>
      </c>
      <c r="C71" s="70"/>
      <c r="D71" s="70"/>
      <c r="E71" s="70"/>
      <c r="F71" s="192">
        <f>SUM(F70:F70)</f>
        <v>34797</v>
      </c>
      <c r="G71" s="192">
        <f>SUM(G70:G70)</f>
        <v>14436</v>
      </c>
      <c r="H71" s="192">
        <f>SUM(H70:H70)</f>
        <v>49233</v>
      </c>
      <c r="I71" s="192">
        <f>SUM(I70:I70)</f>
        <v>0</v>
      </c>
      <c r="J71" s="192">
        <f>SUM(J70:J70)</f>
        <v>49233</v>
      </c>
      <c r="K71" s="45"/>
    </row>
    <row r="72" spans="2:11" x14ac:dyDescent="0.25">
      <c r="B72" s="197" t="s">
        <v>275</v>
      </c>
      <c r="C72" s="198"/>
      <c r="D72" s="198"/>
      <c r="E72" s="198"/>
      <c r="F72" s="199">
        <f>+F60+F70</f>
        <v>6170159</v>
      </c>
      <c r="G72" s="199">
        <f>+G60+G70</f>
        <v>1940857</v>
      </c>
      <c r="H72" s="199">
        <f>+H60+H70</f>
        <v>8111016</v>
      </c>
      <c r="I72" s="199">
        <f>+I60+I70</f>
        <v>0</v>
      </c>
      <c r="J72" s="199">
        <f>+J60+J70</f>
        <v>8111016</v>
      </c>
    </row>
    <row r="73" spans="2:11" x14ac:dyDescent="0.25">
      <c r="B73" s="43"/>
      <c r="C73" s="70"/>
      <c r="D73" s="70"/>
      <c r="E73" s="70"/>
      <c r="F73" s="23"/>
      <c r="G73" s="23"/>
      <c r="H73" s="23">
        <f t="shared" ref="H73:H80" si="7">+F73+G73</f>
        <v>0</v>
      </c>
      <c r="I73" s="31"/>
      <c r="J73" s="31"/>
    </row>
    <row r="74" spans="2:11" x14ac:dyDescent="0.25">
      <c r="B74" s="193" t="s">
        <v>276</v>
      </c>
      <c r="C74" s="70"/>
      <c r="D74" s="70"/>
      <c r="E74" s="70"/>
      <c r="F74" s="23"/>
      <c r="G74" s="23"/>
      <c r="H74" s="23">
        <f t="shared" si="7"/>
        <v>0</v>
      </c>
      <c r="I74" s="31"/>
      <c r="J74" s="31"/>
    </row>
    <row r="75" spans="2:11" hidden="1" outlineLevel="1" x14ac:dyDescent="0.25">
      <c r="B75" s="43" t="s">
        <v>273</v>
      </c>
      <c r="C75" s="70"/>
      <c r="D75" s="70"/>
      <c r="E75" s="70"/>
      <c r="F75" s="37">
        <v>227072</v>
      </c>
      <c r="G75" s="37">
        <v>85174</v>
      </c>
      <c r="H75" s="37">
        <f t="shared" si="7"/>
        <v>312246</v>
      </c>
      <c r="I75" s="40"/>
      <c r="J75" s="37">
        <f t="shared" ref="J75:J80" si="8">+H75+I75</f>
        <v>312246</v>
      </c>
    </row>
    <row r="76" spans="2:11" hidden="1" outlineLevel="1" x14ac:dyDescent="0.25">
      <c r="B76" s="43" t="s">
        <v>274</v>
      </c>
      <c r="C76" s="70"/>
      <c r="D76" s="70"/>
      <c r="E76" s="70"/>
      <c r="F76" s="32">
        <f t="shared" ref="F76:G80" si="9">+F75</f>
        <v>227072</v>
      </c>
      <c r="G76" s="32">
        <f t="shared" si="9"/>
        <v>85174</v>
      </c>
      <c r="H76" s="32">
        <f t="shared" si="7"/>
        <v>312246</v>
      </c>
      <c r="I76" s="195"/>
      <c r="J76" s="32">
        <f t="shared" si="8"/>
        <v>312246</v>
      </c>
    </row>
    <row r="77" spans="2:11" hidden="1" x14ac:dyDescent="0.25">
      <c r="B77" s="43" t="s">
        <v>269</v>
      </c>
      <c r="C77" s="70"/>
      <c r="D77" s="70"/>
      <c r="E77" s="70"/>
      <c r="F77" s="32">
        <f t="shared" si="9"/>
        <v>227072</v>
      </c>
      <c r="G77" s="32">
        <f t="shared" si="9"/>
        <v>85174</v>
      </c>
      <c r="H77" s="32">
        <f t="shared" si="7"/>
        <v>312246</v>
      </c>
      <c r="I77" s="195"/>
      <c r="J77" s="32">
        <f t="shared" si="8"/>
        <v>312246</v>
      </c>
    </row>
    <row r="78" spans="2:11" x14ac:dyDescent="0.25">
      <c r="B78" s="43" t="s">
        <v>270</v>
      </c>
      <c r="C78" s="70"/>
      <c r="D78" s="70"/>
      <c r="E78" s="70"/>
      <c r="F78" s="32">
        <f t="shared" si="9"/>
        <v>227072</v>
      </c>
      <c r="G78" s="32">
        <f t="shared" si="9"/>
        <v>85174</v>
      </c>
      <c r="H78" s="32">
        <f t="shared" si="7"/>
        <v>312246</v>
      </c>
      <c r="I78" s="195"/>
      <c r="J78" s="32">
        <f t="shared" si="8"/>
        <v>312246</v>
      </c>
    </row>
    <row r="79" spans="2:11" x14ac:dyDescent="0.25">
      <c r="B79" s="43" t="s">
        <v>277</v>
      </c>
      <c r="C79" s="70"/>
      <c r="D79" s="70"/>
      <c r="E79" s="70"/>
      <c r="F79" s="19">
        <f t="shared" si="9"/>
        <v>227072</v>
      </c>
      <c r="G79" s="19">
        <f t="shared" si="9"/>
        <v>85174</v>
      </c>
      <c r="H79" s="19">
        <f t="shared" si="7"/>
        <v>312246</v>
      </c>
      <c r="I79" s="19"/>
      <c r="J79" s="19">
        <f t="shared" si="8"/>
        <v>312246</v>
      </c>
    </row>
    <row r="80" spans="2:11" x14ac:dyDescent="0.25">
      <c r="B80" s="43" t="s">
        <v>278</v>
      </c>
      <c r="C80" s="70"/>
      <c r="D80" s="70"/>
      <c r="E80" s="70"/>
      <c r="F80" s="192">
        <f t="shared" si="9"/>
        <v>227072</v>
      </c>
      <c r="G80" s="192">
        <f t="shared" si="9"/>
        <v>85174</v>
      </c>
      <c r="H80" s="192">
        <f t="shared" si="7"/>
        <v>312246</v>
      </c>
      <c r="I80" s="192"/>
      <c r="J80" s="192">
        <f t="shared" si="8"/>
        <v>312246</v>
      </c>
    </row>
    <row r="81" spans="2:11" x14ac:dyDescent="0.25">
      <c r="B81" s="43" t="s">
        <v>256</v>
      </c>
      <c r="C81" s="70"/>
      <c r="D81" s="70"/>
      <c r="E81" s="70"/>
      <c r="F81" s="192">
        <f>SUM(F80:F80)</f>
        <v>227072</v>
      </c>
      <c r="G81" s="192">
        <f>SUM(G80:G80)</f>
        <v>85174</v>
      </c>
      <c r="H81" s="192">
        <f>SUM(H80:H80)</f>
        <v>312246</v>
      </c>
      <c r="I81" s="192">
        <f>SUM(I80:I80)</f>
        <v>0</v>
      </c>
      <c r="J81" s="192">
        <f>SUM(J80:J80)</f>
        <v>312246</v>
      </c>
      <c r="K81" s="45"/>
    </row>
    <row r="82" spans="2:11" x14ac:dyDescent="0.25">
      <c r="B82" s="43"/>
      <c r="C82" s="70"/>
      <c r="D82" s="70"/>
      <c r="E82" s="70"/>
      <c r="F82" s="23"/>
      <c r="G82" s="23"/>
      <c r="H82" s="23"/>
      <c r="I82" s="31"/>
      <c r="J82" s="31"/>
    </row>
    <row r="83" spans="2:11" x14ac:dyDescent="0.25">
      <c r="B83" s="193" t="s">
        <v>279</v>
      </c>
      <c r="C83" s="70"/>
      <c r="D83" s="70"/>
      <c r="E83" s="70"/>
      <c r="F83" s="23"/>
      <c r="G83" s="23"/>
      <c r="H83" s="23">
        <f t="shared" ref="H83:H88" si="10">+F83+G83</f>
        <v>0</v>
      </c>
      <c r="I83" s="31"/>
      <c r="J83" s="31"/>
    </row>
    <row r="84" spans="2:11" hidden="1" outlineLevel="1" x14ac:dyDescent="0.25">
      <c r="B84" s="43" t="s">
        <v>240</v>
      </c>
      <c r="C84" s="70"/>
      <c r="D84" s="70"/>
      <c r="E84" s="70"/>
      <c r="F84" s="37">
        <v>-3202431</v>
      </c>
      <c r="G84" s="37">
        <v>-24915</v>
      </c>
      <c r="H84" s="37">
        <f t="shared" si="10"/>
        <v>-3227346</v>
      </c>
      <c r="I84" s="40"/>
      <c r="J84" s="37">
        <f>+H84+I84</f>
        <v>-3227346</v>
      </c>
    </row>
    <row r="85" spans="2:11" hidden="1" outlineLevel="1" x14ac:dyDescent="0.25">
      <c r="B85" s="43" t="s">
        <v>280</v>
      </c>
      <c r="C85" s="70"/>
      <c r="D85" s="70"/>
      <c r="E85" s="70"/>
      <c r="F85" s="32">
        <f t="shared" ref="F85:G89" si="11">+F84</f>
        <v>-3202431</v>
      </c>
      <c r="G85" s="32">
        <f t="shared" si="11"/>
        <v>-24915</v>
      </c>
      <c r="H85" s="32">
        <f t="shared" si="10"/>
        <v>-3227346</v>
      </c>
      <c r="I85" s="195"/>
      <c r="J85" s="32">
        <f>+H85+I85</f>
        <v>-3227346</v>
      </c>
    </row>
    <row r="86" spans="2:11" hidden="1" x14ac:dyDescent="0.25">
      <c r="B86" s="43" t="s">
        <v>269</v>
      </c>
      <c r="C86" s="70"/>
      <c r="D86" s="70"/>
      <c r="E86" s="70"/>
      <c r="F86" s="32">
        <f t="shared" si="11"/>
        <v>-3202431</v>
      </c>
      <c r="G86" s="32">
        <f t="shared" si="11"/>
        <v>-24915</v>
      </c>
      <c r="H86" s="32">
        <f t="shared" si="10"/>
        <v>-3227346</v>
      </c>
      <c r="I86" s="195"/>
      <c r="J86" s="32">
        <f>+H86+I86</f>
        <v>-3227346</v>
      </c>
    </row>
    <row r="87" spans="2:11" x14ac:dyDescent="0.25">
      <c r="B87" s="43" t="s">
        <v>270</v>
      </c>
      <c r="C87" s="70"/>
      <c r="D87" s="70"/>
      <c r="E87" s="70"/>
      <c r="F87" s="19">
        <f t="shared" si="11"/>
        <v>-3202431</v>
      </c>
      <c r="G87" s="19">
        <f t="shared" si="11"/>
        <v>-24915</v>
      </c>
      <c r="H87" s="32">
        <f t="shared" si="10"/>
        <v>-3227346</v>
      </c>
      <c r="I87" s="30"/>
      <c r="J87" s="32">
        <f>+H87+I87</f>
        <v>-3227346</v>
      </c>
    </row>
    <row r="88" spans="2:11" x14ac:dyDescent="0.25">
      <c r="B88" s="43" t="s">
        <v>277</v>
      </c>
      <c r="C88" s="70"/>
      <c r="D88" s="70"/>
      <c r="E88" s="70"/>
      <c r="F88" s="32">
        <f t="shared" si="11"/>
        <v>-3202431</v>
      </c>
      <c r="G88" s="32">
        <f t="shared" si="11"/>
        <v>-24915</v>
      </c>
      <c r="H88" s="32">
        <f t="shared" si="10"/>
        <v>-3227346</v>
      </c>
      <c r="I88" s="195"/>
      <c r="J88" s="32">
        <f>+H88+I88</f>
        <v>-3227346</v>
      </c>
    </row>
    <row r="89" spans="2:11" x14ac:dyDescent="0.25">
      <c r="B89" s="43" t="s">
        <v>278</v>
      </c>
      <c r="C89" s="70"/>
      <c r="D89" s="70"/>
      <c r="E89" s="70"/>
      <c r="F89" s="192">
        <f t="shared" si="11"/>
        <v>-3202431</v>
      </c>
      <c r="G89" s="192">
        <f t="shared" si="11"/>
        <v>-24915</v>
      </c>
      <c r="H89" s="192">
        <f>+H88</f>
        <v>-3227346</v>
      </c>
      <c r="I89" s="192">
        <f>+I88</f>
        <v>0</v>
      </c>
      <c r="J89" s="192">
        <f>+J88</f>
        <v>-3227346</v>
      </c>
    </row>
    <row r="90" spans="2:11" x14ac:dyDescent="0.25">
      <c r="B90" s="43" t="s">
        <v>256</v>
      </c>
      <c r="C90" s="70"/>
      <c r="D90" s="70"/>
      <c r="E90" s="70"/>
      <c r="F90" s="192">
        <f>SUM(F89:F89)</f>
        <v>-3202431</v>
      </c>
      <c r="G90" s="192">
        <f>SUM(G89:G89)</f>
        <v>-24915</v>
      </c>
      <c r="H90" s="192">
        <f>SUM(H89:H89)</f>
        <v>-3227346</v>
      </c>
      <c r="I90" s="192">
        <f>SUM(I89:I89)</f>
        <v>0</v>
      </c>
      <c r="J90" s="192">
        <f>SUM(J89:J89)</f>
        <v>-3227346</v>
      </c>
      <c r="K90" s="45"/>
    </row>
    <row r="91" spans="2:11" x14ac:dyDescent="0.25">
      <c r="B91" s="43"/>
      <c r="C91" s="70"/>
      <c r="D91" s="70"/>
      <c r="E91" s="70"/>
      <c r="F91" s="23"/>
      <c r="G91" s="23"/>
      <c r="H91" s="23">
        <f>+F91+G91</f>
        <v>0</v>
      </c>
      <c r="I91" s="31"/>
      <c r="J91" s="31"/>
    </row>
    <row r="92" spans="2:11" x14ac:dyDescent="0.25">
      <c r="B92" s="193" t="s">
        <v>281</v>
      </c>
      <c r="C92" s="70"/>
      <c r="D92" s="70"/>
      <c r="E92" s="70"/>
      <c r="F92" s="23"/>
      <c r="G92" s="23"/>
      <c r="H92" s="23">
        <f>+F92+G92</f>
        <v>0</v>
      </c>
      <c r="I92" s="31"/>
      <c r="J92" s="31"/>
    </row>
    <row r="93" spans="2:11" hidden="1" outlineLevel="1" x14ac:dyDescent="0.25">
      <c r="B93" s="43" t="s">
        <v>240</v>
      </c>
      <c r="C93" s="70"/>
      <c r="D93" s="70"/>
      <c r="E93" s="70"/>
      <c r="F93" s="23"/>
      <c r="G93" s="23"/>
      <c r="H93" s="23"/>
      <c r="I93" s="31"/>
      <c r="J93" s="31"/>
    </row>
    <row r="94" spans="2:11" hidden="1" outlineLevel="1" x14ac:dyDescent="0.25">
      <c r="B94" s="43" t="s">
        <v>282</v>
      </c>
      <c r="C94" s="70"/>
      <c r="D94" s="70"/>
      <c r="E94" s="70"/>
      <c r="F94" s="23"/>
      <c r="G94" s="23">
        <v>-164317</v>
      </c>
      <c r="H94" s="23">
        <f>F94+G94</f>
        <v>-164317</v>
      </c>
      <c r="I94" s="31"/>
      <c r="J94" s="31"/>
    </row>
    <row r="95" spans="2:11" hidden="1" outlineLevel="1" x14ac:dyDescent="0.25">
      <c r="B95" s="200" t="s">
        <v>283</v>
      </c>
      <c r="C95" s="70"/>
      <c r="D95" s="70"/>
      <c r="E95" s="70"/>
      <c r="F95" s="23">
        <v>0</v>
      </c>
      <c r="G95" s="23">
        <v>-164317</v>
      </c>
      <c r="H95" s="23">
        <f>F95+G95</f>
        <v>-164317</v>
      </c>
      <c r="I95" s="31"/>
      <c r="J95" s="23">
        <f t="shared" ref="J95:J104" si="12">+H95+I95</f>
        <v>-164317</v>
      </c>
    </row>
    <row r="96" spans="2:11" hidden="1" outlineLevel="1" x14ac:dyDescent="0.25">
      <c r="B96" s="43" t="s">
        <v>284</v>
      </c>
      <c r="C96" s="70"/>
      <c r="D96" s="70"/>
      <c r="E96" s="70"/>
      <c r="F96" s="37">
        <v>0</v>
      </c>
      <c r="G96" s="37">
        <v>44500</v>
      </c>
      <c r="H96" s="37">
        <f>+F96+G96</f>
        <v>44500</v>
      </c>
      <c r="I96" s="40"/>
      <c r="J96" s="37">
        <f t="shared" si="12"/>
        <v>44500</v>
      </c>
    </row>
    <row r="97" spans="2:11" hidden="1" outlineLevel="1" x14ac:dyDescent="0.25">
      <c r="B97" s="43" t="s">
        <v>273</v>
      </c>
      <c r="C97" s="70"/>
      <c r="D97" s="70"/>
      <c r="E97" s="70"/>
      <c r="F97" s="19">
        <v>0</v>
      </c>
      <c r="G97" s="19">
        <f>G95+G96</f>
        <v>-119817</v>
      </c>
      <c r="H97" s="19">
        <f>+F97+G97</f>
        <v>-119817</v>
      </c>
      <c r="I97" s="30"/>
      <c r="J97" s="19">
        <f t="shared" si="12"/>
        <v>-119817</v>
      </c>
    </row>
    <row r="98" spans="2:11" hidden="1" outlineLevel="1" x14ac:dyDescent="0.25">
      <c r="B98" s="43" t="s">
        <v>284</v>
      </c>
      <c r="C98" s="70"/>
      <c r="D98" s="70"/>
      <c r="E98" s="70"/>
      <c r="F98" s="37">
        <v>0</v>
      </c>
      <c r="G98" s="37">
        <v>16673</v>
      </c>
      <c r="H98" s="37">
        <v>16673</v>
      </c>
      <c r="I98" s="40"/>
      <c r="J98" s="37">
        <f t="shared" si="12"/>
        <v>16673</v>
      </c>
    </row>
    <row r="99" spans="2:11" hidden="1" x14ac:dyDescent="0.25">
      <c r="B99" s="43" t="s">
        <v>269</v>
      </c>
      <c r="C99" s="70"/>
      <c r="D99" s="70"/>
      <c r="E99" s="70"/>
      <c r="F99" s="201">
        <v>-495802</v>
      </c>
      <c r="G99" s="19">
        <f>G97+G98</f>
        <v>-103144</v>
      </c>
      <c r="H99" s="19">
        <f t="shared" ref="H99:H104" si="13">+F99+G99</f>
        <v>-598946</v>
      </c>
      <c r="I99" s="30"/>
      <c r="J99" s="19">
        <f t="shared" si="12"/>
        <v>-598946</v>
      </c>
    </row>
    <row r="100" spans="2:11" hidden="1" x14ac:dyDescent="0.25">
      <c r="B100" s="43" t="s">
        <v>284</v>
      </c>
      <c r="C100" s="70"/>
      <c r="D100" s="70"/>
      <c r="E100" s="70"/>
      <c r="F100" s="202">
        <v>1849659</v>
      </c>
      <c r="G100" s="37">
        <v>-26254</v>
      </c>
      <c r="H100" s="37">
        <f t="shared" si="13"/>
        <v>1823405</v>
      </c>
      <c r="I100" s="40"/>
      <c r="J100" s="37">
        <f t="shared" si="12"/>
        <v>1823405</v>
      </c>
    </row>
    <row r="101" spans="2:11" x14ac:dyDescent="0.25">
      <c r="B101" s="43" t="s">
        <v>270</v>
      </c>
      <c r="C101" s="70"/>
      <c r="D101" s="70"/>
      <c r="E101" s="70"/>
      <c r="F101" s="201">
        <f>+F99+F100</f>
        <v>1353857</v>
      </c>
      <c r="G101" s="19">
        <f>+G99+G100</f>
        <v>-129398</v>
      </c>
      <c r="H101" s="19">
        <f t="shared" si="13"/>
        <v>1224459</v>
      </c>
      <c r="I101" s="30"/>
      <c r="J101" s="19">
        <f t="shared" si="12"/>
        <v>1224459</v>
      </c>
    </row>
    <row r="102" spans="2:11" x14ac:dyDescent="0.25">
      <c r="B102" s="43" t="s">
        <v>284</v>
      </c>
      <c r="C102" s="70"/>
      <c r="D102" s="70"/>
      <c r="E102" s="70"/>
      <c r="F102" s="202">
        <v>70086</v>
      </c>
      <c r="G102" s="37">
        <v>-16606</v>
      </c>
      <c r="H102" s="37">
        <f t="shared" si="13"/>
        <v>53480</v>
      </c>
      <c r="I102" s="40"/>
      <c r="J102" s="37">
        <f t="shared" si="12"/>
        <v>53480</v>
      </c>
    </row>
    <row r="103" spans="2:11" x14ac:dyDescent="0.25">
      <c r="B103" s="43" t="s">
        <v>277</v>
      </c>
      <c r="C103" s="70"/>
      <c r="D103" s="70"/>
      <c r="E103" s="70"/>
      <c r="F103" s="201">
        <f>+F101+F102</f>
        <v>1423943</v>
      </c>
      <c r="G103" s="19">
        <f>+G101+G102</f>
        <v>-146004</v>
      </c>
      <c r="H103" s="19">
        <f t="shared" si="13"/>
        <v>1277939</v>
      </c>
      <c r="I103" s="30"/>
      <c r="J103" s="19">
        <f t="shared" si="12"/>
        <v>1277939</v>
      </c>
    </row>
    <row r="104" spans="2:11" x14ac:dyDescent="0.25">
      <c r="B104" s="43" t="s">
        <v>284</v>
      </c>
      <c r="C104" s="70"/>
      <c r="D104" s="70"/>
      <c r="E104" s="70"/>
      <c r="F104" s="203">
        <v>-1099700</v>
      </c>
      <c r="G104" s="23">
        <v>-15737</v>
      </c>
      <c r="H104" s="23">
        <f t="shared" si="13"/>
        <v>-1115437</v>
      </c>
      <c r="I104" s="31"/>
      <c r="J104" s="23">
        <f t="shared" si="12"/>
        <v>-1115437</v>
      </c>
    </row>
    <row r="105" spans="2:11" x14ac:dyDescent="0.25">
      <c r="B105" s="43" t="s">
        <v>278</v>
      </c>
      <c r="C105" s="70"/>
      <c r="D105" s="70"/>
      <c r="E105" s="70"/>
      <c r="F105" s="192">
        <f>+F103+F104</f>
        <v>324243</v>
      </c>
      <c r="G105" s="192">
        <f>+G103+G104</f>
        <v>-161741</v>
      </c>
      <c r="H105" s="192">
        <f>+H103+H104</f>
        <v>162502</v>
      </c>
      <c r="I105" s="192">
        <f>+I103+I104</f>
        <v>0</v>
      </c>
      <c r="J105" s="192">
        <f>+J103+J104</f>
        <v>162502</v>
      </c>
    </row>
    <row r="106" spans="2:11" x14ac:dyDescent="0.25">
      <c r="B106" s="43" t="s">
        <v>284</v>
      </c>
      <c r="C106" s="70"/>
      <c r="D106" s="70"/>
      <c r="E106" s="70"/>
      <c r="F106" s="191">
        <v>495802</v>
      </c>
      <c r="G106" s="204">
        <v>-139500</v>
      </c>
      <c r="H106" s="23">
        <f>+F106+G106</f>
        <v>356302</v>
      </c>
      <c r="I106" s="191"/>
      <c r="J106" s="23">
        <f>+H106+I106</f>
        <v>356302</v>
      </c>
      <c r="K106" s="45"/>
    </row>
    <row r="107" spans="2:11" x14ac:dyDescent="0.25">
      <c r="B107" s="43" t="s">
        <v>256</v>
      </c>
      <c r="C107" s="70"/>
      <c r="D107" s="70"/>
      <c r="E107" s="70"/>
      <c r="F107" s="192">
        <f>SUM(F105:F106)</f>
        <v>820045</v>
      </c>
      <c r="G107" s="192">
        <f>SUM(G105:G106)</f>
        <v>-301241</v>
      </c>
      <c r="H107" s="192">
        <f>SUM(H105:H106)</f>
        <v>518804</v>
      </c>
      <c r="I107" s="192">
        <f>SUM(I105:I106)</f>
        <v>0</v>
      </c>
      <c r="J107" s="192">
        <f>SUM(J105:J106)</f>
        <v>518804</v>
      </c>
      <c r="K107" s="45"/>
    </row>
    <row r="108" spans="2:11" x14ac:dyDescent="0.25">
      <c r="B108" s="43"/>
      <c r="C108" s="70"/>
      <c r="D108" s="70"/>
      <c r="E108" s="70"/>
      <c r="F108" s="23"/>
      <c r="G108" s="23"/>
      <c r="H108" s="23"/>
      <c r="I108" s="31"/>
      <c r="J108" s="31"/>
    </row>
    <row r="109" spans="2:11" x14ac:dyDescent="0.25">
      <c r="B109" s="193" t="s">
        <v>285</v>
      </c>
      <c r="C109" s="70"/>
      <c r="D109" s="70"/>
      <c r="E109" s="70"/>
      <c r="F109" s="23"/>
      <c r="G109" s="23"/>
      <c r="H109" s="23">
        <f>+F109+G109</f>
        <v>0</v>
      </c>
      <c r="I109" s="31"/>
      <c r="J109" s="31"/>
    </row>
    <row r="110" spans="2:11" hidden="1" outlineLevel="1" x14ac:dyDescent="0.25">
      <c r="B110" s="43" t="s">
        <v>240</v>
      </c>
      <c r="C110" s="70"/>
      <c r="D110" s="70"/>
      <c r="E110" s="70"/>
      <c r="F110" s="23">
        <v>21286279</v>
      </c>
      <c r="G110" s="23">
        <v>801209</v>
      </c>
      <c r="H110" s="23">
        <f>+F110+G110</f>
        <v>22087488</v>
      </c>
      <c r="I110" s="23"/>
      <c r="J110" s="23">
        <f>+H110+I110</f>
        <v>22087488</v>
      </c>
    </row>
    <row r="111" spans="2:11" hidden="1" outlineLevel="1" x14ac:dyDescent="0.25">
      <c r="B111" s="43" t="s">
        <v>286</v>
      </c>
      <c r="C111" s="70"/>
      <c r="D111" s="70"/>
      <c r="E111" s="70"/>
      <c r="F111" s="23">
        <v>-10113380</v>
      </c>
      <c r="G111" s="23"/>
      <c r="H111" s="23">
        <f>+F111+G111</f>
        <v>-10113380</v>
      </c>
      <c r="I111" s="23"/>
      <c r="J111" s="23">
        <f>+H111+I111</f>
        <v>-10113380</v>
      </c>
    </row>
    <row r="112" spans="2:11" hidden="1" outlineLevel="1" x14ac:dyDescent="0.25">
      <c r="B112" s="43" t="s">
        <v>287</v>
      </c>
      <c r="C112" s="70"/>
      <c r="D112" s="70"/>
      <c r="E112" s="70"/>
      <c r="F112" s="19">
        <f>+F110+F111</f>
        <v>11172899</v>
      </c>
      <c r="G112" s="19">
        <f>+G110+G111</f>
        <v>801209</v>
      </c>
      <c r="H112" s="19">
        <f>+H110+H111</f>
        <v>11974108</v>
      </c>
      <c r="I112" s="19">
        <f>+I110+I111</f>
        <v>0</v>
      </c>
      <c r="J112" s="19">
        <f>+J110+J111</f>
        <v>11974108</v>
      </c>
    </row>
    <row r="113" spans="2:12" hidden="1" outlineLevel="1" x14ac:dyDescent="0.25">
      <c r="B113" s="43" t="s">
        <v>288</v>
      </c>
      <c r="C113" s="70"/>
      <c r="D113" s="70"/>
      <c r="E113" s="70"/>
      <c r="F113" s="23">
        <v>-359244</v>
      </c>
      <c r="G113" s="23"/>
      <c r="H113" s="23">
        <f>+F113+G113</f>
        <v>-359244</v>
      </c>
      <c r="I113" s="31"/>
      <c r="J113" s="23">
        <f>+H113+I113</f>
        <v>-359244</v>
      </c>
    </row>
    <row r="114" spans="2:12" hidden="1" outlineLevel="1" x14ac:dyDescent="0.25">
      <c r="B114" s="43" t="s">
        <v>106</v>
      </c>
      <c r="C114" s="70"/>
      <c r="D114" s="70"/>
      <c r="E114" s="70"/>
      <c r="F114" s="23">
        <v>24778671</v>
      </c>
      <c r="G114" s="23"/>
      <c r="H114" s="23">
        <f>+F114+G114</f>
        <v>24778671</v>
      </c>
      <c r="I114" s="23"/>
      <c r="J114" s="23">
        <f>+H114+I114</f>
        <v>24778671</v>
      </c>
    </row>
    <row r="115" spans="2:12" hidden="1" outlineLevel="1" x14ac:dyDescent="0.25">
      <c r="B115" s="43" t="s">
        <v>240</v>
      </c>
      <c r="C115" s="70"/>
      <c r="D115" s="70"/>
      <c r="E115" s="70"/>
      <c r="F115" s="23">
        <f>SUM(F112:F114)</f>
        <v>35592326</v>
      </c>
      <c r="G115" s="23">
        <f>SUM(G112:G114)</f>
        <v>801209</v>
      </c>
      <c r="H115" s="23">
        <f>SUM(H112:H114)</f>
        <v>36393535</v>
      </c>
      <c r="I115" s="23" t="e">
        <f>-AD!Q69</f>
        <v>#REF!</v>
      </c>
      <c r="J115" s="23" t="e">
        <f>+H115+I115</f>
        <v>#REF!</v>
      </c>
    </row>
    <row r="116" spans="2:12" hidden="1" outlineLevel="1" x14ac:dyDescent="0.25">
      <c r="B116" s="43" t="s">
        <v>289</v>
      </c>
      <c r="C116" s="70"/>
      <c r="D116" s="70"/>
      <c r="E116" s="70"/>
      <c r="F116" s="23">
        <v>0</v>
      </c>
      <c r="G116" s="23">
        <v>10139</v>
      </c>
      <c r="H116" s="23">
        <f>+F116+G116</f>
        <v>10139</v>
      </c>
      <c r="I116" s="31"/>
      <c r="J116" s="23">
        <f>+H116+I116</f>
        <v>10139</v>
      </c>
    </row>
    <row r="117" spans="2:12" hidden="1" outlineLevel="1" x14ac:dyDescent="0.25">
      <c r="B117" s="43" t="s">
        <v>290</v>
      </c>
      <c r="C117" s="70"/>
      <c r="D117" s="70"/>
      <c r="E117" s="70"/>
      <c r="F117" s="37">
        <v>-5585599</v>
      </c>
      <c r="G117" s="37">
        <v>0</v>
      </c>
      <c r="H117" s="37">
        <f>+F117+G117</f>
        <v>-5585599</v>
      </c>
      <c r="I117" s="37"/>
      <c r="J117" s="37">
        <f>+H117+I117</f>
        <v>-5585599</v>
      </c>
      <c r="K117" s="45"/>
    </row>
    <row r="118" spans="2:12" hidden="1" outlineLevel="1" x14ac:dyDescent="0.25">
      <c r="B118" s="43" t="s">
        <v>291</v>
      </c>
      <c r="C118" s="70"/>
      <c r="D118" s="70"/>
      <c r="E118" s="70"/>
      <c r="F118" s="23">
        <f>+F115+F117+F116</f>
        <v>30006727</v>
      </c>
      <c r="G118" s="23">
        <f>+G115+G117+G116</f>
        <v>811348</v>
      </c>
      <c r="H118" s="23">
        <f>+H115+H117+H116</f>
        <v>30818075</v>
      </c>
      <c r="I118" s="23" t="e">
        <f>+I115+I117+I116</f>
        <v>#REF!</v>
      </c>
      <c r="J118" s="23" t="e">
        <f>+J115+J117+J116</f>
        <v>#REF!</v>
      </c>
      <c r="K118" s="21"/>
    </row>
    <row r="119" spans="2:12" hidden="1" outlineLevel="1" x14ac:dyDescent="0.25">
      <c r="B119" s="43" t="s">
        <v>292</v>
      </c>
      <c r="C119" s="70"/>
      <c r="D119" s="70"/>
      <c r="E119" s="70"/>
      <c r="F119" s="23">
        <v>0</v>
      </c>
      <c r="G119" s="23">
        <v>-1228319</v>
      </c>
      <c r="H119" s="23">
        <f>+F119+G119</f>
        <v>-1228319</v>
      </c>
      <c r="I119" s="31"/>
      <c r="J119" s="23">
        <f>+H119+I119</f>
        <v>-1228319</v>
      </c>
      <c r="K119" s="21"/>
    </row>
    <row r="120" spans="2:12" hidden="1" outlineLevel="1" x14ac:dyDescent="0.25">
      <c r="B120" s="43" t="s">
        <v>244</v>
      </c>
      <c r="C120" s="70"/>
      <c r="D120" s="70"/>
      <c r="E120" s="70"/>
      <c r="F120" s="23">
        <v>-5470478</v>
      </c>
      <c r="G120" s="23">
        <v>0</v>
      </c>
      <c r="H120" s="23">
        <f>+F120+G120</f>
        <v>-5470478</v>
      </c>
      <c r="I120" s="31"/>
      <c r="J120" s="23">
        <f>+H120+I120</f>
        <v>-5470478</v>
      </c>
      <c r="K120" s="21"/>
    </row>
    <row r="121" spans="2:12" hidden="1" outlineLevel="1" x14ac:dyDescent="0.25">
      <c r="B121" s="43" t="s">
        <v>245</v>
      </c>
      <c r="C121" s="70"/>
      <c r="D121" s="70"/>
      <c r="E121" s="70"/>
      <c r="F121" s="23">
        <v>-270000</v>
      </c>
      <c r="G121" s="23">
        <v>0</v>
      </c>
      <c r="H121" s="23">
        <f>+F121+G121</f>
        <v>-270000</v>
      </c>
      <c r="I121" s="31"/>
      <c r="J121" s="23">
        <f>+H121+I121</f>
        <v>-270000</v>
      </c>
      <c r="K121" s="21"/>
    </row>
    <row r="122" spans="2:12" hidden="1" outlineLevel="1" x14ac:dyDescent="0.25">
      <c r="B122" s="43" t="str">
        <f>+B113</f>
        <v>Transferencia a Reserva Legal</v>
      </c>
      <c r="C122" s="70"/>
      <c r="D122" s="70"/>
      <c r="E122" s="70"/>
      <c r="F122" s="23">
        <f>-F49</f>
        <v>-1710803</v>
      </c>
      <c r="G122" s="23">
        <v>-136481</v>
      </c>
      <c r="H122" s="23">
        <f>+F122+G122</f>
        <v>-1847284</v>
      </c>
      <c r="I122" s="31"/>
      <c r="J122" s="23">
        <f>+H122+I122</f>
        <v>-1847284</v>
      </c>
      <c r="K122" s="21"/>
    </row>
    <row r="123" spans="2:12" hidden="1" outlineLevel="1" x14ac:dyDescent="0.25">
      <c r="B123" s="43" t="s">
        <v>293</v>
      </c>
      <c r="C123" s="70"/>
      <c r="D123" s="70"/>
      <c r="E123" s="70"/>
      <c r="F123" s="37">
        <v>13423797</v>
      </c>
      <c r="G123" s="37">
        <v>2558818</v>
      </c>
      <c r="H123" s="37">
        <f>+F123+G123</f>
        <v>15982615</v>
      </c>
      <c r="I123" s="37" t="e">
        <f>-AD!O69+AD!Q69</f>
        <v>#REF!</v>
      </c>
      <c r="J123" s="37" t="e">
        <f>+H123+I123</f>
        <v>#REF!</v>
      </c>
      <c r="K123" s="45"/>
    </row>
    <row r="124" spans="2:12" hidden="1" outlineLevel="1" x14ac:dyDescent="0.25">
      <c r="B124" s="43" t="s">
        <v>280</v>
      </c>
      <c r="C124" s="70"/>
      <c r="D124" s="70"/>
      <c r="E124" s="70"/>
      <c r="F124" s="19">
        <v>35993633</v>
      </c>
      <c r="G124" s="19">
        <f>SUM(G118:G123)</f>
        <v>2005366</v>
      </c>
      <c r="H124" s="19">
        <f>SUM(H118:H123)</f>
        <v>37984609</v>
      </c>
      <c r="I124" s="19">
        <f>-AD!M17-AD!M45</f>
        <v>-16446314.003400002</v>
      </c>
      <c r="J124" s="19" t="e">
        <f>SUM(J118:J123)</f>
        <v>#REF!</v>
      </c>
      <c r="K124" s="45"/>
      <c r="L124" s="15"/>
    </row>
    <row r="125" spans="2:12" hidden="1" outlineLevel="1" x14ac:dyDescent="0.25">
      <c r="B125" s="43" t="s">
        <v>294</v>
      </c>
      <c r="C125" s="70"/>
      <c r="D125" s="70"/>
      <c r="E125" s="70"/>
      <c r="F125" s="23">
        <v>-2936828</v>
      </c>
      <c r="G125" s="23">
        <v>0</v>
      </c>
      <c r="H125" s="23">
        <f>+F125+G125</f>
        <v>-2936828</v>
      </c>
      <c r="I125" s="23"/>
      <c r="J125" s="23">
        <f>+H125+I125</f>
        <v>-2936828</v>
      </c>
      <c r="K125" s="45"/>
      <c r="L125" s="15"/>
    </row>
    <row r="126" spans="2:12" hidden="1" outlineLevel="1" x14ac:dyDescent="0.25">
      <c r="B126" s="43" t="s">
        <v>295</v>
      </c>
      <c r="C126" s="70"/>
      <c r="D126" s="70"/>
      <c r="E126" s="70"/>
      <c r="F126" s="19">
        <f>+F124+F125</f>
        <v>33056805</v>
      </c>
      <c r="G126" s="19">
        <f>+G124+G125</f>
        <v>2005366</v>
      </c>
      <c r="H126" s="205">
        <f>+H124+H125</f>
        <v>35047781</v>
      </c>
      <c r="I126" s="19">
        <f>+I124+I125</f>
        <v>-16446314.003400002</v>
      </c>
      <c r="J126" s="19" t="e">
        <f>+J124+J125</f>
        <v>#REF!</v>
      </c>
      <c r="K126" s="45"/>
      <c r="L126" s="15"/>
    </row>
    <row r="127" spans="2:12" hidden="1" outlineLevel="1" x14ac:dyDescent="0.25">
      <c r="B127" s="43" t="s">
        <v>296</v>
      </c>
      <c r="C127" s="70"/>
      <c r="D127" s="70"/>
      <c r="E127" s="70"/>
      <c r="F127" s="23">
        <v>0</v>
      </c>
      <c r="G127" s="23">
        <v>-2340607</v>
      </c>
      <c r="H127" s="23">
        <f t="shared" ref="H127:H148" si="14">+F127+G127</f>
        <v>-2340607</v>
      </c>
      <c r="I127" s="31"/>
      <c r="J127" s="23">
        <f>+H127+I127</f>
        <v>-2340607</v>
      </c>
      <c r="L127" s="15"/>
    </row>
    <row r="128" spans="2:12" hidden="1" outlineLevel="1" x14ac:dyDescent="0.25">
      <c r="B128" s="43" t="s">
        <v>288</v>
      </c>
      <c r="C128" s="70"/>
      <c r="D128" s="70"/>
      <c r="E128" s="70"/>
      <c r="F128" s="23">
        <v>-1341885</v>
      </c>
      <c r="G128" s="23">
        <v>-260067</v>
      </c>
      <c r="H128" s="23">
        <f t="shared" si="14"/>
        <v>-1601952</v>
      </c>
      <c r="I128" s="23"/>
      <c r="J128" s="23">
        <f>+H128+I128</f>
        <v>-1601952</v>
      </c>
      <c r="L128" s="15"/>
    </row>
    <row r="129" spans="2:12" hidden="1" outlineLevel="1" x14ac:dyDescent="0.25">
      <c r="B129" s="43" t="s">
        <v>106</v>
      </c>
      <c r="C129" s="70"/>
      <c r="D129" s="70"/>
      <c r="E129" s="70"/>
      <c r="F129" s="23">
        <v>6808164</v>
      </c>
      <c r="G129" s="23">
        <v>3793728</v>
      </c>
      <c r="H129" s="23">
        <f t="shared" si="14"/>
        <v>10601892</v>
      </c>
      <c r="I129" s="23"/>
      <c r="J129" s="23">
        <f>+H129+I129</f>
        <v>10601892</v>
      </c>
      <c r="L129" s="15"/>
    </row>
    <row r="130" spans="2:12" hidden="1" x14ac:dyDescent="0.25">
      <c r="B130" s="43" t="s">
        <v>269</v>
      </c>
      <c r="C130" s="70"/>
      <c r="D130" s="70"/>
      <c r="E130" s="70"/>
      <c r="F130" s="32">
        <f>SUM(F126:F129)</f>
        <v>38523084</v>
      </c>
      <c r="G130" s="32">
        <f>SUM(G126:G129)</f>
        <v>3198420</v>
      </c>
      <c r="H130" s="32">
        <f t="shared" si="14"/>
        <v>41721504</v>
      </c>
      <c r="I130" s="32">
        <f>SUM(I126:I129)</f>
        <v>-16446314.003400002</v>
      </c>
      <c r="J130" s="32" t="e">
        <f>SUM(J126:J129)</f>
        <v>#REF!</v>
      </c>
      <c r="K130" s="45"/>
      <c r="L130" s="15"/>
    </row>
    <row r="131" spans="2:12" hidden="1" x14ac:dyDescent="0.25">
      <c r="B131" s="43" t="s">
        <v>297</v>
      </c>
      <c r="C131" s="70"/>
      <c r="D131" s="70"/>
      <c r="E131" s="70"/>
      <c r="F131" s="23">
        <v>-6127345</v>
      </c>
      <c r="G131" s="23"/>
      <c r="H131" s="23">
        <f t="shared" si="14"/>
        <v>-6127345</v>
      </c>
      <c r="I131" s="23"/>
      <c r="J131" s="23">
        <f t="shared" ref="J131:J148" si="15">+H131+I131</f>
        <v>-6127345</v>
      </c>
      <c r="K131" s="45"/>
      <c r="L131" s="15"/>
    </row>
    <row r="132" spans="2:12" hidden="1" x14ac:dyDescent="0.25">
      <c r="B132" s="43" t="s">
        <v>255</v>
      </c>
      <c r="C132" s="70"/>
      <c r="D132" s="70"/>
      <c r="E132" s="70"/>
      <c r="F132" s="23">
        <v>-680816</v>
      </c>
      <c r="G132" s="23">
        <f>-259368-379372</f>
        <v>-638740</v>
      </c>
      <c r="H132" s="23">
        <f t="shared" si="14"/>
        <v>-1319556</v>
      </c>
      <c r="I132" s="23"/>
      <c r="J132" s="23">
        <f t="shared" si="15"/>
        <v>-1319556</v>
      </c>
      <c r="L132" s="15"/>
    </row>
    <row r="133" spans="2:12" hidden="1" x14ac:dyDescent="0.25">
      <c r="B133" s="43" t="s">
        <v>298</v>
      </c>
      <c r="C133" s="70"/>
      <c r="D133" s="70"/>
      <c r="E133" s="70"/>
      <c r="F133" s="23">
        <f>446968</f>
        <v>446968</v>
      </c>
      <c r="G133" s="23"/>
      <c r="H133" s="23">
        <f t="shared" si="14"/>
        <v>446968</v>
      </c>
      <c r="I133" s="23"/>
      <c r="J133" s="23">
        <f t="shared" si="15"/>
        <v>446968</v>
      </c>
      <c r="L133" s="15"/>
    </row>
    <row r="134" spans="2:12" hidden="1" x14ac:dyDescent="0.25">
      <c r="B134" s="43" t="s">
        <v>106</v>
      </c>
      <c r="C134" s="70"/>
      <c r="D134" s="70"/>
      <c r="E134" s="70"/>
      <c r="F134" s="23">
        <v>5595545</v>
      </c>
      <c r="G134" s="23">
        <v>2593677</v>
      </c>
      <c r="H134" s="23">
        <f t="shared" si="14"/>
        <v>8189222</v>
      </c>
      <c r="I134" s="23">
        <f>+ER!S40</f>
        <v>1836936.4151480002</v>
      </c>
      <c r="J134" s="23">
        <f t="shared" si="15"/>
        <v>10026158.415148001</v>
      </c>
      <c r="K134" s="45">
        <f>+F134-5595545</f>
        <v>0</v>
      </c>
      <c r="L134" s="15"/>
    </row>
    <row r="135" spans="2:12" hidden="1" x14ac:dyDescent="0.25">
      <c r="B135" s="43" t="s">
        <v>296</v>
      </c>
      <c r="C135" s="70"/>
      <c r="D135" s="70"/>
      <c r="E135" s="70"/>
      <c r="F135" s="23"/>
      <c r="G135" s="23">
        <v>-3414354</v>
      </c>
      <c r="H135" s="23">
        <f t="shared" si="14"/>
        <v>-3414354</v>
      </c>
      <c r="I135" s="23"/>
      <c r="J135" s="23">
        <f t="shared" si="15"/>
        <v>-3414354</v>
      </c>
      <c r="L135" s="15"/>
    </row>
    <row r="136" spans="2:12" x14ac:dyDescent="0.25">
      <c r="B136" s="43" t="s">
        <v>270</v>
      </c>
      <c r="C136" s="70"/>
      <c r="D136" s="70"/>
      <c r="E136" s="70"/>
      <c r="F136" s="32">
        <f>SUM(F130:F135)</f>
        <v>37757436</v>
      </c>
      <c r="G136" s="206">
        <f>SUM(G130:G135)</f>
        <v>1739003</v>
      </c>
      <c r="H136" s="206">
        <f t="shared" si="14"/>
        <v>39496439</v>
      </c>
      <c r="I136" s="32">
        <f>SUM(I130:I135)</f>
        <v>-14609377.588252001</v>
      </c>
      <c r="J136" s="32">
        <f t="shared" si="15"/>
        <v>24887061.411747999</v>
      </c>
      <c r="K136" s="45"/>
      <c r="L136" s="15"/>
    </row>
    <row r="137" spans="2:12" x14ac:dyDescent="0.25">
      <c r="B137" s="43" t="s">
        <v>298</v>
      </c>
      <c r="C137" s="70"/>
      <c r="D137" s="70"/>
      <c r="E137" s="70"/>
      <c r="F137" s="23">
        <v>251108</v>
      </c>
      <c r="G137" s="203">
        <v>-48910</v>
      </c>
      <c r="H137" s="203">
        <f t="shared" si="14"/>
        <v>202198</v>
      </c>
      <c r="I137" s="23"/>
      <c r="J137" s="23">
        <f t="shared" si="15"/>
        <v>202198</v>
      </c>
      <c r="L137" s="15"/>
    </row>
    <row r="138" spans="2:12" x14ac:dyDescent="0.25">
      <c r="B138" s="43" t="s">
        <v>299</v>
      </c>
      <c r="C138" s="70"/>
      <c r="D138" s="70"/>
      <c r="E138" s="70"/>
      <c r="F138" s="23">
        <v>854455</v>
      </c>
      <c r="G138" s="203">
        <v>-334309</v>
      </c>
      <c r="H138" s="203">
        <f t="shared" si="14"/>
        <v>520146</v>
      </c>
      <c r="I138" s="23"/>
      <c r="J138" s="23">
        <f t="shared" si="15"/>
        <v>520146</v>
      </c>
      <c r="L138" s="15"/>
    </row>
    <row r="139" spans="2:12" x14ac:dyDescent="0.25">
      <c r="B139" s="43" t="s">
        <v>296</v>
      </c>
      <c r="C139" s="70"/>
      <c r="D139" s="70"/>
      <c r="E139" s="39"/>
      <c r="F139" s="23">
        <v>-5035990</v>
      </c>
      <c r="G139" s="203">
        <v>-2143739</v>
      </c>
      <c r="H139" s="203">
        <f t="shared" si="14"/>
        <v>-7179729</v>
      </c>
      <c r="I139" s="23"/>
      <c r="J139" s="23">
        <f t="shared" si="15"/>
        <v>-7179729</v>
      </c>
      <c r="L139" s="15"/>
    </row>
    <row r="140" spans="2:12" x14ac:dyDescent="0.25">
      <c r="B140" s="43" t="s">
        <v>255</v>
      </c>
      <c r="C140" s="70"/>
      <c r="D140" s="70"/>
      <c r="E140" s="15"/>
      <c r="F140" s="23">
        <v>-559555</v>
      </c>
      <c r="G140" s="203"/>
      <c r="H140" s="203">
        <f t="shared" si="14"/>
        <v>-559555</v>
      </c>
      <c r="I140" s="23"/>
      <c r="J140" s="23">
        <f t="shared" si="15"/>
        <v>-559555</v>
      </c>
      <c r="L140" s="15"/>
    </row>
    <row r="141" spans="2:12" x14ac:dyDescent="0.25">
      <c r="B141" s="43" t="s">
        <v>300</v>
      </c>
      <c r="C141" s="70"/>
      <c r="D141" s="70"/>
      <c r="E141" s="70"/>
      <c r="F141" s="23"/>
      <c r="G141" s="203">
        <v>-190570</v>
      </c>
      <c r="H141" s="203">
        <f t="shared" si="14"/>
        <v>-190570</v>
      </c>
      <c r="I141" s="23"/>
      <c r="J141" s="23">
        <f t="shared" si="15"/>
        <v>-190570</v>
      </c>
      <c r="L141" s="15"/>
    </row>
    <row r="142" spans="2:12" x14ac:dyDescent="0.25">
      <c r="B142" s="43" t="s">
        <v>301</v>
      </c>
      <c r="C142" s="70"/>
      <c r="D142" s="70"/>
      <c r="E142" s="70"/>
      <c r="F142" s="23">
        <v>9390028</v>
      </c>
      <c r="G142" s="203">
        <v>3747805</v>
      </c>
      <c r="H142" s="203">
        <f t="shared" si="14"/>
        <v>13137833</v>
      </c>
      <c r="I142" s="23">
        <f>+ER!M36</f>
        <v>1762103.75</v>
      </c>
      <c r="J142" s="23">
        <f t="shared" si="15"/>
        <v>14899936.75</v>
      </c>
      <c r="L142" s="15"/>
    </row>
    <row r="143" spans="2:12" x14ac:dyDescent="0.25">
      <c r="B143" s="43" t="s">
        <v>277</v>
      </c>
      <c r="C143" s="70"/>
      <c r="D143" s="70"/>
      <c r="E143" s="70"/>
      <c r="F143" s="19">
        <f>SUM(F136:F142)</f>
        <v>42657482</v>
      </c>
      <c r="G143" s="201">
        <f>SUM(G136:G142)</f>
        <v>2769280</v>
      </c>
      <c r="H143" s="201">
        <f t="shared" si="14"/>
        <v>45426762</v>
      </c>
      <c r="I143" s="19">
        <f>SUM(I136:I142)</f>
        <v>-12847273.838252001</v>
      </c>
      <c r="J143" s="19">
        <f t="shared" si="15"/>
        <v>32579488.161747999</v>
      </c>
      <c r="K143" s="45"/>
      <c r="L143" s="15"/>
    </row>
    <row r="144" spans="2:12" x14ac:dyDescent="0.25">
      <c r="B144" s="43" t="s">
        <v>302</v>
      </c>
      <c r="C144" s="70"/>
      <c r="D144" s="70"/>
      <c r="E144" s="70"/>
      <c r="F144" s="23">
        <f>-42657482+40887284</f>
        <v>-1770198</v>
      </c>
      <c r="G144" s="203">
        <v>-111739</v>
      </c>
      <c r="H144" s="203">
        <f t="shared" si="14"/>
        <v>-1881937</v>
      </c>
      <c r="I144" s="23"/>
      <c r="J144" s="23">
        <f t="shared" si="15"/>
        <v>-1881937</v>
      </c>
      <c r="K144" s="45"/>
      <c r="L144" s="15"/>
    </row>
    <row r="145" spans="2:12" x14ac:dyDescent="0.25">
      <c r="B145" s="43" t="s">
        <v>303</v>
      </c>
      <c r="C145" s="70"/>
      <c r="D145" s="70"/>
      <c r="E145" s="70"/>
      <c r="F145" s="23">
        <v>-8215675</v>
      </c>
      <c r="G145" s="203"/>
      <c r="H145" s="203">
        <f t="shared" si="14"/>
        <v>-8215675</v>
      </c>
      <c r="I145" s="23"/>
      <c r="J145" s="23">
        <f t="shared" si="15"/>
        <v>-8215675</v>
      </c>
      <c r="K145" s="45"/>
      <c r="L145" s="15"/>
    </row>
    <row r="146" spans="2:12" x14ac:dyDescent="0.25">
      <c r="B146" s="43" t="s">
        <v>255</v>
      </c>
      <c r="C146" s="70"/>
      <c r="D146" s="70"/>
      <c r="E146" s="70"/>
      <c r="F146" s="23">
        <v>-912853</v>
      </c>
      <c r="G146" s="203">
        <v>-374781</v>
      </c>
      <c r="H146" s="203">
        <f t="shared" si="14"/>
        <v>-1287634</v>
      </c>
      <c r="I146" s="23"/>
      <c r="J146" s="23">
        <f t="shared" si="15"/>
        <v>-1287634</v>
      </c>
      <c r="K146" s="45"/>
      <c r="L146" s="15"/>
    </row>
    <row r="147" spans="2:12" x14ac:dyDescent="0.25">
      <c r="B147" s="43" t="s">
        <v>300</v>
      </c>
      <c r="C147" s="70"/>
      <c r="D147" s="70"/>
      <c r="E147" s="70"/>
      <c r="F147" s="23">
        <v>-5488035</v>
      </c>
      <c r="G147" s="203">
        <v>-3373023</v>
      </c>
      <c r="H147" s="203">
        <f t="shared" si="14"/>
        <v>-8861058</v>
      </c>
      <c r="I147" s="23"/>
      <c r="J147" s="23">
        <f t="shared" si="15"/>
        <v>-8861058</v>
      </c>
      <c r="K147" s="45"/>
      <c r="L147" s="15"/>
    </row>
    <row r="148" spans="2:12" x14ac:dyDescent="0.25">
      <c r="B148" s="43" t="s">
        <v>301</v>
      </c>
      <c r="C148" s="70"/>
      <c r="D148" s="70"/>
      <c r="E148" s="70"/>
      <c r="F148" s="23">
        <v>15216635</v>
      </c>
      <c r="G148" s="203">
        <v>7092645</v>
      </c>
      <c r="H148" s="203">
        <f t="shared" si="14"/>
        <v>22309280</v>
      </c>
      <c r="I148" s="23">
        <f>+ER!G36</f>
        <v>0</v>
      </c>
      <c r="J148" s="23">
        <f t="shared" si="15"/>
        <v>22309280</v>
      </c>
      <c r="K148" s="45"/>
      <c r="L148" s="15"/>
    </row>
    <row r="149" spans="2:12" x14ac:dyDescent="0.25">
      <c r="B149" s="43" t="s">
        <v>278</v>
      </c>
      <c r="C149" s="70"/>
      <c r="D149" s="70"/>
      <c r="E149" s="70"/>
      <c r="F149" s="207">
        <f>SUM(F143:F148)</f>
        <v>41487356</v>
      </c>
      <c r="G149" s="207">
        <f>SUM(G143:G148)</f>
        <v>6002382</v>
      </c>
      <c r="H149" s="207">
        <f>SUM(H143:H148)</f>
        <v>47489738</v>
      </c>
      <c r="I149" s="207">
        <f>SUM(I143:I148)</f>
        <v>-12847273.838252001</v>
      </c>
      <c r="J149" s="207">
        <f>SUM(J143:J148)</f>
        <v>34642464.161747999</v>
      </c>
      <c r="K149" s="45"/>
      <c r="L149" s="15"/>
    </row>
    <row r="150" spans="2:12" x14ac:dyDescent="0.25">
      <c r="B150" s="43" t="s">
        <v>255</v>
      </c>
      <c r="C150" s="70"/>
      <c r="D150" s="70"/>
      <c r="E150" s="70"/>
      <c r="F150" s="190">
        <v>1460854</v>
      </c>
      <c r="G150" s="208">
        <v>-709264</v>
      </c>
      <c r="H150" s="190">
        <f>+F150+G150</f>
        <v>751590</v>
      </c>
      <c r="I150" s="190"/>
      <c r="J150" s="190">
        <f>+H150+I150</f>
        <v>751590</v>
      </c>
      <c r="K150" s="45"/>
    </row>
    <row r="151" spans="2:12" x14ac:dyDescent="0.25">
      <c r="B151" s="43" t="s">
        <v>252</v>
      </c>
      <c r="C151" s="70"/>
      <c r="D151" s="70"/>
      <c r="E151" s="70"/>
      <c r="F151" s="209"/>
      <c r="G151" s="210">
        <v>63402</v>
      </c>
      <c r="H151" s="209"/>
      <c r="I151" s="209"/>
      <c r="J151" s="209"/>
      <c r="K151" s="45"/>
    </row>
    <row r="152" spans="2:12" x14ac:dyDescent="0.25">
      <c r="B152" s="43" t="s">
        <v>303</v>
      </c>
      <c r="C152" s="70"/>
      <c r="D152" s="70"/>
      <c r="E152" s="70"/>
      <c r="F152" s="209"/>
      <c r="G152" s="210">
        <v>-5404856</v>
      </c>
      <c r="H152" s="209"/>
      <c r="I152" s="209"/>
      <c r="J152" s="209"/>
      <c r="K152" s="45"/>
    </row>
    <row r="153" spans="2:12" x14ac:dyDescent="0.25">
      <c r="B153" s="43" t="s">
        <v>301</v>
      </c>
      <c r="C153" s="70"/>
      <c r="D153" s="70"/>
      <c r="E153" s="70"/>
      <c r="F153" s="191">
        <f>ER!D40</f>
        <v>31376176</v>
      </c>
      <c r="G153" s="204">
        <f>ER!E40</f>
        <v>14719479</v>
      </c>
      <c r="H153" s="191">
        <f>+F153+G153</f>
        <v>46095655</v>
      </c>
      <c r="I153" s="191"/>
      <c r="J153" s="191">
        <f>+H153+I153</f>
        <v>46095655</v>
      </c>
      <c r="K153" s="45"/>
    </row>
    <row r="154" spans="2:12" x14ac:dyDescent="0.25">
      <c r="B154" s="43" t="s">
        <v>256</v>
      </c>
      <c r="C154" s="70"/>
      <c r="D154" s="70"/>
      <c r="E154" s="70"/>
      <c r="F154" s="192">
        <f>SUM(F149:F153)</f>
        <v>74324386</v>
      </c>
      <c r="G154" s="192">
        <f>SUM(G149:G153)</f>
        <v>14671143</v>
      </c>
      <c r="H154" s="192">
        <f>SUM(H149:H153)</f>
        <v>94336983</v>
      </c>
      <c r="I154" s="192">
        <f>SUM(I149:I153)</f>
        <v>-12847273.838252001</v>
      </c>
      <c r="J154" s="192">
        <f>SUM(J149:J153)</f>
        <v>81489709.161747992</v>
      </c>
      <c r="K154" s="45"/>
    </row>
    <row r="155" spans="2:12" x14ac:dyDescent="0.25">
      <c r="B155" s="197" t="s">
        <v>304</v>
      </c>
      <c r="C155" s="198"/>
      <c r="D155" s="198"/>
      <c r="E155" s="198"/>
      <c r="F155" s="199">
        <f>F154+F107+F90+F81</f>
        <v>72169072</v>
      </c>
      <c r="G155" s="199">
        <f>G154+G107+G90+G81</f>
        <v>14430161</v>
      </c>
      <c r="H155" s="199">
        <f>H154+H107+H90+H81</f>
        <v>91940687</v>
      </c>
      <c r="I155" s="199">
        <f>I154+I107+I90+I81</f>
        <v>-12847273.838252001</v>
      </c>
      <c r="J155" s="199">
        <f>J154+J107+J90+J81</f>
        <v>79093413.161747992</v>
      </c>
      <c r="K155" s="45">
        <f>+I155-'BG '!N71</f>
        <v>-12847273.838252001</v>
      </c>
      <c r="L155" s="15"/>
    </row>
    <row r="156" spans="2:12" x14ac:dyDescent="0.25">
      <c r="B156" s="197"/>
      <c r="C156" s="198"/>
      <c r="D156" s="198"/>
      <c r="E156" s="198"/>
      <c r="F156" s="199"/>
      <c r="G156" s="199"/>
      <c r="H156" s="199"/>
      <c r="I156" s="199"/>
      <c r="J156" s="199"/>
      <c r="K156" s="45"/>
      <c r="L156" s="15"/>
    </row>
    <row r="157" spans="2:12" ht="13.15" customHeight="1" x14ac:dyDescent="0.25">
      <c r="B157" s="193" t="s">
        <v>305</v>
      </c>
      <c r="C157" s="70"/>
      <c r="D157" s="70"/>
      <c r="E157" s="70"/>
      <c r="F157" s="23"/>
      <c r="G157" s="23"/>
      <c r="H157" s="23"/>
      <c r="I157" s="31"/>
      <c r="J157" s="31"/>
      <c r="L157" s="15"/>
    </row>
    <row r="158" spans="2:12" hidden="1" outlineLevel="1" x14ac:dyDescent="0.25">
      <c r="B158" s="43" t="s">
        <v>258</v>
      </c>
      <c r="C158" s="70"/>
      <c r="D158" s="70"/>
      <c r="E158" s="70"/>
      <c r="F158" s="23">
        <f>+F8+F30+F46+F65+F75+F84+F110</f>
        <v>39550217</v>
      </c>
      <c r="G158" s="23">
        <f>+G8+G30+G46+G65+G75+G84+G110</f>
        <v>5424539</v>
      </c>
      <c r="H158" s="23">
        <f>+F158+G158</f>
        <v>44974756</v>
      </c>
      <c r="I158" s="31"/>
      <c r="J158" s="23">
        <f>+H158+I158</f>
        <v>44974756</v>
      </c>
      <c r="L158" s="15"/>
    </row>
    <row r="159" spans="2:12" hidden="1" outlineLevel="1" x14ac:dyDescent="0.25">
      <c r="B159" s="43" t="s">
        <v>289</v>
      </c>
      <c r="C159" s="70"/>
      <c r="D159" s="70"/>
      <c r="E159" s="70"/>
      <c r="F159" s="23"/>
      <c r="G159" s="23">
        <v>-154178</v>
      </c>
      <c r="H159" s="23"/>
      <c r="I159" s="31"/>
      <c r="J159" s="23"/>
      <c r="L159" s="15"/>
    </row>
    <row r="160" spans="2:12" hidden="1" outlineLevel="1" x14ac:dyDescent="0.25">
      <c r="B160" s="43" t="s">
        <v>286</v>
      </c>
      <c r="C160" s="70"/>
      <c r="D160" s="70"/>
      <c r="E160" s="70"/>
      <c r="F160" s="23">
        <f>+F111</f>
        <v>-10113380</v>
      </c>
      <c r="G160" s="23"/>
      <c r="H160" s="23">
        <f>+F160+G160</f>
        <v>-10113380</v>
      </c>
      <c r="I160" s="31"/>
      <c r="J160" s="23">
        <f>+H160+I160</f>
        <v>-10113380</v>
      </c>
      <c r="L160" s="15"/>
    </row>
    <row r="161" spans="2:12" hidden="1" outlineLevel="1" x14ac:dyDescent="0.25">
      <c r="B161" s="43" t="s">
        <v>291</v>
      </c>
      <c r="C161" s="70"/>
      <c r="D161" s="70"/>
      <c r="E161" s="70"/>
      <c r="F161" s="23">
        <f>+F115+F84+F75+F65+F48+F32+F9</f>
        <v>55520427</v>
      </c>
      <c r="G161" s="23">
        <f>+G158+G159</f>
        <v>5270361</v>
      </c>
      <c r="H161" s="23">
        <f>+F161+G161</f>
        <v>60790788</v>
      </c>
      <c r="I161" s="80" t="e">
        <f>+I115</f>
        <v>#REF!</v>
      </c>
      <c r="J161" s="23" t="e">
        <f>+H161+I161</f>
        <v>#REF!</v>
      </c>
      <c r="L161" s="15"/>
    </row>
    <row r="162" spans="2:12" hidden="1" outlineLevel="1" x14ac:dyDescent="0.25">
      <c r="B162" s="43" t="s">
        <v>290</v>
      </c>
      <c r="C162" s="70"/>
      <c r="D162" s="70"/>
      <c r="E162" s="70"/>
      <c r="F162" s="23">
        <f>+F117</f>
        <v>-5585599</v>
      </c>
      <c r="G162" s="23">
        <f>+G117</f>
        <v>0</v>
      </c>
      <c r="H162" s="23">
        <f>+H117</f>
        <v>-5585599</v>
      </c>
      <c r="I162" s="23">
        <f>+I117</f>
        <v>0</v>
      </c>
      <c r="J162" s="23">
        <f>+J117</f>
        <v>-5585599</v>
      </c>
      <c r="L162" s="15"/>
    </row>
    <row r="163" spans="2:12" hidden="1" outlineLevel="1" x14ac:dyDescent="0.25">
      <c r="B163" s="43" t="s">
        <v>291</v>
      </c>
      <c r="C163" s="70"/>
      <c r="D163" s="70"/>
      <c r="E163" s="70"/>
      <c r="F163" s="23">
        <f>SUM(F161:F162)</f>
        <v>49934828</v>
      </c>
      <c r="G163" s="23">
        <f>SUM(G161:G162)</f>
        <v>5270361</v>
      </c>
      <c r="H163" s="23">
        <f>SUM(H161:H162)</f>
        <v>55205189</v>
      </c>
      <c r="I163" s="23" t="e">
        <f>SUM(I161:I162)</f>
        <v>#REF!</v>
      </c>
      <c r="J163" s="23" t="e">
        <f>SUM(J161:J162)</f>
        <v>#REF!</v>
      </c>
      <c r="L163" s="15"/>
    </row>
    <row r="164" spans="2:12" hidden="1" outlineLevel="1" x14ac:dyDescent="0.25">
      <c r="B164" s="43" t="str">
        <f>+B33</f>
        <v>Devolución de aporte de accionistas 13 enero 2015</v>
      </c>
      <c r="C164" s="70"/>
      <c r="D164" s="70"/>
      <c r="E164" s="70"/>
      <c r="F164" s="80">
        <f>+F33</f>
        <v>-3094403</v>
      </c>
      <c r="G164" s="23"/>
      <c r="H164" s="23">
        <f t="shared" ref="H164:H169" si="16">+F164+G164</f>
        <v>-3094403</v>
      </c>
      <c r="I164" s="31"/>
      <c r="J164" s="23">
        <f t="shared" ref="J164:J169" si="17">+H164+I164</f>
        <v>-3094403</v>
      </c>
      <c r="L164" s="15"/>
    </row>
    <row r="165" spans="2:12" hidden="1" outlineLevel="1" x14ac:dyDescent="0.25">
      <c r="B165" s="43" t="s">
        <v>243</v>
      </c>
      <c r="C165" s="70"/>
      <c r="D165" s="70"/>
      <c r="E165" s="70"/>
      <c r="F165" s="23"/>
      <c r="G165" s="23"/>
      <c r="H165" s="23">
        <f t="shared" si="16"/>
        <v>0</v>
      </c>
      <c r="I165" s="31"/>
      <c r="J165" s="23">
        <f t="shared" si="17"/>
        <v>0</v>
      </c>
      <c r="L165" s="15"/>
    </row>
    <row r="166" spans="2:12" hidden="1" outlineLevel="1" x14ac:dyDescent="0.25">
      <c r="B166" s="43" t="s">
        <v>244</v>
      </c>
      <c r="C166" s="70"/>
      <c r="D166" s="70"/>
      <c r="E166" s="70"/>
      <c r="F166" s="23"/>
      <c r="G166" s="23"/>
      <c r="H166" s="23">
        <f t="shared" si="16"/>
        <v>0</v>
      </c>
      <c r="I166" s="31"/>
      <c r="J166" s="23">
        <f t="shared" si="17"/>
        <v>0</v>
      </c>
      <c r="L166" s="15"/>
    </row>
    <row r="167" spans="2:12" hidden="1" outlineLevel="1" x14ac:dyDescent="0.25">
      <c r="B167" s="43" t="s">
        <v>245</v>
      </c>
      <c r="C167" s="70"/>
      <c r="D167" s="70"/>
      <c r="E167" s="70"/>
      <c r="F167" s="23"/>
      <c r="G167" s="23"/>
      <c r="H167" s="23">
        <f t="shared" si="16"/>
        <v>0</v>
      </c>
      <c r="I167" s="31"/>
      <c r="J167" s="23">
        <f t="shared" si="17"/>
        <v>0</v>
      </c>
      <c r="L167" s="15"/>
    </row>
    <row r="168" spans="2:12" hidden="1" outlineLevel="1" x14ac:dyDescent="0.25">
      <c r="B168" s="43" t="s">
        <v>265</v>
      </c>
      <c r="C168" s="70"/>
      <c r="D168" s="70"/>
      <c r="E168" s="70"/>
      <c r="F168" s="23"/>
      <c r="G168" s="23"/>
      <c r="H168" s="23">
        <f t="shared" si="16"/>
        <v>0</v>
      </c>
      <c r="I168" s="31"/>
      <c r="J168" s="23">
        <f t="shared" si="17"/>
        <v>0</v>
      </c>
      <c r="L168" s="15"/>
    </row>
    <row r="169" spans="2:12" hidden="1" outlineLevel="1" x14ac:dyDescent="0.25">
      <c r="B169" s="43" t="s">
        <v>306</v>
      </c>
      <c r="C169" s="70"/>
      <c r="D169" s="70"/>
      <c r="E169" s="70"/>
      <c r="F169" s="23">
        <v>14390</v>
      </c>
      <c r="G169" s="23">
        <v>0</v>
      </c>
      <c r="H169" s="23">
        <f t="shared" si="16"/>
        <v>14390</v>
      </c>
      <c r="I169" s="31"/>
      <c r="J169" s="23">
        <f t="shared" si="17"/>
        <v>14390</v>
      </c>
      <c r="K169" s="21"/>
      <c r="L169" s="15"/>
    </row>
    <row r="170" spans="2:12" hidden="1" outlineLevel="1" x14ac:dyDescent="0.25">
      <c r="B170" s="43" t="s">
        <v>106</v>
      </c>
      <c r="C170" s="70"/>
      <c r="D170" s="70"/>
      <c r="E170" s="70"/>
      <c r="F170" s="23">
        <f>+F123+F96</f>
        <v>13423797</v>
      </c>
      <c r="G170" s="23">
        <f>+G123+G96</f>
        <v>2603318</v>
      </c>
      <c r="H170" s="23">
        <f>+H123+H96</f>
        <v>16027115</v>
      </c>
      <c r="I170" s="23" t="e">
        <f>+I123+I96</f>
        <v>#REF!</v>
      </c>
      <c r="J170" s="23" t="e">
        <f>+J123+J96</f>
        <v>#REF!</v>
      </c>
      <c r="L170" s="15"/>
    </row>
    <row r="171" spans="2:12" hidden="1" outlineLevel="1" x14ac:dyDescent="0.25">
      <c r="B171" s="43" t="s">
        <v>307</v>
      </c>
      <c r="C171" s="70"/>
      <c r="D171" s="70"/>
      <c r="E171" s="70"/>
      <c r="F171" s="23">
        <f>SUM(F163:F170)</f>
        <v>60278612</v>
      </c>
      <c r="G171" s="23">
        <f>SUM(G163:G170)</f>
        <v>7873679</v>
      </c>
      <c r="H171" s="23">
        <f>+F171+G171</f>
        <v>68152291</v>
      </c>
      <c r="I171" s="23">
        <f>+I124</f>
        <v>-16446314.003400002</v>
      </c>
      <c r="J171" s="23">
        <f t="shared" ref="J171:J184" si="18">+H171+I171</f>
        <v>51705976.996600002</v>
      </c>
      <c r="L171" s="15"/>
    </row>
    <row r="172" spans="2:12" hidden="1" outlineLevel="1" x14ac:dyDescent="0.25">
      <c r="B172" s="87" t="s">
        <v>294</v>
      </c>
      <c r="C172" s="50"/>
      <c r="D172" s="50"/>
      <c r="E172" s="50"/>
      <c r="F172" s="37">
        <v>-2936828</v>
      </c>
      <c r="G172" s="37">
        <v>0</v>
      </c>
      <c r="H172" s="37">
        <f>+F172+G172</f>
        <v>-2936828</v>
      </c>
      <c r="I172" s="37"/>
      <c r="J172" s="37">
        <f t="shared" si="18"/>
        <v>-2936828</v>
      </c>
      <c r="K172" s="45"/>
      <c r="L172" s="15"/>
    </row>
    <row r="173" spans="2:12" hidden="1" outlineLevel="1" x14ac:dyDescent="0.25">
      <c r="B173" s="43" t="s">
        <v>295</v>
      </c>
      <c r="C173" s="70"/>
      <c r="D173" s="70"/>
      <c r="E173" s="70"/>
      <c r="F173" s="23">
        <f>+F171+F172</f>
        <v>57341784</v>
      </c>
      <c r="G173" s="23">
        <f>+G171+G172</f>
        <v>7873679</v>
      </c>
      <c r="H173" s="23">
        <f>+H171+H172</f>
        <v>65215463</v>
      </c>
      <c r="I173" s="23">
        <f>+I171+I172</f>
        <v>-16446314.003400002</v>
      </c>
      <c r="J173" s="23">
        <f t="shared" si="18"/>
        <v>48769148.996600002</v>
      </c>
      <c r="K173" s="45"/>
      <c r="L173" s="15"/>
    </row>
    <row r="174" spans="2:12" hidden="1" outlineLevel="1" x14ac:dyDescent="0.25">
      <c r="B174" s="43" t="s">
        <v>286</v>
      </c>
      <c r="C174" s="70"/>
      <c r="D174" s="70"/>
      <c r="E174" s="70"/>
      <c r="F174" s="23">
        <v>0</v>
      </c>
      <c r="G174" s="23">
        <v>0</v>
      </c>
      <c r="H174" s="23">
        <f>+F174+G174</f>
        <v>0</v>
      </c>
      <c r="I174" s="23"/>
      <c r="J174" s="23">
        <f t="shared" si="18"/>
        <v>0</v>
      </c>
      <c r="K174" s="45"/>
      <c r="L174" s="15"/>
    </row>
    <row r="175" spans="2:12" hidden="1" outlineLevel="1" x14ac:dyDescent="0.25">
      <c r="B175" s="43" t="s">
        <v>106</v>
      </c>
      <c r="C175" s="70"/>
      <c r="D175" s="70"/>
      <c r="E175" s="70"/>
      <c r="F175" s="23">
        <v>6312362</v>
      </c>
      <c r="G175" s="23">
        <f>+G129+G98</f>
        <v>3810401</v>
      </c>
      <c r="H175" s="23">
        <f>+F175+G175</f>
        <v>10122763</v>
      </c>
      <c r="I175" s="23">
        <f>+I129+I98</f>
        <v>0</v>
      </c>
      <c r="J175" s="23">
        <f t="shared" si="18"/>
        <v>10122763</v>
      </c>
      <c r="L175" s="15"/>
    </row>
    <row r="176" spans="2:12" hidden="1" x14ac:dyDescent="0.25">
      <c r="B176" s="43" t="s">
        <v>269</v>
      </c>
      <c r="C176" s="70"/>
      <c r="D176" s="70"/>
      <c r="E176" s="67"/>
      <c r="F176" s="32">
        <f>SUM(F173:F175)</f>
        <v>63654146</v>
      </c>
      <c r="G176" s="32">
        <f>SUM(G173:G175)</f>
        <v>11684080</v>
      </c>
      <c r="H176" s="32">
        <f>SUM(H173:H175)</f>
        <v>75338226</v>
      </c>
      <c r="I176" s="32">
        <f>SUM(I173:I175)</f>
        <v>-16446314.003400002</v>
      </c>
      <c r="J176" s="32">
        <f t="shared" si="18"/>
        <v>58891911.996600002</v>
      </c>
      <c r="L176" s="15"/>
    </row>
    <row r="177" spans="2:12" hidden="1" x14ac:dyDescent="0.25">
      <c r="B177" s="43" t="s">
        <v>298</v>
      </c>
      <c r="C177" s="70"/>
      <c r="D177" s="70"/>
      <c r="E177" s="70"/>
      <c r="F177" s="23">
        <f>128916+446968</f>
        <v>575884</v>
      </c>
      <c r="G177" s="23">
        <v>0</v>
      </c>
      <c r="H177" s="23">
        <f>+F177+G177</f>
        <v>575884</v>
      </c>
      <c r="I177" s="23"/>
      <c r="J177" s="23">
        <f t="shared" si="18"/>
        <v>575884</v>
      </c>
      <c r="L177" s="15"/>
    </row>
    <row r="178" spans="2:12" ht="24.75" hidden="1" customHeight="1" x14ac:dyDescent="0.25">
      <c r="B178" s="5" t="s">
        <v>261</v>
      </c>
      <c r="C178" s="5"/>
      <c r="D178" s="5"/>
      <c r="E178" s="5"/>
      <c r="F178" s="23">
        <v>-705016</v>
      </c>
      <c r="G178" s="23">
        <v>0</v>
      </c>
      <c r="H178" s="23">
        <f>+F178+G178</f>
        <v>-705016</v>
      </c>
      <c r="I178" s="23"/>
      <c r="J178" s="23">
        <f t="shared" si="18"/>
        <v>-705016</v>
      </c>
      <c r="L178" s="15"/>
    </row>
    <row r="179" spans="2:12" hidden="1" x14ac:dyDescent="0.25">
      <c r="B179" s="43" t="s">
        <v>106</v>
      </c>
      <c r="C179" s="70"/>
      <c r="D179" s="70"/>
      <c r="E179" s="70"/>
      <c r="F179" s="23">
        <v>7316288</v>
      </c>
      <c r="G179" s="37">
        <v>2567422</v>
      </c>
      <c r="H179" s="37">
        <f>+F179+G179</f>
        <v>9883710</v>
      </c>
      <c r="I179" s="37">
        <f>+I134</f>
        <v>1836936.4151480002</v>
      </c>
      <c r="J179" s="37">
        <f t="shared" si="18"/>
        <v>11720646.415148001</v>
      </c>
      <c r="L179" s="15"/>
    </row>
    <row r="180" spans="2:12" x14ac:dyDescent="0.25">
      <c r="B180" s="43" t="s">
        <v>270</v>
      </c>
      <c r="C180" s="70"/>
      <c r="D180" s="70"/>
      <c r="E180" s="67"/>
      <c r="F180" s="19">
        <f>SUM(F176:F179)</f>
        <v>70841302</v>
      </c>
      <c r="G180" s="19">
        <f>SUM(G176:G179)+1</f>
        <v>14251503</v>
      </c>
      <c r="H180" s="19">
        <f>+G180+F180</f>
        <v>85092805</v>
      </c>
      <c r="I180" s="19">
        <f>SUM(I176:I179)</f>
        <v>-14609377.588252001</v>
      </c>
      <c r="J180" s="19">
        <f t="shared" si="18"/>
        <v>70483427.411747992</v>
      </c>
      <c r="K180" s="45">
        <f>+F180-70841302</f>
        <v>0</v>
      </c>
      <c r="L180" s="15"/>
    </row>
    <row r="181" spans="2:12" x14ac:dyDescent="0.25">
      <c r="B181" s="43" t="s">
        <v>308</v>
      </c>
      <c r="C181" s="70"/>
      <c r="D181" s="70"/>
      <c r="E181" s="70"/>
      <c r="F181" s="23">
        <v>70086</v>
      </c>
      <c r="G181" s="23">
        <v>-16606</v>
      </c>
      <c r="H181" s="23">
        <f>+F181+G181</f>
        <v>53480</v>
      </c>
      <c r="I181" s="31"/>
      <c r="J181" s="23">
        <f t="shared" si="18"/>
        <v>53480</v>
      </c>
    </row>
    <row r="182" spans="2:12" x14ac:dyDescent="0.25">
      <c r="B182" s="43" t="s">
        <v>298</v>
      </c>
      <c r="C182" s="70"/>
      <c r="D182" s="70"/>
      <c r="E182" s="70"/>
      <c r="F182" s="23">
        <v>251108</v>
      </c>
      <c r="G182" s="203">
        <v>-48910</v>
      </c>
      <c r="H182" s="203">
        <f>+F182+G182</f>
        <v>202198</v>
      </c>
      <c r="I182" s="23"/>
      <c r="J182" s="23">
        <f t="shared" si="18"/>
        <v>202198</v>
      </c>
      <c r="L182" s="15"/>
    </row>
    <row r="183" spans="2:12" x14ac:dyDescent="0.25">
      <c r="B183" s="43" t="s">
        <v>299</v>
      </c>
      <c r="C183" s="70"/>
      <c r="D183" s="70"/>
      <c r="E183" s="70"/>
      <c r="F183" s="23">
        <v>854455</v>
      </c>
      <c r="G183" s="203">
        <v>-334309</v>
      </c>
      <c r="H183" s="203">
        <f>+F183+G183</f>
        <v>520146</v>
      </c>
      <c r="I183" s="23"/>
      <c r="J183" s="23">
        <f t="shared" si="18"/>
        <v>520146</v>
      </c>
      <c r="L183" s="15"/>
    </row>
    <row r="184" spans="2:12" x14ac:dyDescent="0.25">
      <c r="B184" s="43" t="s">
        <v>300</v>
      </c>
      <c r="C184" s="70"/>
      <c r="D184" s="70"/>
      <c r="E184" s="70"/>
      <c r="F184" s="23"/>
      <c r="G184" s="203">
        <v>-190570</v>
      </c>
      <c r="H184" s="203">
        <f>+F184+G184</f>
        <v>-190570</v>
      </c>
      <c r="I184" s="23"/>
      <c r="J184" s="23">
        <f t="shared" si="18"/>
        <v>-190570</v>
      </c>
      <c r="L184" s="15"/>
    </row>
    <row r="185" spans="2:12" x14ac:dyDescent="0.25">
      <c r="B185" s="43" t="s">
        <v>301</v>
      </c>
      <c r="C185" s="70"/>
      <c r="D185" s="70"/>
      <c r="E185" s="70"/>
      <c r="F185" s="23">
        <f>+F142</f>
        <v>9390028</v>
      </c>
      <c r="G185" s="203">
        <f>+G142</f>
        <v>3747805</v>
      </c>
      <c r="H185" s="203">
        <f>+H142</f>
        <v>13137833</v>
      </c>
      <c r="I185" s="203">
        <f>+I142</f>
        <v>1762103.75</v>
      </c>
      <c r="J185" s="203">
        <f>+J142</f>
        <v>14899936.75</v>
      </c>
      <c r="L185" s="15"/>
    </row>
    <row r="186" spans="2:12" x14ac:dyDescent="0.25">
      <c r="B186" s="43" t="s">
        <v>277</v>
      </c>
      <c r="C186" s="70"/>
      <c r="D186" s="70"/>
      <c r="E186" s="70"/>
      <c r="F186" s="19">
        <f>SUM(F180:F185)</f>
        <v>81406979</v>
      </c>
      <c r="G186" s="19">
        <f>SUM(G180:G185)</f>
        <v>17408913</v>
      </c>
      <c r="H186" s="19">
        <f>SUM(H180:H185)</f>
        <v>98815892</v>
      </c>
      <c r="I186" s="19">
        <f>SUM(I180:I185)</f>
        <v>-12847273.838252001</v>
      </c>
      <c r="J186" s="19">
        <f>SUM(J180:J185)</f>
        <v>85968618.161747992</v>
      </c>
    </row>
    <row r="187" spans="2:12" x14ac:dyDescent="0.25">
      <c r="B187" s="43" t="s">
        <v>262</v>
      </c>
      <c r="C187" s="70"/>
      <c r="D187" s="70"/>
      <c r="E187" s="70"/>
      <c r="F187" s="23">
        <f>+F40+F23</f>
        <v>0</v>
      </c>
      <c r="G187" s="23"/>
      <c r="H187" s="23">
        <f>+F187+G187</f>
        <v>0</v>
      </c>
      <c r="I187" s="23"/>
      <c r="J187" s="23">
        <f>+H187+I187</f>
        <v>0</v>
      </c>
    </row>
    <row r="188" spans="2:12" x14ac:dyDescent="0.25">
      <c r="B188" s="43" t="s">
        <v>302</v>
      </c>
      <c r="C188" s="70"/>
      <c r="D188" s="70"/>
      <c r="E188" s="70"/>
      <c r="F188" s="23">
        <f>+F144</f>
        <v>-1770198</v>
      </c>
      <c r="G188" s="23">
        <f>+G144</f>
        <v>-111739</v>
      </c>
      <c r="H188" s="23">
        <f>+F188+G188</f>
        <v>-1881937</v>
      </c>
      <c r="I188" s="23"/>
      <c r="J188" s="23">
        <f>+H188+I188</f>
        <v>-1881937</v>
      </c>
    </row>
    <row r="189" spans="2:12" x14ac:dyDescent="0.25">
      <c r="B189" s="211" t="s">
        <v>300</v>
      </c>
      <c r="C189" s="70"/>
      <c r="D189" s="70"/>
      <c r="E189" s="70"/>
      <c r="F189" s="23">
        <f>+F147</f>
        <v>-5488035</v>
      </c>
      <c r="G189" s="23">
        <f>+G147</f>
        <v>-3373023</v>
      </c>
      <c r="H189" s="23">
        <f>+F189+G189</f>
        <v>-8861058</v>
      </c>
      <c r="I189" s="23"/>
      <c r="J189" s="23">
        <f>+H189+I189</f>
        <v>-8861058</v>
      </c>
    </row>
    <row r="190" spans="2:12" x14ac:dyDescent="0.25">
      <c r="B190" s="211" t="s">
        <v>309</v>
      </c>
      <c r="C190" s="70"/>
      <c r="D190" s="70"/>
      <c r="E190" s="70"/>
      <c r="F190" s="23">
        <f>+F148+F104</f>
        <v>14116935</v>
      </c>
      <c r="G190" s="23">
        <f>+G148+G104</f>
        <v>7076908</v>
      </c>
      <c r="H190" s="23">
        <f>+F190+G190</f>
        <v>21193843</v>
      </c>
      <c r="I190" s="23">
        <f>+I148</f>
        <v>0</v>
      </c>
      <c r="J190" s="23">
        <f>+H190+I190</f>
        <v>21193843</v>
      </c>
    </row>
    <row r="191" spans="2:12" x14ac:dyDescent="0.25">
      <c r="B191" s="211" t="s">
        <v>278</v>
      </c>
      <c r="C191" s="58"/>
      <c r="D191" s="58"/>
      <c r="E191" s="58"/>
      <c r="F191" s="32">
        <f>SUM(F186:F190)</f>
        <v>88265681</v>
      </c>
      <c r="G191" s="32">
        <f>SUM(G186:G190)</f>
        <v>21001059</v>
      </c>
      <c r="H191" s="32">
        <f>SUM(H186:H190)</f>
        <v>109266740</v>
      </c>
      <c r="I191" s="32">
        <f>SUM(I186:I190)</f>
        <v>-12847273.838252001</v>
      </c>
      <c r="J191" s="32">
        <f>SUM(J186:J190)</f>
        <v>96419466.161747992</v>
      </c>
    </row>
    <row r="192" spans="2:12" x14ac:dyDescent="0.25">
      <c r="B192" s="43" t="s">
        <v>255</v>
      </c>
      <c r="C192" s="58"/>
      <c r="D192" s="58"/>
      <c r="E192" s="58"/>
      <c r="F192" s="190">
        <f>F25+F150</f>
        <v>-20168327</v>
      </c>
      <c r="G192" s="212">
        <f>G25+G150</f>
        <v>-709264</v>
      </c>
      <c r="H192" s="23">
        <f>+F192+G192</f>
        <v>-20877591</v>
      </c>
      <c r="I192" s="190"/>
      <c r="J192" s="190"/>
    </row>
    <row r="193" spans="2:10" x14ac:dyDescent="0.25">
      <c r="B193" s="43" t="s">
        <v>252</v>
      </c>
      <c r="C193" s="58"/>
      <c r="D193" s="58"/>
      <c r="E193" s="58"/>
      <c r="F193" s="209">
        <f>F26+F61+F151</f>
        <v>6115000</v>
      </c>
      <c r="G193" s="209">
        <f>G26+G61+G151</f>
        <v>6177522</v>
      </c>
      <c r="H193" s="23">
        <f>+F193+G193</f>
        <v>12292522</v>
      </c>
      <c r="I193" s="209"/>
      <c r="J193" s="209"/>
    </row>
    <row r="194" spans="2:10" x14ac:dyDescent="0.25">
      <c r="B194" s="43" t="s">
        <v>263</v>
      </c>
      <c r="C194" s="58"/>
      <c r="D194" s="58"/>
      <c r="E194" s="58"/>
      <c r="F194" s="209">
        <f>F42+F152</f>
        <v>-6115000</v>
      </c>
      <c r="G194" s="209">
        <f>G42+G152</f>
        <v>-5404856</v>
      </c>
      <c r="H194" s="23">
        <f>+F194+G194</f>
        <v>-11519856</v>
      </c>
      <c r="I194" s="209"/>
      <c r="J194" s="209"/>
    </row>
    <row r="195" spans="2:10" x14ac:dyDescent="0.25">
      <c r="B195" s="43" t="s">
        <v>284</v>
      </c>
      <c r="C195" s="58"/>
      <c r="D195" s="58"/>
      <c r="E195" s="58"/>
      <c r="F195" s="209">
        <f>F106+F153</f>
        <v>31871978</v>
      </c>
      <c r="G195" s="209">
        <f>G106+G153</f>
        <v>14579979</v>
      </c>
      <c r="H195" s="23">
        <f>+F195+G195</f>
        <v>46451957</v>
      </c>
      <c r="I195" s="209"/>
      <c r="J195" s="209"/>
    </row>
    <row r="196" spans="2:10" x14ac:dyDescent="0.25">
      <c r="B196" s="213" t="s">
        <v>310</v>
      </c>
      <c r="C196" s="214"/>
      <c r="D196" s="214"/>
      <c r="E196" s="214"/>
      <c r="F196" s="189">
        <f>SUM(F191:F195)</f>
        <v>99969332</v>
      </c>
      <c r="G196" s="189">
        <f>SUM(G191:G195)</f>
        <v>35644440</v>
      </c>
      <c r="H196" s="189">
        <f>SUM(H191:H195)</f>
        <v>135613772</v>
      </c>
      <c r="I196" s="189">
        <f>SUM(I191:I195)</f>
        <v>-12847273.838252001</v>
      </c>
      <c r="J196" s="189">
        <f>SUM(J191:J195)</f>
        <v>96419466.161747992</v>
      </c>
    </row>
    <row r="197" spans="2:10" x14ac:dyDescent="0.25">
      <c r="B197"/>
      <c r="F197" s="215">
        <f>+F149+F105+F89+F80+F70+F60+F41+F24-F191</f>
        <v>0</v>
      </c>
      <c r="G197" s="215">
        <f>+G149+G105+G89+G80+G70+G60+G41+G24-G191</f>
        <v>0</v>
      </c>
      <c r="H197" s="215">
        <f>+H149+H105+H89+H80+H70+H60+H41+H24-H191</f>
        <v>0</v>
      </c>
      <c r="I197" s="215">
        <f>+I149+I105+I89+I80+I70+I60+I41+I24-I191</f>
        <v>0</v>
      </c>
      <c r="J197" s="215">
        <f>+J149+J105+J89+J80+J70+J60+J41+J24-J191</f>
        <v>0</v>
      </c>
    </row>
    <row r="198" spans="2:10" x14ac:dyDescent="0.25">
      <c r="B198" s="43"/>
    </row>
    <row r="199" spans="2:10" x14ac:dyDescent="0.25">
      <c r="B199" s="43"/>
      <c r="G199" s="15">
        <f>35504940</f>
        <v>35504940</v>
      </c>
      <c r="H199">
        <f>G196-G199</f>
        <v>139500</v>
      </c>
    </row>
    <row r="200" spans="2:10" x14ac:dyDescent="0.25">
      <c r="B200" s="43"/>
      <c r="J200" s="45"/>
    </row>
    <row r="201" spans="2:10" x14ac:dyDescent="0.25">
      <c r="B201" s="43"/>
      <c r="F201" s="20" t="s">
        <v>77</v>
      </c>
      <c r="G201" s="64"/>
      <c r="H201" s="64"/>
    </row>
    <row r="202" spans="2:10" x14ac:dyDescent="0.25">
      <c r="F202" s="15" t="s">
        <v>78</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6"/>
  <sheetViews>
    <sheetView topLeftCell="A11" zoomScale="93" zoomScaleNormal="93" workbookViewId="0">
      <selection activeCell="B37" sqref="B37"/>
    </sheetView>
  </sheetViews>
  <sheetFormatPr defaultColWidth="11.42578125" defaultRowHeight="15" outlineLevelRow="1" x14ac:dyDescent="0.25"/>
  <cols>
    <col min="1" max="1" width="2.7109375" style="21" customWidth="1"/>
    <col min="2" max="5" width="11.42578125" style="21"/>
    <col min="6" max="6" width="12.140625" style="21" customWidth="1"/>
    <col min="7" max="12" width="13.140625" style="21" customWidth="1"/>
    <col min="13" max="14" width="11.42578125" style="21" hidden="1"/>
    <col min="15" max="15" width="12" style="21" hidden="1" customWidth="1"/>
    <col min="16" max="18" width="11.42578125" style="21" hidden="1"/>
    <col min="19" max="19" width="3.5703125" style="21" hidden="1" customWidth="1"/>
    <col min="20" max="21" width="11.42578125" style="21" hidden="1"/>
    <col min="22" max="22" width="14.28515625" style="21" customWidth="1"/>
    <col min="23" max="23" width="13.28515625" style="21" customWidth="1"/>
    <col min="24" max="1024" width="11.42578125" style="21"/>
  </cols>
  <sheetData>
    <row r="1" spans="1:22" x14ac:dyDescent="0.25">
      <c r="A1" s="16" t="s">
        <v>12</v>
      </c>
    </row>
    <row r="2" spans="1:22" x14ac:dyDescent="0.25">
      <c r="A2" s="17" t="s">
        <v>311</v>
      </c>
      <c r="V2" s="45"/>
    </row>
    <row r="3" spans="1:22" x14ac:dyDescent="0.25">
      <c r="A3" s="17" t="s">
        <v>13</v>
      </c>
    </row>
    <row r="4" spans="1:22" x14ac:dyDescent="0.25">
      <c r="A4" s="21" t="s">
        <v>14</v>
      </c>
      <c r="G4" s="4">
        <v>2020</v>
      </c>
      <c r="H4" s="4"/>
      <c r="I4" s="3">
        <v>2019</v>
      </c>
      <c r="J4" s="3"/>
      <c r="K4" s="2">
        <v>2018</v>
      </c>
      <c r="L4" s="2"/>
      <c r="M4" s="2">
        <v>2017</v>
      </c>
      <c r="N4" s="2"/>
      <c r="O4" s="2">
        <v>2016</v>
      </c>
      <c r="P4" s="2"/>
      <c r="Q4" s="2">
        <v>2015</v>
      </c>
      <c r="R4" s="2"/>
      <c r="T4" s="2">
        <v>2014</v>
      </c>
      <c r="U4" s="2"/>
    </row>
    <row r="5" spans="1:22" x14ac:dyDescent="0.25">
      <c r="G5" s="216" t="s">
        <v>312</v>
      </c>
      <c r="H5" s="216" t="s">
        <v>313</v>
      </c>
      <c r="I5" s="217" t="s">
        <v>312</v>
      </c>
      <c r="J5" s="217" t="s">
        <v>313</v>
      </c>
      <c r="K5" s="217" t="s">
        <v>312</v>
      </c>
      <c r="L5" s="217" t="s">
        <v>313</v>
      </c>
      <c r="M5" s="217" t="s">
        <v>312</v>
      </c>
      <c r="N5" s="217" t="s">
        <v>313</v>
      </c>
      <c r="O5" s="217" t="s">
        <v>312</v>
      </c>
      <c r="P5" s="217" t="s">
        <v>313</v>
      </c>
      <c r="Q5" s="217" t="s">
        <v>312</v>
      </c>
      <c r="R5" s="217" t="s">
        <v>313</v>
      </c>
      <c r="S5" s="218"/>
      <c r="T5" s="217" t="s">
        <v>312</v>
      </c>
      <c r="U5" s="217" t="s">
        <v>313</v>
      </c>
    </row>
    <row r="6" spans="1:22" x14ac:dyDescent="0.25">
      <c r="B6" s="77"/>
      <c r="C6" s="219" t="s">
        <v>314</v>
      </c>
      <c r="D6" s="64"/>
      <c r="E6" s="64"/>
      <c r="F6" s="64"/>
      <c r="G6" s="220"/>
      <c r="H6" s="220"/>
      <c r="I6" s="30"/>
      <c r="J6" s="30"/>
      <c r="K6" s="30"/>
      <c r="L6" s="30"/>
      <c r="M6" s="30"/>
      <c r="N6" s="30"/>
      <c r="O6" s="31"/>
      <c r="P6" s="31"/>
      <c r="Q6" s="31"/>
      <c r="R6" s="31"/>
      <c r="T6" s="31"/>
      <c r="U6" s="31"/>
    </row>
    <row r="7" spans="1:22" x14ac:dyDescent="0.25">
      <c r="B7" s="193" t="s">
        <v>315</v>
      </c>
      <c r="C7" s="70"/>
      <c r="D7" s="70"/>
      <c r="E7" s="70"/>
      <c r="F7" s="70"/>
      <c r="G7" s="221"/>
      <c r="H7" s="221"/>
      <c r="I7" s="23">
        <v>548165</v>
      </c>
      <c r="J7" s="23"/>
      <c r="K7" s="23">
        <v>443374</v>
      </c>
      <c r="L7" s="23"/>
      <c r="M7" s="23">
        <v>386373</v>
      </c>
      <c r="N7" s="23"/>
      <c r="O7" s="23">
        <v>323638</v>
      </c>
      <c r="P7" s="23"/>
      <c r="Q7" s="23">
        <v>942254</v>
      </c>
      <c r="R7" s="23"/>
      <c r="S7" s="15"/>
      <c r="T7" s="23">
        <v>679872</v>
      </c>
      <c r="U7" s="23"/>
    </row>
    <row r="8" spans="1:22" hidden="1" x14ac:dyDescent="0.25">
      <c r="B8" s="193" t="s">
        <v>316</v>
      </c>
      <c r="C8" s="70"/>
      <c r="D8" s="70"/>
      <c r="E8" s="70"/>
      <c r="F8" s="70"/>
      <c r="G8" s="221"/>
      <c r="H8" s="221"/>
      <c r="I8" s="23"/>
      <c r="J8" s="23"/>
      <c r="K8" s="23"/>
      <c r="L8" s="23"/>
      <c r="M8" s="23"/>
      <c r="N8" s="23"/>
      <c r="O8" s="23"/>
      <c r="P8" s="23"/>
      <c r="Q8" s="23">
        <f>+R9-Q7</f>
        <v>113005</v>
      </c>
      <c r="R8" s="23"/>
      <c r="S8" s="15"/>
      <c r="T8" s="23"/>
      <c r="U8" s="23">
        <f>+T7-U9</f>
        <v>16101</v>
      </c>
    </row>
    <row r="9" spans="1:22" x14ac:dyDescent="0.25">
      <c r="B9" s="193" t="s">
        <v>317</v>
      </c>
      <c r="C9" s="70"/>
      <c r="D9" s="70"/>
      <c r="E9" s="70"/>
      <c r="F9" s="70"/>
      <c r="G9" s="221"/>
      <c r="H9" s="221"/>
      <c r="I9" s="23"/>
      <c r="J9" s="23">
        <f>+I7</f>
        <v>548165</v>
      </c>
      <c r="K9" s="23"/>
      <c r="L9" s="23">
        <f>+K7</f>
        <v>443374</v>
      </c>
      <c r="M9" s="23"/>
      <c r="N9" s="23">
        <f>+M7</f>
        <v>386373</v>
      </c>
      <c r="O9" s="23"/>
      <c r="P9" s="23">
        <f>+O7</f>
        <v>323638</v>
      </c>
      <c r="Q9" s="23"/>
      <c r="R9" s="23">
        <v>1055259</v>
      </c>
      <c r="S9" s="15"/>
      <c r="T9" s="23"/>
      <c r="U9" s="23">
        <v>663771</v>
      </c>
    </row>
    <row r="10" spans="1:22" x14ac:dyDescent="0.25">
      <c r="B10" s="43" t="s">
        <v>318</v>
      </c>
      <c r="C10" s="70"/>
      <c r="D10" s="70"/>
      <c r="E10" s="70"/>
      <c r="F10" s="70"/>
      <c r="G10" s="221"/>
      <c r="H10" s="221"/>
      <c r="I10" s="23"/>
      <c r="J10" s="23"/>
      <c r="K10" s="23"/>
      <c r="L10" s="23"/>
      <c r="M10" s="23"/>
      <c r="N10" s="23"/>
      <c r="O10" s="23"/>
      <c r="P10" s="23"/>
      <c r="Q10" s="23"/>
      <c r="R10" s="23"/>
      <c r="S10" s="15"/>
      <c r="T10" s="23"/>
      <c r="U10" s="23"/>
    </row>
    <row r="11" spans="1:22" x14ac:dyDescent="0.25">
      <c r="B11" s="87"/>
      <c r="C11" s="50"/>
      <c r="D11" s="50"/>
      <c r="E11" s="50"/>
      <c r="F11" s="50" t="s">
        <v>319</v>
      </c>
      <c r="G11" s="222"/>
      <c r="H11" s="222"/>
      <c r="I11" s="32">
        <f t="shared" ref="I11:R11" si="0">SUM(I7:I10)</f>
        <v>548165</v>
      </c>
      <c r="J11" s="32">
        <f t="shared" si="0"/>
        <v>548165</v>
      </c>
      <c r="K11" s="32">
        <f t="shared" si="0"/>
        <v>443374</v>
      </c>
      <c r="L11" s="32">
        <f t="shared" si="0"/>
        <v>443374</v>
      </c>
      <c r="M11" s="32">
        <f t="shared" si="0"/>
        <v>386373</v>
      </c>
      <c r="N11" s="32">
        <f t="shared" si="0"/>
        <v>386373</v>
      </c>
      <c r="O11" s="32">
        <f t="shared" si="0"/>
        <v>323638</v>
      </c>
      <c r="P11" s="32">
        <f t="shared" si="0"/>
        <v>323638</v>
      </c>
      <c r="Q11" s="32">
        <f t="shared" si="0"/>
        <v>1055259</v>
      </c>
      <c r="R11" s="32">
        <f t="shared" si="0"/>
        <v>1055259</v>
      </c>
      <c r="S11" s="15"/>
      <c r="T11" s="32">
        <f>SUM(T7:T10)</f>
        <v>679872</v>
      </c>
      <c r="U11" s="32">
        <f>SUM(U7:U10)</f>
        <v>679872</v>
      </c>
    </row>
    <row r="12" spans="1:22" x14ac:dyDescent="0.25">
      <c r="B12" s="77"/>
      <c r="C12" s="219" t="s">
        <v>320</v>
      </c>
      <c r="D12" s="64"/>
      <c r="E12" s="64"/>
      <c r="F12" s="64"/>
      <c r="G12" s="220"/>
      <c r="H12" s="220"/>
      <c r="I12" s="30"/>
      <c r="J12" s="30"/>
      <c r="K12" s="30"/>
      <c r="L12" s="30"/>
      <c r="M12" s="30"/>
      <c r="N12" s="30"/>
      <c r="O12" s="19"/>
      <c r="P12" s="19"/>
      <c r="Q12" s="19"/>
      <c r="R12" s="19"/>
      <c r="S12" s="15"/>
      <c r="T12" s="19"/>
      <c r="U12" s="19"/>
    </row>
    <row r="13" spans="1:22" x14ac:dyDescent="0.25">
      <c r="B13" s="193" t="s">
        <v>321</v>
      </c>
      <c r="C13" s="70"/>
      <c r="D13" s="70"/>
      <c r="E13" s="70"/>
      <c r="F13" s="70"/>
      <c r="G13" s="221"/>
      <c r="H13" s="221"/>
      <c r="I13" s="23">
        <v>12478474</v>
      </c>
      <c r="J13" s="23"/>
      <c r="K13" s="23">
        <v>10682418</v>
      </c>
      <c r="L13" s="23"/>
      <c r="M13" s="23">
        <v>5099200</v>
      </c>
      <c r="N13" s="23"/>
      <c r="O13" s="23">
        <v>7790426</v>
      </c>
      <c r="P13" s="23"/>
      <c r="Q13" s="23">
        <v>2148793</v>
      </c>
      <c r="R13" s="23"/>
      <c r="S13" s="15"/>
      <c r="T13" s="23">
        <v>1912184</v>
      </c>
      <c r="U13" s="23"/>
    </row>
    <row r="14" spans="1:22" x14ac:dyDescent="0.25">
      <c r="B14" s="193" t="s">
        <v>322</v>
      </c>
      <c r="C14" s="70"/>
      <c r="D14" s="70"/>
      <c r="E14" s="70"/>
      <c r="F14" s="70"/>
      <c r="G14" s="221"/>
      <c r="H14" s="221"/>
      <c r="I14" s="23">
        <v>150402</v>
      </c>
      <c r="J14" s="23"/>
      <c r="K14" s="23"/>
      <c r="L14" s="23"/>
      <c r="M14" s="23"/>
      <c r="N14" s="23"/>
      <c r="O14" s="23"/>
      <c r="P14" s="23"/>
      <c r="Q14" s="23"/>
      <c r="R14" s="23"/>
      <c r="S14" s="15"/>
      <c r="T14" s="23"/>
      <c r="U14" s="23"/>
    </row>
    <row r="15" spans="1:22" x14ac:dyDescent="0.25">
      <c r="B15" s="193" t="s">
        <v>323</v>
      </c>
      <c r="C15" s="70"/>
      <c r="D15" s="70"/>
      <c r="E15" s="70"/>
      <c r="F15" s="70"/>
      <c r="G15" s="221"/>
      <c r="H15" s="221"/>
      <c r="I15" s="23">
        <v>2053333</v>
      </c>
      <c r="J15" s="23"/>
      <c r="K15" s="23"/>
      <c r="L15" s="23"/>
      <c r="M15" s="23"/>
      <c r="N15" s="23"/>
      <c r="O15" s="23"/>
      <c r="P15" s="23"/>
      <c r="Q15" s="23"/>
      <c r="R15" s="23"/>
      <c r="S15" s="15"/>
      <c r="T15" s="23"/>
      <c r="U15" s="23"/>
    </row>
    <row r="16" spans="1:22" x14ac:dyDescent="0.25">
      <c r="B16" s="193" t="s">
        <v>324</v>
      </c>
      <c r="C16" s="70"/>
      <c r="D16" s="70"/>
      <c r="E16" s="70"/>
      <c r="F16" s="70"/>
      <c r="G16" s="221"/>
      <c r="H16" s="221"/>
      <c r="I16" s="23"/>
      <c r="J16" s="23">
        <v>289600</v>
      </c>
      <c r="K16" s="23"/>
      <c r="L16" s="23">
        <f>10820478-10764779</f>
        <v>55699</v>
      </c>
      <c r="M16" s="23">
        <f>-M13-M17+N18</f>
        <v>12940</v>
      </c>
      <c r="N16" s="23"/>
      <c r="O16" s="23"/>
      <c r="P16" s="23"/>
      <c r="Q16" s="23"/>
      <c r="R16" s="23"/>
      <c r="S16" s="15"/>
      <c r="T16" s="23"/>
      <c r="U16" s="23"/>
    </row>
    <row r="17" spans="2:23" x14ac:dyDescent="0.25">
      <c r="B17" s="193" t="s">
        <v>325</v>
      </c>
      <c r="C17" s="70"/>
      <c r="D17" s="70"/>
      <c r="E17" s="70"/>
      <c r="F17" s="70"/>
      <c r="G17" s="221"/>
      <c r="H17" s="221"/>
      <c r="I17" s="23"/>
      <c r="J17" s="23"/>
      <c r="K17" s="23">
        <v>138060</v>
      </c>
      <c r="L17" s="23"/>
      <c r="M17" s="23">
        <v>138060</v>
      </c>
      <c r="N17" s="23"/>
      <c r="O17" s="23" t="e">
        <f>+#REF!</f>
        <v>#REF!</v>
      </c>
      <c r="P17" s="23"/>
      <c r="Q17" s="23"/>
      <c r="R17" s="23"/>
      <c r="S17" s="15"/>
      <c r="T17" s="23"/>
      <c r="U17" s="23"/>
    </row>
    <row r="18" spans="2:23" x14ac:dyDescent="0.25">
      <c r="B18" s="193" t="s">
        <v>326</v>
      </c>
      <c r="C18" s="70"/>
      <c r="D18" s="70"/>
      <c r="E18" s="70"/>
      <c r="F18" s="70"/>
      <c r="G18" s="221"/>
      <c r="H18" s="221"/>
      <c r="I18" s="23"/>
      <c r="J18" s="23">
        <v>14392609</v>
      </c>
      <c r="K18" s="23"/>
      <c r="L18" s="23">
        <v>10764779</v>
      </c>
      <c r="M18" s="23"/>
      <c r="N18" s="23">
        <v>5250200</v>
      </c>
      <c r="O18" s="23"/>
      <c r="P18" s="23">
        <v>8398689</v>
      </c>
      <c r="Q18" s="23"/>
      <c r="R18" s="23">
        <v>2286853</v>
      </c>
      <c r="S18" s="15"/>
      <c r="T18" s="23"/>
      <c r="U18" s="23">
        <v>2802380</v>
      </c>
    </row>
    <row r="19" spans="2:23" x14ac:dyDescent="0.25">
      <c r="B19" s="43" t="s">
        <v>327</v>
      </c>
      <c r="C19" s="70"/>
      <c r="D19" s="70"/>
      <c r="E19" s="70"/>
      <c r="F19" s="70"/>
      <c r="G19" s="221"/>
      <c r="H19" s="221"/>
      <c r="I19" s="23"/>
      <c r="J19" s="23"/>
      <c r="K19" s="23"/>
      <c r="L19" s="23"/>
      <c r="M19" s="23"/>
      <c r="N19" s="23"/>
      <c r="O19" s="23"/>
      <c r="P19" s="23"/>
      <c r="Q19" s="23"/>
      <c r="R19" s="23"/>
      <c r="S19" s="15"/>
      <c r="T19" s="23"/>
      <c r="U19" s="23"/>
    </row>
    <row r="20" spans="2:23" x14ac:dyDescent="0.25">
      <c r="B20" s="87"/>
      <c r="C20" s="50"/>
      <c r="D20" s="50"/>
      <c r="E20" s="50"/>
      <c r="F20" s="50" t="s">
        <v>319</v>
      </c>
      <c r="G20" s="222"/>
      <c r="H20" s="222"/>
      <c r="I20" s="32">
        <f>SUM(I13:I19)</f>
        <v>14682209</v>
      </c>
      <c r="J20" s="32">
        <f>SUM(J13:J19)</f>
        <v>14682209</v>
      </c>
      <c r="K20" s="32">
        <f t="shared" ref="K20:R20" si="1">SUM(K12:K18)</f>
        <v>10820478</v>
      </c>
      <c r="L20" s="32">
        <f t="shared" si="1"/>
        <v>10820478</v>
      </c>
      <c r="M20" s="32">
        <f t="shared" si="1"/>
        <v>5250200</v>
      </c>
      <c r="N20" s="32">
        <f t="shared" si="1"/>
        <v>5250200</v>
      </c>
      <c r="O20" s="32" t="e">
        <f t="shared" si="1"/>
        <v>#REF!</v>
      </c>
      <c r="P20" s="32">
        <f t="shared" si="1"/>
        <v>8398689</v>
      </c>
      <c r="Q20" s="32">
        <f t="shared" si="1"/>
        <v>2148793</v>
      </c>
      <c r="R20" s="32">
        <f t="shared" si="1"/>
        <v>2286853</v>
      </c>
      <c r="S20" s="15"/>
      <c r="T20" s="32">
        <f>SUM(T12:T18)</f>
        <v>1912184</v>
      </c>
      <c r="U20" s="32">
        <f>SUM(U12:U18)</f>
        <v>2802380</v>
      </c>
    </row>
    <row r="21" spans="2:23" x14ac:dyDescent="0.25">
      <c r="B21" s="77"/>
      <c r="C21" s="219" t="s">
        <v>328</v>
      </c>
      <c r="D21" s="64"/>
      <c r="E21" s="64"/>
      <c r="F21" s="64"/>
      <c r="G21" s="220"/>
      <c r="H21" s="220"/>
      <c r="I21" s="223">
        <f>+J20-I20</f>
        <v>0</v>
      </c>
      <c r="J21" s="30"/>
      <c r="K21" s="30"/>
      <c r="L21" s="30"/>
      <c r="M21" s="30"/>
      <c r="N21" s="30"/>
      <c r="O21" s="19"/>
      <c r="P21" s="19"/>
      <c r="Q21" s="19"/>
      <c r="R21" s="19"/>
      <c r="S21" s="15"/>
      <c r="T21" s="19"/>
      <c r="U21" s="19"/>
      <c r="V21" s="45"/>
    </row>
    <row r="22" spans="2:23" x14ac:dyDescent="0.25">
      <c r="B22" s="193" t="s">
        <v>329</v>
      </c>
      <c r="C22" s="70"/>
      <c r="D22" s="70"/>
      <c r="E22" s="70"/>
      <c r="F22" s="70"/>
      <c r="G22" s="221"/>
      <c r="H22" s="221"/>
      <c r="I22" s="23">
        <v>92592770</v>
      </c>
      <c r="J22" s="23"/>
      <c r="K22" s="23">
        <v>74521538</v>
      </c>
      <c r="L22" s="23"/>
      <c r="M22" s="23">
        <v>51723340</v>
      </c>
      <c r="N22" s="23"/>
      <c r="O22" s="23">
        <f>+P23+P24+P25</f>
        <v>42471624</v>
      </c>
      <c r="P22" s="23"/>
      <c r="Q22" s="23">
        <v>20619081</v>
      </c>
      <c r="R22" s="23"/>
      <c r="S22" s="15"/>
      <c r="T22" s="23">
        <v>13229677</v>
      </c>
      <c r="U22" s="23"/>
      <c r="V22" s="15"/>
      <c r="W22" s="45"/>
    </row>
    <row r="23" spans="2:23" x14ac:dyDescent="0.25">
      <c r="B23" s="224" t="s">
        <v>330</v>
      </c>
      <c r="C23" s="70"/>
      <c r="D23" s="70"/>
      <c r="E23" s="70"/>
      <c r="F23" s="70"/>
      <c r="G23" s="221"/>
      <c r="H23" s="221"/>
      <c r="I23" s="23"/>
      <c r="J23" s="23">
        <v>8203260</v>
      </c>
      <c r="K23" s="23"/>
      <c r="L23" s="23">
        <v>5827272</v>
      </c>
      <c r="M23" s="23"/>
      <c r="N23" s="23">
        <v>7144181</v>
      </c>
      <c r="O23" s="23"/>
      <c r="P23" s="23">
        <v>15846166</v>
      </c>
      <c r="Q23" s="23"/>
      <c r="R23" s="23">
        <v>5738082</v>
      </c>
      <c r="S23" s="15"/>
      <c r="T23" s="23"/>
      <c r="U23" s="23">
        <v>1475332</v>
      </c>
      <c r="W23" s="45"/>
    </row>
    <row r="24" spans="2:23" x14ac:dyDescent="0.25">
      <c r="B24" s="193" t="s">
        <v>331</v>
      </c>
      <c r="C24" s="70"/>
      <c r="D24" s="70"/>
      <c r="E24" s="70"/>
      <c r="F24" s="70"/>
      <c r="G24" s="221"/>
      <c r="H24" s="221"/>
      <c r="I24" s="23"/>
      <c r="J24" s="23">
        <f>+I22-J23</f>
        <v>84389510</v>
      </c>
      <c r="K24" s="23"/>
      <c r="L24" s="23">
        <f>+K22-L23</f>
        <v>68694266</v>
      </c>
      <c r="M24" s="23"/>
      <c r="N24" s="23">
        <f>+M22-N23</f>
        <v>44579159</v>
      </c>
      <c r="O24" s="23"/>
      <c r="P24" s="23">
        <f>7436996+18578188+610274</f>
        <v>26625458</v>
      </c>
      <c r="Q24" s="23"/>
      <c r="R24" s="23">
        <f>+Q22-R23-R25</f>
        <v>11460999</v>
      </c>
      <c r="S24" s="15"/>
      <c r="T24" s="23"/>
      <c r="U24" s="23">
        <f>+T22-U23-U25</f>
        <v>11337419</v>
      </c>
      <c r="W24" s="45"/>
    </row>
    <row r="25" spans="2:23" hidden="1" x14ac:dyDescent="0.25">
      <c r="B25" s="193" t="s">
        <v>332</v>
      </c>
      <c r="C25" s="70"/>
      <c r="D25" s="70"/>
      <c r="E25" s="70"/>
      <c r="F25" s="70"/>
      <c r="G25" s="221"/>
      <c r="H25" s="221"/>
      <c r="I25" s="23"/>
      <c r="J25" s="23"/>
      <c r="K25" s="23"/>
      <c r="L25" s="23"/>
      <c r="M25" s="23"/>
      <c r="N25" s="23"/>
      <c r="O25" s="23"/>
      <c r="P25" s="23">
        <v>0</v>
      </c>
      <c r="Q25" s="23"/>
      <c r="R25" s="23">
        <v>3420000</v>
      </c>
      <c r="S25" s="15"/>
      <c r="T25" s="23"/>
      <c r="U25" s="23">
        <v>416926</v>
      </c>
      <c r="V25" s="45"/>
    </row>
    <row r="26" spans="2:23" x14ac:dyDescent="0.25">
      <c r="B26" s="43" t="s">
        <v>333</v>
      </c>
      <c r="C26" s="70"/>
      <c r="D26" s="70"/>
      <c r="E26" s="70"/>
      <c r="F26" s="70"/>
      <c r="G26" s="221"/>
      <c r="H26" s="221"/>
      <c r="I26" s="23"/>
      <c r="J26" s="23"/>
      <c r="K26" s="23"/>
      <c r="L26" s="23"/>
      <c r="M26" s="23"/>
      <c r="N26" s="23"/>
      <c r="O26" s="23"/>
      <c r="P26" s="23"/>
      <c r="Q26" s="23"/>
      <c r="R26" s="23"/>
      <c r="S26" s="15"/>
      <c r="T26" s="23"/>
      <c r="U26" s="23"/>
      <c r="W26" s="15"/>
    </row>
    <row r="27" spans="2:23" x14ac:dyDescent="0.25">
      <c r="B27" s="87"/>
      <c r="C27" s="50"/>
      <c r="D27" s="50"/>
      <c r="E27" s="50"/>
      <c r="F27" s="50" t="s">
        <v>319</v>
      </c>
      <c r="G27" s="222"/>
      <c r="H27" s="222"/>
      <c r="I27" s="32">
        <f>SUM(I21:I24)</f>
        <v>92592770</v>
      </c>
      <c r="J27" s="32">
        <f>SUM(J21:J24)</f>
        <v>92592770</v>
      </c>
      <c r="K27" s="32">
        <f>SUM(K21:K24)</f>
        <v>74521538</v>
      </c>
      <c r="L27" s="32">
        <f>SUM(L21:L25)</f>
        <v>74521538</v>
      </c>
      <c r="M27" s="32">
        <f>SUM(M21:M24)</f>
        <v>51723340</v>
      </c>
      <c r="N27" s="32">
        <f>SUM(N21:N25)</f>
        <v>51723340</v>
      </c>
      <c r="O27" s="32">
        <f>SUM(O21:O24)</f>
        <v>42471624</v>
      </c>
      <c r="P27" s="32">
        <f>SUM(P21:P25)</f>
        <v>42471624</v>
      </c>
      <c r="Q27" s="32">
        <f>SUM(Q21:Q24)</f>
        <v>20619081</v>
      </c>
      <c r="R27" s="32">
        <f>SUM(R21:R25)</f>
        <v>20619081</v>
      </c>
      <c r="S27" s="15"/>
      <c r="T27" s="32">
        <f>SUM(T21:T24)</f>
        <v>13229677</v>
      </c>
      <c r="U27" s="32">
        <f>SUM(U21:U25)</f>
        <v>13229677</v>
      </c>
    </row>
    <row r="28" spans="2:23" x14ac:dyDescent="0.25">
      <c r="B28" s="77"/>
      <c r="C28" s="219" t="s">
        <v>334</v>
      </c>
      <c r="D28" s="64"/>
      <c r="E28" s="64"/>
      <c r="F28" s="64"/>
      <c r="G28" s="220"/>
      <c r="H28" s="220"/>
      <c r="I28" s="30"/>
      <c r="J28" s="30"/>
      <c r="K28" s="30"/>
      <c r="L28" s="30"/>
      <c r="M28" s="30"/>
      <c r="N28" s="30"/>
      <c r="O28" s="19"/>
      <c r="P28" s="19"/>
      <c r="Q28" s="19"/>
      <c r="R28" s="19"/>
      <c r="S28" s="15"/>
      <c r="T28" s="19"/>
      <c r="U28" s="19"/>
    </row>
    <row r="29" spans="2:23" x14ac:dyDescent="0.25">
      <c r="B29" s="193" t="s">
        <v>335</v>
      </c>
      <c r="C29" s="70"/>
      <c r="D29" s="70"/>
      <c r="E29" s="70"/>
      <c r="F29" s="70"/>
      <c r="G29" s="221"/>
      <c r="H29" s="221"/>
      <c r="I29" s="23">
        <f>2053333+2566667</f>
        <v>4620000</v>
      </c>
      <c r="J29" s="23"/>
      <c r="K29" s="23">
        <f>5360186+727881</f>
        <v>6088067</v>
      </c>
      <c r="L29" s="23"/>
      <c r="M29" s="23">
        <v>656393</v>
      </c>
      <c r="N29" s="23"/>
      <c r="O29" s="23">
        <v>352755</v>
      </c>
      <c r="P29" s="23"/>
      <c r="Q29" s="23">
        <v>5642042</v>
      </c>
      <c r="R29" s="23"/>
      <c r="S29" s="15"/>
      <c r="T29" s="23">
        <v>1187953</v>
      </c>
      <c r="U29" s="23"/>
    </row>
    <row r="30" spans="2:23" x14ac:dyDescent="0.25">
      <c r="B30" s="193" t="s">
        <v>336</v>
      </c>
      <c r="C30" s="70"/>
      <c r="D30" s="70"/>
      <c r="E30" s="70"/>
      <c r="F30" s="70"/>
      <c r="G30" s="221"/>
      <c r="H30" s="221"/>
      <c r="I30" s="23">
        <v>15292925</v>
      </c>
      <c r="J30" s="23"/>
      <c r="K30" s="23"/>
      <c r="L30" s="23"/>
      <c r="M30" s="23"/>
      <c r="N30" s="23"/>
      <c r="O30" s="23"/>
      <c r="P30" s="23"/>
      <c r="Q30" s="23">
        <v>202251</v>
      </c>
      <c r="R30" s="23"/>
      <c r="S30" s="15"/>
      <c r="T30" s="23">
        <v>682574</v>
      </c>
      <c r="U30" s="23"/>
    </row>
    <row r="31" spans="2:23" x14ac:dyDescent="0.25">
      <c r="B31" s="193" t="s">
        <v>337</v>
      </c>
      <c r="C31" s="70"/>
      <c r="D31" s="70"/>
      <c r="E31" s="70"/>
      <c r="F31" s="70"/>
      <c r="G31" s="221"/>
      <c r="H31" s="221"/>
      <c r="I31" s="23"/>
      <c r="J31" s="23"/>
      <c r="K31" s="23">
        <v>4546528</v>
      </c>
      <c r="L31" s="23"/>
      <c r="M31" s="23">
        <v>2251425</v>
      </c>
      <c r="N31" s="23"/>
      <c r="O31" s="23">
        <v>4279500</v>
      </c>
      <c r="P31" s="23"/>
      <c r="Q31" s="23">
        <v>1260000</v>
      </c>
      <c r="R31" s="23"/>
      <c r="S31" s="15"/>
      <c r="T31" s="23">
        <v>0</v>
      </c>
      <c r="U31" s="23"/>
    </row>
    <row r="32" spans="2:23" hidden="1" x14ac:dyDescent="0.25">
      <c r="B32" s="193" t="s">
        <v>338</v>
      </c>
      <c r="C32" s="70"/>
      <c r="D32" s="70"/>
      <c r="E32" s="70"/>
      <c r="F32" s="70"/>
      <c r="G32" s="221"/>
      <c r="H32" s="221"/>
      <c r="I32" s="23"/>
      <c r="J32" s="23"/>
      <c r="K32" s="23"/>
      <c r="L32" s="23"/>
      <c r="M32" s="23">
        <v>2148000</v>
      </c>
      <c r="N32" s="23"/>
      <c r="O32" s="23">
        <v>2627700</v>
      </c>
      <c r="P32" s="23"/>
      <c r="Q32" s="23"/>
      <c r="R32" s="23"/>
      <c r="S32" s="15"/>
      <c r="T32" s="23"/>
      <c r="U32" s="23"/>
    </row>
    <row r="33" spans="2:22" hidden="1" x14ac:dyDescent="0.25">
      <c r="B33" s="193" t="s">
        <v>339</v>
      </c>
      <c r="C33" s="70"/>
      <c r="D33" s="70"/>
      <c r="E33" s="70"/>
      <c r="F33" s="70"/>
      <c r="G33" s="221"/>
      <c r="H33" s="221"/>
      <c r="I33" s="23"/>
      <c r="J33" s="23"/>
      <c r="K33" s="23"/>
      <c r="L33" s="23"/>
      <c r="M33" s="23"/>
      <c r="N33" s="23"/>
      <c r="O33" s="23">
        <f>+Q34</f>
        <v>167629</v>
      </c>
      <c r="P33" s="23"/>
      <c r="Q33" s="23"/>
      <c r="R33" s="23"/>
      <c r="S33" s="15"/>
      <c r="T33" s="23"/>
      <c r="U33" s="23"/>
    </row>
    <row r="34" spans="2:22" hidden="1" x14ac:dyDescent="0.25">
      <c r="B34" s="193" t="s">
        <v>340</v>
      </c>
      <c r="C34" s="70"/>
      <c r="D34" s="70"/>
      <c r="E34" s="70"/>
      <c r="F34" s="70"/>
      <c r="G34" s="221"/>
      <c r="H34" s="221"/>
      <c r="I34" s="23"/>
      <c r="J34" s="23"/>
      <c r="K34" s="23"/>
      <c r="L34" s="23"/>
      <c r="M34" s="23"/>
      <c r="N34" s="23"/>
      <c r="O34" s="23"/>
      <c r="P34" s="23"/>
      <c r="Q34" s="23">
        <f>+R36-7104293</f>
        <v>167629</v>
      </c>
      <c r="R34" s="23"/>
      <c r="S34" s="15"/>
      <c r="T34" s="23"/>
      <c r="U34" s="23">
        <f>1870527-U36</f>
        <v>777882</v>
      </c>
    </row>
    <row r="35" spans="2:22" x14ac:dyDescent="0.25">
      <c r="B35" s="193" t="s">
        <v>341</v>
      </c>
      <c r="C35" s="70"/>
      <c r="D35" s="70"/>
      <c r="E35" s="70"/>
      <c r="F35" s="70"/>
      <c r="G35" s="221"/>
      <c r="H35" s="221"/>
      <c r="I35" s="23"/>
      <c r="J35" s="23"/>
      <c r="K35" s="23">
        <f>+L36-K29-K31</f>
        <v>315332</v>
      </c>
      <c r="L35" s="23"/>
      <c r="M35" s="23"/>
      <c r="N35" s="23"/>
      <c r="O35" s="23">
        <f>7447200-7427584</f>
        <v>19616</v>
      </c>
      <c r="P35" s="23"/>
      <c r="Q35" s="23"/>
      <c r="R35" s="23"/>
      <c r="S35" s="15"/>
      <c r="T35" s="23"/>
      <c r="U35" s="23"/>
      <c r="V35" s="45"/>
    </row>
    <row r="36" spans="2:22" x14ac:dyDescent="0.25">
      <c r="B36" s="193" t="s">
        <v>342</v>
      </c>
      <c r="C36" s="70"/>
      <c r="D36" s="70"/>
      <c r="E36" s="70"/>
      <c r="F36" s="70"/>
      <c r="G36" s="221"/>
      <c r="H36" s="221"/>
      <c r="I36" s="23"/>
      <c r="J36" s="23">
        <v>19912925</v>
      </c>
      <c r="K36" s="23"/>
      <c r="L36" s="23">
        <v>10949927</v>
      </c>
      <c r="M36" s="23"/>
      <c r="N36" s="23">
        <v>5055818</v>
      </c>
      <c r="O36" s="23"/>
      <c r="P36" s="23">
        <f>7177200+270000</f>
        <v>7447200</v>
      </c>
      <c r="Q36" s="23"/>
      <c r="R36" s="23">
        <v>7271922</v>
      </c>
      <c r="S36" s="15"/>
      <c r="T36" s="23"/>
      <c r="U36" s="23">
        <v>1092645</v>
      </c>
      <c r="V36" s="45"/>
    </row>
    <row r="37" spans="2:22" x14ac:dyDescent="0.25">
      <c r="B37" s="43" t="s">
        <v>327</v>
      </c>
      <c r="C37" s="70"/>
      <c r="D37" s="70"/>
      <c r="E37" s="70"/>
      <c r="F37" s="70"/>
      <c r="G37" s="221"/>
      <c r="H37" s="221"/>
      <c r="I37" s="23"/>
      <c r="J37" s="23"/>
      <c r="K37" s="23"/>
      <c r="L37" s="23"/>
      <c r="M37" s="23"/>
      <c r="N37" s="23"/>
      <c r="O37" s="23"/>
      <c r="P37" s="23"/>
      <c r="Q37" s="23"/>
      <c r="R37" s="23"/>
      <c r="S37" s="15"/>
      <c r="T37" s="23"/>
      <c r="U37" s="23"/>
    </row>
    <row r="38" spans="2:22" x14ac:dyDescent="0.25">
      <c r="B38" s="87"/>
      <c r="C38" s="50"/>
      <c r="D38" s="50"/>
      <c r="E38" s="50"/>
      <c r="F38" s="225" t="s">
        <v>319</v>
      </c>
      <c r="G38" s="222"/>
      <c r="H38" s="222"/>
      <c r="I38" s="32">
        <f>SUM(I29:I36)</f>
        <v>19912925</v>
      </c>
      <c r="J38" s="32">
        <f>SUM(J29:J36)</f>
        <v>19912925</v>
      </c>
      <c r="K38" s="32">
        <f t="shared" ref="K38:R38" si="2">SUM(K28:K36)</f>
        <v>10949927</v>
      </c>
      <c r="L38" s="32">
        <f t="shared" si="2"/>
        <v>10949927</v>
      </c>
      <c r="M38" s="32">
        <f t="shared" si="2"/>
        <v>5055818</v>
      </c>
      <c r="N38" s="32">
        <f t="shared" si="2"/>
        <v>5055818</v>
      </c>
      <c r="O38" s="32">
        <f t="shared" si="2"/>
        <v>7447200</v>
      </c>
      <c r="P38" s="32">
        <f t="shared" si="2"/>
        <v>7447200</v>
      </c>
      <c r="Q38" s="32">
        <f t="shared" si="2"/>
        <v>7271922</v>
      </c>
      <c r="R38" s="32">
        <f t="shared" si="2"/>
        <v>7271922</v>
      </c>
      <c r="S38" s="15"/>
      <c r="T38" s="32">
        <f>SUM(T28:T36)</f>
        <v>1870527</v>
      </c>
      <c r="U38" s="32">
        <f>SUM(U28:U36)</f>
        <v>1870527</v>
      </c>
    </row>
    <row r="39" spans="2:22" x14ac:dyDescent="0.25">
      <c r="B39" s="43"/>
      <c r="C39" s="226" t="s">
        <v>343</v>
      </c>
      <c r="D39" s="70"/>
      <c r="E39" s="70"/>
      <c r="F39" s="70"/>
      <c r="G39" s="221"/>
      <c r="H39" s="221"/>
      <c r="I39" s="80"/>
      <c r="J39" s="31"/>
      <c r="K39" s="31"/>
      <c r="L39" s="31"/>
      <c r="M39" s="31"/>
      <c r="N39" s="31"/>
      <c r="O39" s="19"/>
      <c r="P39" s="19"/>
      <c r="Q39" s="19"/>
      <c r="R39" s="19"/>
      <c r="S39" s="15"/>
      <c r="T39" s="18"/>
      <c r="U39" s="19"/>
    </row>
    <row r="40" spans="2:22" x14ac:dyDescent="0.25">
      <c r="B40" s="193" t="s">
        <v>344</v>
      </c>
      <c r="C40" s="70"/>
      <c r="D40" s="70"/>
      <c r="E40" s="70"/>
      <c r="F40" s="70"/>
      <c r="G40" s="221"/>
      <c r="H40" s="221"/>
      <c r="I40" s="23">
        <v>9636341</v>
      </c>
      <c r="J40" s="23"/>
      <c r="K40" s="23">
        <v>9726442</v>
      </c>
      <c r="L40" s="23"/>
      <c r="M40" s="23">
        <f>+N41</f>
        <v>8402210</v>
      </c>
      <c r="N40" s="23"/>
      <c r="O40" s="23">
        <f>+'PP&amp;E'!J18</f>
        <v>3922517.4766000002</v>
      </c>
      <c r="P40" s="23"/>
      <c r="Q40" s="23"/>
      <c r="R40" s="23"/>
      <c r="S40" s="15"/>
      <c r="T40" s="22"/>
      <c r="U40" s="23"/>
    </row>
    <row r="41" spans="2:22" x14ac:dyDescent="0.25">
      <c r="B41" s="193" t="s">
        <v>345</v>
      </c>
      <c r="C41" s="70"/>
      <c r="D41" s="70"/>
      <c r="E41" s="70"/>
      <c r="F41" s="70"/>
      <c r="G41" s="221"/>
      <c r="H41" s="221"/>
      <c r="I41" s="23"/>
      <c r="J41" s="23">
        <v>9636341</v>
      </c>
      <c r="K41" s="23"/>
      <c r="L41" s="23">
        <f>+K40</f>
        <v>9726442</v>
      </c>
      <c r="M41" s="23"/>
      <c r="N41" s="23">
        <v>8402210</v>
      </c>
      <c r="O41" s="23"/>
      <c r="P41" s="23">
        <f>+O40</f>
        <v>3922517.4766000002</v>
      </c>
      <c r="Q41" s="23"/>
      <c r="R41" s="23"/>
      <c r="S41" s="15"/>
      <c r="T41" s="22"/>
      <c r="U41" s="23"/>
    </row>
    <row r="42" spans="2:22" ht="29.45" customHeight="1" x14ac:dyDescent="0.25">
      <c r="B42" s="1" t="s">
        <v>346</v>
      </c>
      <c r="C42" s="1"/>
      <c r="D42" s="1"/>
      <c r="E42" s="1"/>
      <c r="F42" s="1"/>
      <c r="G42" s="227"/>
      <c r="H42" s="227"/>
      <c r="I42" s="23"/>
      <c r="J42" s="23"/>
      <c r="K42" s="23"/>
      <c r="L42" s="23"/>
      <c r="M42" s="23"/>
      <c r="N42" s="23"/>
      <c r="O42" s="23"/>
      <c r="P42" s="23"/>
      <c r="Q42" s="23"/>
      <c r="R42" s="23"/>
      <c r="S42" s="15"/>
      <c r="T42" s="22"/>
      <c r="U42" s="23"/>
    </row>
    <row r="43" spans="2:22" x14ac:dyDescent="0.25">
      <c r="B43" s="43"/>
      <c r="C43" s="70"/>
      <c r="D43" s="70"/>
      <c r="E43" s="70"/>
      <c r="F43" s="70" t="s">
        <v>319</v>
      </c>
      <c r="G43" s="222"/>
      <c r="H43" s="222"/>
      <c r="I43" s="32">
        <f>+I40+I41</f>
        <v>9636341</v>
      </c>
      <c r="J43" s="32">
        <f>+J40+J41</f>
        <v>9636341</v>
      </c>
      <c r="K43" s="32">
        <f>+K40</f>
        <v>9726442</v>
      </c>
      <c r="L43" s="32">
        <f>+L41</f>
        <v>9726442</v>
      </c>
      <c r="M43" s="32">
        <f>+M40</f>
        <v>8402210</v>
      </c>
      <c r="N43" s="32">
        <f>+N41</f>
        <v>8402210</v>
      </c>
      <c r="O43" s="32">
        <f>+O40</f>
        <v>3922517.4766000002</v>
      </c>
      <c r="P43" s="32">
        <f>+P41</f>
        <v>3922517.4766000002</v>
      </c>
      <c r="Q43" s="19"/>
      <c r="R43" s="19"/>
      <c r="S43" s="15"/>
      <c r="T43" s="18"/>
      <c r="U43" s="19"/>
    </row>
    <row r="44" spans="2:22" x14ac:dyDescent="0.25">
      <c r="B44" s="77"/>
      <c r="C44" s="219" t="s">
        <v>347</v>
      </c>
      <c r="D44" s="64"/>
      <c r="E44" s="64"/>
      <c r="F44" s="64"/>
      <c r="G44" s="220"/>
      <c r="H44" s="220"/>
      <c r="I44" s="30"/>
      <c r="J44" s="30"/>
      <c r="K44" s="30"/>
      <c r="L44" s="30"/>
      <c r="M44" s="30"/>
      <c r="N44" s="30"/>
      <c r="O44" s="19"/>
      <c r="P44" s="19"/>
      <c r="Q44" s="19"/>
      <c r="R44" s="19"/>
      <c r="S44" s="15"/>
      <c r="T44" s="18"/>
      <c r="U44" s="19"/>
    </row>
    <row r="45" spans="2:22" x14ac:dyDescent="0.25">
      <c r="B45" s="193" t="s">
        <v>348</v>
      </c>
      <c r="C45" s="70"/>
      <c r="D45" s="70"/>
      <c r="E45" s="70"/>
      <c r="F45" s="70"/>
      <c r="G45" s="221"/>
      <c r="H45" s="221"/>
      <c r="I45" s="23">
        <v>11525237</v>
      </c>
      <c r="J45" s="23"/>
      <c r="K45" s="23">
        <f>+M45-1836936</f>
        <v>14471318.003400002</v>
      </c>
      <c r="L45" s="23"/>
      <c r="M45" s="23">
        <f>+N53-M48-M46</f>
        <v>16308254.003400002</v>
      </c>
      <c r="N45" s="23"/>
      <c r="O45" s="23">
        <f>+P53-O49</f>
        <v>7213414</v>
      </c>
      <c r="P45" s="23"/>
      <c r="Q45" s="23" t="e">
        <f>+R51+R53+R50</f>
        <v>#REF!</v>
      </c>
      <c r="R45" s="23"/>
      <c r="S45" s="15"/>
      <c r="T45" s="22">
        <v>0</v>
      </c>
      <c r="U45" s="23"/>
      <c r="V45" s="15"/>
    </row>
    <row r="46" spans="2:22" x14ac:dyDescent="0.25">
      <c r="B46" s="193" t="s">
        <v>349</v>
      </c>
      <c r="C46" s="70"/>
      <c r="D46" s="70"/>
      <c r="E46" s="70"/>
      <c r="F46" s="70"/>
      <c r="G46" s="221"/>
      <c r="H46" s="221"/>
      <c r="I46" s="23">
        <f>+K46+K57+K62</f>
        <v>3522607.4351480007</v>
      </c>
      <c r="J46" s="15"/>
      <c r="K46" s="23">
        <f>+M46+M62</f>
        <v>4078003.9351480003</v>
      </c>
      <c r="L46" s="23"/>
      <c r="M46" s="23">
        <f>+O62</f>
        <v>3486156.52</v>
      </c>
      <c r="N46" s="23"/>
      <c r="O46" s="23"/>
      <c r="P46" s="23"/>
      <c r="Q46" s="23"/>
      <c r="R46" s="23"/>
      <c r="S46" s="15"/>
      <c r="T46" s="22"/>
      <c r="U46" s="23"/>
      <c r="V46" s="45"/>
    </row>
    <row r="47" spans="2:22" x14ac:dyDescent="0.25">
      <c r="B47" s="193" t="s">
        <v>350</v>
      </c>
      <c r="C47" s="70"/>
      <c r="D47" s="70"/>
      <c r="E47" s="70"/>
      <c r="F47" s="70"/>
      <c r="G47" s="221"/>
      <c r="H47" s="221"/>
      <c r="I47" s="23">
        <f>+K40</f>
        <v>9726442</v>
      </c>
      <c r="J47" s="15"/>
      <c r="K47" s="23"/>
      <c r="L47" s="23"/>
      <c r="M47" s="23"/>
      <c r="N47" s="23"/>
      <c r="O47" s="23"/>
      <c r="P47" s="23"/>
      <c r="Q47" s="23"/>
      <c r="R47" s="23"/>
      <c r="S47" s="15"/>
      <c r="T47" s="22"/>
      <c r="U47" s="23"/>
      <c r="V47" s="45"/>
    </row>
    <row r="48" spans="2:22" x14ac:dyDescent="0.25">
      <c r="B48" s="193" t="s">
        <v>351</v>
      </c>
      <c r="C48" s="70"/>
      <c r="D48" s="70"/>
      <c r="E48" s="70"/>
      <c r="F48" s="70"/>
      <c r="G48" s="221"/>
      <c r="H48" s="221"/>
      <c r="I48" s="23"/>
      <c r="J48" s="15">
        <f>+K17-L16+K35</f>
        <v>397693</v>
      </c>
      <c r="K48" s="23"/>
      <c r="L48" s="23"/>
      <c r="M48" s="23">
        <f>+O40</f>
        <v>3922517.4766000002</v>
      </c>
      <c r="N48" s="23"/>
      <c r="O48" s="23"/>
      <c r="P48" s="23"/>
      <c r="Q48" s="23"/>
      <c r="R48" s="23"/>
      <c r="S48" s="15"/>
      <c r="T48" s="22"/>
      <c r="U48" s="23"/>
      <c r="V48" s="45"/>
    </row>
    <row r="49" spans="2:22" hidden="1" outlineLevel="1" x14ac:dyDescent="0.25">
      <c r="B49" s="193" t="s">
        <v>352</v>
      </c>
      <c r="C49" s="70"/>
      <c r="D49" s="70"/>
      <c r="E49" s="70"/>
      <c r="F49" s="70"/>
      <c r="G49" s="221"/>
      <c r="H49" s="221"/>
      <c r="I49" s="23"/>
      <c r="K49" s="23"/>
      <c r="M49" s="23"/>
      <c r="O49" s="23"/>
      <c r="P49" s="31"/>
      <c r="Q49" s="23"/>
      <c r="R49" s="23"/>
      <c r="S49" s="15"/>
      <c r="T49" s="23"/>
      <c r="U49" s="23"/>
    </row>
    <row r="50" spans="2:22" hidden="1" outlineLevel="1" x14ac:dyDescent="0.25">
      <c r="B50" s="193" t="s">
        <v>353</v>
      </c>
      <c r="C50" s="70"/>
      <c r="D50" s="70"/>
      <c r="E50" s="70"/>
      <c r="F50" s="70"/>
      <c r="G50" s="221"/>
      <c r="H50" s="221"/>
      <c r="I50" s="23"/>
      <c r="J50" s="23"/>
      <c r="K50" s="23"/>
      <c r="L50" s="23"/>
      <c r="M50" s="23"/>
      <c r="N50" s="23"/>
      <c r="O50" s="23"/>
      <c r="P50" s="23"/>
      <c r="Q50" s="23"/>
      <c r="R50" s="23" t="e">
        <f>+T69+16101</f>
        <v>#REF!</v>
      </c>
      <c r="S50" s="15"/>
      <c r="T50" s="22"/>
      <c r="U50" s="23">
        <v>0</v>
      </c>
    </row>
    <row r="51" spans="2:22" hidden="1" outlineLevel="1" x14ac:dyDescent="0.25">
      <c r="B51" s="193" t="s">
        <v>354</v>
      </c>
      <c r="C51" s="70"/>
      <c r="D51" s="70"/>
      <c r="E51" s="70"/>
      <c r="F51" s="70"/>
      <c r="G51" s="221"/>
      <c r="H51" s="221"/>
      <c r="I51" s="23"/>
      <c r="J51" s="23"/>
      <c r="K51" s="23"/>
      <c r="L51" s="23">
        <v>0</v>
      </c>
      <c r="M51" s="23"/>
      <c r="N51" s="23">
        <v>0</v>
      </c>
      <c r="O51" s="23"/>
      <c r="P51" s="31"/>
      <c r="Q51" s="23"/>
      <c r="R51" s="23">
        <f>+U25</f>
        <v>416926</v>
      </c>
      <c r="S51" s="15"/>
      <c r="T51" s="22"/>
      <c r="U51" s="23">
        <v>0</v>
      </c>
    </row>
    <row r="52" spans="2:22" hidden="1" outlineLevel="1" x14ac:dyDescent="0.25">
      <c r="B52" s="193" t="s">
        <v>355</v>
      </c>
      <c r="C52" s="70"/>
      <c r="D52" s="70"/>
      <c r="E52" s="70"/>
      <c r="F52" s="70"/>
      <c r="G52" s="221"/>
      <c r="H52" s="221"/>
      <c r="I52" s="23"/>
      <c r="J52" s="23"/>
      <c r="K52" s="23"/>
      <c r="L52" s="23"/>
      <c r="M52" s="23"/>
      <c r="N52" s="23"/>
      <c r="O52" s="23"/>
      <c r="P52" s="23">
        <v>0</v>
      </c>
      <c r="Q52" s="23"/>
      <c r="R52" s="23"/>
      <c r="S52" s="15"/>
      <c r="T52" s="22"/>
      <c r="U52" s="23"/>
    </row>
    <row r="53" spans="2:22" x14ac:dyDescent="0.25">
      <c r="B53" s="193" t="s">
        <v>356</v>
      </c>
      <c r="C53" s="70"/>
      <c r="D53" s="70"/>
      <c r="E53" s="70"/>
      <c r="F53" s="70"/>
      <c r="G53" s="221"/>
      <c r="H53" s="221"/>
      <c r="I53" s="23"/>
      <c r="J53" s="23">
        <f>+L53+L23</f>
        <v>24376593.938548002</v>
      </c>
      <c r="K53" s="23"/>
      <c r="L53" s="23">
        <f>+K45+K46</f>
        <v>18549321.938548002</v>
      </c>
      <c r="M53" s="23"/>
      <c r="N53" s="23">
        <f>+P53+P23+795508-138160</f>
        <v>23716928</v>
      </c>
      <c r="O53" s="23"/>
      <c r="P53" s="23">
        <f>+R53+R23</f>
        <v>7213414</v>
      </c>
      <c r="Q53" s="23"/>
      <c r="R53" s="23">
        <f>+U23</f>
        <v>1475332</v>
      </c>
      <c r="S53" s="15"/>
      <c r="T53" s="22"/>
      <c r="U53" s="23">
        <v>0</v>
      </c>
    </row>
    <row r="54" spans="2:22" x14ac:dyDescent="0.25">
      <c r="B54" s="43" t="s">
        <v>357</v>
      </c>
      <c r="C54" s="70"/>
      <c r="D54" s="70"/>
      <c r="E54" s="70"/>
      <c r="F54" s="70"/>
      <c r="G54" s="221"/>
      <c r="H54" s="221"/>
      <c r="I54" s="31"/>
      <c r="J54" s="31"/>
      <c r="K54" s="31"/>
      <c r="L54" s="31"/>
      <c r="M54" s="31"/>
      <c r="N54" s="31"/>
      <c r="O54" s="23"/>
      <c r="P54" s="37"/>
      <c r="Q54" s="23"/>
      <c r="R54" s="23"/>
      <c r="T54" s="43"/>
      <c r="U54" s="31"/>
    </row>
    <row r="55" spans="2:22" x14ac:dyDescent="0.25">
      <c r="B55" s="87"/>
      <c r="C55" s="50"/>
      <c r="D55" s="50"/>
      <c r="E55" s="50"/>
      <c r="F55" s="50" t="s">
        <v>319</v>
      </c>
      <c r="G55" s="222"/>
      <c r="H55" s="222"/>
      <c r="I55" s="32">
        <f>SUM(I45:I54)</f>
        <v>24774286.435148001</v>
      </c>
      <c r="J55" s="32">
        <f>SUM(J46:J54)</f>
        <v>24774286.938548002</v>
      </c>
      <c r="K55" s="32">
        <f t="shared" ref="K55:R55" si="3">SUM(K44:K53)</f>
        <v>18549321.938548002</v>
      </c>
      <c r="L55" s="32">
        <f t="shared" si="3"/>
        <v>18549321.938548002</v>
      </c>
      <c r="M55" s="32">
        <f t="shared" si="3"/>
        <v>23716928</v>
      </c>
      <c r="N55" s="32">
        <f t="shared" si="3"/>
        <v>23716928</v>
      </c>
      <c r="O55" s="32">
        <f t="shared" si="3"/>
        <v>7213414</v>
      </c>
      <c r="P55" s="32">
        <f t="shared" si="3"/>
        <v>7213414</v>
      </c>
      <c r="Q55" s="32" t="e">
        <f t="shared" si="3"/>
        <v>#REF!</v>
      </c>
      <c r="R55" s="32" t="e">
        <f t="shared" si="3"/>
        <v>#REF!</v>
      </c>
      <c r="T55" s="32">
        <f>SUM(T44:T53)</f>
        <v>0</v>
      </c>
      <c r="U55" s="32">
        <f>SUM(U44:U53)</f>
        <v>0</v>
      </c>
      <c r="V55" s="45">
        <f>+I55-J55</f>
        <v>-0.50340000167489052</v>
      </c>
    </row>
    <row r="56" spans="2:22" x14ac:dyDescent="0.25">
      <c r="B56" s="43"/>
      <c r="C56" s="226" t="s">
        <v>358</v>
      </c>
      <c r="D56" s="70"/>
      <c r="E56" s="70"/>
      <c r="F56" s="70"/>
      <c r="G56" s="221"/>
      <c r="H56" s="221"/>
      <c r="I56" s="31"/>
      <c r="J56" s="31"/>
      <c r="K56" s="31"/>
      <c r="L56" s="31"/>
      <c r="M56" s="31"/>
      <c r="N56" s="31"/>
      <c r="O56" s="19"/>
      <c r="P56" s="19"/>
      <c r="Q56" s="19"/>
      <c r="R56" s="19"/>
      <c r="S56" s="70"/>
      <c r="T56" s="18"/>
      <c r="U56" s="23"/>
    </row>
    <row r="57" spans="2:22" x14ac:dyDescent="0.25">
      <c r="B57" s="193" t="s">
        <v>349</v>
      </c>
      <c r="C57" s="70"/>
      <c r="D57" s="70"/>
      <c r="E57" s="70"/>
      <c r="F57" s="70"/>
      <c r="G57" s="221"/>
      <c r="H57" s="221"/>
      <c r="I57" s="80">
        <v>0</v>
      </c>
      <c r="J57" s="31"/>
      <c r="K57" s="80">
        <v>419396</v>
      </c>
      <c r="L57" s="31"/>
      <c r="M57" s="80"/>
      <c r="N57" s="31"/>
      <c r="O57" s="23">
        <f>P18*0.22</f>
        <v>1847711.58</v>
      </c>
      <c r="P57" s="23"/>
      <c r="Q57" s="23"/>
      <c r="R57" s="23"/>
      <c r="S57" s="70"/>
      <c r="T57" s="22"/>
      <c r="U57" s="23"/>
    </row>
    <row r="58" spans="2:22" x14ac:dyDescent="0.25">
      <c r="B58" s="193" t="s">
        <v>359</v>
      </c>
      <c r="C58" s="70"/>
      <c r="D58" s="70"/>
      <c r="E58" s="70"/>
      <c r="F58" s="70"/>
      <c r="G58" s="221"/>
      <c r="H58" s="221"/>
      <c r="I58" s="31"/>
      <c r="J58" s="80">
        <v>0</v>
      </c>
      <c r="K58" s="31"/>
      <c r="L58" s="80">
        <f>+K57</f>
        <v>419396</v>
      </c>
      <c r="M58" s="31"/>
      <c r="N58" s="80"/>
      <c r="O58" s="23"/>
      <c r="P58" s="23">
        <f>+O57</f>
        <v>1847711.58</v>
      </c>
      <c r="Q58" s="23"/>
      <c r="R58" s="23"/>
      <c r="S58" s="70"/>
      <c r="T58" s="22"/>
      <c r="U58" s="23"/>
    </row>
    <row r="59" spans="2:22" x14ac:dyDescent="0.25">
      <c r="B59" s="43" t="s">
        <v>360</v>
      </c>
      <c r="C59" s="70"/>
      <c r="D59" s="70"/>
      <c r="E59" s="70"/>
      <c r="F59" s="70"/>
      <c r="G59" s="221"/>
      <c r="H59" s="221"/>
      <c r="I59" s="31"/>
      <c r="J59" s="31"/>
      <c r="K59" s="31"/>
      <c r="L59" s="31"/>
      <c r="M59" s="31"/>
      <c r="N59" s="31"/>
      <c r="O59" s="23"/>
      <c r="P59" s="23"/>
      <c r="Q59" s="23"/>
      <c r="R59" s="23"/>
      <c r="S59" s="70"/>
      <c r="T59" s="22"/>
      <c r="U59" s="23"/>
    </row>
    <row r="60" spans="2:22" x14ac:dyDescent="0.25">
      <c r="B60" s="87" t="s">
        <v>361</v>
      </c>
      <c r="C60" s="50"/>
      <c r="D60" s="50"/>
      <c r="E60" s="50"/>
      <c r="F60" s="50"/>
      <c r="G60" s="228"/>
      <c r="H60" s="228"/>
      <c r="I60" s="40"/>
      <c r="J60" s="40"/>
      <c r="K60" s="40"/>
      <c r="L60" s="40"/>
      <c r="M60" s="40"/>
      <c r="N60" s="40"/>
      <c r="O60" s="37"/>
      <c r="P60" s="37"/>
      <c r="Q60" s="37"/>
      <c r="R60" s="37"/>
      <c r="S60" s="70"/>
      <c r="T60" s="36"/>
      <c r="U60" s="37"/>
    </row>
    <row r="61" spans="2:22" x14ac:dyDescent="0.25">
      <c r="B61" s="43"/>
      <c r="C61" s="226" t="s">
        <v>362</v>
      </c>
      <c r="D61" s="70"/>
      <c r="E61" s="70"/>
      <c r="F61" s="70"/>
      <c r="G61" s="221"/>
      <c r="H61" s="221"/>
      <c r="I61" s="31"/>
      <c r="J61" s="31"/>
      <c r="K61" s="31"/>
      <c r="L61" s="31"/>
      <c r="M61" s="31"/>
      <c r="N61" s="31"/>
      <c r="O61" s="19"/>
      <c r="P61" s="19"/>
      <c r="Q61" s="19"/>
      <c r="R61" s="19"/>
      <c r="S61" s="70"/>
      <c r="T61" s="18"/>
      <c r="U61" s="23"/>
    </row>
    <row r="62" spans="2:22" x14ac:dyDescent="0.25">
      <c r="B62" s="193" t="s">
        <v>349</v>
      </c>
      <c r="C62" s="70"/>
      <c r="D62" s="70"/>
      <c r="E62" s="70"/>
      <c r="F62" s="70"/>
      <c r="G62" s="221"/>
      <c r="H62" s="221"/>
      <c r="I62" s="80">
        <f>(+J23-J41)*0.25</f>
        <v>-358270.25</v>
      </c>
      <c r="J62" s="31"/>
      <c r="K62" s="80">
        <f>(+L23-L41)*0.25</f>
        <v>-974792.5</v>
      </c>
      <c r="L62" s="31"/>
      <c r="M62" s="80">
        <f>(-'BG '!T25-P23)*0.22</f>
        <v>591847.41514800023</v>
      </c>
      <c r="N62" s="31"/>
      <c r="O62" s="23">
        <f>P23*0.22</f>
        <v>3486156.52</v>
      </c>
      <c r="P62" s="23"/>
      <c r="Q62" s="23"/>
      <c r="R62" s="23"/>
      <c r="S62" s="70"/>
      <c r="T62" s="22"/>
      <c r="U62" s="23"/>
    </row>
    <row r="63" spans="2:22" x14ac:dyDescent="0.25">
      <c r="B63" s="193" t="s">
        <v>359</v>
      </c>
      <c r="C63" s="70"/>
      <c r="D63" s="70"/>
      <c r="E63" s="70"/>
      <c r="F63" s="70"/>
      <c r="G63" s="221"/>
      <c r="H63" s="221"/>
      <c r="I63" s="31"/>
      <c r="J63" s="80">
        <f>+I62</f>
        <v>-358270.25</v>
      </c>
      <c r="K63" s="31"/>
      <c r="L63" s="80">
        <f>+K62</f>
        <v>-974792.5</v>
      </c>
      <c r="M63" s="31"/>
      <c r="N63" s="80">
        <f>+M62</f>
        <v>591847.41514800023</v>
      </c>
      <c r="O63" s="23"/>
      <c r="P63" s="23">
        <f>+O62</f>
        <v>3486156.52</v>
      </c>
      <c r="Q63" s="23"/>
      <c r="R63" s="23"/>
      <c r="S63" s="70"/>
      <c r="T63" s="22"/>
      <c r="U63" s="23"/>
    </row>
    <row r="64" spans="2:22" x14ac:dyDescent="0.25">
      <c r="B64" s="43" t="s">
        <v>363</v>
      </c>
      <c r="C64" s="70"/>
      <c r="D64" s="70"/>
      <c r="E64" s="70"/>
      <c r="F64" s="70"/>
      <c r="G64" s="221"/>
      <c r="H64" s="221"/>
      <c r="I64" s="31"/>
      <c r="J64" s="31"/>
      <c r="K64" s="31"/>
      <c r="L64" s="31"/>
      <c r="M64" s="31"/>
      <c r="N64" s="31"/>
      <c r="O64" s="23"/>
      <c r="P64" s="23"/>
      <c r="Q64" s="23"/>
      <c r="R64" s="23"/>
      <c r="S64" s="70"/>
      <c r="T64" s="22"/>
      <c r="U64" s="23"/>
    </row>
    <row r="65" spans="2:21" x14ac:dyDescent="0.25">
      <c r="B65" s="43" t="s">
        <v>364</v>
      </c>
      <c r="C65" s="70"/>
      <c r="D65" s="70"/>
      <c r="E65" s="70"/>
      <c r="F65" s="70"/>
      <c r="G65" s="221"/>
      <c r="H65" s="221"/>
      <c r="I65" s="31"/>
      <c r="J65" s="40"/>
      <c r="K65" s="40"/>
      <c r="L65" s="40"/>
      <c r="M65" s="40"/>
      <c r="N65" s="40"/>
      <c r="O65" s="37"/>
      <c r="P65" s="37"/>
      <c r="Q65" s="37"/>
      <c r="R65" s="37"/>
      <c r="S65" s="70"/>
      <c r="T65" s="36"/>
      <c r="U65" s="37"/>
    </row>
    <row r="66" spans="2:21" x14ac:dyDescent="0.25">
      <c r="B66" s="87"/>
      <c r="C66" s="50"/>
      <c r="D66" s="50"/>
      <c r="E66" s="50"/>
      <c r="F66" s="50" t="s">
        <v>319</v>
      </c>
      <c r="G66" s="222"/>
      <c r="H66" s="222"/>
      <c r="I66" s="222"/>
      <c r="J66" s="40"/>
      <c r="K66" s="229">
        <f>SUM(K62:K65)</f>
        <v>-974792.5</v>
      </c>
      <c r="L66" s="229">
        <f>SUM(L62:L65)</f>
        <v>-974792.5</v>
      </c>
      <c r="M66" s="40"/>
      <c r="N66" s="40"/>
      <c r="O66" s="37"/>
      <c r="P66" s="37"/>
      <c r="Q66" s="37"/>
      <c r="R66" s="37"/>
      <c r="S66" s="70"/>
      <c r="T66" s="36"/>
      <c r="U66" s="37"/>
    </row>
    <row r="67" spans="2:21" x14ac:dyDescent="0.25">
      <c r="B67" s="64"/>
      <c r="C67" s="64"/>
      <c r="D67" s="64"/>
      <c r="E67" s="64"/>
      <c r="F67" s="66" t="s">
        <v>365</v>
      </c>
      <c r="G67" s="222"/>
      <c r="H67" s="222"/>
      <c r="I67" s="189">
        <f>+I11+I20+I27+I38+I55+I43+I62</f>
        <v>161788426.185148</v>
      </c>
      <c r="J67" s="192">
        <f>+J11+J20+J27+J38+J55+J43+J63</f>
        <v>161788426.688548</v>
      </c>
      <c r="K67" s="192">
        <f>+K11+K20+K27+K38+K55+K43+K62</f>
        <v>124036288.438548</v>
      </c>
      <c r="L67" s="192">
        <f>+L11+L20+L27+L38+L55+L43+L63</f>
        <v>124036288.438548</v>
      </c>
      <c r="M67" s="32">
        <f>+M11+M20+M27+M38+M55+M43+M62</f>
        <v>95126716.415148005</v>
      </c>
      <c r="N67" s="32">
        <f>+N11+N20+N27+N38+N55+N43+N63</f>
        <v>95126716.415148005</v>
      </c>
      <c r="O67" s="32" t="e">
        <f>+O11+O20+O27+O38+O55+O43+O62</f>
        <v>#REF!</v>
      </c>
      <c r="P67" s="32">
        <f>+P11+P20+P27+P38+P55+P43+P63</f>
        <v>73263238.996600002</v>
      </c>
      <c r="Q67" s="32" t="e">
        <f>+Q11+Q20+Q27+Q38+Q55+Q43</f>
        <v>#REF!</v>
      </c>
      <c r="R67" s="32" t="e">
        <f>+R11+R20+R27+R38+R55+R43</f>
        <v>#REF!</v>
      </c>
      <c r="S67" s="15"/>
      <c r="T67" s="230">
        <f>+T11+T20+T27+T38</f>
        <v>17692260</v>
      </c>
      <c r="U67" s="37">
        <f>+U11+U20+U27+U38</f>
        <v>18582456</v>
      </c>
    </row>
    <row r="68" spans="2:21" x14ac:dyDescent="0.25">
      <c r="O68" s="45"/>
    </row>
    <row r="69" spans="2:21" hidden="1" x14ac:dyDescent="0.25">
      <c r="B69" s="77" t="s">
        <v>366</v>
      </c>
      <c r="C69" s="64"/>
      <c r="D69" s="64"/>
      <c r="E69" s="64"/>
      <c r="F69" s="64"/>
      <c r="G69" s="64"/>
      <c r="H69" s="64"/>
      <c r="I69" s="64"/>
      <c r="J69" s="64"/>
      <c r="K69" s="64"/>
      <c r="L69" s="64"/>
      <c r="M69" s="64"/>
      <c r="N69" s="64"/>
      <c r="O69" s="60" t="e">
        <f>+O17+O33+O45</f>
        <v>#REF!</v>
      </c>
      <c r="P69" s="64"/>
      <c r="Q69" s="60" t="e">
        <f>+PAT!I114+Q45</f>
        <v>#REF!</v>
      </c>
      <c r="R69" s="66"/>
      <c r="T69" s="231" t="e">
        <f>+#REF!-U8-U34</f>
        <v>#REF!</v>
      </c>
      <c r="U69" s="66"/>
    </row>
    <row r="70" spans="2:21" hidden="1" x14ac:dyDescent="0.25">
      <c r="B70" s="43" t="s">
        <v>367</v>
      </c>
      <c r="C70" s="70"/>
      <c r="D70" s="70"/>
      <c r="E70" s="70"/>
      <c r="F70" s="70"/>
      <c r="G70" s="70"/>
      <c r="H70" s="70"/>
      <c r="I70" s="70"/>
      <c r="J70" s="70"/>
      <c r="K70" s="70"/>
      <c r="L70" s="70"/>
      <c r="M70" s="70"/>
      <c r="N70" s="70"/>
      <c r="O70" s="62" t="e">
        <f>+#REF!-P34</f>
        <v>#REF!</v>
      </c>
      <c r="P70" s="70"/>
      <c r="Q70" s="62" t="e">
        <f>+Q8+#REF!+Q34</f>
        <v>#REF!</v>
      </c>
      <c r="R70" s="67"/>
      <c r="T70" s="43"/>
      <c r="U70" s="67"/>
    </row>
    <row r="71" spans="2:21" hidden="1" x14ac:dyDescent="0.25">
      <c r="B71" s="232" t="s">
        <v>368</v>
      </c>
      <c r="C71" s="74"/>
      <c r="D71" s="74"/>
      <c r="E71" s="74"/>
      <c r="F71" s="74"/>
      <c r="G71" s="74"/>
      <c r="H71" s="74"/>
      <c r="I71" s="74"/>
      <c r="J71" s="74"/>
      <c r="K71" s="74"/>
      <c r="L71" s="74"/>
      <c r="M71" s="74"/>
      <c r="N71" s="74"/>
      <c r="O71" s="233" t="e">
        <f>+O69+O70</f>
        <v>#REF!</v>
      </c>
      <c r="P71" s="74"/>
      <c r="Q71" s="233" t="e">
        <f>+Q69+Q70</f>
        <v>#REF!</v>
      </c>
      <c r="R71" s="75"/>
      <c r="T71" s="234" t="e">
        <f>+T69+T70</f>
        <v>#REF!</v>
      </c>
      <c r="U71" s="75"/>
    </row>
    <row r="72" spans="2:21" x14ac:dyDescent="0.25">
      <c r="B72" s="70"/>
      <c r="C72" s="70"/>
      <c r="D72" s="70"/>
      <c r="E72" s="70"/>
      <c r="F72" s="70"/>
      <c r="G72" s="70"/>
      <c r="H72" s="70"/>
      <c r="I72" s="70"/>
      <c r="J72" s="70"/>
      <c r="K72" s="70"/>
      <c r="L72" s="70"/>
      <c r="M72" s="70"/>
      <c r="N72" s="70"/>
      <c r="O72" s="62"/>
      <c r="P72" s="70"/>
      <c r="Q72" s="62"/>
      <c r="R72" s="70"/>
      <c r="T72" s="62"/>
      <c r="U72" s="70"/>
    </row>
    <row r="73" spans="2:21" x14ac:dyDescent="0.25">
      <c r="K73" s="45"/>
    </row>
    <row r="74" spans="2:21" x14ac:dyDescent="0.25">
      <c r="O74" s="70"/>
      <c r="P74" s="70"/>
    </row>
    <row r="75" spans="2:21" x14ac:dyDescent="0.25">
      <c r="F75" s="262" t="s">
        <v>77</v>
      </c>
      <c r="G75" s="262"/>
      <c r="H75" s="262"/>
      <c r="I75" s="262"/>
      <c r="J75" s="262"/>
      <c r="K75" s="262"/>
      <c r="L75" s="262"/>
      <c r="M75" s="262"/>
      <c r="N75" s="262"/>
      <c r="O75" s="70"/>
      <c r="P75" s="70"/>
    </row>
    <row r="76" spans="2:21" x14ac:dyDescent="0.25">
      <c r="F76" s="263" t="s">
        <v>78</v>
      </c>
      <c r="G76" s="263"/>
      <c r="H76" s="263"/>
      <c r="I76" s="263"/>
      <c r="J76" s="263"/>
      <c r="K76" s="263"/>
      <c r="L76" s="263"/>
      <c r="M76" s="263"/>
      <c r="N76" s="263"/>
    </row>
  </sheetData>
  <mergeCells count="10">
    <mergeCell ref="Q4:R4"/>
    <mergeCell ref="T4:U4"/>
    <mergeCell ref="B42:F42"/>
    <mergeCell ref="F75:N75"/>
    <mergeCell ref="F76:N76"/>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M32"/>
  <sheetViews>
    <sheetView topLeftCell="A3" zoomScaleNormal="100" workbookViewId="0">
      <selection activeCell="H20" sqref="H20"/>
    </sheetView>
  </sheetViews>
  <sheetFormatPr defaultColWidth="9.140625" defaultRowHeight="15" x14ac:dyDescent="0.25"/>
  <cols>
    <col min="1" max="1" width="3.85546875" customWidth="1"/>
    <col min="5" max="5" width="12.28515625" customWidth="1"/>
    <col min="6" max="6" width="12.7109375" customWidth="1"/>
    <col min="7" max="9" width="12.28515625" customWidth="1"/>
    <col min="10" max="10" width="13.28515625" hidden="1" customWidth="1"/>
    <col min="11" max="11" width="12.28515625" hidden="1" customWidth="1"/>
    <col min="12" max="12" width="3.28515625" customWidth="1"/>
    <col min="13" max="13" width="78.7109375" customWidth="1"/>
  </cols>
  <sheetData>
    <row r="1" spans="1:13" x14ac:dyDescent="0.25">
      <c r="A1" s="16" t="s">
        <v>369</v>
      </c>
    </row>
    <row r="2" spans="1:13" x14ac:dyDescent="0.25">
      <c r="A2" s="17" t="s">
        <v>370</v>
      </c>
    </row>
    <row r="3" spans="1:13" x14ac:dyDescent="0.25">
      <c r="A3" s="17" t="s">
        <v>371</v>
      </c>
    </row>
    <row r="5" spans="1:13" x14ac:dyDescent="0.25">
      <c r="B5" s="77"/>
      <c r="C5" s="64"/>
      <c r="D5" s="64"/>
      <c r="E5" s="64"/>
      <c r="F5" s="64"/>
      <c r="G5" s="64"/>
      <c r="H5" s="235">
        <v>2019</v>
      </c>
      <c r="I5" s="235">
        <v>2018</v>
      </c>
      <c r="J5" s="235">
        <v>2017</v>
      </c>
      <c r="K5" s="235">
        <v>2016</v>
      </c>
      <c r="M5" s="217" t="s">
        <v>372</v>
      </c>
    </row>
    <row r="6" spans="1:13" x14ac:dyDescent="0.25">
      <c r="B6" s="43" t="s">
        <v>373</v>
      </c>
      <c r="C6" s="58"/>
      <c r="D6" s="58"/>
      <c r="E6" s="58"/>
      <c r="F6" s="58"/>
      <c r="G6" s="58"/>
      <c r="H6" s="31"/>
      <c r="I6" s="31"/>
      <c r="J6" s="31"/>
      <c r="K6" s="31"/>
      <c r="M6" s="30"/>
    </row>
    <row r="7" spans="1:13" x14ac:dyDescent="0.25">
      <c r="B7" s="43" t="s">
        <v>374</v>
      </c>
      <c r="C7" s="58"/>
      <c r="D7" s="58"/>
      <c r="E7" s="58"/>
      <c r="F7" s="58"/>
      <c r="G7" s="58"/>
      <c r="H7" s="23">
        <f>-AD!J23</f>
        <v>-8203260</v>
      </c>
      <c r="I7" s="23">
        <f>-AD!L23</f>
        <v>-5827272</v>
      </c>
      <c r="J7" s="23">
        <f>-AD!N23</f>
        <v>-7144181</v>
      </c>
      <c r="K7" s="23">
        <f>-AD!P23</f>
        <v>-15846166</v>
      </c>
      <c r="M7" s="31" t="s">
        <v>375</v>
      </c>
    </row>
    <row r="8" spans="1:13" x14ac:dyDescent="0.25">
      <c r="B8" s="43" t="s">
        <v>376</v>
      </c>
      <c r="C8" s="58"/>
      <c r="D8" s="58"/>
      <c r="E8" s="58"/>
      <c r="F8" s="58"/>
      <c r="G8" s="58"/>
      <c r="H8" s="23">
        <f>+AD!J41</f>
        <v>9636341</v>
      </c>
      <c r="I8" s="23">
        <f>+AD!L41</f>
        <v>9726442</v>
      </c>
      <c r="J8" s="23">
        <f>+AD!N41</f>
        <v>8402210</v>
      </c>
      <c r="K8" s="23">
        <f>+AD!P41</f>
        <v>3922517.4766000002</v>
      </c>
      <c r="M8" s="31" t="s">
        <v>377</v>
      </c>
    </row>
    <row r="9" spans="1:13" x14ac:dyDescent="0.25">
      <c r="B9" s="43" t="s">
        <v>378</v>
      </c>
      <c r="C9" s="58"/>
      <c r="D9" s="58"/>
      <c r="E9" s="58"/>
      <c r="F9" s="58"/>
      <c r="G9" s="58"/>
      <c r="H9" s="23">
        <f>+AD!J63</f>
        <v>-358270.25</v>
      </c>
      <c r="I9" s="23">
        <f>+ER!M35</f>
        <v>-358270.25</v>
      </c>
      <c r="J9" s="23">
        <f>+AD!N63</f>
        <v>591847.41514800023</v>
      </c>
      <c r="K9" s="23">
        <f>+AD!P63</f>
        <v>3486156.52</v>
      </c>
      <c r="M9" s="31" t="s">
        <v>379</v>
      </c>
    </row>
    <row r="10" spans="1:13" x14ac:dyDescent="0.25">
      <c r="B10" s="43" t="s">
        <v>380</v>
      </c>
      <c r="C10" s="58"/>
      <c r="D10" s="58"/>
      <c r="E10" s="58"/>
      <c r="F10" s="58"/>
      <c r="G10" s="58"/>
      <c r="H10" s="23">
        <f>+ER!G28</f>
        <v>0</v>
      </c>
      <c r="I10" s="23"/>
      <c r="J10" s="23"/>
      <c r="K10" s="23"/>
      <c r="M10" s="31" t="s">
        <v>381</v>
      </c>
    </row>
    <row r="11" spans="1:13" x14ac:dyDescent="0.25">
      <c r="B11" s="83" t="s">
        <v>319</v>
      </c>
      <c r="C11" s="236"/>
      <c r="D11" s="236"/>
      <c r="E11" s="236"/>
      <c r="F11" s="236"/>
      <c r="G11" s="236"/>
      <c r="H11" s="85">
        <f>SUM(H7:H10)</f>
        <v>1074810.75</v>
      </c>
      <c r="I11" s="85">
        <f>SUM(I7:I10)</f>
        <v>3540899.75</v>
      </c>
      <c r="J11" s="85">
        <f>SUM(J7:J10)</f>
        <v>1849876.4151480002</v>
      </c>
      <c r="K11" s="85">
        <f>SUM(K7:K10)</f>
        <v>-8437492.0033999998</v>
      </c>
      <c r="M11" s="40"/>
    </row>
    <row r="12" spans="1:13" hidden="1" x14ac:dyDescent="0.25">
      <c r="I12" s="15"/>
      <c r="J12" s="15"/>
      <c r="K12" s="15"/>
    </row>
    <row r="13" spans="1:13" hidden="1" x14ac:dyDescent="0.25">
      <c r="B13" s="77" t="s">
        <v>382</v>
      </c>
      <c r="C13" s="64"/>
      <c r="D13" s="64"/>
      <c r="E13" s="64"/>
      <c r="F13" s="64"/>
      <c r="G13" s="64"/>
      <c r="H13" s="64"/>
      <c r="I13" s="19"/>
      <c r="J13" s="19"/>
      <c r="K13" s="19"/>
      <c r="M13" s="195"/>
    </row>
    <row r="14" spans="1:13" hidden="1" x14ac:dyDescent="0.25">
      <c r="B14" s="43" t="s">
        <v>383</v>
      </c>
      <c r="C14" s="58"/>
      <c r="D14" s="58"/>
      <c r="E14" s="58"/>
      <c r="F14" s="58"/>
      <c r="G14" s="58"/>
      <c r="H14" s="58"/>
      <c r="I14" s="23"/>
      <c r="J14" s="23"/>
      <c r="K14" s="23"/>
      <c r="M14" s="195"/>
    </row>
    <row r="15" spans="1:13" s="237" customFormat="1" hidden="1" x14ac:dyDescent="0.25">
      <c r="B15" s="238"/>
      <c r="C15" s="239" t="s">
        <v>384</v>
      </c>
      <c r="D15" s="239"/>
      <c r="E15" s="239"/>
      <c r="F15" s="239"/>
      <c r="G15" s="239"/>
      <c r="H15" s="239"/>
      <c r="I15" s="81"/>
      <c r="J15" s="81">
        <f>+AD!M22</f>
        <v>51723340</v>
      </c>
      <c r="K15" s="81">
        <v>48803746</v>
      </c>
      <c r="M15" s="240" t="s">
        <v>385</v>
      </c>
    </row>
    <row r="16" spans="1:13" hidden="1" x14ac:dyDescent="0.25">
      <c r="B16" s="43" t="s">
        <v>386</v>
      </c>
      <c r="C16" s="58"/>
      <c r="D16" s="58"/>
      <c r="E16" s="58"/>
      <c r="F16" s="58"/>
      <c r="G16" s="58"/>
      <c r="H16" s="58"/>
      <c r="I16" s="23"/>
      <c r="J16" s="23"/>
      <c r="K16" s="23"/>
      <c r="M16" s="195"/>
    </row>
    <row r="17" spans="2:13" hidden="1" x14ac:dyDescent="0.25">
      <c r="B17" s="43"/>
      <c r="C17" s="58" t="s">
        <v>387</v>
      </c>
      <c r="D17" s="58"/>
      <c r="E17" s="58"/>
      <c r="F17" s="58"/>
      <c r="G17" s="58"/>
      <c r="H17" s="58"/>
      <c r="I17" s="23"/>
      <c r="J17" s="23">
        <f>+AD!N23</f>
        <v>7144181</v>
      </c>
      <c r="K17" s="23">
        <f>+AD!P23</f>
        <v>15846166</v>
      </c>
      <c r="M17" s="195" t="s">
        <v>388</v>
      </c>
    </row>
    <row r="18" spans="2:13" hidden="1" x14ac:dyDescent="0.25">
      <c r="B18" s="43"/>
      <c r="C18" s="58" t="s">
        <v>389</v>
      </c>
      <c r="D18" s="58"/>
      <c r="E18" s="58"/>
      <c r="F18" s="58"/>
      <c r="G18" s="58"/>
      <c r="H18" s="58"/>
      <c r="I18" s="23"/>
      <c r="J18" s="23">
        <f>+AD!N24</f>
        <v>44579159</v>
      </c>
      <c r="K18" s="23">
        <f>+AD!P24</f>
        <v>26625458</v>
      </c>
      <c r="M18" s="195"/>
    </row>
    <row r="19" spans="2:13" s="237" customFormat="1" ht="75" hidden="1" customHeight="1" x14ac:dyDescent="0.25">
      <c r="B19" s="241"/>
      <c r="C19" s="264" t="s">
        <v>390</v>
      </c>
      <c r="D19" s="264"/>
      <c r="E19" s="264"/>
      <c r="F19" s="264"/>
      <c r="G19" s="264"/>
      <c r="H19" s="264"/>
      <c r="I19" s="242"/>
      <c r="J19" s="242">
        <v>0</v>
      </c>
      <c r="K19" s="242">
        <f>+K15-K17-K18</f>
        <v>6332122</v>
      </c>
      <c r="M19" s="243" t="s">
        <v>391</v>
      </c>
    </row>
    <row r="20" spans="2:13" x14ac:dyDescent="0.25">
      <c r="J20" s="15"/>
      <c r="K20" s="15"/>
    </row>
    <row r="21" spans="2:13" x14ac:dyDescent="0.25">
      <c r="B21" s="17" t="s">
        <v>392</v>
      </c>
      <c r="J21" s="15"/>
      <c r="K21" s="15"/>
    </row>
    <row r="22" spans="2:13" ht="45" x14ac:dyDescent="0.25">
      <c r="B22" s="265" t="s">
        <v>393</v>
      </c>
      <c r="C22" s="265"/>
      <c r="D22" s="265"/>
      <c r="E22" s="244" t="s">
        <v>394</v>
      </c>
      <c r="F22" s="245" t="s">
        <v>395</v>
      </c>
      <c r="G22" s="244" t="s">
        <v>396</v>
      </c>
      <c r="H22" s="244" t="s">
        <v>397</v>
      </c>
      <c r="I22" s="246" t="s">
        <v>398</v>
      </c>
      <c r="K22" s="15"/>
      <c r="M22" s="30"/>
    </row>
    <row r="23" spans="2:13" x14ac:dyDescent="0.25">
      <c r="B23" s="247">
        <v>2015</v>
      </c>
      <c r="C23" s="248"/>
      <c r="D23" s="249"/>
      <c r="E23" s="250">
        <f>-AD!P53</f>
        <v>-7213414</v>
      </c>
      <c r="F23" s="251"/>
      <c r="G23" s="252">
        <f>+E23+F23</f>
        <v>-7213414</v>
      </c>
      <c r="H23" s="253">
        <v>0</v>
      </c>
      <c r="I23" s="250">
        <f>+G23+H23</f>
        <v>-7213414</v>
      </c>
      <c r="K23" s="15"/>
      <c r="M23" s="31"/>
    </row>
    <row r="24" spans="2:13" x14ac:dyDescent="0.25">
      <c r="B24" s="43">
        <v>2016</v>
      </c>
      <c r="C24" s="58"/>
      <c r="D24" s="67"/>
      <c r="E24" s="80">
        <f>+K7</f>
        <v>-15846166</v>
      </c>
      <c r="F24" s="80">
        <f>+K8</f>
        <v>3922517.4766000002</v>
      </c>
      <c r="G24" s="80">
        <f>+E24+F24</f>
        <v>-11923648.523399999</v>
      </c>
      <c r="H24" s="80">
        <f>+K9</f>
        <v>3486156.52</v>
      </c>
      <c r="I24" s="23">
        <f>+G24+H24</f>
        <v>-8437492.0033999998</v>
      </c>
      <c r="J24" s="254"/>
      <c r="K24" s="15"/>
      <c r="M24" s="31" t="s">
        <v>399</v>
      </c>
    </row>
    <row r="25" spans="2:13" x14ac:dyDescent="0.25">
      <c r="B25" s="43">
        <v>2017</v>
      </c>
      <c r="C25" s="58"/>
      <c r="D25" s="67"/>
      <c r="E25" s="80">
        <f>+J7</f>
        <v>-7144181</v>
      </c>
      <c r="F25" s="80">
        <f>+J8</f>
        <v>8402210</v>
      </c>
      <c r="G25" s="80">
        <f>+E25+F25</f>
        <v>1258029</v>
      </c>
      <c r="H25" s="80">
        <f>+J9</f>
        <v>591847.41514800023</v>
      </c>
      <c r="I25" s="23">
        <f>+G25+H25</f>
        <v>1849876.4151480002</v>
      </c>
      <c r="J25" s="254"/>
      <c r="K25" s="15"/>
      <c r="M25" s="31" t="s">
        <v>400</v>
      </c>
    </row>
    <row r="26" spans="2:13" x14ac:dyDescent="0.25">
      <c r="B26" s="43">
        <v>2018</v>
      </c>
      <c r="E26" s="80">
        <f>+I7</f>
        <v>-5827272</v>
      </c>
      <c r="F26" s="80">
        <f>+I8</f>
        <v>9726442</v>
      </c>
      <c r="G26" s="80">
        <f>+E26+F26</f>
        <v>3899170</v>
      </c>
      <c r="H26" s="80">
        <f>+I9</f>
        <v>-358270.25</v>
      </c>
      <c r="I26" s="23">
        <f>+G26+H26</f>
        <v>3540899.75</v>
      </c>
      <c r="J26" s="254"/>
      <c r="K26" s="15"/>
      <c r="M26" s="31" t="s">
        <v>401</v>
      </c>
    </row>
    <row r="27" spans="2:13" x14ac:dyDescent="0.25">
      <c r="B27" s="43">
        <v>2019</v>
      </c>
      <c r="E27" s="229">
        <f>+H7</f>
        <v>-8203260</v>
      </c>
      <c r="F27" s="229">
        <f>+H8</f>
        <v>9636341</v>
      </c>
      <c r="G27" s="80">
        <f>+E27+F27</f>
        <v>1433081</v>
      </c>
      <c r="H27" s="229">
        <f>+H9</f>
        <v>-358270.25</v>
      </c>
      <c r="I27" s="23">
        <f>+G27+H27</f>
        <v>1074810.75</v>
      </c>
      <c r="J27" s="254"/>
      <c r="K27" s="15"/>
      <c r="M27" s="31" t="s">
        <v>402</v>
      </c>
    </row>
    <row r="28" spans="2:13" x14ac:dyDescent="0.25">
      <c r="B28" s="43" t="s">
        <v>403</v>
      </c>
      <c r="C28" s="58"/>
      <c r="D28" s="67"/>
      <c r="E28" s="59">
        <f>SUM(E23:E27)</f>
        <v>-44234293</v>
      </c>
      <c r="F28" s="59">
        <f>SUM(F23:F27)</f>
        <v>31687510.476599999</v>
      </c>
      <c r="G28" s="59">
        <f>SUM(G23:G27)</f>
        <v>-12546782.523400001</v>
      </c>
      <c r="H28" s="59">
        <f>SUM(H23:H27)</f>
        <v>3361463.4351480003</v>
      </c>
      <c r="I28" s="59">
        <f>SUM(I23:I27)</f>
        <v>-9185319.0882520005</v>
      </c>
      <c r="J28" s="255"/>
      <c r="K28" s="15"/>
      <c r="M28" s="31"/>
    </row>
    <row r="29" spans="2:13" x14ac:dyDescent="0.25">
      <c r="B29" s="43">
        <v>2020</v>
      </c>
      <c r="C29" s="58"/>
      <c r="D29" s="67"/>
      <c r="E29" s="31">
        <v>0</v>
      </c>
      <c r="F29" s="23">
        <f>(-E28-F28)/3</f>
        <v>4182260.8411333337</v>
      </c>
      <c r="G29" s="80">
        <f>+E29+F29</f>
        <v>4182260.8411333337</v>
      </c>
      <c r="H29" s="23">
        <f>-G29*0.25</f>
        <v>-1045565.2102833334</v>
      </c>
      <c r="I29" s="23">
        <f>+G29+H29</f>
        <v>3136695.6308500003</v>
      </c>
      <c r="M29" s="31"/>
    </row>
    <row r="30" spans="2:13" x14ac:dyDescent="0.25">
      <c r="B30" s="43">
        <v>2021</v>
      </c>
      <c r="C30" s="58"/>
      <c r="D30" s="67"/>
      <c r="E30" s="31">
        <v>0</v>
      </c>
      <c r="F30" s="80">
        <f>+F29</f>
        <v>4182260.8411333337</v>
      </c>
      <c r="G30" s="80">
        <f>+E30+F30</f>
        <v>4182260.8411333337</v>
      </c>
      <c r="H30" s="23">
        <f>-G30*0.25</f>
        <v>-1045565.2102833334</v>
      </c>
      <c r="I30" s="23">
        <f>+G30+H30</f>
        <v>3136695.6308500003</v>
      </c>
      <c r="M30" s="31" t="s">
        <v>404</v>
      </c>
    </row>
    <row r="31" spans="2:13" x14ac:dyDescent="0.25">
      <c r="B31" s="43">
        <v>2022</v>
      </c>
      <c r="C31" s="58"/>
      <c r="D31" s="67"/>
      <c r="E31" s="31">
        <v>0</v>
      </c>
      <c r="F31" s="80">
        <f>+F30</f>
        <v>4182260.8411333337</v>
      </c>
      <c r="G31" s="80">
        <f>+E31+F31</f>
        <v>4182260.8411333337</v>
      </c>
      <c r="H31" s="23">
        <f>-G31*0.25</f>
        <v>-1045565.2102833334</v>
      </c>
      <c r="I31" s="23">
        <f>+G31+H31</f>
        <v>3136695.6308500003</v>
      </c>
      <c r="K31" s="15"/>
      <c r="M31" s="40" t="s">
        <v>405</v>
      </c>
    </row>
    <row r="32" spans="2:13" x14ac:dyDescent="0.25">
      <c r="B32" s="87" t="s">
        <v>18</v>
      </c>
      <c r="C32" s="50"/>
      <c r="D32" s="76"/>
      <c r="E32" s="59">
        <f>SUM(E28:E31)</f>
        <v>-44234293</v>
      </c>
      <c r="F32" s="59">
        <f>SUM(F29:F31)</f>
        <v>12546782.523400001</v>
      </c>
      <c r="G32" s="59">
        <f>SUM(G28:G31)</f>
        <v>0</v>
      </c>
      <c r="H32" s="59">
        <f>SUM(H28:H31)</f>
        <v>224767.80429799994</v>
      </c>
      <c r="I32" s="59">
        <f>SUM(I28:I31)</f>
        <v>224767.80429800041</v>
      </c>
    </row>
  </sheetData>
  <mergeCells count="2">
    <mergeCell ref="C19:H19"/>
    <mergeCell ref="B22:D22"/>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topLeftCell="A20" zoomScaleNormal="100" workbookViewId="0">
      <selection activeCell="F34" sqref="F34"/>
    </sheetView>
  </sheetViews>
  <sheetFormatPr defaultColWidth="11.42578125" defaultRowHeight="15" x14ac:dyDescent="0.25"/>
  <cols>
    <col min="1" max="1" width="2.7109375" customWidth="1"/>
    <col min="6" max="6" width="11.5703125" customWidth="1"/>
    <col min="7" max="8" width="12.28515625" customWidth="1"/>
    <col min="9" max="9" width="11.28515625" customWidth="1"/>
    <col min="10" max="10" width="12.7109375" customWidth="1"/>
    <col min="11" max="11" width="13.7109375" customWidth="1"/>
  </cols>
  <sheetData>
    <row r="1" spans="1:11" x14ac:dyDescent="0.25">
      <c r="A1" s="16" t="s">
        <v>369</v>
      </c>
    </row>
    <row r="2" spans="1:11" x14ac:dyDescent="0.25">
      <c r="A2" s="17" t="s">
        <v>406</v>
      </c>
    </row>
    <row r="3" spans="1:11" x14ac:dyDescent="0.25">
      <c r="A3" s="17" t="s">
        <v>13</v>
      </c>
    </row>
    <row r="5" spans="1:11" x14ac:dyDescent="0.25">
      <c r="A5" s="17" t="s">
        <v>407</v>
      </c>
      <c r="F5" s="256">
        <v>2019</v>
      </c>
      <c r="G5" s="256">
        <v>2018</v>
      </c>
      <c r="H5" s="256">
        <v>2017</v>
      </c>
      <c r="I5" s="256">
        <v>2016</v>
      </c>
      <c r="J5" s="256">
        <v>2015</v>
      </c>
      <c r="K5" s="256">
        <v>2014</v>
      </c>
    </row>
    <row r="7" spans="1:11" x14ac:dyDescent="0.25">
      <c r="B7" t="s">
        <v>408</v>
      </c>
    </row>
    <row r="9" spans="1:11" x14ac:dyDescent="0.25">
      <c r="B9" t="s">
        <v>409</v>
      </c>
      <c r="F9" s="15">
        <f>+ER!H32</f>
        <v>51120780</v>
      </c>
      <c r="G9" s="15">
        <f>+ER!N32</f>
        <v>39916747</v>
      </c>
      <c r="H9" s="15">
        <f>+ER!T32</f>
        <v>13532502</v>
      </c>
      <c r="I9" s="15">
        <v>2715230.4765999899</v>
      </c>
      <c r="J9" s="15">
        <v>9506438</v>
      </c>
      <c r="K9" s="15">
        <v>26251046</v>
      </c>
    </row>
    <row r="10" spans="1:11" x14ac:dyDescent="0.25">
      <c r="B10" s="21" t="s">
        <v>410</v>
      </c>
      <c r="C10" s="21"/>
      <c r="D10" s="21"/>
      <c r="E10" s="21"/>
      <c r="F10" s="15">
        <f>-ER!H31</f>
        <v>674385</v>
      </c>
      <c r="G10" s="15">
        <v>3489748</v>
      </c>
      <c r="H10" s="15">
        <v>5632050</v>
      </c>
      <c r="I10" s="15">
        <v>5000570</v>
      </c>
      <c r="J10" s="15">
        <v>4403000</v>
      </c>
      <c r="K10" s="15">
        <v>4144396</v>
      </c>
    </row>
    <row r="11" spans="1:11" x14ac:dyDescent="0.25">
      <c r="B11" s="21" t="s">
        <v>411</v>
      </c>
      <c r="F11" s="257">
        <f>+EFE!I12+EFE!I13+EFE!I14+EFE!I16</f>
        <v>33282575</v>
      </c>
      <c r="G11" s="257">
        <f>19410412+1818050</f>
        <v>21228462</v>
      </c>
      <c r="H11" s="257">
        <f>+EFE!U12+EFE!U16</f>
        <v>19495936</v>
      </c>
      <c r="I11" s="257">
        <v>20363773.523400001</v>
      </c>
      <c r="J11" s="257">
        <v>19601882</v>
      </c>
      <c r="K11" s="257">
        <v>15975450</v>
      </c>
    </row>
    <row r="12" spans="1:11" x14ac:dyDescent="0.25">
      <c r="B12" t="s">
        <v>412</v>
      </c>
      <c r="F12" s="15">
        <f>SUM(F9:F11)</f>
        <v>85077740</v>
      </c>
      <c r="G12" s="15">
        <f>SUM(G9:G11)</f>
        <v>64634957</v>
      </c>
      <c r="H12" s="15">
        <f>SUM(H9:H11)</f>
        <v>38660488</v>
      </c>
      <c r="I12" s="15">
        <f>SUM(I9:I11)</f>
        <v>28079573.999999993</v>
      </c>
      <c r="J12" s="15">
        <v>33511320</v>
      </c>
      <c r="K12" s="15">
        <f>SUM(K9:K11)</f>
        <v>46370892</v>
      </c>
    </row>
    <row r="13" spans="1:11" x14ac:dyDescent="0.25">
      <c r="H13" s="15"/>
      <c r="I13" s="15"/>
      <c r="J13" s="15"/>
      <c r="K13" s="15"/>
    </row>
    <row r="14" spans="1:11" x14ac:dyDescent="0.25">
      <c r="B14" t="s">
        <v>413</v>
      </c>
      <c r="F14" s="15">
        <f>-ER!H31</f>
        <v>674385</v>
      </c>
      <c r="G14" s="15">
        <f>-ER!N31</f>
        <v>2981098</v>
      </c>
      <c r="H14" s="15">
        <f>-ER!T31</f>
        <v>5632050</v>
      </c>
      <c r="I14" s="15">
        <v>4974980</v>
      </c>
      <c r="J14" s="15">
        <v>4323391</v>
      </c>
      <c r="K14" s="15">
        <v>4407118</v>
      </c>
    </row>
    <row r="15" spans="1:11" x14ac:dyDescent="0.25">
      <c r="J15" s="15"/>
      <c r="K15" s="15"/>
    </row>
    <row r="16" spans="1:11" x14ac:dyDescent="0.25">
      <c r="B16" t="s">
        <v>407</v>
      </c>
      <c r="F16" s="258">
        <f>+F12/F14</f>
        <v>126.15603846467522</v>
      </c>
      <c r="G16" s="258">
        <f>+G12/G14</f>
        <v>21.681594164297852</v>
      </c>
      <c r="H16" s="259">
        <f>+H12/H14</f>
        <v>6.8643722978311628</v>
      </c>
      <c r="I16" s="259">
        <f>+I12/I14</f>
        <v>5.6441581674700183</v>
      </c>
      <c r="J16" s="259">
        <v>7.7511656937806501</v>
      </c>
      <c r="K16" s="259">
        <f>+K12/K14</f>
        <v>10.521817659522618</v>
      </c>
    </row>
    <row r="17" spans="1:11" x14ac:dyDescent="0.25">
      <c r="J17" s="15"/>
      <c r="K17" s="15"/>
    </row>
    <row r="18" spans="1:11" x14ac:dyDescent="0.25">
      <c r="A18" s="17" t="s">
        <v>414</v>
      </c>
      <c r="J18" s="15"/>
      <c r="K18" s="15"/>
    </row>
    <row r="19" spans="1:11" x14ac:dyDescent="0.25">
      <c r="J19" s="15"/>
      <c r="K19" s="15"/>
    </row>
    <row r="20" spans="1:11" x14ac:dyDescent="0.25">
      <c r="B20" t="s">
        <v>415</v>
      </c>
      <c r="F20" s="15">
        <f>+ER!H29</f>
        <v>51795165</v>
      </c>
      <c r="G20" s="15">
        <f>+ER!N29</f>
        <v>42897845</v>
      </c>
      <c r="H20" s="15">
        <f>+ER!T29</f>
        <v>19164552</v>
      </c>
      <c r="I20" s="15">
        <v>7690210.4765999904</v>
      </c>
      <c r="J20" s="15">
        <v>13829829</v>
      </c>
      <c r="K20" s="15">
        <f>+ER!T29</f>
        <v>19164552</v>
      </c>
    </row>
    <row r="21" spans="1:11" x14ac:dyDescent="0.25">
      <c r="J21" s="15"/>
      <c r="K21" s="15"/>
    </row>
    <row r="22" spans="1:11" x14ac:dyDescent="0.25">
      <c r="B22" t="s">
        <v>416</v>
      </c>
      <c r="J22" s="15"/>
      <c r="K22" s="15"/>
    </row>
    <row r="23" spans="1:11" x14ac:dyDescent="0.25">
      <c r="B23" t="s">
        <v>417</v>
      </c>
      <c r="F23" s="15">
        <f>+'BG '!I39+'BG '!I40-54803</f>
        <v>4374830</v>
      </c>
      <c r="G23" s="15">
        <f>+'BG '!O39+'BG '!O40</f>
        <v>7593103</v>
      </c>
      <c r="H23" s="15">
        <f>+'BG '!U39</f>
        <v>27144668</v>
      </c>
      <c r="I23" s="15">
        <v>35009000</v>
      </c>
      <c r="J23" s="15">
        <v>27571049</v>
      </c>
      <c r="K23" s="15">
        <v>24027809</v>
      </c>
    </row>
    <row r="24" spans="1:11" x14ac:dyDescent="0.25">
      <c r="B24" s="21" t="s">
        <v>418</v>
      </c>
      <c r="C24" s="21"/>
      <c r="F24" s="257">
        <v>54803</v>
      </c>
      <c r="G24" s="257">
        <v>241620</v>
      </c>
      <c r="H24" s="257">
        <v>474206</v>
      </c>
      <c r="I24" s="257">
        <v>468655.790862364</v>
      </c>
      <c r="J24" s="257">
        <v>369086</v>
      </c>
      <c r="K24" s="257">
        <v>259746</v>
      </c>
    </row>
    <row r="25" spans="1:11" x14ac:dyDescent="0.25">
      <c r="B25" t="s">
        <v>419</v>
      </c>
      <c r="F25" s="15">
        <f>+F23+F24</f>
        <v>4429633</v>
      </c>
      <c r="G25" s="15">
        <f>+G23+G24</f>
        <v>7834723</v>
      </c>
      <c r="H25" s="15">
        <f>+H23+H24</f>
        <v>27618874</v>
      </c>
      <c r="I25" s="15">
        <f>+I23+I24</f>
        <v>35477655.790862367</v>
      </c>
      <c r="J25" s="15">
        <v>27940135</v>
      </c>
      <c r="K25" s="15">
        <f>+K23+K24</f>
        <v>24287555</v>
      </c>
    </row>
    <row r="26" spans="1:11" x14ac:dyDescent="0.25">
      <c r="J26" s="15"/>
      <c r="K26" s="15"/>
    </row>
    <row r="27" spans="1:11" x14ac:dyDescent="0.25">
      <c r="B27" t="s">
        <v>420</v>
      </c>
      <c r="F27" s="259">
        <f>+F20/F25</f>
        <v>11.692879522976282</v>
      </c>
      <c r="G27" s="259">
        <f>+G20/G25</f>
        <v>5.475349288034816</v>
      </c>
      <c r="H27" s="259">
        <f>+H20/H25</f>
        <v>0.69389331368107188</v>
      </c>
      <c r="I27" s="259">
        <f>+I20/I25</f>
        <v>0.21676208039034764</v>
      </c>
      <c r="J27" s="259">
        <v>0.49498075080882797</v>
      </c>
      <c r="K27" s="259">
        <f>+K20/K25</f>
        <v>0.78906880499086873</v>
      </c>
    </row>
    <row r="28" spans="1:11" x14ac:dyDescent="0.25">
      <c r="J28" s="15"/>
      <c r="K28" s="15"/>
    </row>
    <row r="29" spans="1:11" x14ac:dyDescent="0.25">
      <c r="A29" s="17" t="s">
        <v>421</v>
      </c>
      <c r="J29" s="15"/>
      <c r="K29" s="15"/>
    </row>
    <row r="30" spans="1:11" x14ac:dyDescent="0.25">
      <c r="J30" s="15"/>
      <c r="K30" s="15"/>
    </row>
    <row r="31" spans="1:11" x14ac:dyDescent="0.25">
      <c r="B31" t="s">
        <v>422</v>
      </c>
      <c r="F31" s="45">
        <f>+F23</f>
        <v>4374830</v>
      </c>
      <c r="G31" s="45">
        <f>+G23</f>
        <v>7593103</v>
      </c>
      <c r="H31" s="45">
        <f>+H23</f>
        <v>27144668</v>
      </c>
      <c r="I31" s="45">
        <v>35009000</v>
      </c>
      <c r="J31" s="15">
        <v>27571049</v>
      </c>
      <c r="K31" s="15">
        <v>24027809</v>
      </c>
    </row>
    <row r="32" spans="1:11" x14ac:dyDescent="0.25">
      <c r="B32" t="s">
        <v>412</v>
      </c>
      <c r="F32" s="45">
        <f>+F12</f>
        <v>85077740</v>
      </c>
      <c r="G32" s="45">
        <f>+G12</f>
        <v>64634957</v>
      </c>
      <c r="H32" s="45">
        <f>+H12</f>
        <v>38660488</v>
      </c>
      <c r="I32" s="45">
        <v>28079574</v>
      </c>
      <c r="J32" s="15">
        <v>33511320</v>
      </c>
      <c r="K32" s="15">
        <v>46370892</v>
      </c>
    </row>
    <row r="33" spans="2:11" x14ac:dyDescent="0.25">
      <c r="B33" t="s">
        <v>423</v>
      </c>
      <c r="F33" s="259">
        <f>+F31/F32</f>
        <v>5.1421558682682451E-2</v>
      </c>
      <c r="G33" s="259">
        <f>+G31/G32</f>
        <v>0.11747672393438739</v>
      </c>
      <c r="H33" s="259">
        <f>+H31/H32</f>
        <v>0.70212947130931203</v>
      </c>
      <c r="I33" s="259">
        <f>+I31/I32</f>
        <v>1.2467781740563444</v>
      </c>
      <c r="J33" s="259">
        <v>0.82273837616662104</v>
      </c>
      <c r="K33" s="259">
        <f>+K31/K32</f>
        <v>0.51816577088920346</v>
      </c>
    </row>
    <row r="34" spans="2:11" x14ac:dyDescent="0.25">
      <c r="J34" s="15"/>
      <c r="K34" s="15"/>
    </row>
    <row r="35" spans="2:11" x14ac:dyDescent="0.25">
      <c r="J35" s="15"/>
      <c r="K35" s="15"/>
    </row>
    <row r="38" spans="2:11" x14ac:dyDescent="0.25">
      <c r="D38" s="20" t="s">
        <v>77</v>
      </c>
      <c r="E38" s="64"/>
      <c r="F38" s="64"/>
      <c r="G38" s="64"/>
      <c r="H38" s="64"/>
      <c r="I38" s="58"/>
    </row>
    <row r="39" spans="2:11" x14ac:dyDescent="0.25">
      <c r="D39" s="15" t="s">
        <v>78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7</cp:revision>
  <cp:lastPrinted>2018-05-30T22:27:06Z</cp:lastPrinted>
  <dcterms:created xsi:type="dcterms:W3CDTF">2016-11-10T22:26:48Z</dcterms:created>
  <dcterms:modified xsi:type="dcterms:W3CDTF">2021-04-22T15:05:06Z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