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8_{CB83EAE7-134E-46E2-A284-9F58BF40C0B8}" xr6:coauthVersionLast="47" xr6:coauthVersionMax="47" xr10:uidLastSave="{00000000-0000-0000-0000-000000000000}"/>
  <bookViews>
    <workbookView xWindow="-120" yWindow="-120" windowWidth="20730" windowHeight="11160" xr2:uid="{FAEA8D19-54E6-4BF3-B7B6-4B1B35CD9C6B}"/>
  </bookViews>
  <sheets>
    <sheet name="Patrimoni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6" i="1" l="1"/>
  <c r="K43" i="1"/>
  <c r="L43" i="1" s="1"/>
  <c r="J44" i="1"/>
  <c r="G43" i="1"/>
  <c r="H43" i="1" s="1"/>
  <c r="F44" i="1"/>
  <c r="C43" i="1"/>
  <c r="D43" i="1" s="1"/>
  <c r="B44" i="1"/>
  <c r="B50" i="1"/>
  <c r="R33" i="1"/>
  <c r="J31" i="1"/>
  <c r="J33" i="1" s="1"/>
  <c r="F31" i="1"/>
  <c r="F33" i="1" s="1"/>
  <c r="F22" i="1"/>
  <c r="F24" i="1" s="1"/>
  <c r="C17" i="1"/>
  <c r="D17" i="1" s="1"/>
  <c r="B22" i="1"/>
  <c r="P42" i="1"/>
  <c r="O42" i="1"/>
  <c r="N42" i="1"/>
  <c r="L42" i="1"/>
  <c r="K42" i="1"/>
  <c r="J42" i="1"/>
  <c r="H42" i="1"/>
  <c r="G42" i="1"/>
  <c r="F42" i="1"/>
  <c r="W41" i="1"/>
  <c r="V41" i="1"/>
  <c r="W40" i="1"/>
  <c r="V40" i="1"/>
  <c r="W39" i="1"/>
  <c r="V39" i="1"/>
  <c r="W38" i="1"/>
  <c r="V38" i="1"/>
  <c r="W37" i="1"/>
  <c r="V37" i="1"/>
  <c r="B33" i="1"/>
  <c r="R27" i="1"/>
  <c r="J27" i="1"/>
  <c r="F27" i="1"/>
  <c r="B27" i="1"/>
  <c r="S26" i="1"/>
  <c r="S31" i="1" s="1"/>
  <c r="T31" i="1" s="1"/>
  <c r="K26" i="1"/>
  <c r="K32" i="1" s="1"/>
  <c r="L32" i="1" s="1"/>
  <c r="G26" i="1"/>
  <c r="K46" i="1" s="1"/>
  <c r="L46" i="1" s="1"/>
  <c r="C26" i="1"/>
  <c r="C32" i="1" s="1"/>
  <c r="R24" i="1"/>
  <c r="J24" i="1"/>
  <c r="R18" i="1"/>
  <c r="J18" i="1"/>
  <c r="F18" i="1"/>
  <c r="B18" i="1"/>
  <c r="S17" i="1"/>
  <c r="S21" i="1" s="1"/>
  <c r="T21" i="1" s="1"/>
  <c r="K17" i="1"/>
  <c r="K23" i="1" s="1"/>
  <c r="L23" i="1" s="1"/>
  <c r="G17" i="1"/>
  <c r="G21" i="1" s="1"/>
  <c r="H21" i="1" s="1"/>
  <c r="K47" i="1" l="1"/>
  <c r="L47" i="1" s="1"/>
  <c r="G45" i="1"/>
  <c r="G48" i="1"/>
  <c r="H48" i="1" s="1"/>
  <c r="K45" i="1"/>
  <c r="L45" i="1" s="1"/>
  <c r="K49" i="1"/>
  <c r="L49" i="1" s="1"/>
  <c r="G46" i="1"/>
  <c r="H46" i="1" s="1"/>
  <c r="G49" i="1"/>
  <c r="H49" i="1" s="1"/>
  <c r="G47" i="1"/>
  <c r="H47" i="1" s="1"/>
  <c r="H45" i="1"/>
  <c r="K48" i="1"/>
  <c r="J50" i="1"/>
  <c r="F50" i="1"/>
  <c r="C45" i="1"/>
  <c r="C48" i="1"/>
  <c r="C22" i="1"/>
  <c r="D22" i="1" s="1"/>
  <c r="C47" i="1"/>
  <c r="D45" i="1"/>
  <c r="C46" i="1"/>
  <c r="C49" i="1"/>
  <c r="C21" i="1"/>
  <c r="D21" i="1" s="1"/>
  <c r="C19" i="1"/>
  <c r="C23" i="1"/>
  <c r="D23" i="1" s="1"/>
  <c r="C20" i="1"/>
  <c r="G31" i="1"/>
  <c r="H31" i="1" s="1"/>
  <c r="D19" i="1"/>
  <c r="L26" i="1"/>
  <c r="B24" i="1"/>
  <c r="W42" i="1"/>
  <c r="V42" i="1"/>
  <c r="L17" i="1"/>
  <c r="K20" i="1"/>
  <c r="L20" i="1" s="1"/>
  <c r="K22" i="1"/>
  <c r="L22" i="1" s="1"/>
  <c r="D26" i="1"/>
  <c r="K31" i="1"/>
  <c r="L31" i="1" s="1"/>
  <c r="C29" i="1"/>
  <c r="D29" i="1" s="1"/>
  <c r="C31" i="1"/>
  <c r="D31" i="1" s="1"/>
  <c r="K29" i="1"/>
  <c r="L29" i="1" s="1"/>
  <c r="D32" i="1"/>
  <c r="H17" i="1"/>
  <c r="T17" i="1"/>
  <c r="H26" i="1"/>
  <c r="T26" i="1"/>
  <c r="G23" i="1"/>
  <c r="H23" i="1" s="1"/>
  <c r="S23" i="1"/>
  <c r="T23" i="1" s="1"/>
  <c r="G28" i="1"/>
  <c r="S28" i="1"/>
  <c r="G30" i="1"/>
  <c r="H30" i="1" s="1"/>
  <c r="S30" i="1"/>
  <c r="T30" i="1" s="1"/>
  <c r="G32" i="1"/>
  <c r="H32" i="1" s="1"/>
  <c r="S32" i="1"/>
  <c r="T32" i="1" s="1"/>
  <c r="K19" i="1"/>
  <c r="G20" i="1"/>
  <c r="H20" i="1" s="1"/>
  <c r="S20" i="1"/>
  <c r="T20" i="1" s="1"/>
  <c r="K21" i="1"/>
  <c r="L21" i="1" s="1"/>
  <c r="G22" i="1"/>
  <c r="H22" i="1" s="1"/>
  <c r="S22" i="1"/>
  <c r="T22" i="1" s="1"/>
  <c r="C28" i="1"/>
  <c r="K28" i="1"/>
  <c r="G29" i="1"/>
  <c r="H29" i="1" s="1"/>
  <c r="S29" i="1"/>
  <c r="T29" i="1" s="1"/>
  <c r="C30" i="1"/>
  <c r="K30" i="1"/>
  <c r="L30" i="1" s="1"/>
  <c r="G19" i="1"/>
  <c r="S19" i="1"/>
  <c r="W45" i="1" l="1"/>
  <c r="V45" i="1"/>
  <c r="D49" i="1"/>
  <c r="W49" i="1" s="1"/>
  <c r="V49" i="1"/>
  <c r="D47" i="1"/>
  <c r="W47" i="1" s="1"/>
  <c r="V47" i="1"/>
  <c r="D46" i="1"/>
  <c r="W46" i="1" s="1"/>
  <c r="V46" i="1"/>
  <c r="V50" i="1" s="1"/>
  <c r="D48" i="1"/>
  <c r="V48" i="1"/>
  <c r="H50" i="1"/>
  <c r="K50" i="1"/>
  <c r="G50" i="1"/>
  <c r="L48" i="1"/>
  <c r="L50" i="1" s="1"/>
  <c r="D50" i="1"/>
  <c r="C24" i="1"/>
  <c r="C50" i="1"/>
  <c r="W21" i="1"/>
  <c r="D20" i="1"/>
  <c r="W20" i="1" s="1"/>
  <c r="V19" i="1"/>
  <c r="W32" i="1"/>
  <c r="W23" i="1"/>
  <c r="W31" i="1"/>
  <c r="V31" i="1"/>
  <c r="V32" i="1"/>
  <c r="G24" i="1"/>
  <c r="H19" i="1"/>
  <c r="K24" i="1"/>
  <c r="L19" i="1"/>
  <c r="L24" i="1" s="1"/>
  <c r="V29" i="1"/>
  <c r="K33" i="1"/>
  <c r="L28" i="1"/>
  <c r="L33" i="1" s="1"/>
  <c r="D30" i="1"/>
  <c r="W30" i="1" s="1"/>
  <c r="W57" i="1" s="1"/>
  <c r="V30" i="1"/>
  <c r="D28" i="1"/>
  <c r="V28" i="1"/>
  <c r="V55" i="1" s="1"/>
  <c r="C33" i="1"/>
  <c r="S33" i="1"/>
  <c r="T28" i="1"/>
  <c r="T33" i="1" s="1"/>
  <c r="V23" i="1"/>
  <c r="V22" i="1"/>
  <c r="S24" i="1"/>
  <c r="T19" i="1"/>
  <c r="T24" i="1" s="1"/>
  <c r="H28" i="1"/>
  <c r="H33" i="1" s="1"/>
  <c r="G33" i="1"/>
  <c r="W29" i="1"/>
  <c r="W22" i="1"/>
  <c r="V21" i="1"/>
  <c r="V20" i="1"/>
  <c r="V58" i="1" l="1"/>
  <c r="W59" i="1"/>
  <c r="W56" i="1"/>
  <c r="V57" i="1"/>
  <c r="V56" i="1"/>
  <c r="V59" i="1"/>
  <c r="W48" i="1"/>
  <c r="W50" i="1" s="1"/>
  <c r="X63" i="1"/>
  <c r="Y76" i="1" s="1"/>
  <c r="D24" i="1"/>
  <c r="X64" i="1"/>
  <c r="Y77" i="1" s="1"/>
  <c r="V33" i="1"/>
  <c r="H24" i="1"/>
  <c r="W19" i="1"/>
  <c r="W24" i="1" s="1"/>
  <c r="V24" i="1"/>
  <c r="W28" i="1"/>
  <c r="D33" i="1"/>
  <c r="W55" i="1" l="1"/>
  <c r="W58" i="1"/>
  <c r="W60" i="1" s="1"/>
  <c r="X60" i="1" s="1"/>
  <c r="Y78" i="1"/>
  <c r="X65" i="1"/>
  <c r="X67" i="1" s="1"/>
  <c r="V60" i="1"/>
  <c r="W33" i="1"/>
  <c r="W71" i="1" l="1"/>
  <c r="W72" i="1" s="1"/>
</calcChain>
</file>

<file path=xl/sharedStrings.xml><?xml version="1.0" encoding="utf-8"?>
<sst xmlns="http://schemas.openxmlformats.org/spreadsheetml/2006/main" count="94" uniqueCount="45">
  <si>
    <t>Inversión de la matriz en subsidiaria (control)</t>
  </si>
  <si>
    <t>TEOTON</t>
  </si>
  <si>
    <t>% PART. NO CONTROLADORAS</t>
  </si>
  <si>
    <t>Controladoras</t>
  </si>
  <si>
    <t>Porcentaje de participación</t>
  </si>
  <si>
    <t>PATRIMONIO DE LOS ACCIONISTAS DE:</t>
  </si>
  <si>
    <t>Teoton</t>
  </si>
  <si>
    <t>Otros</t>
  </si>
  <si>
    <t>SUBTOTAL Teoton</t>
  </si>
  <si>
    <t>SUBTOTAL Otros</t>
  </si>
  <si>
    <t>Capital social</t>
  </si>
  <si>
    <t>Aportes para futuras capitalizaciones</t>
  </si>
  <si>
    <t>Reservas</t>
  </si>
  <si>
    <t>Resultados acumulados</t>
  </si>
  <si>
    <t>Utilidad del ejercicio 2020</t>
  </si>
  <si>
    <t>Utilidad del ejercicio 2018</t>
  </si>
  <si>
    <t>Total Otros</t>
  </si>
  <si>
    <t xml:space="preserve">RESULTADO OTROS </t>
  </si>
  <si>
    <t>SUBTOTAL</t>
  </si>
  <si>
    <t>RESULTADO PLANTILLA CONSOLIDADO</t>
  </si>
  <si>
    <t>Diferencia</t>
  </si>
  <si>
    <t>ANEXO 3</t>
  </si>
  <si>
    <t>Recalculo</t>
  </si>
  <si>
    <t>Variaciòn</t>
  </si>
  <si>
    <t>Utilidad del año atribuible a:</t>
  </si>
  <si>
    <t xml:space="preserve">   Propietarios de la controladora</t>
  </si>
  <si>
    <t xml:space="preserve">   Participaciones no controladas</t>
  </si>
  <si>
    <t>TOTAL</t>
  </si>
  <si>
    <t>Cable Andino Inc.</t>
  </si>
  <si>
    <t>Corpoandino</t>
  </si>
  <si>
    <t>Cerinsa</t>
  </si>
  <si>
    <t>Leonor3</t>
  </si>
  <si>
    <t>Telsoterra</t>
  </si>
  <si>
    <t>Linkotel</t>
  </si>
  <si>
    <t>Telconet Panama</t>
  </si>
  <si>
    <t>NETSPEED</t>
  </si>
  <si>
    <t>Transtelco</t>
  </si>
  <si>
    <t>Econocompu</t>
  </si>
  <si>
    <t>Smarticities</t>
  </si>
  <si>
    <t>Telconet</t>
  </si>
  <si>
    <t>Utilidad del ejercicio/ pérdida 2020</t>
  </si>
  <si>
    <t>Total TeL</t>
  </si>
  <si>
    <t>SUBTOTAL Tel</t>
  </si>
  <si>
    <t>RESULTADO 2020 Tel</t>
  </si>
  <si>
    <t>RESULTADO CONSOLIDADO - % 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</si>
</sst>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* #,##0_ ;_ * \-#,##0_ ;_ * &quot;-&quot;??_ ;_ @_ "/>
    <numFmt numFmtId="166" formatCode="_(* #,##0.00_);_(* \(#,##0.00\);_(* \-??_);_(@_)"/>
    <numFmt numFmtId="167" formatCode="_ * #,##0.00_ ;_ * \-#,##0.00_ ;_ * \-??_ ;_ @_ "/>
    <numFmt numFmtId="168" formatCode="_-* #,##0.00\ _€_-;\-* #,##0.00\ _€_-;_-* \-??\ _€_-;_-@_-"/>
    <numFmt numFmtId="169" formatCode="_(* #,##0_);_(* \(#,##0\);_(* \-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73737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u/>
      <sz val="8"/>
      <color rgb="FFFF0000"/>
      <name val="Tahoma"/>
      <family val="2"/>
    </font>
    <font>
      <u/>
      <sz val="8"/>
      <color theme="1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8"/>
      <color theme="3" tint="0.39997558519241921"/>
      <name val="Tahoma"/>
      <family val="2"/>
    </font>
    <font>
      <sz val="8"/>
      <color theme="3" tint="0.39997558519241921"/>
      <name val="Tahoma"/>
      <family val="2"/>
    </font>
    <font>
      <sz val="8"/>
      <color rgb="FFFF0000"/>
      <name val="Tahoma"/>
      <family val="2"/>
    </font>
    <font>
      <sz val="8"/>
      <name val="Tahoma"/>
      <family val="2"/>
    </font>
    <font>
      <u/>
      <sz val="8"/>
      <name val="Tahoma"/>
      <family val="2"/>
    </font>
    <font>
      <u val="double"/>
      <sz val="8"/>
      <name val="Tahoma"/>
      <family val="2"/>
    </font>
    <font>
      <sz val="11"/>
      <color rgb="FF000000"/>
      <name val="Arial"/>
      <family val="2"/>
      <charset val="1"/>
    </font>
    <font>
      <sz val="8.5"/>
      <color rgb="FF000000"/>
      <name val="Arial"/>
      <family val="2"/>
    </font>
    <font>
      <sz val="8.5"/>
      <color theme="1"/>
      <name val="Calibri"/>
      <family val="2"/>
      <scheme val="minor"/>
    </font>
    <font>
      <sz val="8.5"/>
      <color theme="1"/>
      <name val="Arial"/>
      <family val="2"/>
    </font>
    <font>
      <sz val="10"/>
      <name val="Arial"/>
      <family val="2"/>
      <charset val="1"/>
    </font>
    <font>
      <sz val="9"/>
      <color theme="1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color indexed="9"/>
      <name val="Calibri"/>
      <family val="2"/>
      <charset val="1"/>
    </font>
    <font>
      <b/>
      <sz val="10"/>
      <color indexed="8"/>
      <name val="Calibri"/>
      <family val="2"/>
      <charset val="1"/>
    </font>
    <font>
      <b/>
      <sz val="10"/>
      <color indexed="9"/>
      <name val="Calibri"/>
      <family val="2"/>
      <charset val="1"/>
    </font>
    <font>
      <i/>
      <sz val="10"/>
      <color indexed="23"/>
      <name val="Calibri"/>
      <family val="2"/>
      <charset val="1"/>
    </font>
    <font>
      <sz val="10"/>
      <color indexed="10"/>
      <name val="Calibri"/>
      <family val="2"/>
      <charset val="1"/>
    </font>
    <font>
      <sz val="8"/>
      <name val="Arial"/>
      <family val="2"/>
    </font>
    <font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2"/>
      </patternFill>
    </fill>
    <fill>
      <patternFill patternType="solid">
        <fgColor indexed="10"/>
        <bgColor indexed="1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</borders>
  <cellStyleXfs count="2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0" borderId="0" applyNumberFormat="0" applyFill="0" applyBorder="0" applyAlignment="0" applyProtection="0"/>
    <xf numFmtId="166" fontId="21" fillId="0" borderId="0" applyFill="0" applyBorder="0" applyAlignment="0" applyProtection="0"/>
    <xf numFmtId="0" fontId="25" fillId="13" borderId="0" applyNumberFormat="0" applyBorder="0" applyAlignment="0" applyProtection="0"/>
    <xf numFmtId="0" fontId="26" fillId="0" borderId="0" applyNumberFormat="0" applyFill="0" applyBorder="0" applyAlignment="0" applyProtection="0"/>
    <xf numFmtId="166" fontId="21" fillId="0" borderId="0" applyFill="0" applyBorder="0" applyAlignment="0" applyProtection="0"/>
    <xf numFmtId="166" fontId="21" fillId="0" borderId="0" applyFill="0" applyBorder="0" applyAlignment="0" applyProtection="0"/>
    <xf numFmtId="168" fontId="21" fillId="0" borderId="0" applyFill="0" applyBorder="0" applyAlignment="0" applyProtection="0"/>
    <xf numFmtId="0" fontId="19" fillId="0" borderId="0"/>
    <xf numFmtId="0" fontId="22" fillId="0" borderId="0"/>
    <xf numFmtId="0" fontId="19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7" fontId="21" fillId="0" borderId="0" applyFill="0" applyBorder="0" applyAlignment="0" applyProtection="0"/>
  </cellStyleXfs>
  <cellXfs count="84">
    <xf numFmtId="0" fontId="0" fillId="0" borderId="0" xfId="0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/>
    <xf numFmtId="10" fontId="3" fillId="0" borderId="1" xfId="0" applyNumberFormat="1" applyFont="1" applyBorder="1"/>
    <xf numFmtId="3" fontId="3" fillId="0" borderId="0" xfId="0" applyNumberFormat="1" applyFont="1"/>
    <xf numFmtId="10" fontId="3" fillId="0" borderId="0" xfId="0" applyNumberFormat="1" applyFont="1"/>
    <xf numFmtId="9" fontId="7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3" fontId="8" fillId="3" borderId="1" xfId="0" applyNumberFormat="1" applyFont="1" applyFill="1" applyBorder="1"/>
    <xf numFmtId="3" fontId="3" fillId="0" borderId="1" xfId="1" applyNumberFormat="1" applyFont="1" applyFill="1" applyBorder="1"/>
    <xf numFmtId="3" fontId="10" fillId="0" borderId="1" xfId="0" applyNumberFormat="1" applyFont="1" applyBorder="1"/>
    <xf numFmtId="3" fontId="3" fillId="5" borderId="1" xfId="1" applyNumberFormat="1" applyFont="1" applyFill="1" applyBorder="1"/>
    <xf numFmtId="0" fontId="11" fillId="0" borderId="1" xfId="0" applyFont="1" applyBorder="1"/>
    <xf numFmtId="3" fontId="4" fillId="3" borderId="2" xfId="0" applyNumberFormat="1" applyFont="1" applyFill="1" applyBorder="1"/>
    <xf numFmtId="3" fontId="4" fillId="0" borderId="2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37" fontId="8" fillId="3" borderId="1" xfId="0" applyNumberFormat="1" applyFont="1" applyFill="1" applyBorder="1" applyAlignment="1">
      <alignment wrapText="1"/>
    </xf>
    <xf numFmtId="37" fontId="8" fillId="3" borderId="1" xfId="0" applyNumberFormat="1" applyFont="1" applyFill="1" applyBorder="1"/>
    <xf numFmtId="3" fontId="12" fillId="0" borderId="1" xfId="1" applyNumberFormat="1" applyFont="1" applyFill="1" applyBorder="1"/>
    <xf numFmtId="0" fontId="4" fillId="6" borderId="1" xfId="0" applyFont="1" applyFill="1" applyBorder="1" applyAlignment="1">
      <alignment horizontal="center" vertical="center" wrapText="1"/>
    </xf>
    <xf numFmtId="37" fontId="3" fillId="0" borderId="1" xfId="0" applyNumberFormat="1" applyFont="1" applyBorder="1"/>
    <xf numFmtId="3" fontId="3" fillId="6" borderId="1" xfId="1" applyNumberFormat="1" applyFont="1" applyFill="1" applyBorder="1"/>
    <xf numFmtId="3" fontId="11" fillId="0" borderId="1" xfId="0" applyNumberFormat="1" applyFont="1" applyBorder="1"/>
    <xf numFmtId="3" fontId="4" fillId="0" borderId="0" xfId="0" applyNumberFormat="1" applyFont="1"/>
    <xf numFmtId="0" fontId="4" fillId="5" borderId="3" xfId="0" applyFont="1" applyFill="1" applyBorder="1" applyAlignment="1">
      <alignment horizontal="left" vertical="center"/>
    </xf>
    <xf numFmtId="0" fontId="3" fillId="5" borderId="4" xfId="0" applyFont="1" applyFill="1" applyBorder="1"/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/>
    <xf numFmtId="0" fontId="3" fillId="5" borderId="0" xfId="0" applyFont="1" applyFill="1"/>
    <xf numFmtId="3" fontId="3" fillId="5" borderId="8" xfId="1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3" fontId="3" fillId="5" borderId="11" xfId="1" applyNumberFormat="1" applyFont="1" applyFill="1" applyBorder="1"/>
    <xf numFmtId="3" fontId="3" fillId="5" borderId="12" xfId="1" applyNumberFormat="1" applyFont="1" applyFill="1" applyBorder="1"/>
    <xf numFmtId="0" fontId="3" fillId="7" borderId="0" xfId="0" applyFont="1" applyFill="1"/>
    <xf numFmtId="3" fontId="3" fillId="7" borderId="1" xfId="1" applyNumberFormat="1" applyFont="1" applyFill="1" applyBorder="1"/>
    <xf numFmtId="37" fontId="3" fillId="0" borderId="0" xfId="0" applyNumberFormat="1" applyFont="1"/>
    <xf numFmtId="0" fontId="4" fillId="0" borderId="2" xfId="0" applyFont="1" applyBorder="1"/>
    <xf numFmtId="37" fontId="4" fillId="0" borderId="2" xfId="0" applyNumberFormat="1" applyFont="1" applyBorder="1"/>
    <xf numFmtId="0" fontId="3" fillId="0" borderId="13" xfId="0" applyFont="1" applyBorder="1"/>
    <xf numFmtId="17" fontId="4" fillId="0" borderId="14" xfId="0" applyNumberFormat="1" applyFont="1" applyBorder="1"/>
    <xf numFmtId="0" fontId="12" fillId="0" borderId="7" xfId="0" applyFont="1" applyBorder="1" applyAlignment="1">
      <alignment horizontal="left" vertical="center"/>
    </xf>
    <xf numFmtId="0" fontId="3" fillId="0" borderId="14" xfId="0" applyFont="1" applyBorder="1"/>
    <xf numFmtId="3" fontId="12" fillId="0" borderId="14" xfId="0" applyNumberFormat="1" applyFont="1" applyBorder="1" applyAlignment="1">
      <alignment horizontal="right" vertical="center"/>
    </xf>
    <xf numFmtId="3" fontId="13" fillId="0" borderId="14" xfId="0" applyNumberFormat="1" applyFont="1" applyBorder="1" applyAlignment="1">
      <alignment horizontal="right" vertical="center"/>
    </xf>
    <xf numFmtId="3" fontId="14" fillId="0" borderId="14" xfId="0" applyNumberFormat="1" applyFont="1" applyBorder="1" applyAlignment="1">
      <alignment horizontal="right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5" xfId="0" applyFont="1" applyBorder="1"/>
    <xf numFmtId="0" fontId="15" fillId="0" borderId="16" xfId="0" applyFont="1" applyBorder="1"/>
    <xf numFmtId="10" fontId="16" fillId="0" borderId="0" xfId="0" applyNumberFormat="1" applyFont="1"/>
    <xf numFmtId="10" fontId="0" fillId="8" borderId="0" xfId="0" applyNumberFormat="1" applyFill="1"/>
    <xf numFmtId="10" fontId="17" fillId="0" borderId="0" xfId="2" applyNumberFormat="1" applyFont="1" applyFill="1"/>
    <xf numFmtId="0" fontId="15" fillId="0" borderId="0" xfId="0" applyFont="1" applyBorder="1"/>
    <xf numFmtId="10" fontId="3" fillId="0" borderId="0" xfId="0" applyNumberFormat="1" applyFont="1" applyBorder="1"/>
    <xf numFmtId="10" fontId="18" fillId="0" borderId="0" xfId="0" applyNumberFormat="1" applyFont="1"/>
    <xf numFmtId="10" fontId="17" fillId="0" borderId="0" xfId="0" applyNumberFormat="1" applyFont="1"/>
    <xf numFmtId="165" fontId="19" fillId="9" borderId="0" xfId="1" applyNumberFormat="1" applyFont="1" applyFill="1" applyBorder="1" applyAlignment="1" applyProtection="1">
      <alignment horizontal="right"/>
    </xf>
    <xf numFmtId="3" fontId="20" fillId="0" borderId="0" xfId="0" applyNumberFormat="1" applyFont="1"/>
    <xf numFmtId="169" fontId="28" fillId="0" borderId="0" xfId="12" applyNumberFormat="1" applyFont="1" applyFill="1" applyBorder="1" applyAlignment="1" applyProtection="1"/>
    <xf numFmtId="3" fontId="4" fillId="0" borderId="0" xfId="0" applyNumberFormat="1" applyFont="1" applyBorder="1"/>
    <xf numFmtId="0" fontId="29" fillId="0" borderId="0" xfId="0" applyFont="1"/>
    <xf numFmtId="169" fontId="12" fillId="3" borderId="1" xfId="0" applyNumberFormat="1" applyFont="1" applyFill="1" applyBorder="1"/>
    <xf numFmtId="169" fontId="8" fillId="3" borderId="1" xfId="0" applyNumberFormat="1" applyFont="1" applyFill="1" applyBorder="1"/>
    <xf numFmtId="169" fontId="28" fillId="0" borderId="17" xfId="12" applyNumberFormat="1" applyFont="1" applyFill="1" applyBorder="1" applyAlignment="1" applyProtection="1"/>
    <xf numFmtId="37" fontId="3" fillId="2" borderId="0" xfId="0" applyNumberFormat="1" applyFont="1" applyFill="1"/>
    <xf numFmtId="169" fontId="28" fillId="0" borderId="17" xfId="12" applyNumberFormat="1" applyFont="1" applyFill="1" applyBorder="1" applyAlignment="1" applyProtection="1"/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top" wrapText="1"/>
    </xf>
  </cellXfs>
  <cellStyles count="21">
    <cellStyle name="Accent 1 1" xfId="4" xr:uid="{E5A6AFAD-D5BB-4C47-8E29-10EBFD50AD14}"/>
    <cellStyle name="Accent 2 1" xfId="5" xr:uid="{9ADA14B8-0D69-4852-812F-5FF1C0B3E59B}"/>
    <cellStyle name="Accent 3 1" xfId="6" xr:uid="{B32E5C25-F492-45B4-AB1F-D81598BFC313}"/>
    <cellStyle name="Accent 4" xfId="7" xr:uid="{C863EE98-53FC-45E1-A687-1773787B2124}"/>
    <cellStyle name="Comma" xfId="1" builtinId="3"/>
    <cellStyle name="Comma 2" xfId="8" xr:uid="{C029D994-A66E-4418-B318-74B237F722AB}"/>
    <cellStyle name="Error 1" xfId="9" xr:uid="{D0E04BD0-CDE9-40A4-9E29-A9EA200A1321}"/>
    <cellStyle name="Footnote 1" xfId="10" xr:uid="{034D108A-C3F1-4EA4-AA28-9F8617F0C738}"/>
    <cellStyle name="Millares 10" xfId="11" xr:uid="{D711E57A-DD1A-4C28-9497-390007AABB54}"/>
    <cellStyle name="Millares 11" xfId="12" xr:uid="{DDE16D3E-F980-4F6A-B5D4-A9418F692A11}"/>
    <cellStyle name="Millares 2" xfId="13" xr:uid="{7EECB86D-E325-472B-B5F7-49BB1F7802BE}"/>
    <cellStyle name="Millares 3" xfId="20" xr:uid="{2D55BB37-242D-421F-A498-057005FFDA85}"/>
    <cellStyle name="Normal" xfId="0" builtinId="0"/>
    <cellStyle name="Normal 2" xfId="14" xr:uid="{0CF390AD-2D81-4FCB-AD0B-AE20BDAD003C}"/>
    <cellStyle name="Normal 2 10" xfId="15" xr:uid="{6240B1FC-41F7-413E-B06C-B3EE968889E2}"/>
    <cellStyle name="Normal 2 2" xfId="16" xr:uid="{EF973FC8-E901-4819-8328-18C2A4321265}"/>
    <cellStyle name="Normal 3" xfId="3" xr:uid="{1A2B6C4A-36B2-4B63-A3FB-F911C4D8D60E}"/>
    <cellStyle name="Percent" xfId="2" builtinId="5"/>
    <cellStyle name="Status 1" xfId="17" xr:uid="{9A7FC3D0-E5D9-4CE6-9A3A-61429248A861}"/>
    <cellStyle name="Text 1" xfId="18" xr:uid="{5D1DEF5A-F297-4B10-BEF0-B88EA3D196B7}"/>
    <cellStyle name="Warning 1" xfId="19" xr:uid="{6922685B-8C86-4EB3-879E-E30598AC2A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-avila/Desktop/Patricio%20Pal&#225;n/2020/Telconet/Final/Informe/Consolidado/Consolidado%20Telconet%20%20Subsidiarias%202020-2019%2018-j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AD ESF"/>
      <sheetName val="AD ERI"/>
      <sheetName val="Planilla final"/>
      <sheetName val="ESF20"/>
      <sheetName val="ERI20"/>
      <sheetName val="ECP20"/>
      <sheetName val="EFE20"/>
      <sheetName val="Hoja de trabajo"/>
      <sheetName val="Sheet1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6">
          <cell r="N76">
            <v>17536928.050000008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D3C1-36DB-4EBB-9532-A62BA31C15FB}">
  <sheetPr>
    <tabColor rgb="FFFFFF00"/>
  </sheetPr>
  <dimension ref="A1:AA79"/>
  <sheetViews>
    <sheetView showGridLines="0" tabSelected="1" topLeftCell="C37" zoomScaleNormal="100" workbookViewId="0">
      <selection activeCell="W60" sqref="W60"/>
    </sheetView>
  </sheetViews>
  <sheetFormatPr defaultColWidth="11.42578125" defaultRowHeight="10.5" x14ac:dyDescent="0.15"/>
  <cols>
    <col min="1" max="1" width="37.85546875" style="2" customWidth="1"/>
    <col min="2" max="2" width="12.5703125" style="2" customWidth="1"/>
    <col min="3" max="4" width="10.28515625" style="2" customWidth="1"/>
    <col min="5" max="5" width="1.7109375" style="2" customWidth="1"/>
    <col min="6" max="6" width="12.5703125" style="2" customWidth="1"/>
    <col min="7" max="8" width="10.28515625" style="2" customWidth="1"/>
    <col min="9" max="9" width="1.7109375" style="2" customWidth="1"/>
    <col min="10" max="10" width="12.5703125" style="2" customWidth="1"/>
    <col min="11" max="12" width="10.28515625" style="2" customWidth="1"/>
    <col min="13" max="13" width="1.7109375" style="2" customWidth="1"/>
    <col min="14" max="14" width="18.85546875" style="2" hidden="1" customWidth="1"/>
    <col min="15" max="15" width="11.7109375" style="2" hidden="1" customWidth="1"/>
    <col min="16" max="16" width="12.85546875" style="2" hidden="1" customWidth="1"/>
    <col min="17" max="17" width="2.140625" style="2" hidden="1" customWidth="1"/>
    <col min="18" max="18" width="12.5703125" style="2" customWidth="1"/>
    <col min="19" max="20" width="10.28515625" style="2" customWidth="1"/>
    <col min="21" max="21" width="2.140625" style="2" customWidth="1"/>
    <col min="22" max="23" width="14.42578125" style="2" customWidth="1"/>
    <col min="24" max="24" width="15" style="2" bestFit="1" customWidth="1"/>
    <col min="25" max="25" width="11.7109375" style="2" bestFit="1" customWidth="1"/>
    <col min="26" max="26" width="11.42578125" style="2"/>
    <col min="27" max="27" width="15.140625" style="2" customWidth="1"/>
    <col min="28" max="28" width="14.28515625" style="2" customWidth="1"/>
    <col min="29" max="29" width="15.28515625" style="2" customWidth="1"/>
    <col min="30" max="30" width="14.5703125" style="2" bestFit="1" customWidth="1"/>
    <col min="31" max="33" width="11.42578125" style="2"/>
    <col min="34" max="34" width="13.28515625" style="2" bestFit="1" customWidth="1"/>
    <col min="35" max="16384" width="11.42578125" style="2"/>
  </cols>
  <sheetData>
    <row r="1" spans="1:7" s="3" customFormat="1" ht="10.9" customHeight="1" x14ac:dyDescent="0.15">
      <c r="A1" s="1" t="s">
        <v>0</v>
      </c>
      <c r="B1" s="82" t="s">
        <v>1</v>
      </c>
      <c r="C1" s="83" t="s">
        <v>2</v>
      </c>
      <c r="D1" s="2"/>
      <c r="E1" s="2"/>
      <c r="F1" s="2"/>
      <c r="G1" s="2"/>
    </row>
    <row r="2" spans="1:7" s="6" customFormat="1" ht="10.9" customHeight="1" x14ac:dyDescent="0.15">
      <c r="A2" s="4" t="s">
        <v>3</v>
      </c>
      <c r="B2" s="82"/>
      <c r="C2" s="83"/>
      <c r="D2" s="5"/>
    </row>
    <row r="3" spans="1:7" ht="15" x14ac:dyDescent="0.25">
      <c r="A3" s="64" t="s">
        <v>28</v>
      </c>
      <c r="B3" s="65">
        <v>0.75019999999999998</v>
      </c>
      <c r="C3" s="66">
        <v>0.24980000000000002</v>
      </c>
      <c r="D3" s="9"/>
    </row>
    <row r="4" spans="1:7" ht="14.25" x14ac:dyDescent="0.2">
      <c r="A4" s="64" t="s">
        <v>29</v>
      </c>
      <c r="B4" s="67">
        <v>0.99990000000000001</v>
      </c>
      <c r="C4" s="8">
        <v>9.9999999999988987E-5</v>
      </c>
      <c r="D4" s="9"/>
    </row>
    <row r="5" spans="1:7" ht="14.25" x14ac:dyDescent="0.2">
      <c r="A5" s="64" t="s">
        <v>30</v>
      </c>
      <c r="B5" s="65">
        <v>0.75</v>
      </c>
      <c r="C5" s="8">
        <v>0.25</v>
      </c>
      <c r="D5" s="9"/>
    </row>
    <row r="6" spans="1:7" ht="14.25" x14ac:dyDescent="0.2">
      <c r="A6" s="64" t="s">
        <v>31</v>
      </c>
      <c r="B6" s="67">
        <v>0.99990000000000001</v>
      </c>
      <c r="C6" s="8">
        <v>9.9999999999988987E-5</v>
      </c>
      <c r="D6" s="9"/>
    </row>
    <row r="7" spans="1:7" ht="14.25" x14ac:dyDescent="0.2">
      <c r="A7" s="64" t="s">
        <v>32</v>
      </c>
      <c r="B7" s="67">
        <v>0.92500000000000004</v>
      </c>
      <c r="C7" s="8">
        <v>7.4999999999999956E-2</v>
      </c>
      <c r="D7" s="9"/>
    </row>
    <row r="8" spans="1:7" ht="14.25" x14ac:dyDescent="0.2">
      <c r="A8" s="64" t="s">
        <v>33</v>
      </c>
      <c r="B8" s="71">
        <v>0.99</v>
      </c>
      <c r="C8" s="8">
        <v>1.0000000000000009E-2</v>
      </c>
      <c r="D8" s="9"/>
    </row>
    <row r="9" spans="1:7" ht="14.25" x14ac:dyDescent="0.2">
      <c r="A9" s="64" t="s">
        <v>34</v>
      </c>
      <c r="B9" s="65">
        <v>1</v>
      </c>
      <c r="C9" s="8">
        <v>0</v>
      </c>
      <c r="D9" s="9"/>
    </row>
    <row r="10" spans="1:7" ht="14.25" x14ac:dyDescent="0.2">
      <c r="A10" s="68" t="s">
        <v>35</v>
      </c>
      <c r="B10" s="65">
        <v>0.5</v>
      </c>
      <c r="C10" s="65">
        <v>0.5</v>
      </c>
      <c r="D10" s="9"/>
    </row>
    <row r="11" spans="1:7" ht="14.25" x14ac:dyDescent="0.2">
      <c r="A11" s="68" t="s">
        <v>36</v>
      </c>
      <c r="B11" s="65">
        <v>0.68</v>
      </c>
      <c r="C11" s="69">
        <v>0.31999999999999995</v>
      </c>
      <c r="D11" s="9"/>
    </row>
    <row r="12" spans="1:7" ht="14.25" x14ac:dyDescent="0.2">
      <c r="A12" s="68" t="s">
        <v>37</v>
      </c>
      <c r="B12" s="70">
        <v>0.92800000000000005</v>
      </c>
      <c r="C12" s="69">
        <v>7.1999999999999953E-2</v>
      </c>
      <c r="D12" s="9"/>
    </row>
    <row r="13" spans="1:7" ht="14.25" x14ac:dyDescent="0.2">
      <c r="A13" s="68" t="s">
        <v>38</v>
      </c>
      <c r="B13" s="67">
        <v>0.5</v>
      </c>
      <c r="C13" s="67">
        <v>0.5</v>
      </c>
      <c r="D13" s="9"/>
    </row>
    <row r="14" spans="1:7" ht="14.25" x14ac:dyDescent="0.2">
      <c r="A14" s="68"/>
      <c r="B14" s="67"/>
      <c r="C14" s="67"/>
      <c r="D14" s="9"/>
    </row>
    <row r="15" spans="1:7" x14ac:dyDescent="0.15">
      <c r="B15" s="10"/>
      <c r="C15" s="10"/>
      <c r="D15" s="9"/>
    </row>
    <row r="16" spans="1:7" x14ac:dyDescent="0.15">
      <c r="B16" s="10"/>
      <c r="C16" s="10"/>
      <c r="D16" s="9"/>
    </row>
    <row r="17" spans="1:25" s="3" customFormat="1" x14ac:dyDescent="0.15">
      <c r="A17" s="3" t="s">
        <v>4</v>
      </c>
      <c r="B17" s="11">
        <v>1</v>
      </c>
      <c r="C17" s="12">
        <f>+B3</f>
        <v>0.75019999999999998</v>
      </c>
      <c r="D17" s="13">
        <f>100%-C17</f>
        <v>0.24980000000000002</v>
      </c>
      <c r="E17" s="14"/>
      <c r="F17" s="11">
        <v>1</v>
      </c>
      <c r="G17" s="12">
        <f>+B4</f>
        <v>0.99990000000000001</v>
      </c>
      <c r="H17" s="13">
        <f>100%-G17</f>
        <v>9.9999999999988987E-5</v>
      </c>
      <c r="I17" s="14"/>
      <c r="J17" s="11">
        <v>1</v>
      </c>
      <c r="K17" s="12">
        <f>+B5</f>
        <v>0.75</v>
      </c>
      <c r="L17" s="13">
        <f>100%-K17</f>
        <v>0.25</v>
      </c>
      <c r="N17" s="15"/>
      <c r="O17" s="12"/>
      <c r="P17" s="13"/>
      <c r="Q17" s="14"/>
      <c r="R17" s="11">
        <v>1</v>
      </c>
      <c r="S17" s="12">
        <f>+B6</f>
        <v>0.99990000000000001</v>
      </c>
      <c r="T17" s="13">
        <f>100%-S17</f>
        <v>9.9999999999988987E-5</v>
      </c>
      <c r="U17" s="14"/>
      <c r="V17" s="12"/>
      <c r="W17" s="13"/>
    </row>
    <row r="18" spans="1:25" s="19" customFormat="1" ht="21.6" customHeight="1" x14ac:dyDescent="0.25">
      <c r="A18" s="16" t="s">
        <v>5</v>
      </c>
      <c r="B18" s="17" t="str">
        <f>+A3</f>
        <v>Cable Andino Inc.</v>
      </c>
      <c r="C18" s="18" t="s">
        <v>39</v>
      </c>
      <c r="D18" s="18" t="s">
        <v>7</v>
      </c>
      <c r="F18" s="17" t="str">
        <f>+A4</f>
        <v>Corpoandino</v>
      </c>
      <c r="G18" s="18" t="s">
        <v>6</v>
      </c>
      <c r="H18" s="18" t="s">
        <v>7</v>
      </c>
      <c r="J18" s="17" t="str">
        <f>+A5</f>
        <v>Cerinsa</v>
      </c>
      <c r="K18" s="18" t="s">
        <v>6</v>
      </c>
      <c r="L18" s="18" t="s">
        <v>7</v>
      </c>
      <c r="N18" s="20"/>
      <c r="O18" s="18"/>
      <c r="P18" s="18"/>
      <c r="R18" s="17" t="str">
        <f>+A6</f>
        <v>Leonor3</v>
      </c>
      <c r="S18" s="18" t="s">
        <v>6</v>
      </c>
      <c r="T18" s="18" t="s">
        <v>7</v>
      </c>
      <c r="V18" s="21" t="s">
        <v>8</v>
      </c>
      <c r="W18" s="21" t="s">
        <v>9</v>
      </c>
    </row>
    <row r="19" spans="1:25" ht="13.5" thickBot="1" x14ac:dyDescent="0.25">
      <c r="A19" s="7" t="s">
        <v>10</v>
      </c>
      <c r="B19" s="72">
        <v>5000</v>
      </c>
      <c r="C19" s="23">
        <f>+B19*$C$17</f>
        <v>3751</v>
      </c>
      <c r="D19" s="23">
        <f>B19-C19</f>
        <v>1249</v>
      </c>
      <c r="E19" s="9"/>
      <c r="F19" s="79">
        <v>1105000</v>
      </c>
      <c r="G19" s="23">
        <f>F19*$G$17</f>
        <v>1104889.5</v>
      </c>
      <c r="H19" s="23">
        <f>F19-G19</f>
        <v>110.5</v>
      </c>
      <c r="I19" s="9"/>
      <c r="J19" s="78">
        <v>1000</v>
      </c>
      <c r="K19" s="23">
        <f>J19*$K$17</f>
        <v>750</v>
      </c>
      <c r="L19" s="23">
        <f>J19-K19</f>
        <v>250</v>
      </c>
      <c r="N19" s="24"/>
      <c r="O19" s="23"/>
      <c r="P19" s="23"/>
      <c r="Q19" s="9"/>
      <c r="R19" s="77">
        <v>800</v>
      </c>
      <c r="S19" s="23">
        <f>R19*$S$17</f>
        <v>799.92</v>
      </c>
      <c r="T19" s="23">
        <f>R19-S19</f>
        <v>8.0000000000040927E-2</v>
      </c>
      <c r="U19" s="9"/>
      <c r="V19" s="25">
        <f>C19+G19+K19+O19+S19</f>
        <v>1110190.42</v>
      </c>
      <c r="W19" s="25">
        <f>D19+H19+L19+P19+T19</f>
        <v>1609.58</v>
      </c>
      <c r="Y19" s="9"/>
    </row>
    <row r="20" spans="1:25" ht="13.5" thickTop="1" x14ac:dyDescent="0.2">
      <c r="A20" s="7" t="s">
        <v>11</v>
      </c>
      <c r="B20" s="72">
        <v>41940194</v>
      </c>
      <c r="C20" s="23">
        <f>+B20*$C$17</f>
        <v>31463533.538799997</v>
      </c>
      <c r="D20" s="23">
        <f>B20-C20</f>
        <v>10476660.461200003</v>
      </c>
      <c r="E20" s="9"/>
      <c r="F20" s="77">
        <v>877313.05</v>
      </c>
      <c r="G20" s="23">
        <f t="shared" ref="G20:G23" si="0">F20*$G$17</f>
        <v>877225.31869500002</v>
      </c>
      <c r="H20" s="23">
        <f>F20-G20</f>
        <v>87.731305000022985</v>
      </c>
      <c r="I20" s="9"/>
      <c r="J20" s="78">
        <v>330450</v>
      </c>
      <c r="K20" s="23">
        <f t="shared" ref="K20:K22" si="1">J20*$K$17</f>
        <v>247837.5</v>
      </c>
      <c r="L20" s="23">
        <f>J20-K20</f>
        <v>82612.5</v>
      </c>
      <c r="N20" s="24"/>
      <c r="O20" s="23"/>
      <c r="P20" s="23"/>
      <c r="Q20" s="9"/>
      <c r="R20" s="22"/>
      <c r="S20" s="23">
        <f>R20*$S$17</f>
        <v>0</v>
      </c>
      <c r="T20" s="23">
        <f>R20-S20</f>
        <v>0</v>
      </c>
      <c r="U20" s="9"/>
      <c r="V20" s="25">
        <f t="shared" ref="V20:W23" si="2">C20+G20+K20+O20+S20</f>
        <v>32588596.357494999</v>
      </c>
      <c r="W20" s="25">
        <f t="shared" si="2"/>
        <v>10559360.692505002</v>
      </c>
      <c r="Y20" s="9"/>
    </row>
    <row r="21" spans="1:25" ht="12" x14ac:dyDescent="0.2">
      <c r="A21" s="7" t="s">
        <v>12</v>
      </c>
      <c r="B21" s="73"/>
      <c r="C21" s="23">
        <f>+B21*$C$17</f>
        <v>0</v>
      </c>
      <c r="D21" s="23">
        <f>B21-C21</f>
        <v>0</v>
      </c>
      <c r="E21" s="9"/>
      <c r="F21" s="22"/>
      <c r="G21" s="23">
        <f t="shared" si="0"/>
        <v>0</v>
      </c>
      <c r="H21" s="23">
        <f>F21-G21</f>
        <v>0</v>
      </c>
      <c r="I21" s="9"/>
      <c r="J21" s="22"/>
      <c r="K21" s="23">
        <f t="shared" si="1"/>
        <v>0</v>
      </c>
      <c r="L21" s="23">
        <f>J21-K21</f>
        <v>0</v>
      </c>
      <c r="N21" s="24"/>
      <c r="O21" s="23"/>
      <c r="P21" s="23"/>
      <c r="Q21" s="9"/>
      <c r="R21" s="22"/>
      <c r="S21" s="23">
        <f>R21*$S$17</f>
        <v>0</v>
      </c>
      <c r="T21" s="23">
        <f>R21-S21</f>
        <v>0</v>
      </c>
      <c r="U21" s="9"/>
      <c r="V21" s="25">
        <f t="shared" si="2"/>
        <v>0</v>
      </c>
      <c r="W21" s="25">
        <f t="shared" si="2"/>
        <v>0</v>
      </c>
      <c r="Y21" s="9"/>
    </row>
    <row r="22" spans="1:25" ht="12.75" x14ac:dyDescent="0.2">
      <c r="A22" s="7" t="s">
        <v>13</v>
      </c>
      <c r="B22" s="72">
        <f>-8625165</f>
        <v>-8625165</v>
      </c>
      <c r="C22" s="23">
        <f>+B22*$C$17</f>
        <v>-6470598.7829999998</v>
      </c>
      <c r="D22" s="23">
        <f>B22-C22</f>
        <v>-2154566.2170000002</v>
      </c>
      <c r="E22" s="9"/>
      <c r="F22" s="77">
        <f>3047856.98-399182</f>
        <v>2648674.98</v>
      </c>
      <c r="G22" s="23">
        <f t="shared" si="0"/>
        <v>2648410.1125019998</v>
      </c>
      <c r="H22" s="23">
        <f>F22-G22</f>
        <v>264.86749800015241</v>
      </c>
      <c r="I22" s="9"/>
      <c r="J22" s="22">
        <v>15314</v>
      </c>
      <c r="K22" s="23">
        <f t="shared" si="1"/>
        <v>11485.5</v>
      </c>
      <c r="L22" s="23">
        <f>J22-K22</f>
        <v>3828.5</v>
      </c>
      <c r="N22" s="24"/>
      <c r="O22" s="23"/>
      <c r="P22" s="23"/>
      <c r="Q22" s="9"/>
      <c r="R22" s="22">
        <v>1137428</v>
      </c>
      <c r="S22" s="23">
        <f>R22*$S$17</f>
        <v>1137314.2572000001</v>
      </c>
      <c r="T22" s="23">
        <f>R22-S22</f>
        <v>113.74279999989085</v>
      </c>
      <c r="U22" s="9"/>
      <c r="V22" s="25">
        <f t="shared" si="2"/>
        <v>-2673388.9132979997</v>
      </c>
      <c r="W22" s="25">
        <f t="shared" si="2"/>
        <v>-2150359.1067019999</v>
      </c>
      <c r="Y22" s="9"/>
    </row>
    <row r="23" spans="1:25" ht="11.25" x14ac:dyDescent="0.2">
      <c r="A23" s="26" t="s">
        <v>40</v>
      </c>
      <c r="B23" s="74">
        <v>-3188003</v>
      </c>
      <c r="C23" s="23">
        <f>+B23*$C$17</f>
        <v>-2391639.8506</v>
      </c>
      <c r="D23" s="23">
        <f>B23-C23</f>
        <v>-796363.14939999999</v>
      </c>
      <c r="E23" s="9"/>
      <c r="F23" s="77">
        <v>399181.98</v>
      </c>
      <c r="G23" s="23">
        <f t="shared" si="0"/>
        <v>399142.06180199998</v>
      </c>
      <c r="H23" s="23">
        <f>F23-G23</f>
        <v>39.918197999999393</v>
      </c>
      <c r="I23" s="9"/>
      <c r="J23" s="22">
        <v>331439</v>
      </c>
      <c r="K23" s="23">
        <f>J23*$K$17</f>
        <v>248579.25</v>
      </c>
      <c r="L23" s="23">
        <f>J23-K23</f>
        <v>82859.75</v>
      </c>
      <c r="N23" s="24"/>
      <c r="O23" s="23"/>
      <c r="P23" s="23"/>
      <c r="Q23" s="9"/>
      <c r="R23" s="22">
        <v>-40586</v>
      </c>
      <c r="S23" s="23">
        <f>R23*$S$17</f>
        <v>-40581.941400000003</v>
      </c>
      <c r="T23" s="23">
        <f>R23-S23</f>
        <v>-4.0585999999966589</v>
      </c>
      <c r="U23" s="9"/>
      <c r="V23" s="25">
        <f t="shared" si="2"/>
        <v>-1784500.4801979999</v>
      </c>
      <c r="W23" s="25">
        <f t="shared" si="2"/>
        <v>-713467.53980200004</v>
      </c>
      <c r="Y23" s="9"/>
    </row>
    <row r="24" spans="1:25" ht="11.25" thickBot="1" x14ac:dyDescent="0.2">
      <c r="B24" s="27">
        <f>SUM(B19:B23)</f>
        <v>30132026</v>
      </c>
      <c r="C24" s="28">
        <f>SUM(C19:C23)</f>
        <v>22605045.905199997</v>
      </c>
      <c r="D24" s="28">
        <f>SUM(D19:D23)</f>
        <v>7526980.0948000029</v>
      </c>
      <c r="F24" s="27">
        <f>SUM(F19:F23)</f>
        <v>5030170.01</v>
      </c>
      <c r="G24" s="28">
        <f>SUM(G19:G23)</f>
        <v>5029666.9929989995</v>
      </c>
      <c r="H24" s="28">
        <f>SUM(H19:H23)</f>
        <v>503.01700100017479</v>
      </c>
      <c r="J24" s="27">
        <f>SUM(J19:J23)</f>
        <v>678203</v>
      </c>
      <c r="K24" s="28">
        <f>SUM(K19:K23)</f>
        <v>508652.25</v>
      </c>
      <c r="L24" s="28">
        <f>SUM(L19:L23)</f>
        <v>169550.75</v>
      </c>
      <c r="N24" s="28"/>
      <c r="O24" s="28"/>
      <c r="P24" s="28"/>
      <c r="R24" s="27">
        <f>SUM(R19:R23)</f>
        <v>1097642</v>
      </c>
      <c r="S24" s="28">
        <f>SUM(S19:S23)</f>
        <v>1097532.2358000001</v>
      </c>
      <c r="T24" s="28">
        <f>SUM(T19:T23)</f>
        <v>109.76419999989423</v>
      </c>
      <c r="V24" s="28">
        <f>SUM(V19:V23)</f>
        <v>29240897.383998998</v>
      </c>
      <c r="W24" s="28">
        <f>SUM(W19:W23)</f>
        <v>7697143.6260010023</v>
      </c>
    </row>
    <row r="25" spans="1:25" ht="11.25" thickTop="1" x14ac:dyDescent="0.15">
      <c r="B25" s="9"/>
    </row>
    <row r="26" spans="1:25" x14ac:dyDescent="0.15">
      <c r="A26" s="3" t="s">
        <v>4</v>
      </c>
      <c r="B26" s="11">
        <v>1</v>
      </c>
      <c r="C26" s="12">
        <f>+B7</f>
        <v>0.92500000000000004</v>
      </c>
      <c r="D26" s="13">
        <f>100%-C26</f>
        <v>7.4999999999999956E-2</v>
      </c>
      <c r="E26" s="14"/>
      <c r="F26" s="11">
        <v>1</v>
      </c>
      <c r="G26" s="12">
        <f>+B8</f>
        <v>0.99</v>
      </c>
      <c r="H26" s="13">
        <f>100%-G26</f>
        <v>1.0000000000000009E-2</v>
      </c>
      <c r="I26" s="14"/>
      <c r="J26" s="11">
        <v>1</v>
      </c>
      <c r="K26" s="12">
        <f>+B9</f>
        <v>1</v>
      </c>
      <c r="L26" s="13">
        <f>100%-K26</f>
        <v>0</v>
      </c>
      <c r="M26" s="3"/>
      <c r="N26" s="15"/>
      <c r="O26" s="12"/>
      <c r="P26" s="13"/>
      <c r="Q26" s="14"/>
      <c r="R26" s="11">
        <v>1</v>
      </c>
      <c r="S26" s="12">
        <f>+B10</f>
        <v>0.5</v>
      </c>
      <c r="T26" s="13">
        <f>100%-S26</f>
        <v>0.5</v>
      </c>
      <c r="U26" s="14"/>
      <c r="V26" s="12"/>
      <c r="W26" s="13"/>
    </row>
    <row r="27" spans="1:25" ht="22.9" customHeight="1" x14ac:dyDescent="0.15">
      <c r="A27" s="16" t="s">
        <v>5</v>
      </c>
      <c r="B27" s="29" t="str">
        <f>+A7</f>
        <v>Telsoterra</v>
      </c>
      <c r="C27" s="18" t="s">
        <v>6</v>
      </c>
      <c r="D27" s="18" t="s">
        <v>7</v>
      </c>
      <c r="E27" s="19"/>
      <c r="F27" s="29" t="str">
        <f>+A8</f>
        <v>Linkotel</v>
      </c>
      <c r="G27" s="18" t="s">
        <v>6</v>
      </c>
      <c r="H27" s="18" t="s">
        <v>7</v>
      </c>
      <c r="I27" s="19"/>
      <c r="J27" s="29" t="str">
        <f>+A9</f>
        <v>Telconet Panama</v>
      </c>
      <c r="K27" s="18" t="s">
        <v>6</v>
      </c>
      <c r="L27" s="18" t="s">
        <v>7</v>
      </c>
      <c r="M27" s="19"/>
      <c r="N27" s="20"/>
      <c r="O27" s="18"/>
      <c r="P27" s="18"/>
      <c r="Q27" s="19"/>
      <c r="R27" s="29" t="str">
        <f>+A10</f>
        <v>NETSPEED</v>
      </c>
      <c r="S27" s="18" t="s">
        <v>6</v>
      </c>
      <c r="T27" s="18" t="s">
        <v>7</v>
      </c>
      <c r="U27" s="19"/>
      <c r="V27" s="21" t="s">
        <v>8</v>
      </c>
      <c r="W27" s="21" t="s">
        <v>9</v>
      </c>
    </row>
    <row r="28" spans="1:25" ht="12.75" x14ac:dyDescent="0.2">
      <c r="A28" s="7" t="s">
        <v>10</v>
      </c>
      <c r="B28" s="76">
        <v>800</v>
      </c>
      <c r="C28" s="23">
        <f>B28*$C$26</f>
        <v>740</v>
      </c>
      <c r="D28" s="23">
        <f>B28-C28</f>
        <v>60</v>
      </c>
      <c r="E28" s="9"/>
      <c r="F28" s="22">
        <v>3661400</v>
      </c>
      <c r="G28" s="23">
        <f>F28*$G$26</f>
        <v>3624786</v>
      </c>
      <c r="H28" s="23">
        <f t="shared" ref="H28:H32" si="3">F28-G28</f>
        <v>36614</v>
      </c>
      <c r="I28" s="9"/>
      <c r="J28" s="31">
        <v>10000</v>
      </c>
      <c r="K28" s="32">
        <f>(J28*$K$26)</f>
        <v>10000</v>
      </c>
      <c r="L28" s="32">
        <f>J28-K28</f>
        <v>0</v>
      </c>
      <c r="N28" s="24"/>
      <c r="O28" s="23"/>
      <c r="P28" s="23"/>
      <c r="Q28" s="9"/>
      <c r="R28" s="78">
        <v>1000</v>
      </c>
      <c r="S28" s="23">
        <f>R28*$S$26</f>
        <v>500</v>
      </c>
      <c r="T28" s="23">
        <f>R28-S28</f>
        <v>500</v>
      </c>
      <c r="U28" s="9"/>
      <c r="V28" s="25">
        <f t="shared" ref="V28:W32" si="4">C28+G28+K28+O28+S28</f>
        <v>3636026</v>
      </c>
      <c r="W28" s="25">
        <f t="shared" si="4"/>
        <v>37174</v>
      </c>
    </row>
    <row r="29" spans="1:25" ht="12.75" x14ac:dyDescent="0.2">
      <c r="A29" s="7" t="s">
        <v>11</v>
      </c>
      <c r="B29" s="76">
        <v>1833418</v>
      </c>
      <c r="C29" s="23">
        <f>B29*$C$26</f>
        <v>1695911.6500000001</v>
      </c>
      <c r="D29" s="23">
        <f>B29-C29</f>
        <v>137506.34999999986</v>
      </c>
      <c r="E29" s="9"/>
      <c r="F29" s="22">
        <v>406800</v>
      </c>
      <c r="G29" s="23">
        <f t="shared" ref="G29:G32" si="5">F29*$G$26</f>
        <v>402732</v>
      </c>
      <c r="H29" s="23">
        <f t="shared" si="3"/>
        <v>4068</v>
      </c>
      <c r="I29" s="9"/>
      <c r="J29" s="31"/>
      <c r="K29" s="32">
        <f>(J29*$K$26)</f>
        <v>0</v>
      </c>
      <c r="L29" s="32">
        <f>J29-K29</f>
        <v>0</v>
      </c>
      <c r="N29" s="24"/>
      <c r="O29" s="23"/>
      <c r="P29" s="23"/>
      <c r="Q29" s="9"/>
      <c r="R29" s="78">
        <v>49015</v>
      </c>
      <c r="S29" s="23">
        <f t="shared" ref="S29:S32" si="6">R29*$S$26</f>
        <v>24507.5</v>
      </c>
      <c r="T29" s="23">
        <f>R29-S29</f>
        <v>24507.5</v>
      </c>
      <c r="U29" s="9"/>
      <c r="V29" s="25">
        <f t="shared" si="4"/>
        <v>2123151.1500000004</v>
      </c>
      <c r="W29" s="25">
        <f t="shared" si="4"/>
        <v>166081.84999999986</v>
      </c>
    </row>
    <row r="30" spans="1:25" x14ac:dyDescent="0.15">
      <c r="A30" s="7" t="s">
        <v>12</v>
      </c>
      <c r="B30" s="30"/>
      <c r="C30" s="23">
        <f>B30*$C$26</f>
        <v>0</v>
      </c>
      <c r="D30" s="23">
        <f>B30-C30</f>
        <v>0</v>
      </c>
      <c r="E30" s="9"/>
      <c r="F30" s="22">
        <v>104043</v>
      </c>
      <c r="G30" s="23">
        <f t="shared" si="5"/>
        <v>103002.56999999999</v>
      </c>
      <c r="H30" s="23">
        <f t="shared" si="3"/>
        <v>1040.4300000000076</v>
      </c>
      <c r="I30" s="9"/>
      <c r="J30" s="31"/>
      <c r="K30" s="23">
        <f t="shared" ref="K30:K32" si="7">(J30*$K$26)+3750</f>
        <v>3750</v>
      </c>
      <c r="L30" s="23">
        <f>J30-K30</f>
        <v>-3750</v>
      </c>
      <c r="N30" s="24"/>
      <c r="O30" s="23"/>
      <c r="P30" s="23"/>
      <c r="Q30" s="9"/>
      <c r="R30" s="78">
        <v>500</v>
      </c>
      <c r="S30" s="23">
        <f t="shared" si="6"/>
        <v>250</v>
      </c>
      <c r="T30" s="23">
        <f>R30-S30</f>
        <v>250</v>
      </c>
      <c r="U30" s="9"/>
      <c r="V30" s="25">
        <f t="shared" si="4"/>
        <v>107002.56999999999</v>
      </c>
      <c r="W30" s="25">
        <f t="shared" si="4"/>
        <v>-2459.5699999999924</v>
      </c>
    </row>
    <row r="31" spans="1:25" x14ac:dyDescent="0.15">
      <c r="A31" s="7" t="s">
        <v>13</v>
      </c>
      <c r="B31" s="30">
        <v>-324569</v>
      </c>
      <c r="C31" s="23">
        <f>B31*$C$26</f>
        <v>-300226.32500000001</v>
      </c>
      <c r="D31" s="23">
        <f>B31-C31</f>
        <v>-24342.674999999988</v>
      </c>
      <c r="E31" s="9"/>
      <c r="F31" s="22">
        <f>-3672853-155307</f>
        <v>-3828160</v>
      </c>
      <c r="G31" s="23">
        <f t="shared" si="5"/>
        <v>-3789878.4</v>
      </c>
      <c r="H31" s="23">
        <f t="shared" si="3"/>
        <v>-38281.600000000093</v>
      </c>
      <c r="I31" s="9"/>
      <c r="J31" s="31">
        <f>-1009078-920980-10000</f>
        <v>-1940058</v>
      </c>
      <c r="K31" s="23">
        <f t="shared" si="7"/>
        <v>-1936308</v>
      </c>
      <c r="L31" s="23">
        <f>J31-K31</f>
        <v>-3750</v>
      </c>
      <c r="N31" s="24"/>
      <c r="O31" s="23"/>
      <c r="P31" s="23"/>
      <c r="Q31" s="9"/>
      <c r="R31" s="22">
        <v>-12012</v>
      </c>
      <c r="S31" s="23">
        <f t="shared" si="6"/>
        <v>-6006</v>
      </c>
      <c r="T31" s="23">
        <f>R31-S31</f>
        <v>-6006</v>
      </c>
      <c r="U31" s="9"/>
      <c r="V31" s="25">
        <f t="shared" si="4"/>
        <v>-6032418.7249999996</v>
      </c>
      <c r="W31" s="25">
        <f t="shared" si="4"/>
        <v>-72380.275000000081</v>
      </c>
    </row>
    <row r="32" spans="1:25" x14ac:dyDescent="0.15">
      <c r="A32" s="26" t="s">
        <v>40</v>
      </c>
      <c r="B32" s="22">
        <v>150815</v>
      </c>
      <c r="C32" s="23">
        <f>B32*$C$26</f>
        <v>139503.875</v>
      </c>
      <c r="D32" s="23">
        <f>B32-C32</f>
        <v>11311.125</v>
      </c>
      <c r="E32" s="9"/>
      <c r="F32" s="22">
        <v>155307</v>
      </c>
      <c r="G32" s="23">
        <f t="shared" si="5"/>
        <v>153753.93</v>
      </c>
      <c r="H32" s="23">
        <f t="shared" si="3"/>
        <v>1553.070000000007</v>
      </c>
      <c r="I32" s="9"/>
      <c r="J32" s="22">
        <v>-93297</v>
      </c>
      <c r="K32" s="23">
        <f t="shared" si="7"/>
        <v>-89547</v>
      </c>
      <c r="L32" s="23">
        <f>J32-K32</f>
        <v>-3750</v>
      </c>
      <c r="N32" s="24"/>
      <c r="O32" s="23"/>
      <c r="P32" s="23"/>
      <c r="Q32" s="9"/>
      <c r="R32" s="22"/>
      <c r="S32" s="23">
        <f t="shared" si="6"/>
        <v>0</v>
      </c>
      <c r="T32" s="23">
        <f>R32-S32</f>
        <v>0</v>
      </c>
      <c r="U32" s="9"/>
      <c r="V32" s="25">
        <f t="shared" si="4"/>
        <v>203710.80499999999</v>
      </c>
      <c r="W32" s="25">
        <f t="shared" si="4"/>
        <v>9114.195000000007</v>
      </c>
    </row>
    <row r="33" spans="1:23" ht="11.25" thickBot="1" x14ac:dyDescent="0.2">
      <c r="B33" s="27">
        <f>SUM(B28:B32)</f>
        <v>1660464</v>
      </c>
      <c r="C33" s="28">
        <f>SUM(C28:C32)</f>
        <v>1535929.2000000002</v>
      </c>
      <c r="D33" s="28">
        <f>SUM(D28:D32)</f>
        <v>124534.79999999987</v>
      </c>
      <c r="F33" s="27">
        <f>SUM(F28:F32)</f>
        <v>499390</v>
      </c>
      <c r="G33" s="28">
        <f t="shared" ref="G33:H33" si="8">SUM(G28:G32)</f>
        <v>494396.09999999992</v>
      </c>
      <c r="H33" s="28">
        <f t="shared" si="8"/>
        <v>4993.8999999999214</v>
      </c>
      <c r="J33" s="27">
        <f>SUM(J28:J32)</f>
        <v>-2023355</v>
      </c>
      <c r="K33" s="28">
        <f t="shared" ref="K33:L33" si="9">SUM(K28:K32)</f>
        <v>-2012105</v>
      </c>
      <c r="L33" s="28">
        <f t="shared" si="9"/>
        <v>-11250</v>
      </c>
      <c r="N33" s="28"/>
      <c r="O33" s="28"/>
      <c r="P33" s="28"/>
      <c r="R33" s="27">
        <f>SUM(R28:R32)</f>
        <v>38503</v>
      </c>
      <c r="S33" s="28">
        <f>SUM(S28:S32)</f>
        <v>19251.5</v>
      </c>
      <c r="T33" s="28">
        <f>SUM(T28:T32)</f>
        <v>19251.5</v>
      </c>
      <c r="V33" s="28">
        <f>SUM(V28:V32)</f>
        <v>37471.800000001036</v>
      </c>
      <c r="W33" s="28">
        <f>SUM(W28:W32)</f>
        <v>137530.19999999978</v>
      </c>
    </row>
    <row r="34" spans="1:23" ht="11.25" thickTop="1" x14ac:dyDescent="0.15"/>
    <row r="35" spans="1:23" x14ac:dyDescent="0.15">
      <c r="A35" s="3" t="s">
        <v>4</v>
      </c>
      <c r="B35" s="15"/>
      <c r="C35" s="12"/>
      <c r="D35" s="13"/>
      <c r="E35" s="14"/>
      <c r="F35" s="15"/>
      <c r="G35" s="12"/>
      <c r="H35" s="13"/>
      <c r="I35" s="14"/>
      <c r="J35" s="15"/>
      <c r="K35" s="12"/>
      <c r="L35" s="13"/>
      <c r="M35" s="3"/>
      <c r="N35" s="15"/>
      <c r="O35" s="12"/>
      <c r="P35" s="13"/>
      <c r="V35" s="12"/>
      <c r="W35" s="13"/>
    </row>
    <row r="36" spans="1:23" ht="22.9" customHeight="1" x14ac:dyDescent="0.15">
      <c r="A36" s="16" t="s">
        <v>5</v>
      </c>
      <c r="B36" s="20"/>
      <c r="C36" s="18"/>
      <c r="D36" s="18"/>
      <c r="E36" s="19"/>
      <c r="F36" s="20"/>
      <c r="G36" s="18"/>
      <c r="H36" s="18"/>
      <c r="I36" s="19"/>
      <c r="J36" s="20"/>
      <c r="K36" s="18"/>
      <c r="L36" s="18"/>
      <c r="M36" s="19"/>
      <c r="N36" s="20"/>
      <c r="O36" s="18"/>
      <c r="P36" s="18"/>
      <c r="T36" s="9"/>
      <c r="V36" s="33" t="s">
        <v>8</v>
      </c>
      <c r="W36" s="33" t="s">
        <v>9</v>
      </c>
    </row>
    <row r="37" spans="1:23" ht="15" customHeight="1" x14ac:dyDescent="0.15">
      <c r="A37" s="7" t="s">
        <v>10</v>
      </c>
      <c r="B37" s="34"/>
      <c r="C37" s="23"/>
      <c r="D37" s="23"/>
      <c r="E37" s="9"/>
      <c r="F37" s="34"/>
      <c r="G37" s="23"/>
      <c r="H37" s="23"/>
      <c r="I37" s="9"/>
      <c r="J37" s="24"/>
      <c r="K37" s="23"/>
      <c r="L37" s="23"/>
      <c r="N37" s="24"/>
      <c r="O37" s="23"/>
      <c r="P37" s="23"/>
      <c r="T37" s="9"/>
      <c r="V37" s="35">
        <f>C37+G37+K37+O37</f>
        <v>0</v>
      </c>
      <c r="W37" s="35">
        <f>D37+H37+L37+P37+T37</f>
        <v>0</v>
      </c>
    </row>
    <row r="38" spans="1:23" x14ac:dyDescent="0.15">
      <c r="A38" s="7" t="s">
        <v>11</v>
      </c>
      <c r="B38" s="34"/>
      <c r="C38" s="23"/>
      <c r="D38" s="23"/>
      <c r="E38" s="9"/>
      <c r="F38" s="34"/>
      <c r="G38" s="23"/>
      <c r="H38" s="23"/>
      <c r="I38" s="9"/>
      <c r="J38" s="24"/>
      <c r="K38" s="23"/>
      <c r="L38" s="23"/>
      <c r="N38" s="24"/>
      <c r="O38" s="23"/>
      <c r="P38" s="23"/>
      <c r="T38" s="9"/>
      <c r="V38" s="35">
        <f t="shared" ref="V38:V41" si="10">C38+G38+K38+O38</f>
        <v>0</v>
      </c>
      <c r="W38" s="35">
        <f t="shared" ref="W38:W41" si="11">D38+H38+L38+P38+T38</f>
        <v>0</v>
      </c>
    </row>
    <row r="39" spans="1:23" x14ac:dyDescent="0.15">
      <c r="A39" s="7" t="s">
        <v>12</v>
      </c>
      <c r="B39" s="34"/>
      <c r="C39" s="23"/>
      <c r="D39" s="23"/>
      <c r="E39" s="9"/>
      <c r="F39" s="34"/>
      <c r="G39" s="23"/>
      <c r="H39" s="23"/>
      <c r="I39" s="9"/>
      <c r="J39" s="24"/>
      <c r="K39" s="23"/>
      <c r="L39" s="23"/>
      <c r="N39" s="24"/>
      <c r="O39" s="23"/>
      <c r="P39" s="23"/>
      <c r="T39" s="9"/>
      <c r="V39" s="35">
        <f>C39+G39+K39+O39</f>
        <v>0</v>
      </c>
      <c r="W39" s="35">
        <f t="shared" si="11"/>
        <v>0</v>
      </c>
    </row>
    <row r="40" spans="1:23" x14ac:dyDescent="0.15">
      <c r="A40" s="7" t="s">
        <v>13</v>
      </c>
      <c r="B40" s="34"/>
      <c r="C40" s="23"/>
      <c r="D40" s="23"/>
      <c r="E40" s="9"/>
      <c r="F40" s="34"/>
      <c r="G40" s="23"/>
      <c r="H40" s="23"/>
      <c r="I40" s="9"/>
      <c r="J40" s="24"/>
      <c r="K40" s="23"/>
      <c r="L40" s="23"/>
      <c r="N40" s="24"/>
      <c r="O40" s="23"/>
      <c r="P40" s="23"/>
      <c r="T40" s="9"/>
      <c r="V40" s="35">
        <f t="shared" si="10"/>
        <v>0</v>
      </c>
      <c r="W40" s="35">
        <f t="shared" si="11"/>
        <v>0</v>
      </c>
    </row>
    <row r="41" spans="1:23" x14ac:dyDescent="0.15">
      <c r="A41" s="7" t="s">
        <v>15</v>
      </c>
      <c r="B41" s="24"/>
      <c r="C41" s="23"/>
      <c r="D41" s="23"/>
      <c r="E41" s="9"/>
      <c r="F41" s="24"/>
      <c r="G41" s="23"/>
      <c r="H41" s="23"/>
      <c r="I41" s="9"/>
      <c r="J41" s="36"/>
      <c r="K41" s="23"/>
      <c r="L41" s="23"/>
      <c r="N41" s="24"/>
      <c r="O41" s="23"/>
      <c r="P41" s="23"/>
      <c r="T41" s="9"/>
      <c r="V41" s="35">
        <f t="shared" si="10"/>
        <v>0</v>
      </c>
      <c r="W41" s="35">
        <f t="shared" si="11"/>
        <v>0</v>
      </c>
    </row>
    <row r="42" spans="1:23" ht="11.25" thickBot="1" x14ac:dyDescent="0.2">
      <c r="B42" s="28"/>
      <c r="C42" s="28"/>
      <c r="D42" s="28"/>
      <c r="F42" s="28">
        <f t="shared" ref="F42:H42" si="12">SUM(F37:F41)</f>
        <v>0</v>
      </c>
      <c r="G42" s="28">
        <f t="shared" si="12"/>
        <v>0</v>
      </c>
      <c r="H42" s="28">
        <f t="shared" si="12"/>
        <v>0</v>
      </c>
      <c r="J42" s="28">
        <f>SUM(J37:J41)</f>
        <v>0</v>
      </c>
      <c r="K42" s="28">
        <f>SUM(K37:K41)</f>
        <v>0</v>
      </c>
      <c r="L42" s="28">
        <f>SUM(L37:L41)</f>
        <v>0</v>
      </c>
      <c r="N42" s="28">
        <f>SUM(N37:N41)</f>
        <v>0</v>
      </c>
      <c r="O42" s="28">
        <f>SUM(O37:O41)</f>
        <v>0</v>
      </c>
      <c r="P42" s="28">
        <f>SUM(P37:P41)</f>
        <v>0</v>
      </c>
      <c r="V42" s="28">
        <f>SUM(V37:V41)</f>
        <v>0</v>
      </c>
      <c r="W42" s="28">
        <f>SUM(W37:W41)</f>
        <v>0</v>
      </c>
    </row>
    <row r="43" spans="1:23" ht="11.25" thickTop="1" x14ac:dyDescent="0.15">
      <c r="A43" s="3" t="s">
        <v>4</v>
      </c>
      <c r="B43" s="11">
        <v>1</v>
      </c>
      <c r="C43" s="12">
        <f>+B11</f>
        <v>0.68</v>
      </c>
      <c r="D43" s="13">
        <f>100%-C43</f>
        <v>0.31999999999999995</v>
      </c>
      <c r="F43" s="11">
        <v>1</v>
      </c>
      <c r="G43" s="12">
        <f>+B12</f>
        <v>0.92800000000000005</v>
      </c>
      <c r="H43" s="13">
        <f>100%-G43</f>
        <v>7.1999999999999953E-2</v>
      </c>
      <c r="J43" s="11">
        <v>1</v>
      </c>
      <c r="K43" s="12">
        <f>+B13</f>
        <v>0.5</v>
      </c>
      <c r="L43" s="13">
        <f>100%-K43</f>
        <v>0.5</v>
      </c>
      <c r="N43" s="75"/>
      <c r="O43" s="75"/>
      <c r="P43" s="75"/>
      <c r="V43" s="75"/>
      <c r="W43" s="75"/>
    </row>
    <row r="44" spans="1:23" x14ac:dyDescent="0.15">
      <c r="A44" s="16" t="s">
        <v>5</v>
      </c>
      <c r="B44" s="29" t="str">
        <f>+A11</f>
        <v>Transtelco</v>
      </c>
      <c r="C44" s="18" t="s">
        <v>6</v>
      </c>
      <c r="D44" s="18" t="s">
        <v>7</v>
      </c>
      <c r="F44" s="29" t="str">
        <f>+A12</f>
        <v>Econocompu</v>
      </c>
      <c r="G44" s="18" t="s">
        <v>6</v>
      </c>
      <c r="H44" s="18" t="s">
        <v>7</v>
      </c>
      <c r="J44" s="29" t="str">
        <f>+A13</f>
        <v>Smarticities</v>
      </c>
      <c r="K44" s="18" t="s">
        <v>6</v>
      </c>
      <c r="L44" s="18" t="s">
        <v>7</v>
      </c>
      <c r="N44" s="75"/>
      <c r="O44" s="75"/>
      <c r="P44" s="75"/>
      <c r="V44" s="21" t="s">
        <v>42</v>
      </c>
      <c r="W44" s="21" t="s">
        <v>9</v>
      </c>
    </row>
    <row r="45" spans="1:23" ht="13.5" thickBot="1" x14ac:dyDescent="0.25">
      <c r="A45" s="7" t="s">
        <v>10</v>
      </c>
      <c r="B45" s="76"/>
      <c r="C45" s="23">
        <f>B45*$C$26</f>
        <v>0</v>
      </c>
      <c r="D45" s="23">
        <f>B45-C45</f>
        <v>0</v>
      </c>
      <c r="F45" s="81">
        <v>5000</v>
      </c>
      <c r="G45" s="23">
        <f>F45*$G$26</f>
        <v>4950</v>
      </c>
      <c r="H45" s="23">
        <f t="shared" ref="H45:H49" si="13">F45-G45</f>
        <v>50</v>
      </c>
      <c r="J45" s="22">
        <v>10000</v>
      </c>
      <c r="K45" s="23">
        <f>J45*$G$26</f>
        <v>9900</v>
      </c>
      <c r="L45" s="23">
        <f t="shared" ref="L45:L49" si="14">J45-K45</f>
        <v>100</v>
      </c>
      <c r="N45" s="75"/>
      <c r="O45" s="75"/>
      <c r="P45" s="75"/>
      <c r="V45" s="25">
        <f t="shared" ref="V45:V49" si="15">C45+G45+K45+O45+S45</f>
        <v>14850</v>
      </c>
      <c r="W45" s="25">
        <f t="shared" ref="W45:W49" si="16">D45+H45+L45+P45+T45</f>
        <v>150</v>
      </c>
    </row>
    <row r="46" spans="1:23" ht="13.5" thickTop="1" x14ac:dyDescent="0.2">
      <c r="A46" s="7" t="s">
        <v>11</v>
      </c>
      <c r="B46" s="76"/>
      <c r="C46" s="23">
        <f>B46*$C$26</f>
        <v>0</v>
      </c>
      <c r="D46" s="23">
        <f>B46-C46</f>
        <v>0</v>
      </c>
      <c r="F46" s="22"/>
      <c r="G46" s="23">
        <f t="shared" ref="G46:G49" si="17">F46*$G$26</f>
        <v>0</v>
      </c>
      <c r="H46" s="23">
        <f t="shared" si="13"/>
        <v>0</v>
      </c>
      <c r="J46" s="22"/>
      <c r="K46" s="23">
        <f t="shared" ref="K46:K49" si="18">J46*$G$26</f>
        <v>0</v>
      </c>
      <c r="L46" s="23">
        <f t="shared" si="14"/>
        <v>0</v>
      </c>
      <c r="N46" s="75"/>
      <c r="O46" s="75"/>
      <c r="P46" s="75"/>
      <c r="V46" s="25">
        <f t="shared" si="15"/>
        <v>0</v>
      </c>
      <c r="W46" s="25">
        <f t="shared" si="16"/>
        <v>0</v>
      </c>
    </row>
    <row r="47" spans="1:23" x14ac:dyDescent="0.15">
      <c r="A47" s="7" t="s">
        <v>12</v>
      </c>
      <c r="B47" s="30"/>
      <c r="C47" s="23">
        <f>B47*$C$26</f>
        <v>0</v>
      </c>
      <c r="D47" s="23">
        <f>B47-C47</f>
        <v>0</v>
      </c>
      <c r="F47" s="22"/>
      <c r="G47" s="23">
        <f t="shared" si="17"/>
        <v>0</v>
      </c>
      <c r="H47" s="23">
        <f t="shared" si="13"/>
        <v>0</v>
      </c>
      <c r="J47" s="22"/>
      <c r="K47" s="23">
        <f t="shared" si="18"/>
        <v>0</v>
      </c>
      <c r="L47" s="23">
        <f t="shared" si="14"/>
        <v>0</v>
      </c>
      <c r="N47" s="75"/>
      <c r="O47" s="75"/>
      <c r="P47" s="75"/>
      <c r="V47" s="25">
        <f t="shared" si="15"/>
        <v>0</v>
      </c>
      <c r="W47" s="25">
        <f t="shared" si="16"/>
        <v>0</v>
      </c>
    </row>
    <row r="48" spans="1:23" x14ac:dyDescent="0.15">
      <c r="A48" s="7" t="s">
        <v>13</v>
      </c>
      <c r="B48" s="30"/>
      <c r="C48" s="23">
        <f>B48*$C$26</f>
        <v>0</v>
      </c>
      <c r="D48" s="23">
        <f>B48-C48</f>
        <v>0</v>
      </c>
      <c r="F48" s="22"/>
      <c r="G48" s="23">
        <f t="shared" si="17"/>
        <v>0</v>
      </c>
      <c r="H48" s="23">
        <f t="shared" si="13"/>
        <v>0</v>
      </c>
      <c r="J48" s="22"/>
      <c r="K48" s="23">
        <f t="shared" si="18"/>
        <v>0</v>
      </c>
      <c r="L48" s="23">
        <f t="shared" si="14"/>
        <v>0</v>
      </c>
      <c r="N48" s="75"/>
      <c r="O48" s="75"/>
      <c r="P48" s="75"/>
      <c r="V48" s="25">
        <f t="shared" si="15"/>
        <v>0</v>
      </c>
      <c r="W48" s="25">
        <f t="shared" si="16"/>
        <v>0</v>
      </c>
    </row>
    <row r="49" spans="1:27" x14ac:dyDescent="0.15">
      <c r="A49" s="26" t="s">
        <v>40</v>
      </c>
      <c r="B49" s="22"/>
      <c r="C49" s="23">
        <f>B49*$C$26</f>
        <v>0</v>
      </c>
      <c r="D49" s="23">
        <f>B49-C49</f>
        <v>0</v>
      </c>
      <c r="F49" s="22"/>
      <c r="G49" s="23">
        <f t="shared" si="17"/>
        <v>0</v>
      </c>
      <c r="H49" s="23">
        <f t="shared" si="13"/>
        <v>0</v>
      </c>
      <c r="J49" s="22"/>
      <c r="K49" s="23">
        <f t="shared" si="18"/>
        <v>0</v>
      </c>
      <c r="L49" s="23">
        <f t="shared" si="14"/>
        <v>0</v>
      </c>
      <c r="N49" s="75"/>
      <c r="O49" s="75"/>
      <c r="P49" s="75"/>
      <c r="V49" s="25">
        <f t="shared" si="15"/>
        <v>0</v>
      </c>
      <c r="W49" s="25">
        <f t="shared" si="16"/>
        <v>0</v>
      </c>
    </row>
    <row r="50" spans="1:27" ht="11.25" thickBot="1" x14ac:dyDescent="0.2">
      <c r="B50" s="27">
        <f>SUM(B45:B49)</f>
        <v>0</v>
      </c>
      <c r="C50" s="28">
        <f>SUM(C45:C49)</f>
        <v>0</v>
      </c>
      <c r="D50" s="28">
        <f>SUM(D45:D49)</f>
        <v>0</v>
      </c>
      <c r="F50" s="27">
        <f>SUM(F45:F49)</f>
        <v>5000</v>
      </c>
      <c r="G50" s="28">
        <f t="shared" ref="G50:H50" si="19">SUM(G45:G49)</f>
        <v>4950</v>
      </c>
      <c r="H50" s="28">
        <f t="shared" si="19"/>
        <v>50</v>
      </c>
      <c r="J50" s="27">
        <f>SUM(J45:J49)</f>
        <v>10000</v>
      </c>
      <c r="K50" s="28">
        <f t="shared" ref="K50:L50" si="20">SUM(K45:K49)</f>
        <v>9900</v>
      </c>
      <c r="L50" s="28">
        <f t="shared" si="20"/>
        <v>100</v>
      </c>
      <c r="N50" s="75"/>
      <c r="O50" s="75"/>
      <c r="P50" s="75"/>
      <c r="V50" s="28">
        <f>SUM(V45:V49)</f>
        <v>14850</v>
      </c>
      <c r="W50" s="28">
        <f>SUM(W45:W49)</f>
        <v>150</v>
      </c>
      <c r="X50" s="9"/>
      <c r="Z50" s="9"/>
    </row>
    <row r="51" spans="1:27" ht="11.25" thickTop="1" x14ac:dyDescent="0.15">
      <c r="L51" s="75"/>
      <c r="N51" s="75"/>
      <c r="O51" s="75"/>
      <c r="P51" s="75"/>
      <c r="X51" s="9"/>
    </row>
    <row r="52" spans="1:27" x14ac:dyDescent="0.15">
      <c r="L52" s="75"/>
      <c r="N52" s="75"/>
      <c r="O52" s="75"/>
      <c r="P52" s="75"/>
      <c r="X52" s="9"/>
      <c r="Y52" s="9"/>
      <c r="Z52" s="9"/>
    </row>
    <row r="53" spans="1:27" ht="11.25" thickBot="1" x14ac:dyDescent="0.2">
      <c r="L53" s="37"/>
      <c r="X53" s="9"/>
      <c r="Z53" s="9"/>
    </row>
    <row r="54" spans="1:27" x14ac:dyDescent="0.15">
      <c r="R54" s="38" t="s">
        <v>5</v>
      </c>
      <c r="S54" s="39"/>
      <c r="T54" s="39"/>
      <c r="U54" s="39"/>
      <c r="V54" s="40" t="s">
        <v>41</v>
      </c>
      <c r="W54" s="41" t="s">
        <v>16</v>
      </c>
      <c r="X54" s="9"/>
      <c r="Y54" s="9"/>
      <c r="Z54" s="9"/>
    </row>
    <row r="55" spans="1:27" x14ac:dyDescent="0.15">
      <c r="R55" s="42" t="s">
        <v>10</v>
      </c>
      <c r="S55" s="43"/>
      <c r="T55" s="43"/>
      <c r="U55" s="43"/>
      <c r="V55" s="25">
        <f t="shared" ref="V55:W59" si="21">+V37+V28+V19+V45</f>
        <v>4761066.42</v>
      </c>
      <c r="W55" s="44">
        <f t="shared" si="21"/>
        <v>38933.58</v>
      </c>
      <c r="Y55" s="9"/>
      <c r="AA55" s="9"/>
    </row>
    <row r="56" spans="1:27" x14ac:dyDescent="0.15">
      <c r="R56" s="42" t="s">
        <v>11</v>
      </c>
      <c r="S56" s="43"/>
      <c r="T56" s="43"/>
      <c r="U56" s="43"/>
      <c r="V56" s="25">
        <f t="shared" si="21"/>
        <v>34711747.507495001</v>
      </c>
      <c r="W56" s="44">
        <f t="shared" si="21"/>
        <v>10725442.542505002</v>
      </c>
    </row>
    <row r="57" spans="1:27" x14ac:dyDescent="0.15">
      <c r="R57" s="42" t="s">
        <v>12</v>
      </c>
      <c r="S57" s="43"/>
      <c r="T57" s="43"/>
      <c r="U57" s="43"/>
      <c r="V57" s="25">
        <f t="shared" si="21"/>
        <v>107002.56999999999</v>
      </c>
      <c r="W57" s="44">
        <f t="shared" si="21"/>
        <v>-2459.5699999999924</v>
      </c>
      <c r="Y57" s="9"/>
    </row>
    <row r="58" spans="1:27" x14ac:dyDescent="0.15">
      <c r="R58" s="42" t="s">
        <v>13</v>
      </c>
      <c r="S58" s="43"/>
      <c r="T58" s="43"/>
      <c r="U58" s="43"/>
      <c r="V58" s="25">
        <f t="shared" si="21"/>
        <v>-8705807.6382979993</v>
      </c>
      <c r="W58" s="44">
        <f t="shared" si="21"/>
        <v>-2222739.3817019998</v>
      </c>
    </row>
    <row r="59" spans="1:27" ht="11.25" thickBot="1" x14ac:dyDescent="0.2">
      <c r="R59" s="45" t="s">
        <v>14</v>
      </c>
      <c r="S59" s="46"/>
      <c r="T59" s="46"/>
      <c r="U59" s="46"/>
      <c r="V59" s="47">
        <f t="shared" si="21"/>
        <v>-1580789.6751979999</v>
      </c>
      <c r="W59" s="48">
        <f t="shared" si="21"/>
        <v>-704353.34480200009</v>
      </c>
    </row>
    <row r="60" spans="1:27" ht="11.25" thickBot="1" x14ac:dyDescent="0.2">
      <c r="V60" s="28">
        <f>SUM(V55:V59)</f>
        <v>29293219.183999006</v>
      </c>
      <c r="W60" s="28">
        <f>SUM(W55:W59)</f>
        <v>7834823.8260010015</v>
      </c>
      <c r="X60" s="9">
        <f>+W60-W59</f>
        <v>8539177.1708030012</v>
      </c>
    </row>
    <row r="61" spans="1:27" ht="11.25" thickTop="1" x14ac:dyDescent="0.15"/>
    <row r="62" spans="1:27" x14ac:dyDescent="0.15">
      <c r="V62" s="2" t="s">
        <v>43</v>
      </c>
      <c r="X62" s="25">
        <v>19822071</v>
      </c>
    </row>
    <row r="63" spans="1:27" x14ac:dyDescent="0.15">
      <c r="V63" s="2" t="s">
        <v>44</v>
      </c>
      <c r="X63" s="25">
        <f>+V59</f>
        <v>-1580789.6751979999</v>
      </c>
    </row>
    <row r="64" spans="1:27" x14ac:dyDescent="0.15">
      <c r="V64" s="2" t="s">
        <v>17</v>
      </c>
      <c r="X64" s="25">
        <f>+W59</f>
        <v>-704353.34480200009</v>
      </c>
    </row>
    <row r="65" spans="22:25" x14ac:dyDescent="0.15">
      <c r="V65" s="49" t="s">
        <v>18</v>
      </c>
      <c r="W65" s="49"/>
      <c r="X65" s="50">
        <f>SUM(X62:X64)</f>
        <v>17536927.98</v>
      </c>
    </row>
    <row r="66" spans="22:25" x14ac:dyDescent="0.15">
      <c r="V66" s="49" t="s">
        <v>19</v>
      </c>
      <c r="W66" s="49"/>
      <c r="X66" s="50">
        <f>+'[1]Planilla final'!$N$76</f>
        <v>17536928.050000008</v>
      </c>
    </row>
    <row r="67" spans="22:25" x14ac:dyDescent="0.15">
      <c r="V67" s="2" t="s">
        <v>20</v>
      </c>
      <c r="X67" s="23">
        <f>+X65-X66</f>
        <v>-7.0000007748603821E-2</v>
      </c>
    </row>
    <row r="69" spans="22:25" x14ac:dyDescent="0.15">
      <c r="Y69" s="3"/>
    </row>
    <row r="70" spans="22:25" x14ac:dyDescent="0.15">
      <c r="V70" s="2" t="s">
        <v>21</v>
      </c>
      <c r="W70" s="80">
        <v>37128043</v>
      </c>
    </row>
    <row r="71" spans="22:25" x14ac:dyDescent="0.15">
      <c r="V71" s="2" t="s">
        <v>22</v>
      </c>
      <c r="W71" s="51">
        <f>+V60+W60</f>
        <v>37128043.010000005</v>
      </c>
    </row>
    <row r="72" spans="22:25" ht="11.25" thickBot="1" x14ac:dyDescent="0.2">
      <c r="V72" s="52" t="s">
        <v>23</v>
      </c>
      <c r="W72" s="53">
        <f>+W71-W70</f>
        <v>1.000000536441803E-2</v>
      </c>
    </row>
    <row r="73" spans="22:25" ht="11.25" thickTop="1" x14ac:dyDescent="0.15">
      <c r="Y73" s="54"/>
    </row>
    <row r="74" spans="22:25" x14ac:dyDescent="0.15">
      <c r="Y74" s="55">
        <v>44166</v>
      </c>
    </row>
    <row r="75" spans="22:25" x14ac:dyDescent="0.15">
      <c r="V75" s="56" t="s">
        <v>24</v>
      </c>
      <c r="Y75" s="57"/>
    </row>
    <row r="76" spans="22:25" x14ac:dyDescent="0.15">
      <c r="V76" s="56" t="s">
        <v>25</v>
      </c>
      <c r="Y76" s="58">
        <f>+X63+X62</f>
        <v>18241281.324802</v>
      </c>
    </row>
    <row r="77" spans="22:25" x14ac:dyDescent="0.15">
      <c r="V77" s="56" t="s">
        <v>26</v>
      </c>
      <c r="Y77" s="59">
        <f>+X64</f>
        <v>-704353.34480200009</v>
      </c>
    </row>
    <row r="78" spans="22:25" x14ac:dyDescent="0.15">
      <c r="V78" s="56" t="s">
        <v>27</v>
      </c>
      <c r="Y78" s="60">
        <f>+SUM(Y76:Y77)</f>
        <v>17536927.98</v>
      </c>
    </row>
    <row r="79" spans="22:25" ht="11.25" thickBot="1" x14ac:dyDescent="0.2">
      <c r="V79" s="61"/>
      <c r="W79" s="62"/>
      <c r="X79" s="62"/>
      <c r="Y79" s="63"/>
    </row>
  </sheetData>
  <mergeCells count="2"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Patrimonio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Villón Mera</dc:creator>
  <cp:lastModifiedBy>Carlos Almeida</cp:lastModifiedBy>
  <dcterms:created xsi:type="dcterms:W3CDTF">2021-06-26T04:02:07Z</dcterms:created>
  <dcterms:modified xsi:type="dcterms:W3CDTF">2021-06-26T21:38:03Z</dcterms:modified>
</cp:coreProperties>
</file>