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F0438783-9F4F-4E79-A967-D9A636ABF29B}" xr6:coauthVersionLast="47" xr6:coauthVersionMax="47" xr10:uidLastSave="{00000000-0000-0000-0000-000000000000}"/>
  <bookViews>
    <workbookView xWindow="-120" yWindow="-120" windowWidth="20730" windowHeight="11160" tabRatio="1000" firstSheet="12" activeTab="17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AD ESF" sheetId="17" r:id="rId16"/>
    <sheet name="AD ERI" sheetId="18" r:id="rId17"/>
    <sheet name="Planilla final" sheetId="16" r:id="rId18"/>
    <sheet name="ESF20" sheetId="19" r:id="rId19"/>
    <sheet name="ERI20" sheetId="20" r:id="rId20"/>
    <sheet name="ECP20" sheetId="21" r:id="rId21"/>
    <sheet name="EFE20" sheetId="23" r:id="rId22"/>
    <sheet name="Hoja de trabajo" sheetId="22" r:id="rId23"/>
    <sheet name="Sheet1" sheetId="26" state="hidden" r:id="rId24"/>
    <sheet name="Planilla Final 2017" sheetId="24" state="hidden" r:id="rId25"/>
    <sheet name="Participaciones 2017" sheetId="25" state="hidden" r:id="rId26"/>
  </sheets>
  <externalReferences>
    <externalReference r:id="rId27"/>
  </externalReferences>
  <definedNames>
    <definedName name="_xlnm.Print_Area" localSheetId="7">'Asientos - para Consolidado'!$A$1:$M$75</definedName>
    <definedName name="_xlnm.Print_Area" localSheetId="21">'EFE20'!$A$1:$J$77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7" i="16" l="1"/>
  <c r="B33" i="16"/>
  <c r="C23" i="23"/>
  <c r="O33" i="26" l="1"/>
  <c r="O42" i="26"/>
  <c r="O61" i="26"/>
  <c r="O40" i="26"/>
  <c r="Q40" i="26"/>
  <c r="Q6" i="26"/>
  <c r="Q7" i="26"/>
  <c r="Q8" i="26"/>
  <c r="Q9" i="26"/>
  <c r="Q5" i="26"/>
  <c r="P61" i="26"/>
  <c r="Q12" i="26"/>
  <c r="Q18" i="26"/>
  <c r="Q19" i="26"/>
  <c r="Q20" i="26"/>
  <c r="Q24" i="26"/>
  <c r="Q30" i="26"/>
  <c r="Q36" i="26"/>
  <c r="Q39" i="26"/>
  <c r="Q44" i="26"/>
  <c r="Q46" i="26"/>
  <c r="Q50" i="26"/>
  <c r="Q51" i="26"/>
  <c r="Q56" i="26"/>
  <c r="Q60" i="26"/>
  <c r="D51" i="26"/>
  <c r="D50" i="26"/>
  <c r="D38" i="26"/>
  <c r="Q38" i="26" s="1"/>
  <c r="D37" i="26"/>
  <c r="Q37" i="26" s="1"/>
  <c r="C156" i="26"/>
  <c r="C150" i="26"/>
  <c r="C134" i="26"/>
  <c r="C129" i="26"/>
  <c r="C123" i="26"/>
  <c r="C117" i="26"/>
  <c r="C111" i="26"/>
  <c r="C106" i="26"/>
  <c r="C108" i="26" s="1"/>
  <c r="C100" i="26"/>
  <c r="R94" i="26"/>
  <c r="R92" i="26"/>
  <c r="R91" i="26"/>
  <c r="R90" i="26"/>
  <c r="C89" i="26"/>
  <c r="C47" i="26"/>
  <c r="D47" i="26" s="1"/>
  <c r="C146" i="26" s="1"/>
  <c r="C147" i="26" s="1"/>
  <c r="C148" i="26" s="1"/>
  <c r="C58" i="26"/>
  <c r="D58" i="26" s="1"/>
  <c r="Q58" i="26" s="1"/>
  <c r="C46" i="26"/>
  <c r="D46" i="26" s="1"/>
  <c r="C57" i="26"/>
  <c r="D57" i="26" s="1"/>
  <c r="Q57" i="26" s="1"/>
  <c r="C56" i="26"/>
  <c r="D56" i="26" s="1"/>
  <c r="C44" i="26"/>
  <c r="D44" i="26" s="1"/>
  <c r="C90" i="26" s="1"/>
  <c r="C55" i="26"/>
  <c r="D55" i="26" s="1"/>
  <c r="Q55" i="26" s="1"/>
  <c r="C43" i="26"/>
  <c r="D43" i="26" s="1"/>
  <c r="Q43" i="26" s="1"/>
  <c r="C31" i="26"/>
  <c r="D31" i="26" s="1"/>
  <c r="Q31" i="26" s="1"/>
  <c r="C42" i="26"/>
  <c r="D42" i="26" s="1"/>
  <c r="Q42" i="26" s="1"/>
  <c r="C30" i="26"/>
  <c r="D30" i="26" s="1"/>
  <c r="C41" i="26"/>
  <c r="D41" i="26" s="1"/>
  <c r="Q41" i="26" s="1"/>
  <c r="C40" i="26"/>
  <c r="D40" i="26" s="1"/>
  <c r="C53" i="26"/>
  <c r="D53" i="26" s="1"/>
  <c r="Q53" i="26" s="1"/>
  <c r="C16" i="26"/>
  <c r="D16" i="26" s="1"/>
  <c r="Q16" i="26" s="1"/>
  <c r="C52" i="26"/>
  <c r="D52" i="26" s="1"/>
  <c r="Q52" i="26" s="1"/>
  <c r="C15" i="26"/>
  <c r="C25" i="26"/>
  <c r="D25" i="26" s="1"/>
  <c r="Q25" i="26" s="1"/>
  <c r="C24" i="26"/>
  <c r="D24" i="26" s="1"/>
  <c r="C9" i="26"/>
  <c r="D9" i="26" s="1"/>
  <c r="C8" i="26"/>
  <c r="D8" i="26" s="1"/>
  <c r="C7" i="26"/>
  <c r="D7" i="26" s="1"/>
  <c r="C6" i="26"/>
  <c r="D6" i="26" s="1"/>
  <c r="C20" i="26"/>
  <c r="D20" i="26" s="1"/>
  <c r="C5" i="26"/>
  <c r="D5" i="26" s="1"/>
  <c r="C51" i="26"/>
  <c r="C38" i="26"/>
  <c r="C50" i="26"/>
  <c r="C37" i="26"/>
  <c r="C49" i="26"/>
  <c r="D49" i="26" s="1"/>
  <c r="Q49" i="26" s="1"/>
  <c r="X6" i="23"/>
  <c r="W6" i="23"/>
  <c r="C41" i="23"/>
  <c r="AA20" i="23"/>
  <c r="AA38" i="23" s="1"/>
  <c r="AA42" i="23" s="1"/>
  <c r="D59" i="26" l="1"/>
  <c r="Q47" i="26"/>
  <c r="Q59" i="26" s="1"/>
  <c r="C102" i="26"/>
  <c r="C103" i="26" s="1"/>
  <c r="C104" i="26" s="1"/>
  <c r="C136" i="26"/>
  <c r="C137" i="26" s="1"/>
  <c r="C138" i="26" s="1"/>
  <c r="D15" i="26"/>
  <c r="C91" i="26"/>
  <c r="C92" i="26" s="1"/>
  <c r="C109" i="26"/>
  <c r="C113" i="26"/>
  <c r="C114" i="26" s="1"/>
  <c r="C115" i="26" s="1"/>
  <c r="C118" i="26"/>
  <c r="C119" i="26" s="1"/>
  <c r="C120" i="26" s="1"/>
  <c r="C152" i="26"/>
  <c r="C153" i="26" s="1"/>
  <c r="C154" i="26" s="1"/>
  <c r="C157" i="26"/>
  <c r="C158" i="26" s="1"/>
  <c r="C159" i="26" s="1"/>
  <c r="Q15" i="26" l="1"/>
  <c r="C141" i="26"/>
  <c r="C142" i="26" s="1"/>
  <c r="C143" i="26" s="1"/>
  <c r="Q43" i="19" l="1"/>
  <c r="Q41" i="19"/>
  <c r="Q40" i="19"/>
  <c r="P82" i="21"/>
  <c r="V47" i="23"/>
  <c r="Y47" i="23" s="1"/>
  <c r="V48" i="23"/>
  <c r="Y48" i="23" s="1"/>
  <c r="V46" i="23"/>
  <c r="Y46" i="23" s="1"/>
  <c r="C46" i="23" s="1"/>
  <c r="C72" i="19" s="1"/>
  <c r="Q24" i="19"/>
  <c r="B56" i="16"/>
  <c r="C19" i="23" l="1"/>
  <c r="T69" i="21"/>
  <c r="M91" i="22"/>
  <c r="T80" i="21"/>
  <c r="M56" i="16"/>
  <c r="K59" i="22"/>
  <c r="AA45" i="23" l="1"/>
  <c r="D69" i="23" l="1"/>
  <c r="E69" i="23"/>
  <c r="F69" i="23"/>
  <c r="J69" i="23"/>
  <c r="K69" i="23"/>
  <c r="L69" i="23"/>
  <c r="L71" i="23" s="1"/>
  <c r="L73" i="23" s="1"/>
  <c r="M69" i="23"/>
  <c r="N69" i="23"/>
  <c r="O69" i="23"/>
  <c r="P69" i="23"/>
  <c r="P71" i="23" s="1"/>
  <c r="P73" i="23" s="1"/>
  <c r="Q69" i="23"/>
  <c r="R69" i="23"/>
  <c r="S69" i="23"/>
  <c r="T69" i="23"/>
  <c r="U69" i="23"/>
  <c r="W69" i="23"/>
  <c r="X69" i="23"/>
  <c r="Z69" i="23"/>
  <c r="AA69" i="23"/>
  <c r="D60" i="23"/>
  <c r="E60" i="23"/>
  <c r="F60" i="23"/>
  <c r="J60" i="23"/>
  <c r="K60" i="23"/>
  <c r="L60" i="23"/>
  <c r="M60" i="23"/>
  <c r="N60" i="23"/>
  <c r="O60" i="23"/>
  <c r="P60" i="23"/>
  <c r="Q60" i="23"/>
  <c r="R60" i="23"/>
  <c r="R71" i="23" s="1"/>
  <c r="R73" i="23" s="1"/>
  <c r="S60" i="23"/>
  <c r="T60" i="23"/>
  <c r="U60" i="23"/>
  <c r="V60" i="23"/>
  <c r="W60" i="23"/>
  <c r="X60" i="23"/>
  <c r="Y60" i="23"/>
  <c r="Z60" i="23"/>
  <c r="AA60" i="23"/>
  <c r="F71" i="23" l="1"/>
  <c r="F73" i="23" s="1"/>
  <c r="Z71" i="23"/>
  <c r="Z73" i="23" s="1"/>
  <c r="T71" i="23"/>
  <c r="T73" i="23" s="1"/>
  <c r="X71" i="23"/>
  <c r="X73" i="23" s="1"/>
  <c r="AA71" i="23"/>
  <c r="S71" i="23"/>
  <c r="S73" i="23" s="1"/>
  <c r="O71" i="23"/>
  <c r="O73" i="23" s="1"/>
  <c r="K71" i="23"/>
  <c r="K73" i="23" s="1"/>
  <c r="E71" i="23"/>
  <c r="E73" i="23" s="1"/>
  <c r="W71" i="23"/>
  <c r="W73" i="23" s="1"/>
  <c r="N71" i="23"/>
  <c r="N73" i="23" s="1"/>
  <c r="D71" i="23"/>
  <c r="D73" i="23" s="1"/>
  <c r="U71" i="23"/>
  <c r="U73" i="23" s="1"/>
  <c r="Q71" i="23"/>
  <c r="Q73" i="23" s="1"/>
  <c r="M71" i="23"/>
  <c r="M73" i="23" s="1"/>
  <c r="C47" i="23"/>
  <c r="C48" i="23"/>
  <c r="J71" i="23"/>
  <c r="J73" i="23" s="1"/>
  <c r="P41" i="16"/>
  <c r="P15" i="16"/>
  <c r="P8" i="16"/>
  <c r="E310" i="17"/>
  <c r="D304" i="17"/>
  <c r="E312" i="17"/>
  <c r="K56" i="16" l="1"/>
  <c r="K33" i="16"/>
  <c r="K31" i="16"/>
  <c r="E308" i="17" l="1"/>
  <c r="P9" i="16" s="1"/>
  <c r="E309" i="17"/>
  <c r="C91" i="22" l="1"/>
  <c r="N89" i="22"/>
  <c r="B89" i="22"/>
  <c r="O58" i="16"/>
  <c r="E255" i="17"/>
  <c r="K6" i="23" l="1"/>
  <c r="L6" i="23"/>
  <c r="M6" i="23"/>
  <c r="N6" i="23"/>
  <c r="P6" i="23"/>
  <c r="Q6" i="23"/>
  <c r="R6" i="23"/>
  <c r="S16" i="23"/>
  <c r="Q57" i="22"/>
  <c r="Q60" i="22"/>
  <c r="E30" i="18"/>
  <c r="E27" i="18"/>
  <c r="D26" i="18"/>
  <c r="P68" i="16"/>
  <c r="O22" i="16"/>
  <c r="E318" i="17"/>
  <c r="X15" i="23" s="1"/>
  <c r="D319" i="17"/>
  <c r="E319" i="17" l="1"/>
  <c r="F319" i="17" s="1"/>
  <c r="D20" i="23"/>
  <c r="D38" i="23" s="1"/>
  <c r="D42" i="23" s="1"/>
  <c r="O56" i="22"/>
  <c r="E311" i="17"/>
  <c r="O30" i="16"/>
  <c r="D305" i="17"/>
  <c r="D303" i="17"/>
  <c r="O41" i="16" s="1"/>
  <c r="D302" i="17"/>
  <c r="O31" i="16" s="1"/>
  <c r="E313" i="17" l="1"/>
  <c r="D296" i="17"/>
  <c r="E297" i="17" s="1"/>
  <c r="E298" i="17" s="1"/>
  <c r="F102" i="17"/>
  <c r="F113" i="17"/>
  <c r="F152" i="17"/>
  <c r="F177" i="17"/>
  <c r="T82" i="21"/>
  <c r="T76" i="21"/>
  <c r="Q39" i="19" s="1"/>
  <c r="T74" i="21"/>
  <c r="T71" i="21"/>
  <c r="D298" i="17" l="1"/>
  <c r="F298" i="17" s="1"/>
  <c r="N61" i="22" l="1"/>
  <c r="N58" i="22"/>
  <c r="N59" i="22"/>
  <c r="Q59" i="22" s="1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C10" i="26" s="1"/>
  <c r="N14" i="16"/>
  <c r="Q14" i="16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C14" i="19" l="1"/>
  <c r="D14" i="19" s="1"/>
  <c r="C11" i="26"/>
  <c r="D11" i="26" s="1"/>
  <c r="Q11" i="26" s="1"/>
  <c r="D10" i="26"/>
  <c r="C12" i="26"/>
  <c r="C83" i="26" s="1"/>
  <c r="D59" i="16"/>
  <c r="E59" i="16"/>
  <c r="F59" i="16"/>
  <c r="G59" i="16"/>
  <c r="H59" i="16"/>
  <c r="I59" i="16"/>
  <c r="J59" i="16"/>
  <c r="Q10" i="26" l="1"/>
  <c r="P17" i="16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2" i="21"/>
  <c r="T77" i="21"/>
  <c r="N86" i="21"/>
  <c r="L86" i="21"/>
  <c r="J86" i="21"/>
  <c r="R53" i="16" s="1"/>
  <c r="H86" i="21"/>
  <c r="R51" i="16" s="1"/>
  <c r="F86" i="21"/>
  <c r="D86" i="21"/>
  <c r="B86" i="21"/>
  <c r="B26" i="16" l="1"/>
  <c r="N8" i="16"/>
  <c r="Q8" i="16" s="1"/>
  <c r="O62" i="22" l="1"/>
  <c r="O55" i="16"/>
  <c r="D33" i="15"/>
  <c r="D306" i="17" s="1"/>
  <c r="N32" i="16"/>
  <c r="N51" i="22"/>
  <c r="L60" i="22"/>
  <c r="N60" i="22" s="1"/>
  <c r="L5" i="16"/>
  <c r="L26" i="16" s="1"/>
  <c r="L73" i="16"/>
  <c r="L68" i="16"/>
  <c r="K88" i="22"/>
  <c r="D90" i="22"/>
  <c r="N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Q62" i="22" l="1"/>
  <c r="O90" i="22"/>
  <c r="Q90" i="22" s="1"/>
  <c r="K26" i="16"/>
  <c r="N10" i="16"/>
  <c r="Q10" i="16" s="1"/>
  <c r="Q55" i="16"/>
  <c r="R55" i="16" s="1"/>
  <c r="N33" i="16"/>
  <c r="N31" i="16"/>
  <c r="L91" i="22"/>
  <c r="C68" i="15"/>
  <c r="D68" i="15"/>
  <c r="O33" i="16" l="1"/>
  <c r="O47" i="16" s="1"/>
  <c r="D313" i="17"/>
  <c r="F313" i="17" s="1"/>
  <c r="C76" i="15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I68" i="23"/>
  <c r="H68" i="23"/>
  <c r="G68" i="23"/>
  <c r="I67" i="23"/>
  <c r="H67" i="23"/>
  <c r="G67" i="23"/>
  <c r="V63" i="23"/>
  <c r="H59" i="23"/>
  <c r="H60" i="23" s="1"/>
  <c r="I57" i="23"/>
  <c r="I60" i="23" s="1"/>
  <c r="G53" i="23"/>
  <c r="G52" i="23"/>
  <c r="G60" i="23" s="1"/>
  <c r="V41" i="23"/>
  <c r="Y41" i="23" s="1"/>
  <c r="V40" i="23"/>
  <c r="Y40" i="23" s="1"/>
  <c r="C40" i="23" s="1"/>
  <c r="V39" i="23"/>
  <c r="Y39" i="23" s="1"/>
  <c r="C39" i="23" s="1"/>
  <c r="H39" i="23"/>
  <c r="G39" i="23"/>
  <c r="H37" i="23"/>
  <c r="G37" i="23"/>
  <c r="H36" i="23"/>
  <c r="G36" i="23"/>
  <c r="H32" i="23"/>
  <c r="G32" i="23"/>
  <c r="I31" i="23"/>
  <c r="H31" i="23"/>
  <c r="G31" i="23"/>
  <c r="H30" i="23"/>
  <c r="G30" i="23"/>
  <c r="H29" i="23"/>
  <c r="G29" i="23"/>
  <c r="H28" i="23"/>
  <c r="G28" i="23"/>
  <c r="G27" i="23"/>
  <c r="G26" i="23"/>
  <c r="G25" i="23"/>
  <c r="G23" i="23"/>
  <c r="G22" i="23"/>
  <c r="G19" i="23"/>
  <c r="V17" i="23"/>
  <c r="Y17" i="23" s="1"/>
  <c r="C17" i="23" s="1"/>
  <c r="H16" i="23"/>
  <c r="V15" i="23"/>
  <c r="V14" i="23"/>
  <c r="Y14" i="23" s="1"/>
  <c r="C14" i="23" s="1"/>
  <c r="V13" i="23"/>
  <c r="Y13" i="23" s="1"/>
  <c r="C13" i="23" s="1"/>
  <c r="V12" i="23"/>
  <c r="Y12" i="23" s="1"/>
  <c r="C12" i="23" s="1"/>
  <c r="V11" i="23"/>
  <c r="Y11" i="23" s="1"/>
  <c r="C11" i="23" s="1"/>
  <c r="V10" i="23"/>
  <c r="V9" i="23"/>
  <c r="Y9" i="23" s="1"/>
  <c r="C9" i="23" s="1"/>
  <c r="V8" i="23"/>
  <c r="Y8" i="23" s="1"/>
  <c r="C8" i="23" s="1"/>
  <c r="V7" i="23"/>
  <c r="I6" i="23"/>
  <c r="I20" i="23" s="1"/>
  <c r="H6" i="23"/>
  <c r="G6" i="23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N72" i="16"/>
  <c r="N70" i="16"/>
  <c r="N68" i="16"/>
  <c r="N67" i="16"/>
  <c r="Q67" i="16" s="1"/>
  <c r="M66" i="16"/>
  <c r="M69" i="16" s="1"/>
  <c r="M71" i="16" s="1"/>
  <c r="U6" i="23" s="1"/>
  <c r="L66" i="16"/>
  <c r="L69" i="16" s="1"/>
  <c r="L71" i="16" s="1"/>
  <c r="T6" i="23" s="1"/>
  <c r="K66" i="16"/>
  <c r="K69" i="16" s="1"/>
  <c r="K71" i="16" s="1"/>
  <c r="S6" i="23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M47" i="16"/>
  <c r="L47" i="16"/>
  <c r="K47" i="16"/>
  <c r="J47" i="16"/>
  <c r="J60" i="16" s="1"/>
  <c r="I47" i="16"/>
  <c r="I60" i="16" s="1"/>
  <c r="H47" i="16"/>
  <c r="H60" i="16" s="1"/>
  <c r="G47" i="16"/>
  <c r="G60" i="16" s="1"/>
  <c r="F47" i="16"/>
  <c r="F60" i="16" s="1"/>
  <c r="E47" i="16"/>
  <c r="E60" i="16" s="1"/>
  <c r="C47" i="16"/>
  <c r="C60" i="16" s="1"/>
  <c r="B47" i="16"/>
  <c r="Q46" i="16"/>
  <c r="Q45" i="16"/>
  <c r="Q44" i="16"/>
  <c r="Q43" i="16"/>
  <c r="Q42" i="16"/>
  <c r="D41" i="16"/>
  <c r="Q40" i="16"/>
  <c r="C29" i="26" s="1"/>
  <c r="D29" i="26" s="1"/>
  <c r="Q29" i="26" s="1"/>
  <c r="Q39" i="16"/>
  <c r="Q38" i="16"/>
  <c r="Q37" i="16"/>
  <c r="R24" i="19" s="1"/>
  <c r="Q36" i="16"/>
  <c r="D35" i="16"/>
  <c r="N35" i="16" s="1"/>
  <c r="Q34" i="16"/>
  <c r="Q32" i="16"/>
  <c r="C22" i="26" s="1"/>
  <c r="D22" i="26" s="1"/>
  <c r="Q31" i="16"/>
  <c r="C21" i="26" s="1"/>
  <c r="D21" i="26" s="1"/>
  <c r="Q21" i="26" s="1"/>
  <c r="Q30" i="16"/>
  <c r="Q29" i="16"/>
  <c r="Q28" i="16"/>
  <c r="N27" i="16"/>
  <c r="Q27" i="16" s="1"/>
  <c r="M26" i="16"/>
  <c r="C26" i="19"/>
  <c r="D26" i="19" s="1"/>
  <c r="C27" i="19"/>
  <c r="D27" i="19" s="1"/>
  <c r="C95" i="19" s="1"/>
  <c r="C96" i="19" s="1"/>
  <c r="C97" i="19" s="1"/>
  <c r="C23" i="19"/>
  <c r="D23" i="19" s="1"/>
  <c r="C21" i="19"/>
  <c r="D21" i="19" s="1"/>
  <c r="C18" i="19"/>
  <c r="C19" i="19"/>
  <c r="D19" i="19" s="1"/>
  <c r="C13" i="19"/>
  <c r="D13" i="19" s="1"/>
  <c r="C12" i="19"/>
  <c r="D12" i="19" s="1"/>
  <c r="C10" i="19"/>
  <c r="D10" i="19" s="1"/>
  <c r="C11" i="19"/>
  <c r="D11" i="19" s="1"/>
  <c r="C9" i="19"/>
  <c r="C8" i="19"/>
  <c r="C6" i="19"/>
  <c r="D6" i="19" s="1"/>
  <c r="N5" i="16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C71" i="19" l="1"/>
  <c r="Q49" i="19" s="1"/>
  <c r="C122" i="26"/>
  <c r="R100" i="26" s="1"/>
  <c r="Q22" i="26"/>
  <c r="I69" i="23"/>
  <c r="I71" i="23" s="1"/>
  <c r="I73" i="23" s="1"/>
  <c r="Y63" i="23"/>
  <c r="Y69" i="23" s="1"/>
  <c r="Y71" i="23" s="1"/>
  <c r="Y73" i="23" s="1"/>
  <c r="V69" i="23"/>
  <c r="V71" i="23" s="1"/>
  <c r="V73" i="23" s="1"/>
  <c r="C54" i="23"/>
  <c r="C18" i="23"/>
  <c r="C105" i="19" s="1"/>
  <c r="C106" i="19" s="1"/>
  <c r="C53" i="23"/>
  <c r="C25" i="23"/>
  <c r="H69" i="23"/>
  <c r="H71" i="23" s="1"/>
  <c r="C27" i="23"/>
  <c r="G69" i="23"/>
  <c r="G71" i="23" s="1"/>
  <c r="D8" i="19"/>
  <c r="C26" i="23"/>
  <c r="Q33" i="16"/>
  <c r="D9" i="19"/>
  <c r="C44" i="23"/>
  <c r="I38" i="23"/>
  <c r="I42" i="23" s="1"/>
  <c r="C55" i="19"/>
  <c r="C83" i="19"/>
  <c r="C85" i="19" s="1"/>
  <c r="C78" i="19"/>
  <c r="C60" i="19"/>
  <c r="C49" i="19"/>
  <c r="C51" i="19" s="1"/>
  <c r="C66" i="19"/>
  <c r="C67" i="19" s="1"/>
  <c r="C63" i="23"/>
  <c r="G20" i="23"/>
  <c r="G38" i="23" s="1"/>
  <c r="G42" i="23" s="1"/>
  <c r="Q6" i="19"/>
  <c r="R6" i="19" s="1"/>
  <c r="Q10" i="19"/>
  <c r="R10" i="19" s="1"/>
  <c r="Q25" i="19"/>
  <c r="R25" i="19" s="1"/>
  <c r="Q7" i="19"/>
  <c r="R7" i="19" s="1"/>
  <c r="Q13" i="19"/>
  <c r="R13" i="19" s="1"/>
  <c r="Q8" i="19"/>
  <c r="Q12" i="19"/>
  <c r="R12" i="19" s="1"/>
  <c r="Q18" i="19"/>
  <c r="R18" i="19" s="1"/>
  <c r="Q22" i="19"/>
  <c r="R22" i="19" s="1"/>
  <c r="Q26" i="19"/>
  <c r="R26" i="19" s="1"/>
  <c r="Q20" i="19"/>
  <c r="R20" i="19" s="1"/>
  <c r="Q5" i="19"/>
  <c r="R5" i="19" s="1"/>
  <c r="Q9" i="19"/>
  <c r="R9" i="19" s="1"/>
  <c r="Q19" i="19"/>
  <c r="R19" i="19" s="1"/>
  <c r="Q23" i="19"/>
  <c r="R23" i="19" s="1"/>
  <c r="O57" i="16"/>
  <c r="O63" i="22"/>
  <c r="O92" i="22" s="1"/>
  <c r="C103" i="12"/>
  <c r="E103" i="12" s="1"/>
  <c r="N20" i="23"/>
  <c r="R20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Y10" i="23"/>
  <c r="C10" i="23" s="1"/>
  <c r="C94" i="26" s="1"/>
  <c r="C96" i="26" s="1"/>
  <c r="C97" i="26" s="1"/>
  <c r="C98" i="26" s="1"/>
  <c r="E264" i="17"/>
  <c r="O29" i="22"/>
  <c r="O31" i="22" s="1"/>
  <c r="D248" i="17"/>
  <c r="O52" i="16" s="1"/>
  <c r="C27" i="12"/>
  <c r="E27" i="12" s="1"/>
  <c r="C102" i="12"/>
  <c r="E102" i="12" s="1"/>
  <c r="F61" i="16"/>
  <c r="D47" i="16"/>
  <c r="C64" i="12"/>
  <c r="E64" i="12" s="1"/>
  <c r="G61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0" i="23"/>
  <c r="U20" i="23"/>
  <c r="Q35" i="16"/>
  <c r="C26" i="26" s="1"/>
  <c r="D26" i="26" s="1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C70" i="15" s="1"/>
  <c r="D211" i="17"/>
  <c r="E146" i="17"/>
  <c r="P31" i="22"/>
  <c r="P32" i="22" s="1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0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0" i="23"/>
  <c r="D74" i="16"/>
  <c r="D76" i="16" s="1"/>
  <c r="E51" i="14" s="1"/>
  <c r="G51" i="14" s="1"/>
  <c r="I51" i="14" s="1"/>
  <c r="T20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0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0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0" i="23"/>
  <c r="S20" i="23"/>
  <c r="K74" i="16"/>
  <c r="K76" i="16" s="1"/>
  <c r="E58" i="14" s="1"/>
  <c r="D18" i="20"/>
  <c r="C128" i="26" s="1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6" i="15"/>
  <c r="G78" i="16"/>
  <c r="B74" i="16"/>
  <c r="J74" i="16"/>
  <c r="J76" i="16" s="1"/>
  <c r="E57" i="14" s="1"/>
  <c r="G57" i="14" s="1"/>
  <c r="I57" i="14" s="1"/>
  <c r="D29" i="17"/>
  <c r="D18" i="19"/>
  <c r="C90" i="19" s="1"/>
  <c r="C91" i="19" s="1"/>
  <c r="C92" i="19" s="1"/>
  <c r="E21" i="14"/>
  <c r="W20" i="23"/>
  <c r="Q14" i="22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0" i="23"/>
  <c r="H38" i="23" s="1"/>
  <c r="H42" i="23" s="1"/>
  <c r="V16" i="23"/>
  <c r="Y16" i="23" s="1"/>
  <c r="E85" i="22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C124" i="26" l="1"/>
  <c r="C125" i="26" s="1"/>
  <c r="C126" i="26" s="1"/>
  <c r="Q26" i="26"/>
  <c r="C130" i="26"/>
  <c r="C131" i="26" s="1"/>
  <c r="C132" i="26" s="1"/>
  <c r="Q11" i="19"/>
  <c r="R11" i="19" s="1"/>
  <c r="C32" i="23" s="1"/>
  <c r="C23" i="26"/>
  <c r="D23" i="26" s="1"/>
  <c r="Q23" i="26" s="1"/>
  <c r="C35" i="23"/>
  <c r="C86" i="19"/>
  <c r="C52" i="23"/>
  <c r="C68" i="23"/>
  <c r="C67" i="23"/>
  <c r="C24" i="23"/>
  <c r="R8" i="19"/>
  <c r="H72" i="23"/>
  <c r="H73" i="23" s="1"/>
  <c r="C49" i="23"/>
  <c r="C73" i="19"/>
  <c r="Q18" i="22"/>
  <c r="C16" i="23"/>
  <c r="C77" i="19"/>
  <c r="C68" i="19"/>
  <c r="C69" i="19" s="1"/>
  <c r="C56" i="23"/>
  <c r="C52" i="19"/>
  <c r="C53" i="19" s="1"/>
  <c r="C58" i="23"/>
  <c r="C43" i="19"/>
  <c r="C99" i="19"/>
  <c r="D78" i="16"/>
  <c r="D60" i="16"/>
  <c r="Q14" i="19"/>
  <c r="R14" i="19" s="1"/>
  <c r="Q21" i="19"/>
  <c r="C22" i="19"/>
  <c r="D22" i="19" s="1"/>
  <c r="C62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M60" i="16" s="1"/>
  <c r="Q66" i="16"/>
  <c r="Q69" i="16" s="1"/>
  <c r="Q71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C17" i="26" s="1"/>
  <c r="D17" i="26" s="1"/>
  <c r="O26" i="16"/>
  <c r="Q17" i="16"/>
  <c r="AC7" i="14"/>
  <c r="AC23" i="14" s="1"/>
  <c r="Q52" i="16"/>
  <c r="R52" i="16" s="1"/>
  <c r="Q29" i="22"/>
  <c r="D70" i="15"/>
  <c r="D86" i="15" s="1"/>
  <c r="E21" i="15"/>
  <c r="C63" i="22"/>
  <c r="C92" i="22" s="1"/>
  <c r="O54" i="16"/>
  <c r="O32" i="22"/>
  <c r="AG7" i="14"/>
  <c r="Y15" i="23"/>
  <c r="C15" i="23" s="1"/>
  <c r="D61" i="16"/>
  <c r="AG4" i="14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Q88" i="22"/>
  <c r="P78" i="21" s="1"/>
  <c r="T78" i="21" s="1"/>
  <c r="G93" i="22"/>
  <c r="G94" i="22" s="1"/>
  <c r="E93" i="22"/>
  <c r="E94" i="22" s="1"/>
  <c r="O64" i="22"/>
  <c r="O56" i="16" s="1"/>
  <c r="E64" i="22"/>
  <c r="E65" i="22" s="1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7" i="15"/>
  <c r="F57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AA44" i="23" l="1"/>
  <c r="AA49" i="23" s="1"/>
  <c r="Q74" i="16"/>
  <c r="C6" i="23"/>
  <c r="Q17" i="26"/>
  <c r="C63" i="19"/>
  <c r="C69" i="23"/>
  <c r="C31" i="23"/>
  <c r="C22" i="23"/>
  <c r="C29" i="23"/>
  <c r="C87" i="19"/>
  <c r="V19" i="23"/>
  <c r="Y19" i="23" s="1"/>
  <c r="Q15" i="19"/>
  <c r="C79" i="19"/>
  <c r="AA73" i="23"/>
  <c r="C72" i="23" s="1"/>
  <c r="AA75" i="23"/>
  <c r="G72" i="23"/>
  <c r="G73" i="23" s="1"/>
  <c r="C74" i="19"/>
  <c r="C75" i="19" s="1"/>
  <c r="Q27" i="19"/>
  <c r="R21" i="19"/>
  <c r="C38" i="19"/>
  <c r="C101" i="19"/>
  <c r="C64" i="19"/>
  <c r="C59" i="23"/>
  <c r="C25" i="19"/>
  <c r="D25" i="19" s="1"/>
  <c r="D5" i="19"/>
  <c r="C15" i="19"/>
  <c r="C24" i="19"/>
  <c r="D24" i="19" s="1"/>
  <c r="M78" i="16"/>
  <c r="M61" i="16"/>
  <c r="D64" i="22"/>
  <c r="D65" i="22" s="1"/>
  <c r="K42" i="14"/>
  <c r="K44" i="14" s="1"/>
  <c r="Q15" i="22"/>
  <c r="R15" i="22" s="1"/>
  <c r="Q46" i="22"/>
  <c r="R46" i="22" s="1"/>
  <c r="D257" i="17"/>
  <c r="AG5" i="14"/>
  <c r="P26" i="16"/>
  <c r="AG21" i="14"/>
  <c r="R50" i="16"/>
  <c r="F241" i="17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M42" i="14"/>
  <c r="M44" i="14" s="1"/>
  <c r="C32" i="12"/>
  <c r="C34" i="12" s="1"/>
  <c r="E34" i="12" s="1"/>
  <c r="I42" i="14"/>
  <c r="I44" i="14" s="1"/>
  <c r="B63" i="22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P58" i="16" s="1"/>
  <c r="E70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Q76" i="16" l="1"/>
  <c r="C39" i="19"/>
  <c r="C34" i="23"/>
  <c r="C80" i="19"/>
  <c r="C81" i="19" s="1"/>
  <c r="C28" i="23"/>
  <c r="C36" i="23"/>
  <c r="B92" i="22"/>
  <c r="N92" i="22" s="1"/>
  <c r="Q28" i="19"/>
  <c r="C102" i="19"/>
  <c r="C103" i="19" s="1"/>
  <c r="C40" i="19"/>
  <c r="C41" i="19" s="1"/>
  <c r="C30" i="23"/>
  <c r="E32" i="12"/>
  <c r="F257" i="17"/>
  <c r="P76" i="22"/>
  <c r="C11" i="14"/>
  <c r="N57" i="16"/>
  <c r="R48" i="16"/>
  <c r="AC19" i="14"/>
  <c r="AG19" i="14" s="1"/>
  <c r="AG3" i="14"/>
  <c r="B59" i="16"/>
  <c r="B60" i="16" s="1"/>
  <c r="D20" i="19"/>
  <c r="C28" i="19"/>
  <c r="C32" i="19" s="1"/>
  <c r="AC11" i="14"/>
  <c r="K61" i="16"/>
  <c r="K78" i="16"/>
  <c r="N63" i="22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C55" i="23" l="1"/>
  <c r="C45" i="19"/>
  <c r="B93" i="22"/>
  <c r="B94" i="22" s="1"/>
  <c r="D32" i="19"/>
  <c r="B65" i="22"/>
  <c r="N56" i="16"/>
  <c r="N59" i="16" s="1"/>
  <c r="N61" i="16" s="1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C46" i="19" l="1"/>
  <c r="C47" i="19" s="1"/>
  <c r="C57" i="23"/>
  <c r="C60" i="23" s="1"/>
  <c r="Q82" i="16"/>
  <c r="P84" i="21"/>
  <c r="P86" i="21" s="1"/>
  <c r="N65" i="22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P57" i="16" l="1"/>
  <c r="P63" i="22"/>
  <c r="E271" i="17"/>
  <c r="F271" i="17" s="1"/>
  <c r="Q57" i="16"/>
  <c r="Q73" i="22"/>
  <c r="R84" i="21" s="1"/>
  <c r="C42" i="14"/>
  <c r="C44" i="14" s="1"/>
  <c r="AG39" i="14"/>
  <c r="AG40" i="14" s="1"/>
  <c r="AA40" i="14"/>
  <c r="AA42" i="14" s="1"/>
  <c r="AA44" i="14" s="1"/>
  <c r="D265" i="17"/>
  <c r="D321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P92" i="22" l="1"/>
  <c r="Q92" i="22" s="1"/>
  <c r="Q63" i="22"/>
  <c r="R57" i="16" s="1"/>
  <c r="R86" i="21"/>
  <c r="T84" i="21"/>
  <c r="R99" i="26" s="1"/>
  <c r="P56" i="22"/>
  <c r="E265" i="17"/>
  <c r="E321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R89" i="26" l="1"/>
  <c r="R97" i="26" s="1"/>
  <c r="R101" i="26"/>
  <c r="Q48" i="19"/>
  <c r="Q38" i="19" s="1"/>
  <c r="T86" i="21"/>
  <c r="Q76" i="22"/>
  <c r="F265" i="17"/>
  <c r="F321" i="17"/>
  <c r="Q58" i="16"/>
  <c r="Q56" i="22"/>
  <c r="O59" i="16"/>
  <c r="P64" i="22"/>
  <c r="P56" i="16" s="1"/>
  <c r="E226" i="12"/>
  <c r="C226" i="12"/>
  <c r="Q84" i="22"/>
  <c r="T87" i="21" l="1"/>
  <c r="O60" i="16"/>
  <c r="O85" i="22"/>
  <c r="R58" i="16"/>
  <c r="O61" i="16"/>
  <c r="Q64" i="22"/>
  <c r="O93" i="22" l="1"/>
  <c r="O94" i="22" s="1"/>
  <c r="P65" i="22"/>
  <c r="Q56" i="16"/>
  <c r="Q65" i="22" s="1"/>
  <c r="R64" i="22"/>
  <c r="AE11" i="14"/>
  <c r="P59" i="16"/>
  <c r="P60" i="16" l="1"/>
  <c r="P85" i="22"/>
  <c r="S85" i="22" s="1"/>
  <c r="S86" i="22" s="1"/>
  <c r="P61" i="16"/>
  <c r="P62" i="16" s="1"/>
  <c r="R56" i="16"/>
  <c r="Q59" i="16"/>
  <c r="C33" i="26" s="1"/>
  <c r="AE27" i="14"/>
  <c r="AE13" i="14"/>
  <c r="AG11" i="14"/>
  <c r="AG13" i="14" s="1"/>
  <c r="D33" i="26" l="1"/>
  <c r="R83" i="26"/>
  <c r="R86" i="26" s="1"/>
  <c r="Q60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3" i="26" l="1"/>
  <c r="D35" i="26"/>
  <c r="D61" i="26" s="1"/>
  <c r="R98" i="26"/>
  <c r="Q32" i="19"/>
  <c r="Q35" i="19" s="1"/>
  <c r="R30" i="19"/>
  <c r="R32" i="19" s="1"/>
  <c r="Q93" i="22"/>
  <c r="D83" i="26" l="1"/>
  <c r="S33" i="26"/>
  <c r="S83" i="26" s="1"/>
  <c r="Q35" i="26"/>
  <c r="Q61" i="26" s="1"/>
  <c r="R93" i="22"/>
  <c r="S93" i="22" s="1"/>
  <c r="V86" i="21"/>
  <c r="Q94" i="22"/>
  <c r="Q50" i="19"/>
  <c r="J20" i="23"/>
  <c r="V18" i="23"/>
  <c r="Y18" i="23" s="1"/>
  <c r="Q46" i="19" l="1"/>
  <c r="Q47" i="19" s="1"/>
  <c r="C20" i="23"/>
  <c r="C38" i="23" s="1"/>
  <c r="Y20" i="23"/>
  <c r="V20" i="23"/>
  <c r="C33" i="23"/>
  <c r="C107" i="19"/>
  <c r="C108" i="19" s="1"/>
  <c r="C57" i="19" l="1"/>
  <c r="C58" i="19" s="1"/>
  <c r="C42" i="23"/>
  <c r="C71" i="23" s="1"/>
  <c r="C73" i="23" l="1"/>
  <c r="C75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<sst xmlns="http://schemas.openxmlformats.org/spreadsheetml/2006/main" count="2803" uniqueCount="916">
  <si>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</si>
  <si>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</si>
  <si>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</si>
  <si>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</si>
  <si>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</si>
  <si>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</si>
  <si>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</si>
  <si>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</si>
  <si>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</si>
  <si>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</si>
  <si>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</si>
  <si>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</si>
  <si>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</si>
  <si>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</si>
  <si>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</si>
  <si>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</si>
  <si>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</si>
  <si>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</si>
  <si>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</si>
  <si>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</si>
  <si>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</si>
  <si>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</si>
  <si>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</si>
  <si>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</si>
  <si>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</si>
  <si>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</si>
  <si>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</si>
  <si>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</si>
  <si>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</si>
  <si>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</si>
  <si>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</si>
  <si>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</si>
  <si>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</si>
  <si>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</si>
  <si>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</si>
  <si>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</si>
  <si>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</si>
  <si>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</si>
  <si>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</si>
  <si>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</si>
  <si>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</si>
  <si>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</si>
  <si>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</si>
  <si>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</si>
  <si>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</si>
  <si>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</si>
  <si>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</si>
  <si>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</si>
  <si>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</si>
  <si>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</si>
  <si>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</si>
  <si>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</si>
  <si>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</si>
  <si>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</si>
  <si>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</si>
  <si>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</si>
  <si>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</si>
  <si>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</si>
  <si>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</si>
  <si>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</si>
  <si>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</si>
  <si>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</si>
  <si>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</si>
  <si>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</si>
  <si>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</si>
  <si>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</si>
  <si>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</si>
  <si>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</si>
  <si>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</si>
  <si>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</si>
  <si>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</si>
  <si>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</si>
  <si>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</si>
  <si>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</si>
  <si>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</si>
  <si>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</si>
  <si>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</si>
  <si>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</si>
  <si>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</si>
  <si>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</si>
  <si>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</si>
  <si>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</si>
  <si>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</si>
  <si>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</si>
  <si>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</si>
  <si>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</si>
  <si>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</si>
  <si>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</si>
  <si>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</si>
  <si>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</si>
  <si>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</si>
  <si>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</si>
  <si>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</si>
  <si>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</si>
  <si>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</si>
  <si>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</si>
  <si>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</si>
  <si>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</si>
  <si>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</si>
  <si>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</si>
  <si>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</si>
  <si>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</si>
  <si>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</si>
  <si>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</si>
  <si>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</si>
  <si>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</si>
  <si>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</si>
  <si>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</si>
  <si>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</si>
  <si>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</si>
  <si>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</si>
  <si>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</si>
  <si>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</si>
  <si>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</si>
  <si>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</si>
  <si>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</si>
  <si>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</si>
  <si>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</si>
  <si>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</si>
  <si>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</si>
  <si>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</si>
  <si>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</si>
  <si>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</si>
  <si>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</si>
  <si>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</si>
  <si>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</si>
  <si>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</si>
  <si>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</si>
  <si>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</si>
  <si>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</si>
  <si>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</si>
  <si>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</si>
  <si>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</si>
  <si>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</si>
  <si>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</si>
  <si>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</si>
  <si>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</si>
  <si>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</si>
  <si>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</si>
  <si>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</si>
  <si>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</si>
  <si>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</si>
  <si>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</si>
  <si>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</si>
  <si>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</si>
  <si>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</si>
  <si>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</si>
  <si>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</si>
  <si>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</si>
  <si>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</si>
  <si>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</si>
  <si>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</si>
  <si>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</si>
  <si>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</si>
  <si>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</si>
  <si>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</si>
  <si>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</si>
  <si>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</si>
  <si>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</si>
  <si>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</si>
  <si>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</si>
  <si>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</si>
  <si>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</si>
  <si>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</si>
  <si>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</si>
  <si>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</si>
  <si>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</si>
  <si>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</si>
  <si>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</si>
  <si>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</si>
  <si>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</si>
  <si>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</si>
  <si>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</si>
  <si>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</si>
  <si>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</si>
  <si>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</si>
  <si>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</si>
  <si>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</si>
  <si>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</si>
  <si>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</si>
  <si>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</si>
  <si>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</si>
  <si>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</si>
  <si>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</si>
  <si>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</si>
  <si>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</si>
  <si>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</si>
  <si>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</si>
  <si>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</si>
  <si>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</si>
  <si>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</si>
  <si>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</si>
  <si>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</si>
  <si>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</si>
  <si>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</si>
  <si>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</si>
  <si>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</si>
  <si>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</si>
  <si>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</si>
  <si>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</si>
  <si>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</si>
  <si>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</si>
  <si>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</si>
  <si>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</si>
  <si>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</si>
  <si>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</si>
  <si>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</si>
  <si>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</si>
  <si>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</si>
  <si>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</si>
  <si>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</si>
  <si>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</si>
  <si>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</si>
  <si>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</si>
  <si>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</si>
  <si>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</si>
  <si>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</si>
  <si>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</si>
  <si>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</si>
  <si>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</si>
  <si>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</si>
  <si>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</si>
  <si>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</si>
  <si>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</si>
  <si>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</si>
  <si>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</si>
  <si>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</si>
  <si>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</si>
  <si>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</si>
  <si>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</si>
  <si>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</si>
  <si>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</si>
  <si>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</si>
  <si>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</si>
  <si>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</si>
  <si>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</si>
  <si>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</si>
  <si>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</si>
  <si>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</si>
  <si>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</si>
  <si>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</si>
  <si>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</si>
  <si>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</si>
  <si>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</si>
  <si>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</si>
  <si>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</si>
  <si>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</si>
  <si>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</si>
  <si>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</si>
  <si>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</si>
  <si>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</si>
  <si>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</si>
  <si>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</si>
  <si>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</si>
  <si>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</si>
  <si>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</si>
  <si>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</si>
  <si>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</si>
  <si>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</si>
  <si>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</si>
  <si>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</si>
  <si>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</si>
  <si>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</si>
  <si>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</si>
  <si>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</si>
  <si>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</si>
  <si>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</si>
  <si>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</si>
  <si>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</si>
  <si>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</si>
  <si>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</si>
  <si>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</si>
  <si>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</si>
  <si>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</si>
  <si>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</si>
  <si>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</si>
  <si>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</si>
  <si>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</si>
  <si>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</si>
  <si>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</si>
  <si>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</si>
  <si>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</si>
  <si>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</si>
  <si>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</si>
  <si>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</si>
  <si>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</si>
  <si>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</si>
  <si>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</si>
  <si>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</si>
  <si>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</si>
  <si>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</si>
  <si>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</si>
  <si>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</si>
  <si>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</si>
  <si>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</si>
  <si>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</si>
  <si>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</si>
  <si>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</si>
  <si>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</si>
  <si>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</si>
  <si>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</si>
  <si>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</si>
  <si>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</si>
  <si>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</si>
  <si>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</si>
  <si>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</si>
  <si>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</si>
  <si>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</si>
  <si>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</si>
  <si>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</si>
  <si>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</si>
  <si>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</si>
  <si>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</si>
  <si>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</si>
  <si>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</si>
  <si>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</si>
  <si>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</si>
  <si>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</si>
  <si>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</si>
  <si>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</si>
  <si>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</si>
  <si>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</si>
  <si>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</si>
  <si>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</si>
  <si>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</si>
  <si>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</si>
  <si>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</si>
  <si>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</si>
  <si>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</si>
  <si>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</si>
  <si>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</si>
  <si>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</si>
  <si>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</si>
  <si>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</si>
  <si>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</si>
  <si>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</si>
  <si>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</si>
  <si>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</si>
  <si>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</si>
  <si>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</si>
  <si>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</si>
  <si>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</si>
  <si>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</si>
  <si>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</si>
  <si>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</si>
  <si>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</si>
  <si>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</si>
  <si>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</si>
  <si>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</si>
  <si>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</si>
  <si>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</si>
  <si>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</si>
  <si>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</si>
  <si>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</si>
  <si>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</si>
  <si>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</si>
  <si>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</si>
  <si>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</si>
  <si>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</si>
  <si>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</si>
  <si>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</si>
  <si>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</si>
  <si>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</si>
  <si>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</si>
  <si>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</si>
  <si>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</si>
  <si>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</si>
  <si>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</si>
  <si>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</si>
  <si>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</si>
  <si>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</si>
  <si>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</si>
  <si>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</si>
  <si>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</si>
  <si>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</si>
  <si>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</si>
  <si>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</si>
  <si>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</si>
  <si>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</si>
  <si>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</si>
  <si>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</si>
  <si>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</si>
  <si>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</si>
  <si>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</si>
  <si>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</si>
  <si>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</si>
  <si>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</si>
  <si>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</si>
  <si>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</si>
  <si>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</si>
  <si>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</si>
  <si>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</si>
  <si>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</si>
  <si>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</si>
  <si>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</si>
  <si>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</si>
  <si>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</si>
  <si>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</si>
  <si>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</si>
  <si>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</si>
  <si>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</si>
  <si>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</si>
  <si>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</si>
  <si>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</si>
  <si>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</si>
  <si>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</si>
  <si>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</si>
  <si>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</si>
  <si>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</si>
  <si>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</si>
  <si>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</si>
  <si>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</si>
  <si>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</si>
  <si>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</si>
  <si>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</si>
  <si>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</si>
  <si>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</si>
  <si>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</si>
  <si>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</si>
  <si>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</si>
  <si>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</si>
  <si>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</si>
  <si>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</si>
  <si>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</si>
  <si>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</si>
  <si>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</si>
  <si>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</si>
  <si>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</si>
  <si>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</si>
  <si>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</si>
  <si>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</si>
  <si>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</si>
  <si>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</si>
  <si>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</si>
  <si>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</si>
  <si>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</si>
  <si>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</si>
  <si>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</si>
  <si>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</si>
  <si>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</si>
  <si>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</si>
  <si>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</si>
  <si>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</si>
  <si>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</si>
  <si>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</si>
  <si>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</si>
  <si>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</si>
  <si>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</si>
  <si>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</si>
  <si>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</si>
  <si>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</si>
  <si>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</si>
  <si>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</si>
  <si>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</si>
  <si>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</si>
  <si>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</si>
  <si>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</si>
  <si>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</si>
  <si>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</si>
  <si>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</si>
  <si>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</si>
  <si>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</si>
  <si>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</si>
  <si>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</si>
  <si>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</si>
  <si>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</si>
  <si>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</si>
  <si>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</si>
  <si>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</si>
  <si>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</si>
  <si>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</si>
  <si>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</si>
  <si>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</si>
  <si>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</si>
  <si>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</si>
  <si>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</si>
  <si>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</si>
  <si>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</si>
  <si>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</si>
  <si>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</si>
  <si>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</si>
  <si>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</si>
  <si>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</si>
  <si>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</si>
  <si>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</si>
  <si>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</si>
  <si>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</si>
  <si>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</si>
  <si>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</si>
  <si>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</si>
  <si>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</si>
  <si>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</si>
  <si>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</si>
  <si>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</si>
  <si>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</si>
  <si>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</si>
  <si>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</si>
  <si>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</si>
  <si>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</si>
  <si>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</si>
  <si>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</si>
  <si>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</si>
  <si>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</si>
  <si>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</si>
  <si>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</si>
  <si>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</si>
  <si>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</si>
  <si>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</si>
  <si>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</si>
  <si>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</si>
  <si>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</si>
  <si>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</si>
  <si>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</si>
  <si>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</si>
  <si>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</si>
  <si>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</si>
  <si>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</si>
  <si>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</si>
  <si>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</si>
  <si>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</si>
  <si>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</si>
  <si>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</si>
  <si>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</si>
  <si>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</si>
  <si>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</si>
  <si>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</si>
  <si>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</si>
  <si>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</si>
  <si>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</si>
  <si>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</si>
  <si>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</si>
  <si>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</si>
  <si>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</si>
  <si>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</si>
  <si>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</si>
  <si>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</si>
  <si>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</si>
  <si>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</si>
  <si>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</si>
  <si>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</si>
  <si>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</si>
  <si>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</si>
  <si>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</si>
  <si>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</si>
  <si>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</si>
  <si>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</si>
  <si>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</si>
  <si>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</si>
  <si>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</si>
  <si>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</si>
  <si>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</si>
  <si>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</si>
  <si>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</si>
  <si>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</si>
  <si>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</si>
  <si>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</si>
  <si>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</si>
  <si>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</si>
  <si>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</si>
  <si>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</si>
  <si>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</si>
  <si>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</si>
  <si>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</si>
  <si>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</si>
  <si>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</si>
  <si>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</si>
  <si>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</si>
  <si>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</si>
  <si>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</si>
  <si>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</si>
  <si>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</si>
  <si>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</si>
  <si>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</si>
  <si>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</si>
  <si>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</si>
  <si>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</si>
  <si>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</si>
  <si>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</si>
  <si>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</si>
  <si>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</si>
  <si>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</si>
  <si>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</si>
  <si>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</si>
  <si>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</si>
  <si>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</si>
  <si>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</si>
  <si>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</si>
  <si>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</si>
  <si>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</si>
  <si>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</si>
  <si>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</si>
  <si>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</si>
  <si>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</si>
  <si>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</si>
  <si>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</si>
  <si>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</si>
  <si>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</si>
  <si>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</si>
  <si>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</si>
  <si>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</si>
  <si>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</si>
  <si>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</si>
  <si>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</si>
  <si>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</si>
  <si>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</si>
  <si>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</si>
  <si>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</si>
  <si>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</si>
  <si>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</si>
  <si>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</si>
  <si>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</si>
  <si>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</si>
  <si>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</si>
  <si>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</si>
  <si>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</si>
  <si>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</si>
  <si>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</si>
  <si>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</si>
  <si>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</si>
  <si>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</si>
  <si>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</si>
  <si>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</si>
  <si>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</si>
  <si>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</si>
  <si>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</si>
  <si>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</si>
  <si>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</si>
  <si>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</si>
  <si>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</si>
  <si>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</si>
  <si>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</si>
  <si>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</si>
  <si>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</si>
  <si>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</si>
  <si>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</si>
  <si>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</si>
  <si>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</si>
  <si>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</si>
  <si>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</si>
  <si>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</si>
  <si>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</si>
  <si>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</si>
  <si>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</si>
  <si>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</si>
  <si>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</si>
  <si>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</si>
  <si>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</si>
  <si>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</si>
  <si>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</si>
  <si>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</si>
  <si>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</si>
  <si>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</si>
  <si>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</si>
  <si>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</si>
  <si>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</si>
  <si>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</si>
  <si>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</si>
  <si>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</si>
  <si>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</si>
  <si>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</si>
  <si>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</si>
  <si>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</si>
  <si>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</si>
  <si>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</si>
  <si>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</si>
  <si>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</si>
  <si>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</si>
  <si>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JUBILACION Y DESAHUCIO</t>
  </si>
  <si>
    <t>Provision del periodo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</si>
  <si>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</si>
  <si>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</si>
  <si>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</si>
  <si>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</si>
  <si>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</si>
  <si>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</si>
  <si>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</si>
  <si>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</si>
  <si>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</si>
  <si>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</si>
  <si>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</si>
  <si>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</si>
  <si>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</si>
  <si>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</si>
  <si>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</si>
  <si>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</si>
  <si>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</si>
  <si>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</si>
  <si>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</si>
  <si>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</si>
  <si>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</si>
  <si>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</si>
  <si>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</si>
  <si>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</si>
  <si>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</si>
  <si>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</si>
  <si>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</si>
  <si>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</si>
  <si>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</si>
  <si>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</si>
  <si>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</si>
  <si>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</si>
  <si>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</si>
  <si>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</si>
  <si>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</si>
  <si>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</si>
  <si>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</si>
  <si>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</si>
  <si>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</si>
  <si>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</si>
  <si>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</si>
  <si>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</si>
  <si>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</si>
  <si>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</si>
  <si>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</si>
  <si>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</si>
  <si>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</si>
  <si>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</si>
  <si>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</si>
  <si>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</si>
  <si>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</si>
  <si>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</si>
  <si>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</si>
  <si>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</si>
  <si>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</si>
  <si>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</si>
  <si>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</si>
  <si>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</si>
  <si>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</si>
  <si>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</si>
  <si>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</si>
  <si>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</si>
  <si>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</si>
  <si>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</si>
  <si>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</si>
  <si>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</si>
  <si>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</si>
  <si>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</si>
  <si>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</si>
  <si>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</si>
  <si>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</si>
  <si>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</si>
  <si>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</si>
  <si>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</si>
  <si>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</si>
  <si>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</si>
  <si>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</si>
  <si>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</si>
  <si>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</si>
  <si>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</si>
  <si>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</si>
  <si>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</si>
  <si>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</si>
  <si>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</si>
  <si>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</si>
  <si>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</si>
  <si>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</si>
  <si>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</si>
  <si>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</si>
  <si>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</si>
  <si>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</si>
  <si>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</si>
  <si>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</si>
  <si>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</si>
  <si>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</si>
  <si>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</si>
  <si>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</si>
  <si>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</si>
  <si>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</si>
  <si>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</si>
  <si>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</si>
  <si>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</si>
  <si>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</si>
  <si>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</si>
  <si>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</si>
  <si>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</si>
  <si>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</si>
  <si>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</si>
  <si>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</si>
  <si>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</si>
  <si>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</si>
  <si>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</si>
  <si>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</si>
  <si>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</si>
  <si>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</si>
  <si>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</si>
  <si>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</si>
  <si>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</si>
  <si>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Adiciones de propiedades y equipos, neto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</si>
  <si>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</si>
  <si>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</si>
  <si>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</si>
  <si>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</si>
  <si>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</si>
  <si>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</si>
  <si>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</si>
  <si>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</si>
  <si>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</si>
  <si>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</si>
  <si>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</si>
  <si>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</si>
  <si>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</si>
  <si>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</si>
  <si>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</si>
  <si>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</si>
  <si>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</si>
  <si>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</si>
  <si>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</si>
  <si>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</si>
  <si>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</si>
  <si>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</si>
  <si>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</si>
  <si>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</si>
  <si>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</si>
  <si>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</si>
  <si>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</si>
  <si>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</si>
  <si>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</si>
  <si>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</si>
  <si>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</si>
  <si>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</si>
  <si>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</si>
  <si>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</si>
  <si>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</si>
  <si>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</si>
  <si>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</si>
  <si>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</si>
  <si>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</si>
  <si>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</si>
  <si>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</si>
  <si>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</si>
  <si>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</si>
  <si>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</si>
  <si>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</si>
  <si>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</si>
  <si>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</si>
  <si>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</si>
  <si>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</si>
  <si>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Acciones en tesoreria</t>
  </si>
  <si>
    <t>Saldos al 31 de diciembre del 2020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</si>
  <si>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</si>
  <si>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</si>
  <si>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</si>
  <si>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</si>
  <si>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</si>
  <si>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</si>
  <si>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</si>
  <si>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</si>
  <si>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</si>
  <si>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</si>
  <si>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</si>
  <si>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</si>
  <si>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</si>
  <si>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</si>
  <si>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</si>
  <si>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</si>
  <si>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</si>
  <si>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</si>
  <si>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</si>
  <si>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</si>
  <si>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</si>
  <si>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</si>
  <si>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</si>
  <si>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</si>
  <si>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</si>
  <si>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</si>
  <si>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</si>
  <si>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</si>
  <si>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</si>
  <si>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</si>
  <si>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</si>
  <si>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</si>
  <si>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</si>
  <si>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</si>
  <si>
    <t>Otros ajustes netos</t>
  </si>
  <si>
    <t xml:space="preserve">   Ingreso (egreso) por retiro y venta de aportes</t>
  </si>
  <si>
    <t>Sobregiro bancario</t>
  </si>
  <si>
    <t>(Aumento) disminución de activos por derechos de uso</t>
  </si>
  <si>
    <t>Aumento en propiedades de inversion</t>
  </si>
  <si>
    <t>Aumento de inversiones en asociadas</t>
  </si>
  <si>
    <t>Activos por impuestos corrientes</t>
  </si>
  <si>
    <t>Pasivos por impuestos corrientes</t>
  </si>
  <si>
    <t xml:space="preserve">     á Cuentas por cobrar comerciales CP</t>
  </si>
  <si>
    <t>Cuentas por pagar Proveedores CP</t>
  </si>
  <si>
    <t>Cuentas por pagar relacionadas LP (Linkotel)</t>
  </si>
  <si>
    <t>Flujos de efectivo de actividades de operación:</t>
  </si>
  <si>
    <t xml:space="preserve">                   Las notas explicativas anexas son parte integrante de los estados financieros</t>
  </si>
  <si>
    <t xml:space="preserve">   Recibido de clientes, relacionadas y terceros</t>
  </si>
  <si>
    <t xml:space="preserve">   Pagado a proveedores, relacionadas, trabajadores y otros</t>
  </si>
  <si>
    <t xml:space="preserve">   Otros ingresos, neto</t>
  </si>
  <si>
    <t xml:space="preserve">   Intereses y comisiones bancarias pagadas</t>
  </si>
  <si>
    <t>Flujo neto de efectivo provisto por las operaciones</t>
  </si>
  <si>
    <t>Ajuste de Telconet Panama</t>
  </si>
  <si>
    <t>Pasivos del contrato</t>
  </si>
  <si>
    <t>Pasivos del contrato L/P</t>
  </si>
  <si>
    <t>Otros pasivos no corrientes</t>
  </si>
  <si>
    <t>Pasivo contingente</t>
  </si>
  <si>
    <t xml:space="preserve">   Impuesto a la renta pagado</t>
  </si>
  <si>
    <t>Ajuste de comisiones</t>
  </si>
  <si>
    <t>Ajuste actuariales anio 2019</t>
  </si>
  <si>
    <t>Bajas</t>
  </si>
  <si>
    <t>Ajuste de intangibles</t>
  </si>
  <si>
    <t>Bajas y otros, principalmente activos fijos</t>
  </si>
  <si>
    <t>Adiciones</t>
  </si>
  <si>
    <t>INGRESOS DIFERIDOS (PASIVOS DEL CONTRATO)</t>
  </si>
  <si>
    <t xml:space="preserve">Otros pasivos </t>
  </si>
  <si>
    <t>Pagos, netos</t>
  </si>
  <si>
    <t>TOTAL FLUJOS OPERACIONALES</t>
  </si>
  <si>
    <t>FLUJOS FINANCIEROS Y DE INVERSION</t>
  </si>
  <si>
    <t>Ajustes</t>
  </si>
  <si>
    <t>Variaciones</t>
  </si>
  <si>
    <t>ajustadas</t>
  </si>
  <si>
    <t>Acciones en</t>
  </si>
  <si>
    <t>tesoreria</t>
  </si>
  <si>
    <t>Ajustes por comisiones, Telconet</t>
  </si>
  <si>
    <t>Ajustes actuariales anio 2019, Telconet</t>
  </si>
  <si>
    <t>Ajustes del saldo de inventarios en Telsoterra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</si>
</sst>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2" formatCode="_(* #,##0_);_(* \(#,##0\);_(* &quot;-&quot;??_);_(@_)"/>
    <numFmt numFmtId="213" formatCode="_ * #,##0_ ;\(* #,##0\);_ * &quot;-&quot;_ ;_ @_ "/>
    <numFmt numFmtId="214" formatCode="_(* #,##0.0000_);_(* \(#,##0.0000\);_(* \-??_);_(@_)"/>
  </numFmts>
  <fonts count="91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rgb="FFC9211E"/>
      <name val="Arial"/>
      <family val="2"/>
    </font>
    <font>
      <b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88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0" fontId="63" fillId="6" borderId="0" xfId="0" applyFont="1" applyFill="1" applyAlignment="1">
      <alignment horizontal="center"/>
    </xf>
    <xf numFmtId="195" fontId="53" fillId="6" borderId="0" xfId="92" applyNumberFormat="1" applyFont="1" applyFill="1" applyBorder="1" applyAlignment="1" applyProtection="1"/>
    <xf numFmtId="0" fontId="12" fillId="6" borderId="0" xfId="0" applyFont="1" applyFill="1" applyBorder="1" applyAlignment="1">
      <alignment horizontal="center"/>
    </xf>
    <xf numFmtId="164" fontId="12" fillId="6" borderId="0" xfId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0" fillId="12" borderId="0" xfId="0" applyFill="1"/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2" fontId="86" fillId="12" borderId="0" xfId="1" applyNumberFormat="1" applyFont="1" applyFill="1" applyBorder="1" applyAlignment="1">
      <alignment horizontal="center"/>
    </xf>
    <xf numFmtId="213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3" fontId="87" fillId="12" borderId="16" xfId="0" applyNumberFormat="1" applyFont="1" applyFill="1" applyBorder="1"/>
    <xf numFmtId="0" fontId="88" fillId="12" borderId="0" xfId="0" applyFont="1" applyFill="1"/>
    <xf numFmtId="213" fontId="87" fillId="12" borderId="14" xfId="0" applyNumberFormat="1" applyFont="1" applyFill="1" applyBorder="1"/>
    <xf numFmtId="212" fontId="84" fillId="12" borderId="10" xfId="1" applyNumberFormat="1" applyFont="1" applyFill="1" applyBorder="1"/>
    <xf numFmtId="212" fontId="87" fillId="12" borderId="0" xfId="1" applyNumberFormat="1" applyFont="1" applyFill="1" applyBorder="1"/>
    <xf numFmtId="0" fontId="84" fillId="12" borderId="14" xfId="0" applyFont="1" applyFill="1" applyBorder="1"/>
    <xf numFmtId="212" fontId="84" fillId="12" borderId="6" xfId="1" applyNumberFormat="1" applyFont="1" applyFill="1" applyBorder="1"/>
    <xf numFmtId="212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2" fontId="85" fillId="12" borderId="0" xfId="1" applyNumberFormat="1" applyFont="1" applyFill="1"/>
    <xf numFmtId="212" fontId="86" fillId="12" borderId="0" xfId="1" applyNumberFormat="1" applyFont="1" applyFill="1"/>
    <xf numFmtId="0" fontId="84" fillId="12" borderId="10" xfId="0" applyFont="1" applyFill="1" applyBorder="1"/>
    <xf numFmtId="213" fontId="87" fillId="12" borderId="15" xfId="0" applyNumberFormat="1" applyFont="1" applyFill="1" applyBorder="1"/>
    <xf numFmtId="212" fontId="84" fillId="12" borderId="3" xfId="1" applyNumberFormat="1" applyFont="1" applyFill="1" applyBorder="1"/>
    <xf numFmtId="212" fontId="87" fillId="12" borderId="0" xfId="0" applyNumberFormat="1" applyFont="1" applyFill="1"/>
    <xf numFmtId="37" fontId="87" fillId="12" borderId="4" xfId="0" applyNumberFormat="1" applyFont="1" applyFill="1" applyBorder="1"/>
    <xf numFmtId="212" fontId="84" fillId="12" borderId="4" xfId="1" applyNumberFormat="1" applyFont="1" applyFill="1" applyBorder="1"/>
    <xf numFmtId="37" fontId="87" fillId="12" borderId="6" xfId="0" applyNumberFormat="1" applyFont="1" applyFill="1" applyBorder="1"/>
    <xf numFmtId="213" fontId="87" fillId="12" borderId="3" xfId="0" applyNumberFormat="1" applyFont="1" applyFill="1" applyBorder="1"/>
    <xf numFmtId="212" fontId="84" fillId="12" borderId="0" xfId="0" applyNumberFormat="1" applyFont="1" applyFill="1"/>
    <xf numFmtId="212" fontId="84" fillId="12" borderId="0" xfId="1" applyNumberFormat="1" applyFont="1" applyFill="1" applyBorder="1"/>
    <xf numFmtId="212" fontId="84" fillId="12" borderId="6" xfId="0" applyNumberFormat="1" applyFont="1" applyFill="1" applyBorder="1"/>
    <xf numFmtId="212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4" fontId="57" fillId="13" borderId="0" xfId="1" applyNumberFormat="1" applyFont="1" applyFill="1" applyBorder="1" applyAlignment="1" applyProtection="1">
      <alignment horizontal="right" vertical="center" wrapText="1"/>
    </xf>
    <xf numFmtId="214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0" fillId="13" borderId="40" xfId="0" applyNumberFormat="1" applyFill="1" applyBorder="1"/>
    <xf numFmtId="0" fontId="84" fillId="12" borderId="0" xfId="0" applyNumberFormat="1" applyFont="1" applyFill="1"/>
    <xf numFmtId="195" fontId="80" fillId="0" borderId="0" xfId="1" applyNumberFormat="1" applyBorder="1"/>
    <xf numFmtId="195" fontId="80" fillId="0" borderId="0" xfId="1" applyNumberFormat="1" applyBorder="1" applyAlignment="1">
      <alignment horizontal="right"/>
    </xf>
    <xf numFmtId="3" fontId="12" fillId="6" borderId="0" xfId="467" applyNumberFormat="1" applyFont="1" applyFill="1" applyBorder="1" applyAlignment="1">
      <alignment horizontal="right" vertical="center" wrapText="1"/>
    </xf>
    <xf numFmtId="3" fontId="12" fillId="6" borderId="0" xfId="0" applyNumberFormat="1" applyFont="1" applyFill="1" applyAlignment="1">
      <alignment horizontal="right"/>
    </xf>
    <xf numFmtId="0" fontId="67" fillId="6" borderId="0" xfId="0" applyFont="1" applyFill="1" applyBorder="1"/>
    <xf numFmtId="0" fontId="51" fillId="6" borderId="0" xfId="467" applyFont="1" applyFill="1" applyBorder="1"/>
    <xf numFmtId="195" fontId="12" fillId="6" borderId="7" xfId="1" applyNumberFormat="1" applyFont="1" applyFill="1" applyBorder="1" applyAlignment="1" applyProtection="1">
      <alignment vertical="center" wrapText="1"/>
    </xf>
    <xf numFmtId="212" fontId="86" fillId="12" borderId="0" xfId="1" applyNumberFormat="1" applyFont="1" applyFill="1" applyBorder="1" applyAlignment="1">
      <alignment horizontal="left"/>
    </xf>
    <xf numFmtId="195" fontId="53" fillId="10" borderId="0" xfId="1" applyNumberFormat="1" applyFont="1" applyFill="1" applyBorder="1" applyAlignment="1" applyProtection="1"/>
    <xf numFmtId="195" fontId="12" fillId="13" borderId="0" xfId="467" applyNumberFormat="1" applyFont="1" applyFill="1" applyBorder="1" applyAlignment="1">
      <alignment horizontal="center"/>
    </xf>
    <xf numFmtId="195" fontId="12" fillId="13" borderId="0" xfId="0" applyNumberFormat="1" applyFont="1" applyFill="1" applyBorder="1"/>
    <xf numFmtId="195" fontId="12" fillId="13" borderId="0" xfId="467" applyNumberFormat="1" applyFont="1" applyFill="1" applyBorder="1" applyAlignment="1">
      <alignment horizontal="center" vertical="center" wrapText="1"/>
    </xf>
    <xf numFmtId="195" fontId="12" fillId="13" borderId="0" xfId="1" applyNumberFormat="1" applyFont="1" applyFill="1" applyBorder="1" applyAlignment="1" applyProtection="1"/>
    <xf numFmtId="195" fontId="12" fillId="14" borderId="0" xfId="1" applyNumberFormat="1" applyFont="1" applyFill="1" applyBorder="1" applyAlignment="1" applyProtection="1"/>
    <xf numFmtId="0" fontId="49" fillId="0" borderId="10" xfId="0" applyFont="1" applyFill="1" applyBorder="1"/>
    <xf numFmtId="0" fontId="12" fillId="0" borderId="10" xfId="0" applyFont="1" applyFill="1" applyBorder="1"/>
    <xf numFmtId="195" fontId="12" fillId="0" borderId="10" xfId="1" applyNumberFormat="1" applyFont="1" applyFill="1" applyBorder="1" applyAlignment="1" applyProtection="1"/>
    <xf numFmtId="195" fontId="53" fillId="0" borderId="0" xfId="0" applyNumberFormat="1" applyFont="1" applyAlignment="1">
      <alignment wrapText="1"/>
    </xf>
    <xf numFmtId="195" fontId="0" fillId="12" borderId="40" xfId="1" applyNumberFormat="1" applyFont="1" applyFill="1" applyBorder="1" applyAlignment="1" applyProtection="1"/>
    <xf numFmtId="195" fontId="0" fillId="12" borderId="26" xfId="1" applyNumberFormat="1" applyFont="1" applyFill="1" applyBorder="1" applyAlignment="1" applyProtection="1"/>
    <xf numFmtId="195" fontId="49" fillId="6" borderId="0" xfId="467" applyNumberFormat="1" applyFont="1" applyFill="1" applyBorder="1" applyAlignment="1">
      <alignment horizontal="center"/>
    </xf>
    <xf numFmtId="195" fontId="80" fillId="0" borderId="1" xfId="1" applyNumberFormat="1" applyBorder="1"/>
    <xf numFmtId="195" fontId="53" fillId="13" borderId="0" xfId="94" applyNumberFormat="1" applyFont="1" applyFill="1" applyBorder="1" applyAlignment="1" applyProtection="1"/>
    <xf numFmtId="195" fontId="53" fillId="13" borderId="3" xfId="1" applyNumberFormat="1" applyFont="1" applyFill="1" applyBorder="1" applyAlignment="1" applyProtection="1">
      <alignment horizontal="left" vertical="center" wrapText="1"/>
    </xf>
    <xf numFmtId="195" fontId="53" fillId="13" borderId="4" xfId="1" applyNumberFormat="1" applyFont="1" applyFill="1" applyBorder="1" applyAlignment="1" applyProtection="1">
      <alignment horizontal="left" vertical="center" wrapText="1"/>
    </xf>
    <xf numFmtId="195" fontId="53" fillId="13" borderId="0" xfId="1" applyNumberFormat="1" applyFont="1" applyFill="1" applyBorder="1" applyAlignment="1" applyProtection="1">
      <alignment horizontal="right" vertical="center"/>
    </xf>
    <xf numFmtId="212" fontId="84" fillId="12" borderId="10" xfId="0" applyNumberFormat="1" applyFont="1" applyFill="1" applyBorder="1"/>
    <xf numFmtId="0" fontId="53" fillId="13" borderId="0" xfId="0" applyFont="1" applyFill="1"/>
    <xf numFmtId="195" fontId="61" fillId="13" borderId="0" xfId="1" applyNumberFormat="1" applyFont="1" applyFill="1" applyBorder="1" applyAlignment="1" applyProtection="1">
      <alignment horizontal="center"/>
    </xf>
    <xf numFmtId="0" fontId="53" fillId="13" borderId="0" xfId="0" applyFont="1" applyFill="1" applyAlignment="1">
      <alignment horizontal="center"/>
    </xf>
    <xf numFmtId="0" fontId="53" fillId="13" borderId="0" xfId="0" applyFont="1" applyFill="1" applyBorder="1" applyAlignment="1">
      <alignment horizontal="center"/>
    </xf>
    <xf numFmtId="0" fontId="53" fillId="13" borderId="0" xfId="0" applyFont="1" applyFill="1" applyBorder="1" applyAlignment="1">
      <alignment horizontal="center" wrapText="1"/>
    </xf>
    <xf numFmtId="0" fontId="62" fillId="13" borderId="0" xfId="0" applyFont="1" applyFill="1"/>
    <xf numFmtId="0" fontId="63" fillId="13" borderId="0" xfId="0" applyFont="1" applyFill="1" applyAlignment="1">
      <alignment horizontal="center"/>
    </xf>
    <xf numFmtId="0" fontId="64" fillId="13" borderId="0" xfId="0" applyFont="1" applyFill="1" applyBorder="1" applyAlignment="1">
      <alignment horizontal="center"/>
    </xf>
    <xf numFmtId="0" fontId="63" fillId="13" borderId="0" xfId="0" applyFont="1" applyFill="1" applyBorder="1" applyAlignment="1">
      <alignment horizontal="center"/>
    </xf>
    <xf numFmtId="195" fontId="65" fillId="13" borderId="0" xfId="1" applyNumberFormat="1" applyFont="1" applyFill="1" applyBorder="1" applyAlignment="1" applyProtection="1">
      <alignment horizontal="center"/>
    </xf>
    <xf numFmtId="195" fontId="65" fillId="13" borderId="11" xfId="1" applyNumberFormat="1" applyFont="1" applyFill="1" applyBorder="1" applyAlignment="1" applyProtection="1">
      <alignment horizontal="center"/>
    </xf>
    <xf numFmtId="0" fontId="53" fillId="13" borderId="3" xfId="0" applyFont="1" applyFill="1" applyBorder="1" applyAlignment="1">
      <alignment horizontal="center"/>
    </xf>
    <xf numFmtId="171" fontId="14" fillId="13" borderId="0" xfId="92" applyFont="1" applyFill="1" applyBorder="1" applyAlignment="1" applyProtection="1"/>
    <xf numFmtId="0" fontId="55" fillId="13" borderId="0" xfId="0" applyFont="1" applyFill="1" applyBorder="1" applyAlignment="1">
      <alignment horizontal="center"/>
    </xf>
    <xf numFmtId="3" fontId="53" fillId="13" borderId="0" xfId="0" applyNumberFormat="1" applyFont="1" applyFill="1" applyAlignment="1">
      <alignment horizontal="right" vertical="center"/>
    </xf>
    <xf numFmtId="0" fontId="12" fillId="13" borderId="0" xfId="0" applyFont="1" applyFill="1" applyBorder="1"/>
    <xf numFmtId="0" fontId="53" fillId="13" borderId="0" xfId="0" applyFont="1" applyFill="1" applyBorder="1"/>
    <xf numFmtId="177" fontId="53" fillId="13" borderId="0" xfId="0" applyNumberFormat="1" applyFont="1" applyFill="1" applyBorder="1"/>
    <xf numFmtId="195" fontId="61" fillId="13" borderId="13" xfId="1" applyNumberFormat="1" applyFont="1" applyFill="1" applyBorder="1" applyAlignment="1" applyProtection="1">
      <alignment horizontal="center"/>
    </xf>
    <xf numFmtId="0" fontId="53" fillId="13" borderId="10" xfId="0" applyFont="1" applyFill="1" applyBorder="1"/>
    <xf numFmtId="0" fontId="53" fillId="13" borderId="0" xfId="0" applyFont="1" applyFill="1" applyAlignment="1">
      <alignment horizontal="left"/>
    </xf>
    <xf numFmtId="3" fontId="66" fillId="13" borderId="0" xfId="0" applyNumberFormat="1" applyFont="1" applyFill="1" applyAlignment="1">
      <alignment horizontal="right" vertical="center"/>
    </xf>
    <xf numFmtId="0" fontId="53" fillId="13" borderId="0" xfId="0" applyFont="1" applyFill="1" applyBorder="1" applyAlignment="1">
      <alignment horizontal="left"/>
    </xf>
    <xf numFmtId="0" fontId="53" fillId="13" borderId="0" xfId="326" applyFont="1" applyFill="1" applyBorder="1" applyAlignment="1">
      <alignment horizontal="left"/>
    </xf>
    <xf numFmtId="177" fontId="53" fillId="13" borderId="0" xfId="326" applyNumberFormat="1" applyFont="1" applyFill="1" applyBorder="1" applyAlignment="1">
      <alignment horizontal="left"/>
    </xf>
    <xf numFmtId="205" fontId="53" fillId="13" borderId="10" xfId="9" applyNumberFormat="1" applyFont="1" applyFill="1" applyBorder="1" applyAlignment="1" applyProtection="1"/>
    <xf numFmtId="205" fontId="53" fillId="13" borderId="0" xfId="9" applyNumberFormat="1" applyFont="1" applyFill="1" applyBorder="1" applyAlignment="1" applyProtection="1"/>
    <xf numFmtId="0" fontId="53" fillId="13" borderId="0" xfId="0" applyFont="1" applyFill="1" applyAlignment="1">
      <alignment horizontal="left" indent="1"/>
    </xf>
    <xf numFmtId="0" fontId="53" fillId="13" borderId="0" xfId="0" applyFont="1" applyFill="1" applyAlignment="1">
      <alignment horizontal="center" vertical="center"/>
    </xf>
    <xf numFmtId="195" fontId="53" fillId="13" borderId="0" xfId="0" applyNumberFormat="1" applyFont="1" applyFill="1" applyAlignment="1">
      <alignment horizontal="center" vertical="center"/>
    </xf>
    <xf numFmtId="195" fontId="61" fillId="13" borderId="0" xfId="1" applyNumberFormat="1" applyFont="1" applyFill="1" applyBorder="1" applyAlignment="1" applyProtection="1">
      <alignment horizontal="right"/>
    </xf>
    <xf numFmtId="208" fontId="53" fillId="13" borderId="0" xfId="0" applyNumberFormat="1" applyFont="1" applyFill="1" applyBorder="1"/>
    <xf numFmtId="208" fontId="53" fillId="13" borderId="0" xfId="92" applyNumberFormat="1" applyFont="1" applyFill="1" applyBorder="1" applyAlignment="1" applyProtection="1"/>
    <xf numFmtId="208" fontId="53" fillId="13" borderId="0" xfId="0" applyNumberFormat="1" applyFont="1" applyFill="1" applyBorder="1" applyAlignment="1"/>
    <xf numFmtId="0" fontId="53" fillId="13" borderId="0" xfId="0" applyFont="1" applyFill="1" applyBorder="1" applyAlignment="1">
      <alignment horizontal="left" indent="1"/>
    </xf>
    <xf numFmtId="195" fontId="53" fillId="13" borderId="0" xfId="0" applyNumberFormat="1" applyFont="1" applyFill="1" applyBorder="1" applyAlignment="1">
      <alignment horizontal="center"/>
    </xf>
    <xf numFmtId="3" fontId="66" fillId="13" borderId="0" xfId="0" applyNumberFormat="1" applyFont="1" applyFill="1" applyBorder="1" applyAlignment="1">
      <alignment horizontal="right" vertical="center"/>
    </xf>
    <xf numFmtId="177" fontId="12" fillId="13" borderId="0" xfId="1" applyNumberFormat="1" applyFont="1" applyFill="1" applyBorder="1" applyAlignment="1" applyProtection="1"/>
    <xf numFmtId="195" fontId="61" fillId="13" borderId="13" xfId="1" applyNumberFormat="1" applyFont="1" applyFill="1" applyBorder="1" applyAlignment="1" applyProtection="1">
      <alignment horizontal="right"/>
    </xf>
    <xf numFmtId="208" fontId="53" fillId="13" borderId="10" xfId="92" applyNumberFormat="1" applyFont="1" applyFill="1" applyBorder="1" applyAlignment="1" applyProtection="1">
      <alignment horizontal="right"/>
    </xf>
    <xf numFmtId="195" fontId="53" fillId="13" borderId="0" xfId="92" applyNumberFormat="1" applyFont="1" applyFill="1" applyBorder="1" applyAlignment="1" applyProtection="1"/>
    <xf numFmtId="208" fontId="62" fillId="13" borderId="0" xfId="0" applyNumberFormat="1" applyFont="1" applyFill="1"/>
    <xf numFmtId="177" fontId="12" fillId="13" borderId="0" xfId="0" applyNumberFormat="1" applyFont="1" applyFill="1"/>
    <xf numFmtId="171" fontId="12" fillId="13" borderId="0" xfId="92" applyFont="1" applyFill="1" applyBorder="1" applyAlignment="1" applyProtection="1"/>
    <xf numFmtId="208" fontId="53" fillId="13" borderId="10" xfId="9" applyNumberFormat="1" applyFont="1" applyFill="1" applyBorder="1" applyAlignment="1" applyProtection="1">
      <alignment horizontal="right"/>
    </xf>
    <xf numFmtId="195" fontId="12" fillId="13" borderId="0" xfId="0" applyNumberFormat="1" applyFont="1" applyFill="1"/>
    <xf numFmtId="0" fontId="12" fillId="13" borderId="0" xfId="0" applyFont="1" applyFill="1" applyBorder="1" applyAlignment="1">
      <alignment horizontal="center"/>
    </xf>
    <xf numFmtId="195" fontId="12" fillId="13" borderId="0" xfId="0" applyNumberFormat="1" applyFont="1" applyFill="1" applyBorder="1" applyAlignment="1">
      <alignment horizontal="center"/>
    </xf>
    <xf numFmtId="195" fontId="61" fillId="13" borderId="13" xfId="1" applyNumberFormat="1" applyFont="1" applyFill="1" applyBorder="1" applyAlignment="1" applyProtection="1"/>
    <xf numFmtId="0" fontId="12" fillId="13" borderId="0" xfId="0" applyFont="1" applyFill="1" applyAlignment="1">
      <alignment horizontal="center" vertical="center"/>
    </xf>
    <xf numFmtId="195" fontId="80" fillId="12" borderId="0" xfId="1" applyNumberFormat="1" applyFill="1"/>
    <xf numFmtId="0" fontId="0" fillId="13" borderId="0" xfId="0" applyFill="1" applyBorder="1"/>
    <xf numFmtId="208" fontId="53" fillId="13" borderId="0" xfId="9" applyNumberFormat="1" applyFont="1" applyFill="1" applyBorder="1" applyAlignment="1" applyProtection="1"/>
    <xf numFmtId="208" fontId="53" fillId="13" borderId="8" xfId="9" applyNumberFormat="1" applyFont="1" applyFill="1" applyBorder="1" applyAlignment="1" applyProtection="1">
      <alignment horizontal="right"/>
    </xf>
    <xf numFmtId="195" fontId="80" fillId="12" borderId="8" xfId="1" applyNumberFormat="1" applyFill="1" applyBorder="1" applyProtection="1"/>
    <xf numFmtId="195" fontId="12" fillId="13" borderId="8" xfId="1" applyNumberFormat="1" applyFont="1" applyFill="1" applyBorder="1" applyAlignment="1" applyProtection="1"/>
    <xf numFmtId="208" fontId="53" fillId="13" borderId="8" xfId="9" applyNumberFormat="1" applyFont="1" applyFill="1" applyBorder="1" applyAlignment="1" applyProtection="1"/>
    <xf numFmtId="209" fontId="53" fillId="13" borderId="0" xfId="92" applyNumberFormat="1" applyFont="1" applyFill="1" applyBorder="1" applyAlignment="1" applyProtection="1"/>
    <xf numFmtId="209" fontId="53" fillId="13" borderId="0" xfId="0" applyNumberFormat="1" applyFont="1" applyFill="1" applyBorder="1" applyAlignment="1"/>
    <xf numFmtId="0" fontId="53" fillId="13" borderId="0" xfId="326" applyFont="1" applyFill="1" applyBorder="1"/>
    <xf numFmtId="0" fontId="53" fillId="13" borderId="0" xfId="326" applyFont="1" applyFill="1" applyBorder="1" applyAlignment="1">
      <alignment horizontal="center"/>
    </xf>
    <xf numFmtId="195" fontId="61" fillId="13" borderId="0" xfId="1" applyNumberFormat="1" applyFont="1" applyFill="1" applyBorder="1" applyAlignment="1" applyProtection="1"/>
    <xf numFmtId="209" fontId="53" fillId="13" borderId="0" xfId="0" applyNumberFormat="1" applyFont="1" applyFill="1" applyBorder="1"/>
    <xf numFmtId="0" fontId="53" fillId="13" borderId="0" xfId="326" applyFont="1" applyFill="1" applyBorder="1" applyAlignment="1">
      <alignment horizontal="left" indent="1"/>
    </xf>
    <xf numFmtId="195" fontId="53" fillId="13" borderId="0" xfId="326" applyNumberFormat="1" applyFont="1" applyFill="1" applyBorder="1" applyAlignment="1">
      <alignment horizontal="center"/>
    </xf>
    <xf numFmtId="208" fontId="53" fillId="13" borderId="0" xfId="326" applyNumberFormat="1" applyFont="1" applyFill="1" applyBorder="1" applyAlignment="1">
      <alignment horizontal="right"/>
    </xf>
    <xf numFmtId="208" fontId="53" fillId="13" borderId="10" xfId="9" applyNumberFormat="1" applyFont="1" applyFill="1" applyBorder="1" applyAlignment="1" applyProtection="1"/>
    <xf numFmtId="205" fontId="12" fillId="13" borderId="0" xfId="0" applyNumberFormat="1" applyFont="1" applyFill="1"/>
    <xf numFmtId="177" fontId="53" fillId="13" borderId="0" xfId="9" applyNumberFormat="1" applyFont="1" applyFill="1" applyBorder="1" applyAlignment="1" applyProtection="1"/>
    <xf numFmtId="208" fontId="53" fillId="13" borderId="0" xfId="0" applyNumberFormat="1" applyFont="1" applyFill="1" applyBorder="1" applyAlignment="1">
      <alignment horizontal="right"/>
    </xf>
    <xf numFmtId="164" fontId="12" fillId="13" borderId="0" xfId="1" applyFont="1" applyFill="1" applyBorder="1" applyAlignment="1" applyProtection="1"/>
    <xf numFmtId="164" fontId="12" fillId="13" borderId="7" xfId="1" applyFont="1" applyFill="1" applyBorder="1" applyAlignment="1" applyProtection="1"/>
    <xf numFmtId="164" fontId="12" fillId="13" borderId="6" xfId="1" applyFont="1" applyFill="1" applyBorder="1" applyAlignment="1" applyProtection="1"/>
    <xf numFmtId="195" fontId="53" fillId="13" borderId="7" xfId="92" applyNumberFormat="1" applyFont="1" applyFill="1" applyBorder="1" applyAlignment="1" applyProtection="1"/>
    <xf numFmtId="195" fontId="12" fillId="13" borderId="1" xfId="1" applyNumberFormat="1" applyFont="1" applyFill="1" applyBorder="1" applyAlignment="1" applyProtection="1"/>
    <xf numFmtId="0" fontId="66" fillId="13" borderId="0" xfId="326" applyFont="1" applyFill="1" applyBorder="1" applyAlignment="1">
      <alignment horizontal="center"/>
    </xf>
    <xf numFmtId="208" fontId="53" fillId="13" borderId="1" xfId="92" applyNumberFormat="1" applyFont="1" applyFill="1" applyBorder="1" applyAlignment="1" applyProtection="1"/>
    <xf numFmtId="208" fontId="53" fillId="13" borderId="6" xfId="92" applyNumberFormat="1" applyFont="1" applyFill="1" applyBorder="1" applyAlignment="1" applyProtection="1"/>
    <xf numFmtId="195" fontId="12" fillId="13" borderId="8" xfId="0" applyNumberFormat="1" applyFont="1" applyFill="1" applyBorder="1"/>
    <xf numFmtId="0" fontId="66" fillId="13" borderId="0" xfId="0" applyFont="1" applyFill="1" applyAlignment="1">
      <alignment horizontal="center" vertical="center"/>
    </xf>
    <xf numFmtId="208" fontId="12" fillId="13" borderId="8" xfId="0" applyNumberFormat="1" applyFont="1" applyFill="1" applyBorder="1"/>
    <xf numFmtId="208" fontId="12" fillId="13" borderId="3" xfId="0" applyNumberFormat="1" applyFont="1" applyFill="1" applyBorder="1"/>
    <xf numFmtId="208" fontId="53" fillId="13" borderId="0" xfId="326" applyNumberFormat="1" applyFont="1" applyFill="1" applyBorder="1"/>
    <xf numFmtId="208" fontId="53" fillId="13" borderId="10" xfId="0" applyNumberFormat="1" applyFont="1" applyFill="1" applyBorder="1"/>
    <xf numFmtId="210" fontId="53" fillId="13" borderId="0" xfId="0" applyNumberFormat="1" applyFont="1" applyFill="1" applyBorder="1"/>
    <xf numFmtId="208" fontId="53" fillId="13" borderId="10" xfId="92" applyNumberFormat="1" applyFont="1" applyFill="1" applyBorder="1" applyAlignment="1" applyProtection="1"/>
    <xf numFmtId="210" fontId="53" fillId="13" borderId="0" xfId="0" applyNumberFormat="1" applyFont="1" applyFill="1" applyBorder="1" applyAlignment="1">
      <alignment horizontal="center"/>
    </xf>
    <xf numFmtId="0" fontId="66" fillId="13" borderId="0" xfId="0" applyFont="1" applyFill="1" applyBorder="1" applyAlignment="1">
      <alignment horizontal="center"/>
    </xf>
    <xf numFmtId="177" fontId="53" fillId="13" borderId="2" xfId="9" applyNumberFormat="1" applyFont="1" applyFill="1" applyBorder="1" applyAlignment="1" applyProtection="1"/>
    <xf numFmtId="3" fontId="61" fillId="13" borderId="0" xfId="0" applyNumberFormat="1" applyFont="1" applyFill="1" applyAlignment="1">
      <alignment horizontal="center" vertical="center"/>
    </xf>
    <xf numFmtId="0" fontId="53" fillId="13" borderId="0" xfId="326" applyFont="1" applyFill="1" applyBorder="1" applyAlignment="1">
      <alignment wrapText="1"/>
    </xf>
    <xf numFmtId="177" fontId="53" fillId="13" borderId="2" xfId="9" applyNumberFormat="1" applyFont="1" applyFill="1" applyBorder="1" applyAlignment="1" applyProtection="1">
      <alignment horizontal="right"/>
    </xf>
    <xf numFmtId="177" fontId="53" fillId="13" borderId="37" xfId="9" applyNumberFormat="1" applyFont="1" applyFill="1" applyBorder="1" applyAlignment="1" applyProtection="1"/>
    <xf numFmtId="195" fontId="53" fillId="13" borderId="0" xfId="0" applyNumberFormat="1" applyFont="1" applyFill="1" applyBorder="1"/>
    <xf numFmtId="195" fontId="61" fillId="13" borderId="18" xfId="1" applyNumberFormat="1" applyFont="1" applyFill="1" applyBorder="1" applyAlignment="1" applyProtection="1"/>
    <xf numFmtId="0" fontId="12" fillId="13" borderId="6" xfId="0" applyFont="1" applyFill="1" applyBorder="1"/>
    <xf numFmtId="212" fontId="84" fillId="12" borderId="3" xfId="0" applyNumberFormat="1" applyFont="1" applyFill="1" applyBorder="1"/>
    <xf numFmtId="3" fontId="12" fillId="13" borderId="0" xfId="0" applyNumberFormat="1" applyFont="1" applyFill="1"/>
    <xf numFmtId="195" fontId="12" fillId="16" borderId="0" xfId="1" applyNumberFormat="1" applyFont="1" applyFill="1" applyBorder="1" applyAlignment="1" applyProtection="1"/>
    <xf numFmtId="195" fontId="49" fillId="13" borderId="0" xfId="467" applyNumberFormat="1" applyFont="1" applyFill="1" applyBorder="1" applyAlignment="1">
      <alignment horizontal="center"/>
    </xf>
    <xf numFmtId="3" fontId="89" fillId="13" borderId="0" xfId="0" applyNumberFormat="1" applyFont="1" applyFill="1" applyAlignment="1">
      <alignment horizontal="right" vertical="center"/>
    </xf>
    <xf numFmtId="0" fontId="90" fillId="13" borderId="0" xfId="0" applyFont="1" applyFill="1" applyAlignment="1">
      <alignment horizontal="left" indent="1"/>
    </xf>
    <xf numFmtId="195" fontId="80" fillId="12" borderId="0" xfId="1" applyNumberFormat="1" applyFill="1" applyBorder="1"/>
    <xf numFmtId="195" fontId="80" fillId="12" borderId="0" xfId="1" applyNumberFormat="1" applyFill="1" applyBorder="1" applyProtection="1"/>
    <xf numFmtId="195" fontId="0" fillId="12" borderId="0" xfId="0" applyNumberFormat="1" applyFill="1"/>
    <xf numFmtId="0" fontId="69" fillId="12" borderId="0" xfId="0" applyFont="1" applyFill="1" applyAlignment="1">
      <alignment horizontal="center"/>
    </xf>
    <xf numFmtId="208" fontId="51" fillId="6" borderId="0" xfId="0" applyNumberFormat="1" applyFont="1" applyFill="1"/>
    <xf numFmtId="195" fontId="12" fillId="12" borderId="0" xfId="1" applyNumberFormat="1" applyFont="1" applyFill="1" applyBorder="1" applyAlignment="1" applyProtection="1"/>
    <xf numFmtId="195" fontId="70" fillId="13" borderId="0" xfId="1" applyNumberFormat="1" applyFont="1" applyFill="1" applyBorder="1" applyAlignment="1" applyProtection="1"/>
    <xf numFmtId="195" fontId="57" fillId="0" borderId="0" xfId="0" applyNumberFormat="1" applyFont="1" applyAlignment="1">
      <alignment wrapText="1"/>
    </xf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1077" t="s">
        <v>2</v>
      </c>
      <c r="Q3" s="1077"/>
      <c r="V3" s="4"/>
      <c r="AG3" s="1077" t="s">
        <v>2</v>
      </c>
      <c r="AH3" s="1077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1078">
        <f>P78-Q78</f>
        <v>224942.27000001073</v>
      </c>
      <c r="Q79" s="1078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1084" t="s">
        <v>340</v>
      </c>
      <c r="D1" s="1084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1084" t="s">
        <v>349</v>
      </c>
      <c r="D14" s="1084"/>
      <c r="E14" s="1084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1085">
        <v>2017</v>
      </c>
      <c r="L3" s="1085"/>
      <c r="M3" s="1085">
        <v>2016</v>
      </c>
      <c r="N3" s="1085"/>
      <c r="O3" s="1085" t="s">
        <v>5</v>
      </c>
      <c r="P3" s="1085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1085">
        <v>2017</v>
      </c>
      <c r="L8" s="1085"/>
      <c r="M8" s="1085">
        <v>2016</v>
      </c>
      <c r="N8" s="1085"/>
      <c r="O8" s="1085" t="s">
        <v>5</v>
      </c>
      <c r="P8" s="1085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1085">
        <v>2017</v>
      </c>
      <c r="L20" s="1085"/>
      <c r="M20" s="1085">
        <v>2016</v>
      </c>
      <c r="N20" s="1085"/>
      <c r="O20" s="1085" t="s">
        <v>5</v>
      </c>
      <c r="P20" s="1085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1085">
        <v>2017</v>
      </c>
      <c r="L39" s="1085"/>
      <c r="M39" s="1085">
        <v>2016</v>
      </c>
      <c r="N39" s="1085"/>
      <c r="O39" s="1085" t="s">
        <v>5</v>
      </c>
      <c r="P39" s="1085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1085">
        <v>2017</v>
      </c>
      <c r="L55" s="1085"/>
      <c r="M55" s="1085">
        <v>2016</v>
      </c>
      <c r="N55" s="1085"/>
      <c r="O55" s="1085" t="s">
        <v>5</v>
      </c>
      <c r="P55" s="1085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1085">
        <v>2017</v>
      </c>
      <c r="L73" s="1085"/>
      <c r="M73" s="1085">
        <v>2016</v>
      </c>
      <c r="N73" s="1085"/>
      <c r="O73" s="1085" t="s">
        <v>5</v>
      </c>
      <c r="P73" s="1085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1085">
        <v>2017</v>
      </c>
      <c r="L92" s="1085"/>
      <c r="M92" s="1085">
        <v>2016</v>
      </c>
      <c r="N92" s="1085"/>
      <c r="O92" s="1085" t="s">
        <v>5</v>
      </c>
      <c r="P92" s="1085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1085">
        <v>2017</v>
      </c>
      <c r="L109" s="1085"/>
      <c r="M109" s="1085">
        <v>2016</v>
      </c>
      <c r="N109" s="1085"/>
      <c r="O109" s="1085" t="s">
        <v>5</v>
      </c>
      <c r="P109" s="1085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1085">
        <v>2017</v>
      </c>
      <c r="L126" s="1085"/>
      <c r="M126" s="1085">
        <v>2016</v>
      </c>
      <c r="N126" s="1085"/>
      <c r="O126" s="1085" t="s">
        <v>5</v>
      </c>
      <c r="P126" s="1085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1085">
        <v>2017</v>
      </c>
      <c r="L142" s="1085"/>
      <c r="M142" s="1085">
        <v>2016</v>
      </c>
      <c r="N142" s="1085"/>
      <c r="O142" s="1085" t="s">
        <v>5</v>
      </c>
      <c r="P142" s="1085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1085">
        <v>2017</v>
      </c>
      <c r="L159" s="1085"/>
      <c r="M159" s="1085">
        <v>2016</v>
      </c>
      <c r="N159" s="1085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1085">
        <v>2017</v>
      </c>
      <c r="L184" s="1085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1085">
        <v>2018</v>
      </c>
      <c r="P22" s="1085"/>
      <c r="Q22" s="1085">
        <v>2017</v>
      </c>
      <c r="R22" s="1085"/>
      <c r="S22" s="1085">
        <v>2016</v>
      </c>
      <c r="T22" s="1085"/>
      <c r="U22" s="1085" t="s">
        <v>5</v>
      </c>
      <c r="V22" s="1085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1085">
        <v>2017</v>
      </c>
      <c r="R27" s="1085"/>
      <c r="S27" s="1085">
        <v>2016</v>
      </c>
      <c r="T27" s="1085"/>
      <c r="U27" s="1085" t="s">
        <v>5</v>
      </c>
      <c r="V27" s="1085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1085">
        <v>2017</v>
      </c>
      <c r="R39" s="1085"/>
      <c r="S39" s="1085">
        <v>2016</v>
      </c>
      <c r="T39" s="1085"/>
      <c r="U39" s="1085" t="s">
        <v>5</v>
      </c>
      <c r="V39" s="1085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1085">
        <v>2017</v>
      </c>
      <c r="R60" s="1085"/>
      <c r="S60" s="1085">
        <v>2016</v>
      </c>
      <c r="T60" s="1085"/>
      <c r="U60" s="1085" t="s">
        <v>5</v>
      </c>
      <c r="V60" s="1085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1085">
        <v>2017</v>
      </c>
      <c r="R77" s="1085"/>
      <c r="S77" s="1085">
        <v>2016</v>
      </c>
      <c r="T77" s="1085"/>
      <c r="U77" s="1085" t="s">
        <v>5</v>
      </c>
      <c r="V77" s="1085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1085">
        <v>2017</v>
      </c>
      <c r="R97" s="1085"/>
      <c r="S97" s="1085">
        <v>2016</v>
      </c>
      <c r="T97" s="1085"/>
      <c r="U97" s="1085" t="s">
        <v>5</v>
      </c>
      <c r="V97" s="1085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1085">
        <v>2017</v>
      </c>
      <c r="R117" s="1085"/>
      <c r="S117" s="1085">
        <v>2016</v>
      </c>
      <c r="T117" s="1085"/>
      <c r="U117" s="1085" t="s">
        <v>5</v>
      </c>
      <c r="V117" s="1085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1085">
        <v>2017</v>
      </c>
      <c r="R134" s="1085"/>
      <c r="S134" s="1085">
        <v>2016</v>
      </c>
      <c r="T134" s="1085"/>
      <c r="U134" s="1085" t="s">
        <v>5</v>
      </c>
      <c r="V134" s="1085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1085">
        <v>2017</v>
      </c>
      <c r="R151" s="1085"/>
      <c r="S151" s="1085">
        <v>2016</v>
      </c>
      <c r="T151" s="1085"/>
      <c r="U151" s="1085" t="s">
        <v>5</v>
      </c>
      <c r="V151" s="1085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1085">
        <v>2017</v>
      </c>
      <c r="R168" s="1085"/>
      <c r="S168" s="1085">
        <v>2016</v>
      </c>
      <c r="T168" s="1085"/>
      <c r="U168" s="1085" t="s">
        <v>5</v>
      </c>
      <c r="V168" s="1085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-475384</v>
      </c>
      <c r="D174" s="265">
        <f>'ESF - ERI'!AB55</f>
        <v>-15422</v>
      </c>
      <c r="E174" s="265">
        <f t="shared" si="34"/>
        <v>-459962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150815</v>
      </c>
      <c r="D175" s="315">
        <f>'ESF - ERI'!AB56</f>
        <v>-344143</v>
      </c>
      <c r="E175" s="315">
        <f t="shared" si="34"/>
        <v>494958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1509649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1509649</v>
      </c>
      <c r="D181" s="265">
        <f>D177-D180</f>
        <v>0</v>
      </c>
      <c r="E181" s="306">
        <f>C181-D181</f>
        <v>1509649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1085">
        <v>2017</v>
      </c>
      <c r="R185" s="1085"/>
      <c r="S185" s="1085">
        <v>2016</v>
      </c>
      <c r="T185" s="1085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1085">
        <v>2017</v>
      </c>
      <c r="R206" s="1085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-1846761</v>
      </c>
      <c r="D212" s="265">
        <f>'ESF - ERI'!AD55</f>
        <v>-144335</v>
      </c>
      <c r="E212" s="265">
        <f t="shared" si="42"/>
        <v>-1702426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-1930058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-1930058</v>
      </c>
      <c r="D219" s="265">
        <f>D215-D218</f>
        <v>0</v>
      </c>
      <c r="E219" s="306">
        <f>C219-D219</f>
        <v>-1930058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-324569</v>
      </c>
      <c r="V11" s="361"/>
      <c r="W11" s="359">
        <f>'Planilla final'!L56</f>
        <v>-3973274</v>
      </c>
      <c r="X11" s="361"/>
      <c r="Y11" s="359">
        <f>'Planilla final'!M56</f>
        <v>-1940058</v>
      </c>
      <c r="Z11" s="360"/>
      <c r="AA11" s="360">
        <f t="shared" si="0"/>
        <v>31363131.639999993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35499688.639999993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1509649</v>
      </c>
      <c r="V13" s="361"/>
      <c r="W13" s="365">
        <f>+SUM(W3:W11)</f>
        <v>546131</v>
      </c>
      <c r="X13" s="361"/>
      <c r="Y13" s="365">
        <f>+SUM(Y3:Y11)</f>
        <v>-1930058</v>
      </c>
      <c r="Z13" s="360"/>
      <c r="AA13" s="365">
        <f>+SUM(AA3:AA11)</f>
        <v>108772005.96000001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60850882.309999987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-300226.32500000001</v>
      </c>
      <c r="V27" s="361"/>
      <c r="W27" s="378">
        <f>+W11*W$16</f>
        <v>-3933541.26</v>
      </c>
      <c r="X27" s="361"/>
      <c r="Y27" s="378">
        <f>+Y11*Y$16</f>
        <v>-1940058</v>
      </c>
      <c r="Z27" s="360"/>
      <c r="AA27" s="378">
        <f t="shared" si="5"/>
        <v>33652326.698675036</v>
      </c>
      <c r="AC27" s="379">
        <f t="shared" si="6"/>
        <v>3484702</v>
      </c>
      <c r="AE27" s="380">
        <f>+AE11</f>
        <v>7621259</v>
      </c>
      <c r="AG27" s="381">
        <f t="shared" si="8"/>
        <v>37788883.698675036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1533931.675</v>
      </c>
      <c r="V28" s="367"/>
      <c r="W28" s="368">
        <f>+SUM(W19:W27)</f>
        <v>304505.31000000052</v>
      </c>
      <c r="X28" s="367"/>
      <c r="Y28" s="368">
        <f>+SUM(Y19:Y27)</f>
        <v>-1930058</v>
      </c>
      <c r="AA28" s="368">
        <f>+SUM(AA19:AA27)</f>
        <v>95343993.493675038</v>
      </c>
      <c r="AC28" s="368">
        <f>+SUM(AC19:AC27)</f>
        <v>55542383</v>
      </c>
      <c r="AE28" s="368">
        <f>+SUM(AE19:AE27)</f>
        <v>7621259</v>
      </c>
      <c r="AG28" s="362">
        <f>+SUM(AG19:AG27)</f>
        <v>47422869.493675038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-24342.674999999988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-2289195.0586750382</v>
      </c>
      <c r="AC39" s="379">
        <v>0</v>
      </c>
      <c r="AE39" s="379">
        <v>0</v>
      </c>
      <c r="AG39" s="381">
        <f>+AA39+AC39+AE39</f>
        <v>-2289195.0586750382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-24282.674999999988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12121943.816324962</v>
      </c>
      <c r="AC40" s="368">
        <f>+SUM(AC31:AC39)</f>
        <v>0</v>
      </c>
      <c r="AE40" s="368">
        <f>+SUM(AE31:AE39)</f>
        <v>0</v>
      </c>
      <c r="AG40" s="375">
        <f>+SUM(AG31:AG39)</f>
        <v>12121943.816324962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1509649</v>
      </c>
      <c r="V42" s="367"/>
      <c r="W42" s="368">
        <f>+W40+W28</f>
        <v>618774.00000000023</v>
      </c>
      <c r="X42" s="367"/>
      <c r="Y42" s="368">
        <f>+Y40+Y28</f>
        <v>-1930058</v>
      </c>
      <c r="AA42" s="368">
        <f>+AA40+AA28</f>
        <v>107465937.31</v>
      </c>
      <c r="AC42" s="368">
        <f>+AC40+AC28</f>
        <v>55542383</v>
      </c>
      <c r="AE42" s="368">
        <f>+AE40+AE28</f>
        <v>7621259</v>
      </c>
      <c r="AG42" s="368">
        <f>+AG40+AG28</f>
        <v>59544813.310000002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855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19822071</v>
      </c>
      <c r="F49" s="395"/>
      <c r="G49" s="265">
        <f t="shared" ref="G49:G60" si="23">+E49*C49</f>
        <v>19822071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150815</v>
      </c>
      <c r="F58" s="395"/>
      <c r="G58" s="265">
        <f t="shared" si="23"/>
        <v>139503.875</v>
      </c>
      <c r="H58" s="395"/>
      <c r="I58" s="396">
        <f t="shared" si="24"/>
        <v>11311.125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17536928.050000001</v>
      </c>
      <c r="F61" s="389"/>
      <c r="G61" s="399">
        <f>SUM(G49:G60)</f>
        <v>18237551.2780159</v>
      </c>
      <c r="H61" s="389"/>
      <c r="I61" s="400">
        <f>SUM(I49:I60)</f>
        <v>-700623.22801590012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zoomScaleNormal="100" workbookViewId="0">
      <selection activeCell="B1" sqref="B1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763"/>
      <c r="B6" s="763"/>
      <c r="C6" s="495"/>
      <c r="D6" s="495"/>
      <c r="I6" s="408"/>
    </row>
    <row r="7" spans="1:10" s="407" customFormat="1" ht="12">
      <c r="A7" s="411"/>
      <c r="B7" s="808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770">
        <f>+SUM(C8:C11)</f>
        <v>1150814</v>
      </c>
      <c r="D12" s="770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09" t="s">
        <v>208</v>
      </c>
      <c r="B20" s="810" t="s">
        <v>472</v>
      </c>
      <c r="C20" s="811"/>
      <c r="D20" s="811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09" t="s">
        <v>208</v>
      </c>
      <c r="B25" s="810" t="s">
        <v>464</v>
      </c>
      <c r="C25" s="875"/>
      <c r="D25" s="875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08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954" t="s">
        <v>208</v>
      </c>
      <c r="B33" s="955" t="s">
        <v>820</v>
      </c>
      <c r="C33" s="956"/>
      <c r="D33" s="956">
        <f>+C31-D34</f>
        <v>0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1282511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770">
        <f>+SUM(C30:C35)</f>
        <v>1282511</v>
      </c>
      <c r="D36" s="770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08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821</v>
      </c>
      <c r="C41" s="413">
        <v>27178</v>
      </c>
      <c r="D41" s="413"/>
    </row>
    <row r="42" spans="1:6" s="407" customFormat="1" ht="12">
      <c r="A42" s="772" t="s">
        <v>212</v>
      </c>
      <c r="B42" s="773" t="s">
        <v>882</v>
      </c>
      <c r="C42" s="774">
        <v>831651</v>
      </c>
      <c r="D42" s="774"/>
    </row>
    <row r="43" spans="1:6" s="407" customFormat="1" ht="12">
      <c r="A43" s="772" t="s">
        <v>208</v>
      </c>
      <c r="B43" s="773" t="s">
        <v>883</v>
      </c>
      <c r="C43" s="774"/>
      <c r="D43" s="774">
        <v>529779</v>
      </c>
    </row>
    <row r="44" spans="1:6" s="407" customFormat="1" ht="12">
      <c r="A44" s="415" t="s">
        <v>247</v>
      </c>
      <c r="B44" s="411" t="s">
        <v>822</v>
      </c>
      <c r="C44" s="413"/>
      <c r="D44" s="413">
        <v>852144</v>
      </c>
    </row>
    <row r="45" spans="1:6" s="407" customFormat="1" ht="12">
      <c r="A45" s="415" t="s">
        <v>247</v>
      </c>
      <c r="B45" s="411" t="s">
        <v>881</v>
      </c>
      <c r="C45" s="413"/>
      <c r="D45" s="413">
        <v>6686</v>
      </c>
    </row>
    <row r="46" spans="1:6" s="407" customFormat="1" ht="12">
      <c r="A46" s="415" t="s">
        <v>212</v>
      </c>
      <c r="B46" s="411" t="s">
        <v>823</v>
      </c>
      <c r="C46" s="413"/>
      <c r="D46" s="413">
        <v>129109</v>
      </c>
      <c r="F46" s="420" t="e">
        <f>+C39+C40+C44-#REF!-D46</f>
        <v>#REF!</v>
      </c>
    </row>
    <row r="47" spans="1:6" s="407" customFormat="1" ht="12">
      <c r="A47" s="418"/>
      <c r="B47" s="426" t="s">
        <v>481</v>
      </c>
      <c r="C47" s="429">
        <f>+SUM(C39:C46)</f>
        <v>1517718</v>
      </c>
      <c r="D47" s="429">
        <f>+SUM(D39:D46)</f>
        <v>1517718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808" t="s">
        <v>482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462</v>
      </c>
      <c r="C51" s="413">
        <v>1728261</v>
      </c>
      <c r="D51" s="413"/>
    </row>
    <row r="52" spans="1:6" s="407" customFormat="1" ht="12" hidden="1">
      <c r="A52" s="415" t="s">
        <v>32</v>
      </c>
      <c r="B52" s="411" t="s">
        <v>463</v>
      </c>
      <c r="C52" s="430">
        <v>0</v>
      </c>
      <c r="D52" s="413"/>
    </row>
    <row r="53" spans="1:6" s="407" customFormat="1" ht="12" hidden="1">
      <c r="A53" s="415" t="s">
        <v>32</v>
      </c>
      <c r="B53" s="411" t="s">
        <v>463</v>
      </c>
      <c r="C53" s="413">
        <v>0</v>
      </c>
      <c r="D53" s="413"/>
    </row>
    <row r="54" spans="1:6" s="425" customFormat="1" ht="12" hidden="1">
      <c r="A54" s="769" t="s">
        <v>208</v>
      </c>
      <c r="B54" s="767" t="s">
        <v>483</v>
      </c>
      <c r="C54" s="768"/>
      <c r="D54" s="413"/>
      <c r="E54" s="525"/>
    </row>
    <row r="55" spans="1:6" s="407" customFormat="1" ht="12">
      <c r="A55" s="415" t="s">
        <v>212</v>
      </c>
      <c r="B55" s="411" t="s">
        <v>495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825</v>
      </c>
      <c r="C56" s="417"/>
      <c r="D56" s="417">
        <v>545136</v>
      </c>
      <c r="F56" s="420">
        <f>+C51+C54+C52-D56</f>
        <v>1183125</v>
      </c>
    </row>
    <row r="57" spans="1:6" s="407" customFormat="1" ht="24">
      <c r="A57" s="418"/>
      <c r="B57" s="426" t="s">
        <v>485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486</v>
      </c>
      <c r="C59" s="413"/>
      <c r="D59" s="413"/>
    </row>
    <row r="60" spans="1:6" s="407" customFormat="1" ht="12">
      <c r="A60" s="415" t="s">
        <v>278</v>
      </c>
      <c r="B60" s="411" t="s">
        <v>463</v>
      </c>
      <c r="C60" s="413">
        <v>439322</v>
      </c>
      <c r="D60" s="413"/>
    </row>
    <row r="61" spans="1:6" s="407" customFormat="1" ht="12">
      <c r="A61" s="809" t="s">
        <v>243</v>
      </c>
      <c r="B61" s="810" t="s">
        <v>831</v>
      </c>
      <c r="C61" s="811"/>
      <c r="D61" s="811">
        <v>439322</v>
      </c>
    </row>
    <row r="62" spans="1:6" s="407" customFormat="1" ht="24">
      <c r="A62" s="418"/>
      <c r="B62" s="426" t="s">
        <v>487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771" t="s">
        <v>824</v>
      </c>
      <c r="C64" s="413"/>
      <c r="D64" s="413"/>
    </row>
    <row r="65" spans="1:9" s="407" customFormat="1" ht="12">
      <c r="A65" s="772" t="s">
        <v>212</v>
      </c>
      <c r="B65" s="773" t="s">
        <v>462</v>
      </c>
      <c r="C65" s="774">
        <v>6000</v>
      </c>
      <c r="D65" s="774"/>
    </row>
    <row r="66" spans="1:9" s="407" customFormat="1" ht="12">
      <c r="A66" s="772" t="s">
        <v>208</v>
      </c>
      <c r="B66" s="810" t="s">
        <v>483</v>
      </c>
      <c r="C66" s="774">
        <v>9000</v>
      </c>
      <c r="D66" s="774"/>
    </row>
    <row r="67" spans="1:9" s="407" customFormat="1" ht="12">
      <c r="A67" s="772" t="s">
        <v>433</v>
      </c>
      <c r="B67" s="775" t="s">
        <v>825</v>
      </c>
      <c r="C67" s="776"/>
      <c r="D67" s="776">
        <v>15000</v>
      </c>
    </row>
    <row r="68" spans="1:9" s="407" customFormat="1" ht="24">
      <c r="A68" s="418"/>
      <c r="B68" s="426" t="s">
        <v>487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+C62+C57+C47+C36+C27+C21+C12+C68</f>
        <v>11750415</v>
      </c>
      <c r="D70" s="433">
        <f>+D62+D57+D47+D36+D27+D21+D12+D68</f>
        <v>11750415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488</v>
      </c>
      <c r="C72" s="422"/>
      <c r="D72" s="422"/>
      <c r="F72" s="439"/>
      <c r="G72" s="439"/>
    </row>
    <row r="73" spans="1:9" s="403" customFormat="1" hidden="1">
      <c r="B73" s="440" t="s">
        <v>489</v>
      </c>
      <c r="C73" s="441">
        <f>+C8+C17+C24+C32+C39+C41+C51+C53+C60</f>
        <v>3717764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+C9+C16+C31+C40+C15</f>
        <v>7176000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490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469</v>
      </c>
      <c r="C76" s="441" t="e">
        <f>+#REF!</f>
        <v>#REF!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464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491</v>
      </c>
      <c r="C79" s="411"/>
      <c r="D79" s="441" t="e">
        <f>+D10+D19+D26+D34+D35+#REF!+D46+D56+D61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492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493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494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495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496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497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-4103705</v>
      </c>
      <c r="D86" s="434">
        <f>+D70-'AD ESF'!E205</f>
        <v>-4103705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812"/>
      <c r="C87" s="813"/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1"/>
  <sheetViews>
    <sheetView showGridLines="0" topLeftCell="A291" zoomScaleNormal="100" workbookViewId="0">
      <selection activeCell="D291" sqref="D291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528</v>
      </c>
      <c r="D2" s="517" t="s">
        <v>200</v>
      </c>
      <c r="E2" s="517" t="s">
        <v>201</v>
      </c>
      <c r="I2" s="514"/>
    </row>
    <row r="3" spans="2:10" hidden="1" outlineLevel="1">
      <c r="C3" s="518" t="s">
        <v>529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530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531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532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533</v>
      </c>
    </row>
    <row r="16" spans="2:10" hidden="1" outlineLevel="1">
      <c r="B16" s="513" t="s">
        <v>534</v>
      </c>
      <c r="C16" s="425" t="s">
        <v>87</v>
      </c>
      <c r="D16" s="514">
        <v>800</v>
      </c>
      <c r="I16" s="514"/>
    </row>
    <row r="17" spans="2:6" hidden="1" outlineLevel="1">
      <c r="B17" s="513" t="s">
        <v>534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535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536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537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538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539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540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541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542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543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544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545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546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531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547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548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549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538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539</v>
      </c>
      <c r="D61" s="514">
        <v>147840</v>
      </c>
    </row>
    <row r="62" spans="2:8" hidden="1" outlineLevel="1">
      <c r="B62" s="513" t="s">
        <v>208</v>
      </c>
      <c r="C62" s="425" t="s">
        <v>540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550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551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539</v>
      </c>
      <c r="D71" s="514">
        <v>140052</v>
      </c>
    </row>
    <row r="72" spans="2:6" hidden="1" outlineLevel="1">
      <c r="B72" s="513" t="s">
        <v>208</v>
      </c>
      <c r="C72" s="425" t="s">
        <v>540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552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553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554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555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539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556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557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558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559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560</v>
      </c>
      <c r="E100" s="514">
        <v>56932</v>
      </c>
    </row>
    <row r="101" spans="2:6" hidden="1" outlineLevel="1">
      <c r="B101" s="519" t="s">
        <v>212</v>
      </c>
      <c r="C101" s="520" t="s">
        <v>531</v>
      </c>
      <c r="D101" s="521"/>
      <c r="E101" s="521">
        <v>72</v>
      </c>
    </row>
    <row r="102" spans="2:6" hidden="1" outlineLevel="1">
      <c r="B102" s="519" t="s">
        <v>212</v>
      </c>
      <c r="C102" s="520" t="s">
        <v>561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562</v>
      </c>
      <c r="D104" s="522"/>
      <c r="E104" s="522">
        <v>3491044</v>
      </c>
    </row>
    <row r="105" spans="2:6" hidden="1" outlineLevel="1">
      <c r="C105" s="425" t="s">
        <v>563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564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565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566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567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568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562</v>
      </c>
      <c r="D124" s="522"/>
      <c r="E124" s="522">
        <f>+D123</f>
        <v>394335</v>
      </c>
    </row>
    <row r="125" spans="2:6" hidden="1" outlineLevel="1">
      <c r="C125" s="425" t="s">
        <v>569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570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571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572</v>
      </c>
    </row>
    <row r="136" spans="2:6" ht="32.25" hidden="1" customHeight="1" outlineLevel="1">
      <c r="C136" s="535" t="s">
        <v>850</v>
      </c>
      <c r="D136" s="529" t="s">
        <v>216</v>
      </c>
      <c r="E136" s="529" t="s">
        <v>459</v>
      </c>
    </row>
    <row r="137" spans="2:6" hidden="1" outlineLevel="1">
      <c r="C137" s="876" t="s">
        <v>172</v>
      </c>
      <c r="D137" s="877">
        <f>+D94+D82+D77+D68+D56+D40+D32+D23+D16+D4</f>
        <v>4753717</v>
      </c>
      <c r="E137" s="531"/>
    </row>
    <row r="138" spans="2:6" hidden="1" outlineLevel="1">
      <c r="C138" s="876" t="s">
        <v>90</v>
      </c>
      <c r="D138" s="877">
        <f>+D24+D57</f>
        <v>74927</v>
      </c>
      <c r="E138" s="531"/>
    </row>
    <row r="139" spans="2:6" hidden="1" outlineLevel="1">
      <c r="C139" s="876" t="s">
        <v>92</v>
      </c>
      <c r="D139" s="877">
        <f>+D17+D33+D69</f>
        <v>111199</v>
      </c>
      <c r="E139" s="531"/>
    </row>
    <row r="140" spans="2:6" hidden="1" outlineLevel="1">
      <c r="C140" s="876" t="s">
        <v>469</v>
      </c>
      <c r="D140" s="877">
        <f>+D5+D34+D41+D58+D83+D95</f>
        <v>31237644</v>
      </c>
      <c r="E140" s="531"/>
    </row>
    <row r="141" spans="2:6" hidden="1" outlineLevel="1">
      <c r="C141" s="876" t="s">
        <v>574</v>
      </c>
      <c r="D141" s="877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876" t="s">
        <v>575</v>
      </c>
      <c r="D144" s="877"/>
      <c r="E144" s="877">
        <f>+E100-82150</f>
        <v>-25218</v>
      </c>
    </row>
    <row r="145" spans="3:6" hidden="1" outlineLevel="1">
      <c r="C145" s="876" t="s">
        <v>576</v>
      </c>
      <c r="D145" s="877"/>
      <c r="E145" s="877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577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578</v>
      </c>
    </row>
    <row r="151" spans="3:6" ht="24.75" hidden="1" outlineLevel="1">
      <c r="C151" s="535" t="s">
        <v>579</v>
      </c>
      <c r="D151" s="529" t="s">
        <v>216</v>
      </c>
      <c r="E151" s="529" t="s">
        <v>459</v>
      </c>
    </row>
    <row r="152" spans="3:6" hidden="1" outlineLevel="1">
      <c r="C152" s="876" t="s">
        <v>580</v>
      </c>
      <c r="D152" s="877">
        <v>1378712</v>
      </c>
      <c r="E152" s="531"/>
      <c r="F152" s="525">
        <f>-E154</f>
        <v>-1138228</v>
      </c>
    </row>
    <row r="153" spans="3:6" hidden="1" outlineLevel="1">
      <c r="C153" s="876" t="s">
        <v>581</v>
      </c>
      <c r="D153" s="877">
        <f>+E154+E155+E156-D152</f>
        <v>1140</v>
      </c>
      <c r="E153" s="531"/>
    </row>
    <row r="154" spans="3:6" hidden="1" outlineLevel="1">
      <c r="C154" s="530" t="s">
        <v>582</v>
      </c>
      <c r="D154" s="531"/>
      <c r="E154" s="531">
        <v>1138228</v>
      </c>
    </row>
    <row r="155" spans="3:6" hidden="1" outlineLevel="1">
      <c r="C155" s="876" t="s">
        <v>576</v>
      </c>
      <c r="D155" s="877"/>
      <c r="E155" s="877">
        <v>201038</v>
      </c>
      <c r="F155" s="525"/>
    </row>
    <row r="156" spans="3:6" hidden="1" outlineLevel="1">
      <c r="C156" s="876" t="s">
        <v>583</v>
      </c>
      <c r="D156" s="877"/>
      <c r="E156" s="877">
        <v>40586</v>
      </c>
    </row>
    <row r="157" spans="3:6" hidden="1" outlineLevel="1">
      <c r="C157" s="511" t="s">
        <v>584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585</v>
      </c>
    </row>
    <row r="160" spans="3:6" ht="24.75" hidden="1" outlineLevel="1">
      <c r="C160" s="536" t="s">
        <v>586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587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588</v>
      </c>
    </row>
    <row r="168" spans="3:6" ht="24.75" hidden="1" outlineLevel="1">
      <c r="C168" s="536" t="s">
        <v>589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587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590</v>
      </c>
    </row>
    <row r="174" spans="3:6" hidden="1" outlineLevel="1">
      <c r="C174" s="536" t="s">
        <v>591</v>
      </c>
      <c r="D174" s="537" t="s">
        <v>216</v>
      </c>
      <c r="E174" s="529" t="s">
        <v>459</v>
      </c>
    </row>
    <row r="175" spans="3:6" hidden="1" outlineLevel="1">
      <c r="C175" s="538" t="s">
        <v>592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878" t="s">
        <v>593</v>
      </c>
      <c r="D177" s="877"/>
      <c r="E177" s="877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594</v>
      </c>
      <c r="D180" s="522"/>
      <c r="E180" s="522"/>
    </row>
    <row r="181" spans="2:6" ht="24.75" hidden="1" outlineLevel="1">
      <c r="C181" s="536" t="s">
        <v>595</v>
      </c>
      <c r="D181" s="537" t="s">
        <v>216</v>
      </c>
      <c r="E181" s="529" t="s">
        <v>459</v>
      </c>
    </row>
    <row r="182" spans="2:6" hidden="1" outlineLevel="1">
      <c r="C182" s="538" t="s">
        <v>596</v>
      </c>
      <c r="D182" s="531">
        <v>1260047</v>
      </c>
      <c r="E182" s="531"/>
    </row>
    <row r="183" spans="2:6" hidden="1" outlineLevel="1">
      <c r="C183" s="538" t="s">
        <v>576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597</v>
      </c>
      <c r="D186" s="522"/>
      <c r="E186" s="522"/>
    </row>
    <row r="187" spans="2:6" ht="24.75" hidden="1" outlineLevel="1">
      <c r="C187" s="536" t="s">
        <v>598</v>
      </c>
      <c r="D187" s="537" t="s">
        <v>216</v>
      </c>
      <c r="E187" s="529" t="s">
        <v>459</v>
      </c>
    </row>
    <row r="188" spans="2:6" hidden="1" outlineLevel="1">
      <c r="C188" s="538" t="s">
        <v>596</v>
      </c>
      <c r="D188" s="531">
        <f>-'Hoja de trabajo'!E7</f>
        <v>3200</v>
      </c>
      <c r="E188" s="531"/>
    </row>
    <row r="189" spans="2:6" hidden="1" outlineLevel="1">
      <c r="C189" s="538" t="s">
        <v>599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600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871" t="s">
        <v>469</v>
      </c>
      <c r="D196" s="872">
        <v>3608585</v>
      </c>
      <c r="E196" s="411"/>
      <c r="F196" s="525">
        <f>-D196-D197-D198</f>
        <v>-4568947</v>
      </c>
      <c r="G196" s="525"/>
    </row>
    <row r="197" spans="3:7" hidden="1" outlineLevel="1">
      <c r="C197" s="871" t="s">
        <v>149</v>
      </c>
      <c r="D197" s="872">
        <f>+'Saldos interco.'!C24</f>
        <v>950362</v>
      </c>
      <c r="E197" s="411"/>
      <c r="G197" s="525"/>
    </row>
    <row r="198" spans="3:7" hidden="1" outlineLevel="1">
      <c r="C198" s="871" t="s">
        <v>172</v>
      </c>
      <c r="D198" s="872">
        <f>+'Saldos interco.'!C50</f>
        <v>10000</v>
      </c>
      <c r="E198" s="411"/>
    </row>
    <row r="199" spans="3:7" hidden="1" outlineLevel="1">
      <c r="C199" s="765" t="s">
        <v>464</v>
      </c>
      <c r="D199" s="766">
        <v>96880</v>
      </c>
      <c r="E199" s="764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873" t="s">
        <v>494</v>
      </c>
      <c r="D202" s="810"/>
      <c r="E202" s="874">
        <v>1068329</v>
      </c>
    </row>
    <row r="203" spans="3:7" hidden="1" outlineLevel="1">
      <c r="C203" s="873" t="s">
        <v>495</v>
      </c>
      <c r="D203" s="810"/>
      <c r="E203" s="874">
        <f>+'Saldos interco.'!D55</f>
        <v>1193125</v>
      </c>
    </row>
    <row r="204" spans="3:7" hidden="1" outlineLevel="1">
      <c r="C204" s="873" t="s">
        <v>496</v>
      </c>
      <c r="D204" s="810"/>
      <c r="E204" s="875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601</v>
      </c>
      <c r="D207" s="522"/>
      <c r="E207" s="522"/>
      <c r="F207" s="525"/>
    </row>
    <row r="208" spans="3:7" hidden="1" outlineLevel="1">
      <c r="C208" s="536" t="s">
        <v>602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878" t="s">
        <v>603</v>
      </c>
      <c r="D210" s="877"/>
      <c r="E210" s="877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604</v>
      </c>
      <c r="D213" s="522"/>
      <c r="E213" s="522"/>
      <c r="F213" s="525"/>
    </row>
    <row r="214" spans="3:6" ht="24.75" hidden="1" outlineLevel="1">
      <c r="C214" s="536" t="s">
        <v>605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606</v>
      </c>
      <c r="D215" s="531">
        <f>253847+252910</f>
        <v>506757</v>
      </c>
      <c r="E215" s="531"/>
      <c r="F215" s="525"/>
    </row>
    <row r="216" spans="3:6" hidden="1" outlineLevel="1">
      <c r="C216" s="538" t="s">
        <v>818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607</v>
      </c>
      <c r="D219" s="522"/>
      <c r="E219" s="522"/>
      <c r="F219" s="525"/>
    </row>
    <row r="220" spans="3:6" ht="24.75" hidden="1" outlineLevel="1">
      <c r="C220" s="536" t="s">
        <v>608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609</v>
      </c>
      <c r="D221" s="531">
        <v>122179</v>
      </c>
      <c r="E221" s="531"/>
      <c r="F221" s="525"/>
    </row>
    <row r="222" spans="3:6" hidden="1" outlineLevel="1">
      <c r="C222" s="538" t="s">
        <v>610</v>
      </c>
      <c r="D222" s="531"/>
      <c r="E222" s="531">
        <v>3200</v>
      </c>
      <c r="F222" s="525"/>
    </row>
    <row r="223" spans="3:6" hidden="1" outlineLevel="1">
      <c r="C223" s="538" t="s">
        <v>599</v>
      </c>
      <c r="D223" s="531"/>
      <c r="E223" s="531">
        <v>6800</v>
      </c>
      <c r="F223" s="525"/>
    </row>
    <row r="224" spans="3:6" hidden="1" outlineLevel="1">
      <c r="C224" s="538" t="s">
        <v>611</v>
      </c>
      <c r="D224" s="531"/>
      <c r="E224" s="531">
        <v>74427</v>
      </c>
      <c r="F224" s="525"/>
    </row>
    <row r="225" spans="3:7" hidden="1" outlineLevel="1">
      <c r="C225" s="538" t="s">
        <v>612</v>
      </c>
      <c r="D225" s="531"/>
      <c r="E225" s="531">
        <v>1226</v>
      </c>
      <c r="F225" s="525"/>
    </row>
    <row r="226" spans="3:7" hidden="1" outlineLevel="1">
      <c r="C226" s="538" t="s">
        <v>613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614</v>
      </c>
      <c r="D229" s="522"/>
      <c r="E229" s="522"/>
      <c r="F229" s="525"/>
    </row>
    <row r="230" spans="3:7" ht="24.75" hidden="1" outlineLevel="1">
      <c r="C230" s="536" t="s">
        <v>615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878" t="s">
        <v>616</v>
      </c>
      <c r="D232" s="877"/>
      <c r="E232" s="877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617</v>
      </c>
      <c r="D235" s="522"/>
      <c r="E235" s="522"/>
      <c r="F235" s="525"/>
    </row>
    <row r="236" spans="3:7" ht="24.75" hidden="1" outlineLevel="1">
      <c r="C236" s="536" t="s">
        <v>814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618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619</v>
      </c>
      <c r="D243" s="547"/>
      <c r="E243" s="547"/>
    </row>
    <row r="244" spans="2:6">
      <c r="C244" s="527" t="s">
        <v>572</v>
      </c>
      <c r="D244" s="547"/>
      <c r="E244" s="547"/>
    </row>
    <row r="245" spans="2:6">
      <c r="C245" s="528" t="s">
        <v>573</v>
      </c>
      <c r="D245" s="529" t="s">
        <v>216</v>
      </c>
      <c r="E245" s="529" t="s">
        <v>459</v>
      </c>
    </row>
    <row r="246" spans="2:6">
      <c r="C246" s="760" t="s">
        <v>172</v>
      </c>
      <c r="D246" s="761">
        <f>D137-E223-E189</f>
        <v>4743717</v>
      </c>
      <c r="E246" s="761"/>
    </row>
    <row r="247" spans="2:6">
      <c r="C247" s="760" t="s">
        <v>90</v>
      </c>
      <c r="D247" s="761">
        <f>D138-E224</f>
        <v>500</v>
      </c>
      <c r="E247" s="761"/>
    </row>
    <row r="248" spans="2:6">
      <c r="C248" s="760" t="s">
        <v>92</v>
      </c>
      <c r="D248" s="761">
        <f>D139-E225</f>
        <v>109973</v>
      </c>
      <c r="E248" s="761"/>
    </row>
    <row r="249" spans="2:6">
      <c r="C249" s="760" t="s">
        <v>469</v>
      </c>
      <c r="D249" s="761">
        <f>+D140</f>
        <v>31237644</v>
      </c>
      <c r="E249" s="761"/>
    </row>
    <row r="250" spans="2:6">
      <c r="C250" s="760" t="s">
        <v>574</v>
      </c>
      <c r="D250" s="761">
        <f>D141+D152-E177</f>
        <v>1502112</v>
      </c>
      <c r="E250" s="761"/>
    </row>
    <row r="251" spans="2:6">
      <c r="C251" s="760" t="s">
        <v>50</v>
      </c>
      <c r="D251" s="761">
        <f>D142-E154+D175</f>
        <v>47450</v>
      </c>
      <c r="E251" s="761"/>
    </row>
    <row r="252" spans="2:6">
      <c r="C252" s="760" t="s">
        <v>54</v>
      </c>
      <c r="D252" s="761">
        <f>D143+D176</f>
        <v>472983</v>
      </c>
      <c r="E252" s="761"/>
    </row>
    <row r="253" spans="2:6">
      <c r="C253" s="760" t="s">
        <v>819</v>
      </c>
      <c r="D253" s="761">
        <v>25218</v>
      </c>
      <c r="E253" s="761"/>
    </row>
    <row r="254" spans="2:6">
      <c r="C254" s="760" t="s">
        <v>817</v>
      </c>
      <c r="D254" s="761"/>
      <c r="E254" s="761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760" t="s">
        <v>577</v>
      </c>
      <c r="D256" s="761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578</v>
      </c>
      <c r="D259" s="547"/>
      <c r="E259" s="547"/>
    </row>
    <row r="260" spans="3:6" ht="24.75">
      <c r="C260" s="536" t="s">
        <v>586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832</v>
      </c>
      <c r="D263" s="548">
        <f>D163+D183</f>
        <v>0</v>
      </c>
      <c r="E263" s="548">
        <f>E163+E183</f>
        <v>3035183</v>
      </c>
    </row>
    <row r="264" spans="3:6">
      <c r="C264" s="538" t="s">
        <v>839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762" t="s">
        <v>585</v>
      </c>
      <c r="D267" s="522"/>
      <c r="E267" s="522"/>
      <c r="F267" s="525"/>
    </row>
    <row r="268" spans="3:6" ht="24.75">
      <c r="C268" s="536" t="s">
        <v>856</v>
      </c>
      <c r="D268" s="537" t="s">
        <v>216</v>
      </c>
      <c r="E268" s="529" t="s">
        <v>459</v>
      </c>
      <c r="F268" s="525"/>
    </row>
    <row r="269" spans="3:6">
      <c r="C269" s="538" t="s">
        <v>596</v>
      </c>
      <c r="D269" s="531">
        <v>698311</v>
      </c>
      <c r="E269" s="531"/>
      <c r="F269" s="525"/>
    </row>
    <row r="270" spans="3:6">
      <c r="C270" s="538" t="s">
        <v>857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762" t="s">
        <v>588</v>
      </c>
      <c r="D273" s="522"/>
      <c r="E273" s="522"/>
      <c r="F273" s="525"/>
    </row>
    <row r="274" spans="3:6" ht="24.75">
      <c r="C274" s="536" t="s">
        <v>815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816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762" t="s">
        <v>590</v>
      </c>
      <c r="D279" s="522"/>
      <c r="E279" s="522"/>
      <c r="F279" s="525"/>
    </row>
    <row r="280" spans="3:6" ht="24.75">
      <c r="C280" s="536" t="s">
        <v>841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842</v>
      </c>
      <c r="D282" s="531">
        <v>78647</v>
      </c>
      <c r="E282" s="531"/>
      <c r="F282" s="525"/>
    </row>
    <row r="283" spans="3:6">
      <c r="C283" s="538" t="s">
        <v>843</v>
      </c>
      <c r="D283" s="531">
        <v>2008798</v>
      </c>
      <c r="E283" s="531"/>
      <c r="F283" s="525"/>
    </row>
    <row r="284" spans="3:6">
      <c r="C284" s="773" t="s">
        <v>582</v>
      </c>
      <c r="D284" s="774"/>
      <c r="E284" s="774">
        <f>2081441+6004</f>
        <v>2087445</v>
      </c>
      <c r="F284" s="525"/>
    </row>
    <row r="285" spans="3:6">
      <c r="C285" s="538" t="s">
        <v>817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762" t="s">
        <v>594</v>
      </c>
      <c r="D288" s="522"/>
      <c r="E288" s="522"/>
      <c r="F288" s="525"/>
    </row>
    <row r="289" spans="3:6" ht="24.75">
      <c r="C289" s="536" t="s">
        <v>844</v>
      </c>
      <c r="D289" s="537" t="s">
        <v>216</v>
      </c>
      <c r="E289" s="529" t="s">
        <v>459</v>
      </c>
      <c r="F289" s="525"/>
    </row>
    <row r="290" spans="3:6">
      <c r="C290" s="773" t="s">
        <v>54</v>
      </c>
      <c r="D290" s="774">
        <v>50000</v>
      </c>
      <c r="E290" s="531"/>
      <c r="F290" s="525"/>
    </row>
    <row r="291" spans="3:6">
      <c r="C291" s="538" t="s">
        <v>817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762" t="s">
        <v>597</v>
      </c>
      <c r="D294" s="522"/>
      <c r="E294" s="522"/>
      <c r="F294" s="525"/>
    </row>
    <row r="295" spans="3:6" ht="24.75">
      <c r="C295" s="536" t="s">
        <v>851</v>
      </c>
      <c r="D295" s="537" t="s">
        <v>216</v>
      </c>
      <c r="E295" s="529" t="s">
        <v>459</v>
      </c>
      <c r="F295" s="525"/>
    </row>
    <row r="296" spans="3:6">
      <c r="C296" s="773" t="s">
        <v>699</v>
      </c>
      <c r="D296" s="774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600</v>
      </c>
    </row>
    <row r="301" spans="3:6" ht="24.75">
      <c r="C301" s="438" t="s">
        <v>852</v>
      </c>
      <c r="D301" s="422"/>
      <c r="E301" s="422"/>
    </row>
    <row r="302" spans="3:6">
      <c r="C302" s="440" t="s">
        <v>489</v>
      </c>
      <c r="D302" s="441">
        <f>+'Saldos interco.'!C8+'Saldos interco.'!C17+'Saldos interco.'!C51+'Saldos interco.'!C65</f>
        <v>2306902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interco.'!C53+'Saldos interco.'!C60</f>
        <v>7615322</v>
      </c>
      <c r="E303" s="411"/>
    </row>
    <row r="304" spans="3:6">
      <c r="C304" s="440" t="s">
        <v>854</v>
      </c>
      <c r="D304" s="441">
        <f>+'Saldos interco.'!C41+'Saldos interco.'!C42</f>
        <v>858829</v>
      </c>
      <c r="E304" s="411"/>
    </row>
    <row r="305" spans="3:6">
      <c r="C305" s="873" t="s">
        <v>172</v>
      </c>
      <c r="D305" s="874">
        <f>+'Saldos interco.'!C50</f>
        <v>10000</v>
      </c>
      <c r="E305" s="810"/>
    </row>
    <row r="306" spans="3:6">
      <c r="C306" s="873" t="s">
        <v>483</v>
      </c>
      <c r="D306" s="880">
        <f>+'Saldos interco.'!C54+'Saldos interco.'!C66-'Saldos interco.'!D25-'Saldos interco.'!D33</f>
        <v>-14507</v>
      </c>
      <c r="E306" s="880"/>
    </row>
    <row r="307" spans="3:6">
      <c r="C307" s="873" t="s">
        <v>149</v>
      </c>
      <c r="D307" s="881">
        <v>950362</v>
      </c>
      <c r="E307" s="880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interco.'!D46+'Saldos interco.'!D56+'Saldos interco.'!D61+'Saldos interco.'!D67+'Saldos interco.'!D11</f>
        <v>9145174</v>
      </c>
    </row>
    <row r="309" spans="3:6">
      <c r="C309" s="440" t="s">
        <v>853</v>
      </c>
      <c r="D309" s="411"/>
      <c r="E309" s="441">
        <f>+'Saldos interco.'!D44</f>
        <v>852144</v>
      </c>
    </row>
    <row r="310" spans="3:6">
      <c r="C310" s="440" t="s">
        <v>492</v>
      </c>
      <c r="D310" s="411"/>
      <c r="E310" s="441">
        <f>+'Saldos interco.'!D45</f>
        <v>6686</v>
      </c>
    </row>
    <row r="311" spans="3:6">
      <c r="C311" s="873" t="s">
        <v>495</v>
      </c>
      <c r="D311" s="810"/>
      <c r="E311" s="874">
        <f>+'Saldos interco.'!D55</f>
        <v>1193125</v>
      </c>
    </row>
    <row r="312" spans="3:6">
      <c r="C312" s="873" t="s">
        <v>496</v>
      </c>
      <c r="D312" s="810"/>
      <c r="E312" s="875">
        <f>+'Saldos interco.'!D43</f>
        <v>529779</v>
      </c>
    </row>
    <row r="313" spans="3:6">
      <c r="C313" s="445" t="s">
        <v>497</v>
      </c>
      <c r="D313" s="446">
        <f>SUM(D302:D312)</f>
        <v>11726908</v>
      </c>
      <c r="E313" s="446">
        <f>SUM(E302:E312)</f>
        <v>11726908</v>
      </c>
      <c r="F313" s="525">
        <f>+D313-E313</f>
        <v>0</v>
      </c>
    </row>
    <row r="314" spans="3:6">
      <c r="C314" s="414"/>
      <c r="D314" s="879"/>
      <c r="E314" s="879"/>
      <c r="F314" s="525"/>
    </row>
    <row r="315" spans="3:6">
      <c r="C315" s="527" t="s">
        <v>601</v>
      </c>
      <c r="D315" s="522"/>
      <c r="E315" s="522"/>
      <c r="F315" s="525"/>
    </row>
    <row r="316" spans="3:6">
      <c r="C316" s="536" t="s">
        <v>858</v>
      </c>
      <c r="D316" s="537" t="s">
        <v>216</v>
      </c>
      <c r="E316" s="529" t="s">
        <v>459</v>
      </c>
      <c r="F316" s="525"/>
    </row>
    <row r="317" spans="3:6">
      <c r="C317" s="538" t="s">
        <v>516</v>
      </c>
      <c r="D317" s="531">
        <v>468128</v>
      </c>
      <c r="E317" s="531"/>
      <c r="F317" s="525"/>
    </row>
    <row r="318" spans="3:6">
      <c r="C318" s="773" t="s">
        <v>603</v>
      </c>
      <c r="D318" s="774"/>
      <c r="E318" s="774">
        <f>+D317</f>
        <v>468128</v>
      </c>
      <c r="F318" s="525"/>
    </row>
    <row r="319" spans="3:6">
      <c r="C319" s="532" t="s">
        <v>497</v>
      </c>
      <c r="D319" s="533">
        <f>SUM(D317:D318)</f>
        <v>468128</v>
      </c>
      <c r="E319" s="533">
        <f>SUM(E317:E318)</f>
        <v>468128</v>
      </c>
      <c r="F319" s="525">
        <f>+D319-E319</f>
        <v>0</v>
      </c>
    </row>
    <row r="320" spans="3:6">
      <c r="C320" s="534"/>
      <c r="D320" s="522"/>
      <c r="E320" s="522"/>
      <c r="F320" s="525"/>
    </row>
    <row r="321" spans="4:6">
      <c r="D321" s="533">
        <f>+D257+D265+D277+D271+D286+D292+D313</f>
        <v>66507667</v>
      </c>
      <c r="E321" s="533">
        <f>+E257+E265+E277+E271+E286+E292+E313</f>
        <v>66507667</v>
      </c>
      <c r="F321" s="525">
        <f>+D321-E321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6" activePane="bottomLeft" state="frozen"/>
      <selection pane="bottomLeft" activeCell="C17" sqref="C17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620</v>
      </c>
      <c r="B2" s="431"/>
      <c r="C2" s="435"/>
      <c r="D2" s="435"/>
      <c r="E2" s="435"/>
      <c r="F2" s="435"/>
      <c r="G2" s="435"/>
    </row>
    <row r="3" spans="1:8">
      <c r="A3" s="553" t="s">
        <v>621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622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623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622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623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622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623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624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625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tabSelected="1" zoomScaleNormal="100" workbookViewId="0">
      <pane xSplit="1" ySplit="4" topLeftCell="C5" activePane="bottomRight" state="frozen"/>
      <selection pane="topRight" activeCell="M1" sqref="M1"/>
      <selection pane="bottomLeft" activeCell="A45" sqref="A45"/>
      <selection pane="bottomRight" activeCell="F5" sqref="F5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2" style="407" bestFit="1" customWidth="1" outlineLevel="1"/>
    <col min="5" max="5" width="9.85546875" style="407" bestFit="1" customWidth="1" outlineLevel="1"/>
    <col min="6" max="7" width="12" style="407" customWidth="1" outlineLevel="1"/>
    <col min="8" max="8" width="11.85546875" style="407" bestFit="1" customWidth="1" outlineLevel="1"/>
    <col min="9" max="9" width="13.140625" style="407" customWidth="1" outlineLevel="1"/>
    <col min="10" max="10" width="14.28515625" style="407" customWidth="1" outlineLevel="1"/>
    <col min="11" max="11" width="10.5703125" style="407" bestFit="1" customWidth="1" outlineLevel="1"/>
    <col min="12" max="12" width="12.42578125" style="407" bestFit="1" customWidth="1" outlineLevel="1"/>
    <col min="13" max="13" width="13.28515625" style="407" customWidth="1" outlineLevel="1"/>
    <col min="14" max="14" width="12.85546875" style="407" bestFit="1" customWidth="1"/>
    <col min="15" max="16" width="11.42578125" style="852" bestFit="1" customWidth="1"/>
    <col min="17" max="17" width="12.85546875" style="407" bestFit="1" customWidth="1"/>
    <col min="18" max="18" width="7" style="406" customWidth="1"/>
    <col min="19" max="19" width="4" style="407" customWidth="1"/>
    <col min="20" max="20" width="9.5703125" style="407" customWidth="1"/>
    <col min="21" max="21" width="9.85546875" style="802" customWidth="1"/>
    <col min="22" max="22" width="9.85546875" style="407" customWidth="1"/>
    <col min="23" max="23" width="41" style="407" customWidth="1"/>
    <col min="24" max="24" width="13.28515625" style="407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1086" t="s">
        <v>2</v>
      </c>
      <c r="P3" s="1086"/>
    </row>
    <row r="4" spans="1:21 1026:1026" s="460" customFormat="1" ht="36">
      <c r="A4" s="458" t="s">
        <v>500</v>
      </c>
      <c r="B4" s="831" t="s">
        <v>501</v>
      </c>
      <c r="C4" s="832" t="s">
        <v>502</v>
      </c>
      <c r="D4" s="831" t="s">
        <v>503</v>
      </c>
      <c r="E4" s="831" t="s">
        <v>504</v>
      </c>
      <c r="F4" s="831" t="s">
        <v>505</v>
      </c>
      <c r="G4" s="831" t="s">
        <v>506</v>
      </c>
      <c r="H4" s="832" t="s">
        <v>507</v>
      </c>
      <c r="I4" s="831" t="s">
        <v>508</v>
      </c>
      <c r="J4" s="831" t="s">
        <v>509</v>
      </c>
      <c r="K4" s="831" t="s">
        <v>510</v>
      </c>
      <c r="L4" s="831" t="s">
        <v>511</v>
      </c>
      <c r="M4" s="832" t="s">
        <v>512</v>
      </c>
      <c r="N4" s="459" t="s">
        <v>259</v>
      </c>
      <c r="O4" s="822" t="s">
        <v>18</v>
      </c>
      <c r="P4" s="822" t="s">
        <v>19</v>
      </c>
      <c r="Q4" s="459" t="s">
        <v>513</v>
      </c>
      <c r="R4" s="930"/>
      <c r="S4" s="685"/>
      <c r="T4" s="685"/>
      <c r="U4" s="803"/>
      <c r="AML4"/>
    </row>
    <row r="5" spans="1:21 1026:1026" s="408" customFormat="1">
      <c r="A5" s="461" t="s">
        <v>35</v>
      </c>
      <c r="B5" s="816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33590</v>
      </c>
      <c r="N5" s="463">
        <f t="shared" ref="N5:N46" si="0">SUM(B5:M5)</f>
        <v>19936127.489999998</v>
      </c>
      <c r="O5" s="816"/>
      <c r="P5" s="816"/>
      <c r="Q5" s="462">
        <f t="shared" ref="Q5:Q25" si="1">N5+O5-P5</f>
        <v>19936127.489999998</v>
      </c>
      <c r="R5" s="451"/>
      <c r="S5" s="833"/>
      <c r="T5" s="833"/>
      <c r="U5" s="804"/>
      <c r="AML5"/>
    </row>
    <row r="6" spans="1:21 1026:1026" s="408" customFormat="1">
      <c r="A6" s="461" t="s">
        <v>36</v>
      </c>
      <c r="B6" s="816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816"/>
      <c r="P6" s="816"/>
      <c r="Q6" s="462">
        <f t="shared" si="1"/>
        <v>8650</v>
      </c>
      <c r="R6" s="451"/>
      <c r="S6" s="833"/>
      <c r="T6" s="833"/>
      <c r="U6" s="804"/>
      <c r="AML6"/>
    </row>
    <row r="7" spans="1:21 1026:1026" s="408" customFormat="1">
      <c r="A7" s="461" t="s">
        <v>37</v>
      </c>
      <c r="B7" s="816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816"/>
      <c r="P7" s="816"/>
      <c r="Q7" s="462">
        <f t="shared" si="1"/>
        <v>3119911</v>
      </c>
      <c r="R7" s="451"/>
      <c r="S7" s="833"/>
      <c r="T7" s="833"/>
      <c r="U7" s="804"/>
      <c r="AML7"/>
    </row>
    <row r="8" spans="1:21 1026:1026" s="408" customFormat="1">
      <c r="A8" s="461" t="s">
        <v>514</v>
      </c>
      <c r="B8" s="816">
        <v>7980392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8670179.7400000002</v>
      </c>
      <c r="O8" s="816"/>
      <c r="P8" s="816">
        <f>+'AD ESF'!E310</f>
        <v>6686</v>
      </c>
      <c r="Q8" s="462">
        <f t="shared" si="1"/>
        <v>8663493.7400000002</v>
      </c>
      <c r="R8" s="451"/>
      <c r="S8" s="833"/>
      <c r="T8" s="833"/>
      <c r="U8" s="804"/>
      <c r="AML8"/>
    </row>
    <row r="9" spans="1:21 1026:1026" s="408" customFormat="1">
      <c r="A9" s="461" t="s">
        <v>40</v>
      </c>
      <c r="B9" s="816">
        <v>39178212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41789551.149999999</v>
      </c>
      <c r="O9" s="816"/>
      <c r="P9" s="816">
        <f>+'AD ESF'!E308</f>
        <v>9145174</v>
      </c>
      <c r="Q9" s="462">
        <f t="shared" si="1"/>
        <v>32644377.149999999</v>
      </c>
      <c r="R9" s="451"/>
      <c r="S9" s="833"/>
      <c r="T9" s="833"/>
      <c r="U9" s="804"/>
      <c r="AML9"/>
    </row>
    <row r="10" spans="1:21 1026:1026" s="408" customFormat="1">
      <c r="A10" s="461" t="s">
        <v>42</v>
      </c>
      <c r="B10" s="816">
        <v>16944276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12346</v>
      </c>
      <c r="L10" s="462">
        <v>1789</v>
      </c>
      <c r="M10" s="463">
        <v>6194</v>
      </c>
      <c r="N10" s="463">
        <f t="shared" si="0"/>
        <v>16964605</v>
      </c>
      <c r="O10" s="816"/>
      <c r="P10" s="816"/>
      <c r="Q10" s="462">
        <f t="shared" si="1"/>
        <v>16964605</v>
      </c>
      <c r="R10" s="451"/>
      <c r="S10" s="833"/>
      <c r="T10" s="833"/>
      <c r="U10" s="804"/>
      <c r="AML10"/>
    </row>
    <row r="11" spans="1:21 1026:1026" s="408" customFormat="1">
      <c r="A11" s="461" t="s">
        <v>879</v>
      </c>
      <c r="B11" s="816">
        <v>4638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475895.76</v>
      </c>
      <c r="O11" s="816"/>
      <c r="P11" s="816"/>
      <c r="Q11" s="462">
        <f t="shared" si="1"/>
        <v>475895.76</v>
      </c>
      <c r="R11" s="451"/>
      <c r="S11" s="833"/>
      <c r="T11" s="833"/>
      <c r="U11" s="804"/>
      <c r="AML11"/>
    </row>
    <row r="12" spans="1:21 1026:1026" s="408" customFormat="1">
      <c r="A12" s="461" t="s">
        <v>45</v>
      </c>
      <c r="B12" s="816">
        <v>2538695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2551702</v>
      </c>
      <c r="O12" s="816"/>
      <c r="P12" s="816"/>
      <c r="Q12" s="462">
        <f t="shared" si="1"/>
        <v>2551702</v>
      </c>
      <c r="R12" s="451"/>
      <c r="S12" s="833"/>
      <c r="T12" s="833"/>
      <c r="U12" s="804"/>
      <c r="AML12"/>
    </row>
    <row r="13" spans="1:21 1026:1026" s="408" customFormat="1">
      <c r="A13" s="461" t="s">
        <v>46</v>
      </c>
      <c r="B13" s="816">
        <v>28373114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/>
      <c r="N13" s="463">
        <f t="shared" si="0"/>
        <v>28656854.379999999</v>
      </c>
      <c r="O13" s="816"/>
      <c r="P13" s="816"/>
      <c r="Q13" s="462">
        <f t="shared" si="1"/>
        <v>28656854.379999999</v>
      </c>
      <c r="R13" s="451"/>
      <c r="S13" s="833"/>
      <c r="T13" s="833"/>
      <c r="U13" s="804"/>
      <c r="AML13"/>
    </row>
    <row r="14" spans="1:21 1026:1026" s="408" customFormat="1">
      <c r="A14" s="461" t="s">
        <v>833</v>
      </c>
      <c r="B14" s="816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>
        <v>2061</v>
      </c>
      <c r="N14" s="463">
        <f t="shared" si="0"/>
        <v>415625</v>
      </c>
      <c r="O14" s="816"/>
      <c r="P14" s="816"/>
      <c r="Q14" s="462">
        <f t="shared" si="1"/>
        <v>415625</v>
      </c>
      <c r="R14" s="451"/>
      <c r="S14" s="833"/>
      <c r="T14" s="833"/>
      <c r="U14" s="804"/>
      <c r="AML14"/>
    </row>
    <row r="15" spans="1:21 1026:1026" s="408" customFormat="1">
      <c r="A15" s="461" t="s">
        <v>48</v>
      </c>
      <c r="B15" s="816">
        <v>6718699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7570843</v>
      </c>
      <c r="O15" s="816"/>
      <c r="P15" s="816">
        <f>+'AD ESF'!E309</f>
        <v>852144</v>
      </c>
      <c r="Q15" s="816">
        <f t="shared" si="1"/>
        <v>6718699</v>
      </c>
      <c r="R15" s="451"/>
      <c r="S15" s="833"/>
      <c r="T15" s="833"/>
      <c r="U15" s="804"/>
      <c r="AML15"/>
    </row>
    <row r="16" spans="1:21 1026:1026" s="408" customFormat="1">
      <c r="A16" s="461" t="s">
        <v>49</v>
      </c>
      <c r="B16" s="816"/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0</v>
      </c>
      <c r="O16" s="816"/>
      <c r="P16" s="816"/>
      <c r="Q16" s="462">
        <f t="shared" si="1"/>
        <v>0</v>
      </c>
      <c r="R16" s="451"/>
      <c r="S16" s="833"/>
      <c r="T16" s="833"/>
      <c r="U16" s="804"/>
      <c r="AML16"/>
    </row>
    <row r="17" spans="1:21 1026:1026" s="408" customFormat="1">
      <c r="A17" s="461" t="s">
        <v>50</v>
      </c>
      <c r="B17" s="816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816">
        <f>+'AD ESF'!D251</f>
        <v>47450</v>
      </c>
      <c r="P17" s="816">
        <f>+'AD ESF'!E284</f>
        <v>2087445</v>
      </c>
      <c r="Q17" s="462">
        <f t="shared" si="1"/>
        <v>225156003.91</v>
      </c>
      <c r="R17" s="451"/>
      <c r="S17" s="833"/>
      <c r="T17" s="833"/>
      <c r="U17" s="804"/>
      <c r="AML17"/>
    </row>
    <row r="18" spans="1:21 1026:1026" s="408" customFormat="1">
      <c r="A18" s="461" t="s">
        <v>515</v>
      </c>
      <c r="B18" s="816">
        <v>-144590128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-146637546.47</v>
      </c>
      <c r="O18" s="816">
        <f>+'AD ESF'!D283</f>
        <v>2008798</v>
      </c>
      <c r="P18" s="816"/>
      <c r="Q18" s="462">
        <f t="shared" si="1"/>
        <v>-144628748.47</v>
      </c>
      <c r="R18" s="451"/>
      <c r="S18" s="833"/>
      <c r="T18" s="833"/>
      <c r="U18" s="804"/>
      <c r="AML18"/>
    </row>
    <row r="19" spans="1:21 1026:1026" s="408" customFormat="1">
      <c r="A19" s="461" t="s">
        <v>53</v>
      </c>
      <c r="B19" s="816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816"/>
      <c r="P19" s="816"/>
      <c r="Q19" s="462">
        <f t="shared" si="1"/>
        <v>984912.65</v>
      </c>
      <c r="R19" s="451"/>
      <c r="S19" s="833"/>
      <c r="T19" s="833"/>
      <c r="U19" s="804"/>
      <c r="AML19"/>
    </row>
    <row r="20" spans="1:21 1026:1026" s="408" customFormat="1">
      <c r="A20" s="461" t="s">
        <v>54</v>
      </c>
      <c r="B20" s="816">
        <v>11046486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11046486</v>
      </c>
      <c r="O20" s="816">
        <f>+'AD ESF'!D252+'AD ESF'!D290</f>
        <v>522983</v>
      </c>
      <c r="P20" s="816"/>
      <c r="Q20" s="462">
        <f t="shared" si="1"/>
        <v>11569469</v>
      </c>
      <c r="R20" s="451"/>
      <c r="S20" s="833"/>
      <c r="T20" s="833"/>
      <c r="U20" s="804"/>
      <c r="AML20"/>
    </row>
    <row r="21" spans="1:21 1026:1026" s="408" customFormat="1">
      <c r="A21" s="461" t="s">
        <v>56</v>
      </c>
      <c r="B21" s="816">
        <v>1429486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1429486</v>
      </c>
      <c r="O21" s="816"/>
      <c r="P21" s="816"/>
      <c r="Q21" s="462">
        <f t="shared" si="1"/>
        <v>1429486</v>
      </c>
      <c r="R21" s="451"/>
      <c r="S21" s="833"/>
      <c r="T21" s="833"/>
      <c r="U21" s="804"/>
      <c r="AML21"/>
    </row>
    <row r="22" spans="1:21 1026:1026" s="408" customFormat="1">
      <c r="A22" s="461" t="s">
        <v>516</v>
      </c>
      <c r="B22" s="816">
        <v>42165207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42165207</v>
      </c>
      <c r="O22" s="816">
        <f>+'AD ESF'!D317</f>
        <v>468128</v>
      </c>
      <c r="P22" s="816">
        <f>+'AD ESF'!E255+'AD ESF'!E297+'AD ESF'!E311</f>
        <v>39039055</v>
      </c>
      <c r="Q22" s="462">
        <f t="shared" si="1"/>
        <v>3594280</v>
      </c>
      <c r="R22" s="451"/>
      <c r="S22" s="833"/>
      <c r="T22" s="833"/>
      <c r="U22" s="804"/>
      <c r="AML22"/>
    </row>
    <row r="23" spans="1:21 1026:1026" s="408" customFormat="1">
      <c r="A23" s="461" t="s">
        <v>517</v>
      </c>
      <c r="B23" s="816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816"/>
      <c r="P23" s="816"/>
      <c r="Q23" s="462">
        <f t="shared" si="1"/>
        <v>263613</v>
      </c>
      <c r="R23" s="451"/>
      <c r="S23" s="833"/>
      <c r="T23" s="833"/>
      <c r="U23" s="804"/>
      <c r="AML23"/>
    </row>
    <row r="24" spans="1:21 1026:1026" s="408" customFormat="1">
      <c r="A24" s="465" t="s">
        <v>518</v>
      </c>
      <c r="B24" s="817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817"/>
      <c r="P24" s="817"/>
      <c r="Q24" s="462">
        <f t="shared" si="1"/>
        <v>3949574</v>
      </c>
      <c r="R24" s="451"/>
      <c r="S24" s="833"/>
      <c r="T24" s="833"/>
      <c r="U24" s="804"/>
      <c r="AML24"/>
    </row>
    <row r="25" spans="1:21 1026:1026" s="408" customFormat="1">
      <c r="A25" s="465" t="s">
        <v>61</v>
      </c>
      <c r="B25" s="817">
        <v>292069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>
        <v>71</v>
      </c>
      <c r="N25" s="463">
        <f t="shared" si="0"/>
        <v>2842280.18</v>
      </c>
      <c r="O25" s="817"/>
      <c r="P25" s="817">
        <f>+'AD ESF'!E276</f>
        <v>2534340</v>
      </c>
      <c r="Q25" s="462">
        <f t="shared" si="1"/>
        <v>307940.18000000017</v>
      </c>
      <c r="R25" s="451"/>
      <c r="S25" s="833"/>
      <c r="T25" s="833"/>
      <c r="U25" s="804"/>
      <c r="AML25"/>
    </row>
    <row r="26" spans="1:21 1026:1026" s="471" customFormat="1">
      <c r="A26" s="468" t="s">
        <v>63</v>
      </c>
      <c r="B26" s="469">
        <f t="shared" ref="B26:N26" si="2">SUM(B5:B25)</f>
        <v>223554739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</v>
      </c>
      <c r="L26" s="469">
        <f t="shared" si="2"/>
        <v>1344307</v>
      </c>
      <c r="M26" s="469">
        <f t="shared" si="2"/>
        <v>364326</v>
      </c>
      <c r="N26" s="469">
        <f t="shared" si="2"/>
        <v>273399955.79000002</v>
      </c>
      <c r="O26" s="818">
        <f>+SUM(O5:O25)</f>
        <v>3047359</v>
      </c>
      <c r="P26" s="818">
        <f>+SUM(P5:P25)</f>
        <v>53664844</v>
      </c>
      <c r="Q26" s="470">
        <f>SUM(Q5:Q25)</f>
        <v>222782470.79000002</v>
      </c>
      <c r="R26" s="931"/>
      <c r="S26" s="834"/>
      <c r="T26" s="834"/>
      <c r="U26" s="805"/>
      <c r="AML26"/>
    </row>
    <row r="27" spans="1:21 1026:1026" s="408" customFormat="1">
      <c r="A27" s="472" t="s">
        <v>64</v>
      </c>
      <c r="B27" s="819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819"/>
      <c r="P27" s="819"/>
      <c r="Q27" s="473">
        <f t="shared" ref="Q27:Q46" si="3">N27-O27+P27</f>
        <v>0</v>
      </c>
      <c r="R27" s="451"/>
      <c r="S27" s="833"/>
      <c r="T27" s="833"/>
      <c r="U27" s="806"/>
      <c r="AML27"/>
    </row>
    <row r="28" spans="1:21 1026:1026" s="408" customFormat="1">
      <c r="A28" s="461" t="s">
        <v>65</v>
      </c>
      <c r="B28" s="816">
        <v>4080196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4080196</v>
      </c>
      <c r="O28" s="816"/>
      <c r="P28" s="816"/>
      <c r="Q28" s="462">
        <f t="shared" si="3"/>
        <v>4080196</v>
      </c>
      <c r="R28" s="451"/>
      <c r="S28" s="833"/>
      <c r="T28" s="833"/>
      <c r="U28" s="806"/>
      <c r="AML28"/>
    </row>
    <row r="29" spans="1:21 1026:1026" s="408" customFormat="1">
      <c r="A29" s="461" t="s">
        <v>66</v>
      </c>
      <c r="B29" s="816">
        <v>6939886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7029609.0199999996</v>
      </c>
      <c r="O29" s="816"/>
      <c r="P29" s="816"/>
      <c r="Q29" s="462">
        <f t="shared" si="3"/>
        <v>7029609.0199999996</v>
      </c>
      <c r="R29" s="451"/>
      <c r="S29" s="833"/>
      <c r="T29" s="833"/>
      <c r="U29" s="806"/>
      <c r="AML29"/>
    </row>
    <row r="30" spans="1:21 1026:1026" s="408" customFormat="1">
      <c r="A30" s="461" t="s">
        <v>67</v>
      </c>
      <c r="B30" s="816">
        <v>29686523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38047</v>
      </c>
      <c r="M30" s="462">
        <v>395303</v>
      </c>
      <c r="N30" s="474">
        <f t="shared" si="0"/>
        <v>30972134</v>
      </c>
      <c r="O30" s="816">
        <f>+'AD ESF'!D304</f>
        <v>858829</v>
      </c>
      <c r="P30" s="816"/>
      <c r="Q30" s="462">
        <f t="shared" si="3"/>
        <v>30113305</v>
      </c>
      <c r="R30" s="451"/>
      <c r="S30" s="833"/>
      <c r="T30" s="833"/>
      <c r="U30" s="806"/>
      <c r="AML30"/>
    </row>
    <row r="31" spans="1:21 1026:1026" s="408" customFormat="1">
      <c r="A31" s="461" t="s">
        <v>68</v>
      </c>
      <c r="B31" s="816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4870+2500</f>
        <v>7370</v>
      </c>
      <c r="L31" s="462">
        <v>0</v>
      </c>
      <c r="M31" s="462">
        <v>1728262</v>
      </c>
      <c r="N31" s="474">
        <f t="shared" si="0"/>
        <v>3017938.09</v>
      </c>
      <c r="O31" s="816">
        <f>+'AD ESF'!D302</f>
        <v>2306902</v>
      </c>
      <c r="P31" s="816"/>
      <c r="Q31" s="462">
        <f t="shared" si="3"/>
        <v>711036.08999999985</v>
      </c>
      <c r="R31" s="451"/>
      <c r="S31" s="833"/>
      <c r="T31" s="833"/>
      <c r="U31" s="806"/>
      <c r="AML31"/>
    </row>
    <row r="32" spans="1:21 1026:1026" s="408" customFormat="1">
      <c r="A32" s="461" t="s">
        <v>880</v>
      </c>
      <c r="B32" s="816">
        <v>7279286</v>
      </c>
      <c r="C32" s="463"/>
      <c r="D32" s="462"/>
      <c r="E32" s="463"/>
      <c r="F32" s="463"/>
      <c r="G32" s="463"/>
      <c r="H32" s="463"/>
      <c r="I32" s="463"/>
      <c r="J32" s="463"/>
      <c r="K32" s="462">
        <v>20829</v>
      </c>
      <c r="L32" s="462">
        <v>51527</v>
      </c>
      <c r="M32" s="462"/>
      <c r="N32" s="474">
        <f t="shared" si="0"/>
        <v>7351642</v>
      </c>
      <c r="O32" s="816"/>
      <c r="P32" s="816"/>
      <c r="Q32" s="462">
        <f t="shared" si="3"/>
        <v>7351642</v>
      </c>
      <c r="R32" s="451"/>
      <c r="S32" s="833"/>
      <c r="T32" s="833"/>
      <c r="U32" s="806"/>
      <c r="AML32"/>
    </row>
    <row r="33" spans="1:22 1026:1026" s="408" customFormat="1">
      <c r="A33" s="461" t="s">
        <v>72</v>
      </c>
      <c r="B33" s="816">
        <f>3245760-1574196</f>
        <v>1671564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192725-129567</f>
        <v>63158</v>
      </c>
      <c r="L33" s="462">
        <v>7081</v>
      </c>
      <c r="M33" s="462"/>
      <c r="N33" s="474">
        <f t="shared" si="0"/>
        <v>1750120.53</v>
      </c>
      <c r="O33" s="816">
        <f>+'AD ESF'!D306</f>
        <v>-14507</v>
      </c>
      <c r="P33" s="816"/>
      <c r="Q33" s="462">
        <f t="shared" si="3"/>
        <v>1764627.53</v>
      </c>
      <c r="R33" s="451"/>
      <c r="S33" s="833"/>
      <c r="T33" s="833"/>
      <c r="U33" s="806"/>
      <c r="AML33"/>
    </row>
    <row r="34" spans="1:22 1026:1026" s="408" customFormat="1">
      <c r="A34" s="963" t="s">
        <v>892</v>
      </c>
      <c r="B34" s="816">
        <v>2479542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2479542</v>
      </c>
      <c r="O34" s="816"/>
      <c r="P34" s="816"/>
      <c r="Q34" s="462">
        <f t="shared" si="3"/>
        <v>2479542</v>
      </c>
      <c r="R34" s="451"/>
      <c r="S34" s="833"/>
      <c r="T34" s="833"/>
      <c r="U34" s="806"/>
      <c r="AML34"/>
    </row>
    <row r="35" spans="1:22 1026:1026" s="408" customFormat="1">
      <c r="A35" s="461" t="s">
        <v>834</v>
      </c>
      <c r="B35" s="816">
        <v>11155309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264116</v>
      </c>
      <c r="N35" s="474">
        <f t="shared" si="0"/>
        <v>11651499.08</v>
      </c>
      <c r="O35" s="816"/>
      <c r="P35" s="816"/>
      <c r="Q35" s="462">
        <f t="shared" si="3"/>
        <v>11651499.08</v>
      </c>
      <c r="R35" s="451"/>
      <c r="S35" s="833"/>
      <c r="T35" s="833"/>
      <c r="U35" s="806"/>
      <c r="AML35"/>
    </row>
    <row r="36" spans="1:22 1026:1026" s="408" customFormat="1">
      <c r="A36" s="461" t="s">
        <v>520</v>
      </c>
      <c r="B36" s="816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816"/>
      <c r="P36" s="816"/>
      <c r="Q36" s="462">
        <f t="shared" si="3"/>
        <v>1574195</v>
      </c>
      <c r="R36" s="451"/>
      <c r="S36" s="833"/>
      <c r="T36" s="833"/>
      <c r="U36" s="806"/>
      <c r="AML36"/>
    </row>
    <row r="37" spans="1:22 1026:1026" s="408" customFormat="1">
      <c r="A37" s="461" t="s">
        <v>76</v>
      </c>
      <c r="B37" s="816"/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0</v>
      </c>
      <c r="O37" s="816"/>
      <c r="P37" s="816"/>
      <c r="Q37" s="462">
        <f t="shared" si="3"/>
        <v>0</v>
      </c>
      <c r="R37" s="451"/>
      <c r="S37" s="833"/>
      <c r="T37" s="833"/>
      <c r="U37" s="802"/>
      <c r="AML37"/>
    </row>
    <row r="38" spans="1:22 1026:1026" s="408" customFormat="1">
      <c r="A38" s="461" t="s">
        <v>521</v>
      </c>
      <c r="B38" s="816">
        <v>2731687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2731687</v>
      </c>
      <c r="O38" s="816"/>
      <c r="P38" s="816"/>
      <c r="Q38" s="462">
        <f t="shared" si="3"/>
        <v>2731687</v>
      </c>
      <c r="R38" s="451"/>
      <c r="S38" s="833"/>
      <c r="T38" s="833"/>
      <c r="U38" s="806"/>
      <c r="AML38"/>
    </row>
    <row r="39" spans="1:22 1026:1026" s="408" customFormat="1">
      <c r="A39" s="461" t="s">
        <v>836</v>
      </c>
      <c r="B39" s="816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816"/>
      <c r="P39" s="816"/>
      <c r="Q39" s="462">
        <f t="shared" si="3"/>
        <v>6657895</v>
      </c>
      <c r="R39" s="451"/>
      <c r="S39" s="833"/>
      <c r="T39" s="833"/>
      <c r="U39" s="806"/>
      <c r="AML39"/>
    </row>
    <row r="40" spans="1:22 1026:1026" s="408" customFormat="1">
      <c r="A40" s="461" t="s">
        <v>894</v>
      </c>
      <c r="B40" s="816">
        <v>4608085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4608085</v>
      </c>
      <c r="O40" s="816"/>
      <c r="P40" s="816"/>
      <c r="Q40" s="816">
        <f t="shared" si="3"/>
        <v>4608085</v>
      </c>
      <c r="R40" s="451"/>
      <c r="S40" s="833"/>
      <c r="T40" s="833"/>
      <c r="U40" s="806"/>
      <c r="AML40"/>
    </row>
    <row r="41" spans="1:22 1026:1026" s="408" customFormat="1">
      <c r="A41" s="461" t="s">
        <v>80</v>
      </c>
      <c r="B41" s="816"/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</v>
      </c>
      <c r="M41" s="462">
        <v>0</v>
      </c>
      <c r="N41" s="474">
        <f t="shared" si="0"/>
        <v>8309130.2300000004</v>
      </c>
      <c r="O41" s="816">
        <f>+'AD ESF'!D256+'AD ESF'!D303</f>
        <v>8145103</v>
      </c>
      <c r="P41" s="816">
        <f>+'AD ESF'!E312</f>
        <v>529779</v>
      </c>
      <c r="Q41" s="462">
        <f t="shared" si="3"/>
        <v>693806.23000000045</v>
      </c>
      <c r="R41" s="451"/>
      <c r="S41" s="833"/>
      <c r="T41" s="833"/>
      <c r="U41" s="806"/>
      <c r="AML41"/>
    </row>
    <row r="42" spans="1:22 1026:1026" s="408" customFormat="1">
      <c r="A42" s="963" t="s">
        <v>893</v>
      </c>
      <c r="B42" s="816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0</v>
      </c>
      <c r="O42" s="816"/>
      <c r="P42" s="816"/>
      <c r="Q42" s="462">
        <f t="shared" si="3"/>
        <v>0</v>
      </c>
      <c r="R42" s="451"/>
      <c r="S42" s="833"/>
      <c r="T42" s="833"/>
      <c r="U42" s="806"/>
      <c r="AML42"/>
    </row>
    <row r="43" spans="1:22 1026:1026" s="408" customFormat="1">
      <c r="A43" s="461" t="s">
        <v>522</v>
      </c>
      <c r="B43" s="816">
        <v>7288330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7329962</v>
      </c>
      <c r="O43" s="816"/>
      <c r="P43" s="816"/>
      <c r="Q43" s="462">
        <f t="shared" si="3"/>
        <v>7329962</v>
      </c>
      <c r="R43" s="451"/>
      <c r="S43" s="833"/>
      <c r="T43" s="833"/>
      <c r="U43" s="806"/>
      <c r="AML43"/>
    </row>
    <row r="44" spans="1:22 1026:1026" s="408" customFormat="1">
      <c r="A44" s="461" t="s">
        <v>523</v>
      </c>
      <c r="B44" s="816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816"/>
      <c r="P44" s="816"/>
      <c r="Q44" s="462">
        <f t="shared" si="3"/>
        <v>2542451</v>
      </c>
      <c r="R44" s="451"/>
      <c r="S44" s="833"/>
      <c r="T44" s="833"/>
      <c r="U44" s="806"/>
      <c r="AML44"/>
    </row>
    <row r="45" spans="1:22 1026:1026" s="408" customFormat="1">
      <c r="A45" s="461" t="s">
        <v>519</v>
      </c>
      <c r="B45" s="816">
        <v>42626983</v>
      </c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42626983</v>
      </c>
      <c r="O45" s="816"/>
      <c r="P45" s="816"/>
      <c r="Q45" s="462">
        <f t="shared" si="3"/>
        <v>42626983</v>
      </c>
      <c r="R45" s="451"/>
      <c r="S45" s="833"/>
      <c r="T45" s="833"/>
      <c r="U45" s="806"/>
      <c r="AML45"/>
    </row>
    <row r="46" spans="1:22 1026:1026" s="408" customFormat="1" ht="15.75" thickBot="1">
      <c r="A46" s="964" t="s">
        <v>895</v>
      </c>
      <c r="B46" s="817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817"/>
      <c r="P46" s="817"/>
      <c r="Q46" s="466">
        <f t="shared" si="3"/>
        <v>2580000</v>
      </c>
      <c r="R46" s="451"/>
      <c r="S46" s="833"/>
      <c r="T46" s="833"/>
      <c r="U46" s="806"/>
      <c r="AML46"/>
    </row>
    <row r="47" spans="1:22 1026:1026" s="475" customFormat="1" ht="15.75" thickBot="1">
      <c r="A47" s="468" t="s">
        <v>86</v>
      </c>
      <c r="B47" s="818">
        <f t="shared" ref="B47:Q47" si="4">SUM(B27:B46)</f>
        <v>134575895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1475236</v>
      </c>
      <c r="L47" s="469">
        <f t="shared" si="4"/>
        <v>844916</v>
      </c>
      <c r="M47" s="469">
        <f t="shared" si="4"/>
        <v>2387681</v>
      </c>
      <c r="N47" s="469">
        <f t="shared" si="4"/>
        <v>147293068.94999999</v>
      </c>
      <c r="O47" s="818">
        <f t="shared" si="4"/>
        <v>11296327</v>
      </c>
      <c r="P47" s="818">
        <f t="shared" si="4"/>
        <v>529779</v>
      </c>
      <c r="Q47" s="470">
        <f t="shared" si="4"/>
        <v>136526520.94999999</v>
      </c>
      <c r="R47" s="932"/>
      <c r="S47" s="834"/>
      <c r="T47" s="834"/>
      <c r="U47" s="803"/>
      <c r="AML47"/>
    </row>
    <row r="48" spans="1:22 1026:1026" s="408" customFormat="1">
      <c r="A48" s="472" t="s">
        <v>87</v>
      </c>
      <c r="B48" s="819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819">
        <f>+'AD ESF'!D246+'AD ESF'!D261+'AD ESF'!D305</f>
        <v>4800000</v>
      </c>
      <c r="P48" s="819"/>
      <c r="Q48" s="473">
        <f t="shared" ref="Q48:Q58" si="6">N48-O48+P48</f>
        <v>21629181</v>
      </c>
      <c r="R48" s="451">
        <f>+Q48-'ECP20'!B86</f>
        <v>0</v>
      </c>
      <c r="S48" s="833" t="s">
        <v>498</v>
      </c>
      <c r="T48" s="839"/>
      <c r="U48" s="840"/>
      <c r="V48" s="841"/>
      <c r="AML48"/>
    </row>
    <row r="49" spans="1:24 1026:1026" s="408" customFormat="1">
      <c r="A49" s="461" t="s">
        <v>88</v>
      </c>
      <c r="B49" s="816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816">
        <f>+'AD ESF'!D249+'AD ESF'!D262+'AD ESF'!D296</f>
        <v>45437188</v>
      </c>
      <c r="P49" s="816"/>
      <c r="Q49" s="473">
        <f t="shared" si="6"/>
        <v>922.04999999701977</v>
      </c>
      <c r="R49" s="451">
        <f>+Q49-'ECP20'!D86</f>
        <v>1.0499999970197678</v>
      </c>
      <c r="S49" s="833" t="s">
        <v>498</v>
      </c>
      <c r="T49" s="839"/>
      <c r="U49" s="840"/>
      <c r="V49" s="841"/>
      <c r="AML49"/>
    </row>
    <row r="50" spans="1:24 1026:1026" s="408" customFormat="1">
      <c r="A50" s="461" t="s">
        <v>90</v>
      </c>
      <c r="B50" s="820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816">
        <f>+'AD ESF'!D247+'AD ESF'!D281</f>
        <v>104543</v>
      </c>
      <c r="P50" s="816"/>
      <c r="Q50" s="473">
        <f t="shared" si="6"/>
        <v>6135362</v>
      </c>
      <c r="R50" s="451">
        <f>+Q50-'ECP20'!F86</f>
        <v>0.44000000040978193</v>
      </c>
      <c r="S50" s="843" t="s">
        <v>498</v>
      </c>
      <c r="T50" s="844"/>
      <c r="U50" s="840"/>
      <c r="V50" s="840"/>
      <c r="AML50"/>
    </row>
    <row r="51" spans="1:24 1026:1026" s="408" customFormat="1">
      <c r="A51" s="461" t="s">
        <v>91</v>
      </c>
      <c r="B51" s="816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816"/>
      <c r="P51" s="816"/>
      <c r="Q51" s="473">
        <f t="shared" si="6"/>
        <v>34797</v>
      </c>
      <c r="R51" s="451">
        <f>+Q51-'ECP20'!H86</f>
        <v>0</v>
      </c>
      <c r="S51" s="833" t="s">
        <v>498</v>
      </c>
      <c r="T51" s="844"/>
      <c r="U51" s="840"/>
      <c r="V51" s="840"/>
      <c r="AML51"/>
    </row>
    <row r="52" spans="1:24 1026:1026" s="408" customFormat="1">
      <c r="A52" s="461" t="s">
        <v>92</v>
      </c>
      <c r="B52" s="816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816">
        <f>+'AD ESF'!D248</f>
        <v>109973</v>
      </c>
      <c r="P52" s="816"/>
      <c r="Q52" s="473">
        <f t="shared" si="6"/>
        <v>227072.16999999998</v>
      </c>
      <c r="R52" s="451">
        <f>+Q52-'ECP20'!L86</f>
        <v>0.16999999998370185</v>
      </c>
      <c r="S52" s="833" t="s">
        <v>840</v>
      </c>
      <c r="T52" s="839"/>
      <c r="U52" s="840"/>
      <c r="V52" s="841"/>
      <c r="AML52"/>
    </row>
    <row r="53" spans="1:24 1026:1026" s="408" customFormat="1">
      <c r="A53" s="461" t="s">
        <v>94</v>
      </c>
      <c r="B53" s="816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816"/>
      <c r="P53" s="816"/>
      <c r="Q53" s="473">
        <f t="shared" si="6"/>
        <v>324243</v>
      </c>
      <c r="R53" s="451">
        <f>+Q53-'ECP20'!J86</f>
        <v>0</v>
      </c>
      <c r="S53" s="833" t="s">
        <v>498</v>
      </c>
      <c r="T53" s="839"/>
      <c r="U53" s="840"/>
      <c r="V53" s="841"/>
      <c r="AML53"/>
    </row>
    <row r="54" spans="1:24 1026:1026" s="408" customFormat="1">
      <c r="A54" s="461" t="s">
        <v>524</v>
      </c>
      <c r="B54" s="816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816">
        <f>+'AD ESF'!D250+'AD ESF'!D282</f>
        <v>1580759</v>
      </c>
      <c r="P54" s="816"/>
      <c r="Q54" s="473">
        <f t="shared" si="6"/>
        <v>-0.35000000009313226</v>
      </c>
      <c r="R54" s="451"/>
      <c r="S54" s="843" t="s">
        <v>498</v>
      </c>
      <c r="T54" s="839"/>
      <c r="U54" s="840"/>
      <c r="V54" s="841"/>
      <c r="AML54"/>
    </row>
    <row r="55" spans="1:24 1026:1026" s="408" customFormat="1">
      <c r="A55" s="461" t="s">
        <v>93</v>
      </c>
      <c r="B55" s="820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816">
        <f>+'AD ESF'!D253</f>
        <v>25218</v>
      </c>
      <c r="P55" s="816"/>
      <c r="Q55" s="473">
        <f t="shared" si="6"/>
        <v>-3202430.55</v>
      </c>
      <c r="R55" s="451">
        <f>+Q55-'ECP20'!N86</f>
        <v>0.45000000018626451</v>
      </c>
      <c r="S55" s="833" t="s">
        <v>498</v>
      </c>
      <c r="T55" s="839"/>
      <c r="U55" s="840"/>
      <c r="V55" s="841"/>
      <c r="AML55"/>
    </row>
    <row r="56" spans="1:24 1026:1026" s="408" customFormat="1">
      <c r="A56" s="461" t="s">
        <v>845</v>
      </c>
      <c r="B56" s="816">
        <f>59368780-15361151</f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f>-373201+48632</f>
        <v>-324569</v>
      </c>
      <c r="L56" s="816">
        <v>-3973274</v>
      </c>
      <c r="M56" s="816">
        <f>-2023355+93297-10000</f>
        <v>-1940058</v>
      </c>
      <c r="N56" s="474">
        <f t="shared" si="5"/>
        <v>31363131.639999993</v>
      </c>
      <c r="O56" s="816">
        <f>+'Hoja de trabajo'!O64-'Hoja de trabajo'!O63</f>
        <v>3484702</v>
      </c>
      <c r="P56" s="816">
        <f>+'Hoja de trabajo'!P64-'Hoja de trabajo'!P63</f>
        <v>7621259</v>
      </c>
      <c r="Q56" s="473">
        <f t="shared" si="6"/>
        <v>35499688.639999993</v>
      </c>
      <c r="R56" s="802">
        <f>+Q56+Q57-'ECP20'!P86</f>
        <v>-4.4925545752048492</v>
      </c>
      <c r="S56" s="965"/>
      <c r="T56" s="844"/>
      <c r="U56" s="840"/>
      <c r="V56" s="840"/>
      <c r="W56" s="952"/>
      <c r="X56" s="952"/>
      <c r="AML56"/>
    </row>
    <row r="57" spans="1:24 1026:1026" s="408" customFormat="1">
      <c r="A57" s="461" t="s">
        <v>525</v>
      </c>
      <c r="B57" s="816">
        <f>+B74</f>
        <v>19822071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150815</v>
      </c>
      <c r="L57" s="462">
        <f>+L76</f>
        <v>155307</v>
      </c>
      <c r="M57" s="462">
        <f>+M76</f>
        <v>-93297</v>
      </c>
      <c r="N57" s="474">
        <f t="shared" si="5"/>
        <v>17536927.879999999</v>
      </c>
      <c r="O57" s="816">
        <f>+O76</f>
        <v>902562</v>
      </c>
      <c r="P57" s="816">
        <f>+P76+'AD ESF'!E270</f>
        <v>2069001</v>
      </c>
      <c r="Q57" s="473">
        <f t="shared" si="6"/>
        <v>18703366.879999999</v>
      </c>
      <c r="R57" s="802">
        <f>+Q57-'Hoja de trabajo'!Q63</f>
        <v>-0.17000000178813934</v>
      </c>
      <c r="S57" s="833" t="s">
        <v>498</v>
      </c>
      <c r="T57" s="839"/>
      <c r="U57" s="841"/>
      <c r="V57" s="841"/>
      <c r="AML57"/>
    </row>
    <row r="58" spans="1:24 1026:1026" s="408" customFormat="1">
      <c r="A58" s="465" t="s">
        <v>526</v>
      </c>
      <c r="B58" s="817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817">
        <f>+'AD ESF'!D269</f>
        <v>698311</v>
      </c>
      <c r="P58" s="817">
        <f>+'Hoja de trabajo'!P75</f>
        <v>7602059</v>
      </c>
      <c r="Q58" s="473">
        <f t="shared" si="6"/>
        <v>6903748</v>
      </c>
      <c r="R58" s="802">
        <f>+Q58-'ECP20'!R86</f>
        <v>-0.12611738033592701</v>
      </c>
      <c r="S58" s="833" t="s">
        <v>498</v>
      </c>
      <c r="T58" s="839"/>
      <c r="U58" s="840"/>
      <c r="V58" s="841"/>
      <c r="AML58"/>
    </row>
    <row r="59" spans="1:24 1026:1026" s="475" customFormat="1" ht="15.75" thickBot="1">
      <c r="A59" s="468" t="s">
        <v>100</v>
      </c>
      <c r="B59" s="818">
        <f>SUM(B48:B58)</f>
        <v>88978844</v>
      </c>
      <c r="C59" s="818">
        <f t="shared" ref="C59:K59" si="7">SUM(C48:C58)</f>
        <v>30132026</v>
      </c>
      <c r="D59" s="818">
        <f t="shared" si="7"/>
        <v>5030169.83</v>
      </c>
      <c r="E59" s="818">
        <f t="shared" si="7"/>
        <v>0</v>
      </c>
      <c r="F59" s="818">
        <f t="shared" si="7"/>
        <v>38502.560000000114</v>
      </c>
      <c r="G59" s="818">
        <f t="shared" si="7"/>
        <v>678203</v>
      </c>
      <c r="H59" s="818">
        <f t="shared" si="7"/>
        <v>5000</v>
      </c>
      <c r="I59" s="818">
        <f t="shared" si="7"/>
        <v>10000</v>
      </c>
      <c r="J59" s="818">
        <f t="shared" si="7"/>
        <v>1097641.4499999997</v>
      </c>
      <c r="K59" s="818">
        <f t="shared" si="7"/>
        <v>1660464</v>
      </c>
      <c r="L59" s="818">
        <f>SUM(L48:L58)</f>
        <v>499391</v>
      </c>
      <c r="M59" s="818">
        <f t="shared" ref="M59" si="8">SUM(M48:M58)</f>
        <v>-2023355</v>
      </c>
      <c r="N59" s="469">
        <f t="shared" ref="N59:Q59" si="9">SUM(N48:N58)</f>
        <v>126106886.84</v>
      </c>
      <c r="O59" s="818">
        <f t="shared" si="9"/>
        <v>57143256</v>
      </c>
      <c r="P59" s="818">
        <f t="shared" si="9"/>
        <v>17292319</v>
      </c>
      <c r="Q59" s="470">
        <f t="shared" si="9"/>
        <v>86255949.839999989</v>
      </c>
      <c r="R59" s="932"/>
      <c r="S59" s="834"/>
      <c r="T59" s="842"/>
      <c r="U59" s="840"/>
      <c r="V59" s="841"/>
      <c r="AML59"/>
    </row>
    <row r="60" spans="1:24 1026:1026" s="475" customFormat="1" ht="15.75" thickBot="1">
      <c r="A60" s="468" t="s">
        <v>151</v>
      </c>
      <c r="B60" s="818">
        <f>+B59+B47</f>
        <v>223554739</v>
      </c>
      <c r="C60" s="818">
        <f t="shared" ref="C60:Q60" si="10">+C59+C47</f>
        <v>36315871</v>
      </c>
      <c r="D60" s="818">
        <f t="shared" si="10"/>
        <v>6839965.7800000003</v>
      </c>
      <c r="E60" s="818">
        <f t="shared" si="10"/>
        <v>0</v>
      </c>
      <c r="F60" s="818">
        <f t="shared" si="10"/>
        <v>38502.560000000114</v>
      </c>
      <c r="G60" s="818">
        <f t="shared" si="10"/>
        <v>678203</v>
      </c>
      <c r="H60" s="818">
        <f t="shared" si="10"/>
        <v>5000</v>
      </c>
      <c r="I60" s="818">
        <f t="shared" si="10"/>
        <v>25700</v>
      </c>
      <c r="J60" s="818">
        <f t="shared" si="10"/>
        <v>1097641.4499999997</v>
      </c>
      <c r="K60" s="818">
        <f t="shared" si="10"/>
        <v>3135700</v>
      </c>
      <c r="L60" s="888">
        <f t="shared" si="10"/>
        <v>1344307</v>
      </c>
      <c r="M60" s="818">
        <f t="shared" si="10"/>
        <v>364326</v>
      </c>
      <c r="N60" s="818">
        <f t="shared" si="10"/>
        <v>273399955.78999996</v>
      </c>
      <c r="O60" s="818">
        <f t="shared" si="10"/>
        <v>68439583</v>
      </c>
      <c r="P60" s="818">
        <f t="shared" si="10"/>
        <v>17822098</v>
      </c>
      <c r="Q60" s="818">
        <f t="shared" si="10"/>
        <v>222782470.78999996</v>
      </c>
      <c r="R60" s="932"/>
      <c r="S60" s="834"/>
      <c r="T60" s="842"/>
      <c r="U60" s="840"/>
      <c r="V60" s="841"/>
      <c r="AML60"/>
    </row>
    <row r="61" spans="1:24 1026:1026" s="891" customFormat="1" ht="9.75">
      <c r="A61" s="889"/>
      <c r="B61" s="927">
        <f t="shared" ref="B61:Q61" si="11">+B26-B47-B59</f>
        <v>0</v>
      </c>
      <c r="C61" s="928">
        <f t="shared" si="11"/>
        <v>0</v>
      </c>
      <c r="D61" s="928">
        <f t="shared" si="11"/>
        <v>0</v>
      </c>
      <c r="E61" s="928">
        <f t="shared" si="11"/>
        <v>0</v>
      </c>
      <c r="F61" s="928">
        <f t="shared" si="11"/>
        <v>-1.1641532182693481E-10</v>
      </c>
      <c r="G61" s="928">
        <f t="shared" si="11"/>
        <v>0</v>
      </c>
      <c r="H61" s="928">
        <f t="shared" si="11"/>
        <v>0</v>
      </c>
      <c r="I61" s="928">
        <f t="shared" si="11"/>
        <v>0</v>
      </c>
      <c r="J61" s="928">
        <f t="shared" si="11"/>
        <v>0</v>
      </c>
      <c r="K61" s="928">
        <f t="shared" si="11"/>
        <v>0</v>
      </c>
      <c r="L61" s="928">
        <f t="shared" si="11"/>
        <v>0</v>
      </c>
      <c r="M61" s="928">
        <f t="shared" si="11"/>
        <v>0</v>
      </c>
      <c r="N61" s="928">
        <f t="shared" si="11"/>
        <v>0</v>
      </c>
      <c r="O61" s="890">
        <f>+O26+O47+O59</f>
        <v>71486942</v>
      </c>
      <c r="P61" s="890">
        <f>+P26+P47+P59</f>
        <v>71486942</v>
      </c>
      <c r="Q61" s="926">
        <f t="shared" si="11"/>
        <v>0</v>
      </c>
      <c r="S61" s="892"/>
      <c r="T61" s="892"/>
      <c r="U61" s="802"/>
      <c r="V61" s="893"/>
      <c r="AML61" s="851"/>
    </row>
    <row r="62" spans="1:24 1026:1026" s="414" customFormat="1">
      <c r="A62" s="480"/>
      <c r="B62" s="821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853"/>
      <c r="P62" s="854">
        <f>+O61-P61</f>
        <v>0</v>
      </c>
      <c r="Q62" s="483"/>
      <c r="R62" s="891"/>
      <c r="S62" s="483"/>
      <c r="T62" s="483"/>
      <c r="U62" s="802"/>
      <c r="V62" s="481"/>
      <c r="AML62"/>
    </row>
    <row r="63" spans="1:24 1026:1026" s="460" customFormat="1" ht="36">
      <c r="A63" s="458" t="s">
        <v>527</v>
      </c>
      <c r="B63" s="822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869" t="s">
        <v>18</v>
      </c>
      <c r="P63" s="869" t="s">
        <v>19</v>
      </c>
      <c r="Q63" s="870" t="s">
        <v>513</v>
      </c>
      <c r="R63" s="933"/>
      <c r="S63" s="685"/>
      <c r="T63" s="685"/>
      <c r="U63" s="803"/>
      <c r="AML63"/>
    </row>
    <row r="64" spans="1:24 1026:1026">
      <c r="A64" s="465" t="s">
        <v>101</v>
      </c>
      <c r="B64" s="823">
        <v>204668336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210955</v>
      </c>
      <c r="N64" s="485">
        <f>SUM(B64:M64)</f>
        <v>210312391.90000001</v>
      </c>
      <c r="O64" s="855">
        <f>+'AD ERI'!D38</f>
        <v>902562</v>
      </c>
      <c r="P64" s="856"/>
      <c r="Q64" s="486">
        <f>N64-O64+P64</f>
        <v>209409829.90000001</v>
      </c>
      <c r="S64" s="835"/>
      <c r="T64" s="835"/>
    </row>
    <row r="65" spans="1:1026">
      <c r="A65" s="472" t="s">
        <v>102</v>
      </c>
      <c r="B65" s="824">
        <v>-91243067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-97318332.700000003</v>
      </c>
      <c r="O65" s="857"/>
      <c r="P65" s="858">
        <f>+'AD ERI'!E39</f>
        <v>902562</v>
      </c>
      <c r="Q65" s="489">
        <f>N65-O65+P65</f>
        <v>-96415770.700000003</v>
      </c>
      <c r="S65" s="835"/>
      <c r="T65" s="835"/>
    </row>
    <row r="66" spans="1:1026" s="405" customFormat="1">
      <c r="A66" s="490" t="s">
        <v>103</v>
      </c>
      <c r="B66" s="825">
        <f t="shared" ref="B66:N66" si="12">SUM(B64:B65)</f>
        <v>113425269</v>
      </c>
      <c r="C66" s="491">
        <f t="shared" si="12"/>
        <v>-2926042</v>
      </c>
      <c r="D66" s="491">
        <f t="shared" si="12"/>
        <v>842674.02999999991</v>
      </c>
      <c r="E66" s="491">
        <f t="shared" si="12"/>
        <v>0</v>
      </c>
      <c r="F66" s="491">
        <f t="shared" si="12"/>
        <v>0</v>
      </c>
      <c r="G66" s="491">
        <f t="shared" si="12"/>
        <v>331439.17</v>
      </c>
      <c r="H66" s="491">
        <f t="shared" si="12"/>
        <v>0</v>
      </c>
      <c r="I66" s="491">
        <f t="shared" si="12"/>
        <v>0</v>
      </c>
      <c r="J66" s="491">
        <f t="shared" si="12"/>
        <v>0</v>
      </c>
      <c r="K66" s="491">
        <f t="shared" si="12"/>
        <v>666234</v>
      </c>
      <c r="L66" s="491">
        <f t="shared" si="12"/>
        <v>515977</v>
      </c>
      <c r="M66" s="491">
        <f t="shared" si="12"/>
        <v>138508</v>
      </c>
      <c r="N66" s="491">
        <f t="shared" si="12"/>
        <v>112994059.2</v>
      </c>
      <c r="O66" s="859"/>
      <c r="P66" s="859"/>
      <c r="Q66" s="492">
        <f>SUM(Q64:Q65)</f>
        <v>112994059.2</v>
      </c>
      <c r="R66" s="934"/>
      <c r="S66" s="836"/>
      <c r="T66" s="836"/>
      <c r="U66" s="807"/>
      <c r="AML66"/>
    </row>
    <row r="67" spans="1:1026">
      <c r="A67" s="493" t="s">
        <v>104</v>
      </c>
      <c r="B67" s="826">
        <v>-78246645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-79644670.739999995</v>
      </c>
      <c r="O67" s="856"/>
      <c r="P67" s="855"/>
      <c r="Q67" s="486">
        <f>N67-O67+P67</f>
        <v>-79644670.739999995</v>
      </c>
      <c r="S67" s="835"/>
      <c r="T67" s="835"/>
    </row>
    <row r="68" spans="1:1026">
      <c r="A68" s="472" t="s">
        <v>105</v>
      </c>
      <c r="B68" s="824">
        <v>-458163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-50339</v>
      </c>
      <c r="L68" s="487">
        <f>-4183+456</f>
        <v>-3727</v>
      </c>
      <c r="M68" s="487">
        <v>40508</v>
      </c>
      <c r="N68" s="488">
        <f>SUM(B68:M68)</f>
        <v>-751487.41</v>
      </c>
      <c r="O68" s="857"/>
      <c r="P68" s="858">
        <f>+'AD ESF'!E318</f>
        <v>468128</v>
      </c>
      <c r="Q68" s="489">
        <f>N68-O68+P68</f>
        <v>-283359.41000000003</v>
      </c>
      <c r="S68" s="835"/>
      <c r="T68" s="835"/>
    </row>
    <row r="69" spans="1:1026" s="405" customFormat="1">
      <c r="A69" s="490" t="s">
        <v>107</v>
      </c>
      <c r="B69" s="825">
        <f t="shared" ref="B69:N69" si="13">SUM(B66:B68)</f>
        <v>34720461</v>
      </c>
      <c r="C69" s="491">
        <f t="shared" si="13"/>
        <v>-3188003</v>
      </c>
      <c r="D69" s="491">
        <f t="shared" si="13"/>
        <v>399181.97999999992</v>
      </c>
      <c r="E69" s="491">
        <f t="shared" si="13"/>
        <v>0</v>
      </c>
      <c r="F69" s="491">
        <f t="shared" si="13"/>
        <v>0</v>
      </c>
      <c r="G69" s="491">
        <f t="shared" si="13"/>
        <v>331439.17</v>
      </c>
      <c r="H69" s="491">
        <f t="shared" si="13"/>
        <v>0</v>
      </c>
      <c r="I69" s="491">
        <f t="shared" si="13"/>
        <v>0</v>
      </c>
      <c r="J69" s="491">
        <f t="shared" si="13"/>
        <v>-40586.1</v>
      </c>
      <c r="K69" s="491">
        <f t="shared" si="13"/>
        <v>233147</v>
      </c>
      <c r="L69" s="491">
        <f t="shared" si="13"/>
        <v>235558</v>
      </c>
      <c r="M69" s="491">
        <f t="shared" si="13"/>
        <v>-93297</v>
      </c>
      <c r="N69" s="491">
        <f t="shared" si="13"/>
        <v>32597901.050000008</v>
      </c>
      <c r="O69" s="859"/>
      <c r="P69" s="859"/>
      <c r="Q69" s="492">
        <f>SUM(Q66:Q68)</f>
        <v>33066029.050000008</v>
      </c>
      <c r="R69" s="934"/>
      <c r="S69" s="836"/>
      <c r="T69" s="836"/>
      <c r="U69" s="807"/>
      <c r="AML69"/>
    </row>
    <row r="70" spans="1:1026">
      <c r="A70" s="472" t="s">
        <v>108</v>
      </c>
      <c r="B70" s="824">
        <v>-1888991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-1897463</v>
      </c>
      <c r="O70" s="857"/>
      <c r="P70" s="857"/>
      <c r="Q70" s="489">
        <f>N70-O70+P70</f>
        <v>-1897463</v>
      </c>
      <c r="S70" s="835"/>
      <c r="T70" s="835"/>
    </row>
    <row r="71" spans="1:1026" s="405" customFormat="1">
      <c r="A71" s="490" t="s">
        <v>109</v>
      </c>
      <c r="B71" s="825">
        <f t="shared" ref="B71:N71" si="14">+B69+B70</f>
        <v>32831470</v>
      </c>
      <c r="C71" s="491">
        <f t="shared" si="14"/>
        <v>-3188003</v>
      </c>
      <c r="D71" s="491">
        <f t="shared" si="14"/>
        <v>399181.97999999992</v>
      </c>
      <c r="E71" s="491">
        <f t="shared" si="14"/>
        <v>0</v>
      </c>
      <c r="F71" s="491">
        <f t="shared" si="14"/>
        <v>0</v>
      </c>
      <c r="G71" s="491">
        <f t="shared" si="14"/>
        <v>331439.17</v>
      </c>
      <c r="H71" s="491">
        <f t="shared" si="14"/>
        <v>0</v>
      </c>
      <c r="I71" s="491">
        <f t="shared" si="14"/>
        <v>0</v>
      </c>
      <c r="J71" s="491">
        <f t="shared" si="14"/>
        <v>-40586.1</v>
      </c>
      <c r="K71" s="491">
        <f t="shared" si="14"/>
        <v>233147</v>
      </c>
      <c r="L71" s="491">
        <f t="shared" si="14"/>
        <v>227086</v>
      </c>
      <c r="M71" s="491">
        <f t="shared" si="14"/>
        <v>-93297</v>
      </c>
      <c r="N71" s="491">
        <f t="shared" si="14"/>
        <v>30700438.050000008</v>
      </c>
      <c r="O71" s="860"/>
      <c r="P71" s="860"/>
      <c r="Q71" s="492">
        <f>+Q69+Q70</f>
        <v>31168566.050000008</v>
      </c>
      <c r="R71" s="934"/>
      <c r="S71" s="836"/>
      <c r="T71" s="836"/>
      <c r="U71" s="807"/>
      <c r="AML71"/>
    </row>
    <row r="72" spans="1:1026">
      <c r="A72" s="493" t="s">
        <v>110</v>
      </c>
      <c r="B72" s="826">
        <v>-4924720</v>
      </c>
      <c r="C72" s="494"/>
      <c r="D72" s="494"/>
      <c r="E72" s="494"/>
      <c r="F72" s="494"/>
      <c r="G72" s="494"/>
      <c r="H72" s="494"/>
      <c r="I72" s="494"/>
      <c r="J72" s="494"/>
      <c r="K72" s="494">
        <v>-34972</v>
      </c>
      <c r="L72" s="494">
        <v>-33746</v>
      </c>
      <c r="M72" s="494"/>
      <c r="N72" s="495">
        <f>SUM(B72:M72)</f>
        <v>-4993438</v>
      </c>
      <c r="O72" s="856"/>
      <c r="P72" s="856"/>
      <c r="Q72" s="486">
        <f>N72-O72+P72</f>
        <v>-4993438</v>
      </c>
      <c r="S72" s="835"/>
      <c r="T72" s="835"/>
    </row>
    <row r="73" spans="1:1026">
      <c r="A73" s="472" t="s">
        <v>111</v>
      </c>
      <c r="B73" s="824">
        <v>-8084679</v>
      </c>
      <c r="C73" s="487"/>
      <c r="D73" s="487"/>
      <c r="E73" s="487"/>
      <c r="F73" s="487"/>
      <c r="G73" s="487"/>
      <c r="H73" s="487"/>
      <c r="I73" s="487"/>
      <c r="J73" s="487"/>
      <c r="K73" s="487">
        <v>-47360</v>
      </c>
      <c r="L73" s="487">
        <f>-35920-2113</f>
        <v>-38033</v>
      </c>
      <c r="M73" s="487"/>
      <c r="N73" s="488">
        <f>SUM(B73:M73)</f>
        <v>-8170072</v>
      </c>
      <c r="O73" s="861"/>
      <c r="P73" s="857"/>
      <c r="Q73" s="489">
        <f>N73-O73+P73</f>
        <v>-8170072</v>
      </c>
      <c r="S73" s="835"/>
      <c r="T73" s="835"/>
    </row>
    <row r="74" spans="1:1026" s="405" customFormat="1">
      <c r="A74" s="490" t="s">
        <v>112</v>
      </c>
      <c r="B74" s="825">
        <f t="shared" ref="B74:G74" si="15">+B71+B72+B73</f>
        <v>19822071</v>
      </c>
      <c r="C74" s="491">
        <f t="shared" si="15"/>
        <v>-3188003</v>
      </c>
      <c r="D74" s="491">
        <f t="shared" si="15"/>
        <v>399181.97999999992</v>
      </c>
      <c r="E74" s="491">
        <f t="shared" si="15"/>
        <v>0</v>
      </c>
      <c r="F74" s="491">
        <f t="shared" si="15"/>
        <v>0</v>
      </c>
      <c r="G74" s="491">
        <f t="shared" si="15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150815</v>
      </c>
      <c r="L74" s="491">
        <f>+L71+L72+L73</f>
        <v>155307</v>
      </c>
      <c r="M74" s="491">
        <f>+M71+M72+M73</f>
        <v>-93297</v>
      </c>
      <c r="N74" s="491">
        <f>+N71+N72+N73</f>
        <v>17536928.050000008</v>
      </c>
      <c r="O74" s="862"/>
      <c r="P74" s="862"/>
      <c r="Q74" s="496">
        <f>+Q71+Q72+Q73</f>
        <v>18005056.050000008</v>
      </c>
      <c r="R74" s="934"/>
      <c r="S74" s="837"/>
      <c r="T74" s="837"/>
      <c r="U74" s="807"/>
      <c r="Y74" s="1073"/>
      <c r="AML74"/>
    </row>
    <row r="75" spans="1:1026">
      <c r="A75" s="497" t="s">
        <v>113</v>
      </c>
      <c r="B75" s="827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863"/>
      <c r="P75" s="863"/>
      <c r="Q75" s="500">
        <f>N75-O75+P75</f>
        <v>0</v>
      </c>
      <c r="S75" s="835"/>
      <c r="T75" s="835"/>
    </row>
    <row r="76" spans="1:1026" s="460" customFormat="1">
      <c r="A76" s="501" t="s">
        <v>98</v>
      </c>
      <c r="B76" s="828">
        <f t="shared" ref="B76:N76" si="16">B74+B75</f>
        <v>19822071</v>
      </c>
      <c r="C76" s="502">
        <f t="shared" si="16"/>
        <v>-3188003</v>
      </c>
      <c r="D76" s="502">
        <f t="shared" si="16"/>
        <v>399181.97999999992</v>
      </c>
      <c r="E76" s="502">
        <f t="shared" si="16"/>
        <v>0</v>
      </c>
      <c r="F76" s="502">
        <f t="shared" si="16"/>
        <v>0</v>
      </c>
      <c r="G76" s="502">
        <f t="shared" si="16"/>
        <v>331439.17</v>
      </c>
      <c r="H76" s="502">
        <f t="shared" si="16"/>
        <v>0</v>
      </c>
      <c r="I76" s="502">
        <f t="shared" si="16"/>
        <v>0</v>
      </c>
      <c r="J76" s="502">
        <f t="shared" si="16"/>
        <v>-40586.1</v>
      </c>
      <c r="K76" s="502">
        <f t="shared" si="16"/>
        <v>150815</v>
      </c>
      <c r="L76" s="502">
        <f t="shared" si="16"/>
        <v>155307</v>
      </c>
      <c r="M76" s="502">
        <f t="shared" si="16"/>
        <v>-93297</v>
      </c>
      <c r="N76" s="502">
        <f t="shared" si="16"/>
        <v>17536928.050000008</v>
      </c>
      <c r="O76" s="828">
        <f>SUM(O64:O75)</f>
        <v>902562</v>
      </c>
      <c r="P76" s="828">
        <f>SUM(P64:P75)</f>
        <v>1370690</v>
      </c>
      <c r="Q76" s="503">
        <f>Q74+Q75</f>
        <v>18005056.050000008</v>
      </c>
      <c r="R76" s="930"/>
      <c r="S76" s="837"/>
      <c r="T76" s="837"/>
      <c r="U76" s="803"/>
      <c r="AML76"/>
    </row>
    <row r="77" spans="1:1026">
      <c r="A77" s="504"/>
      <c r="B77" s="829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829"/>
      <c r="P77" s="829"/>
      <c r="Q77" s="428"/>
      <c r="S77" s="428"/>
      <c r="T77" s="428"/>
    </row>
    <row r="78" spans="1:1026" s="851" customFormat="1" ht="9.75">
      <c r="A78" s="848"/>
      <c r="B78" s="849">
        <f t="shared" ref="B78:N78" si="17">+B59+B47-B26</f>
        <v>0</v>
      </c>
      <c r="C78" s="850">
        <f t="shared" si="17"/>
        <v>0</v>
      </c>
      <c r="D78" s="850">
        <f t="shared" si="17"/>
        <v>0</v>
      </c>
      <c r="E78" s="850">
        <f t="shared" si="17"/>
        <v>0</v>
      </c>
      <c r="F78" s="850">
        <f t="shared" si="17"/>
        <v>1.1641532182693481E-10</v>
      </c>
      <c r="G78" s="850">
        <f t="shared" si="17"/>
        <v>0</v>
      </c>
      <c r="H78" s="850">
        <f t="shared" si="17"/>
        <v>0</v>
      </c>
      <c r="I78" s="850">
        <f t="shared" si="17"/>
        <v>0</v>
      </c>
      <c r="J78" s="850">
        <f t="shared" si="17"/>
        <v>0</v>
      </c>
      <c r="K78" s="850">
        <f t="shared" si="17"/>
        <v>0</v>
      </c>
      <c r="L78" s="850">
        <f t="shared" si="17"/>
        <v>0</v>
      </c>
      <c r="M78" s="850">
        <f t="shared" si="17"/>
        <v>0</v>
      </c>
      <c r="N78" s="850">
        <f t="shared" si="17"/>
        <v>0</v>
      </c>
      <c r="O78" s="849"/>
      <c r="P78" s="849"/>
      <c r="Q78" s="849">
        <f>+Q59+Q47-Q26</f>
        <v>0</v>
      </c>
      <c r="R78" s="406"/>
      <c r="S78" s="850"/>
      <c r="T78" s="850"/>
      <c r="U78" s="802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829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829"/>
      <c r="P79" s="829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19822071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139503.875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18237551.178671967</v>
      </c>
      <c r="O80" s="864">
        <f>+O68+O64</f>
        <v>902562</v>
      </c>
      <c r="P80" s="864">
        <f>P65+P68+P67</f>
        <v>1370690</v>
      </c>
      <c r="Q80" s="507">
        <f>+N80-O80+P80</f>
        <v>18705679.178671967</v>
      </c>
      <c r="S80" s="838"/>
      <c r="T80" s="838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8">+G76-G80</f>
        <v>82859.792499999981</v>
      </c>
      <c r="H81" s="509">
        <f t="shared" si="18"/>
        <v>0</v>
      </c>
      <c r="I81" s="509">
        <f t="shared" si="18"/>
        <v>0</v>
      </c>
      <c r="J81" s="509">
        <f t="shared" si="18"/>
        <v>-2.0293049999963841</v>
      </c>
      <c r="K81" s="509">
        <f t="shared" si="18"/>
        <v>11311.125</v>
      </c>
      <c r="L81" s="509">
        <f t="shared" si="18"/>
        <v>1553.070000000007</v>
      </c>
      <c r="M81" s="509">
        <f t="shared" si="18"/>
        <v>0</v>
      </c>
      <c r="N81" s="510">
        <f>SUM(B81:M81)</f>
        <v>-700623.12867196836</v>
      </c>
      <c r="O81" s="865"/>
      <c r="P81" s="865"/>
      <c r="Q81" s="510">
        <f>+N81-O81+P81</f>
        <v>-700623.12867196836</v>
      </c>
      <c r="R81" s="935"/>
      <c r="S81" s="838"/>
      <c r="T81" s="838"/>
      <c r="W81" s="408"/>
    </row>
    <row r="82" spans="1:23">
      <c r="A82" s="511"/>
      <c r="B82" s="512">
        <f>+B80+B81</f>
        <v>19822071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19">+G80+G81</f>
        <v>331439.17</v>
      </c>
      <c r="H82" s="512">
        <f t="shared" si="19"/>
        <v>0</v>
      </c>
      <c r="I82" s="512">
        <f t="shared" si="19"/>
        <v>0</v>
      </c>
      <c r="J82" s="512">
        <f t="shared" si="19"/>
        <v>-40586.1</v>
      </c>
      <c r="K82" s="512">
        <f t="shared" si="19"/>
        <v>150815</v>
      </c>
      <c r="L82" s="512">
        <f t="shared" si="19"/>
        <v>155307</v>
      </c>
      <c r="M82" s="512">
        <f t="shared" si="19"/>
        <v>-93297</v>
      </c>
      <c r="N82" s="512">
        <f t="shared" si="19"/>
        <v>17536928.049999997</v>
      </c>
      <c r="O82" s="866">
        <f t="shared" si="19"/>
        <v>902562</v>
      </c>
      <c r="P82" s="866">
        <f t="shared" si="19"/>
        <v>1370690</v>
      </c>
      <c r="Q82" s="512">
        <f t="shared" si="19"/>
        <v>18005056.049999997</v>
      </c>
      <c r="S82" s="838"/>
      <c r="T82" s="838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829"/>
      <c r="P83" s="829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829"/>
      <c r="P84" s="867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3"/>
  <sheetViews>
    <sheetView showGridLines="0" topLeftCell="A23" zoomScaleNormal="100" workbookViewId="0">
      <selection activeCell="D24" sqref="D24"/>
    </sheetView>
  </sheetViews>
  <sheetFormatPr defaultColWidth="11.5703125" defaultRowHeight="15"/>
  <cols>
    <col min="1" max="1" width="40.140625" style="852" customWidth="1"/>
    <col min="2" max="2" width="8.85546875" style="852" customWidth="1"/>
    <col min="3" max="3" width="12.5703125" style="852" bestFit="1" customWidth="1"/>
    <col min="4" max="4" width="11.28515625" style="852" customWidth="1"/>
    <col min="5" max="5" width="1" style="852" customWidth="1"/>
    <col min="6" max="6" width="12" style="936" bestFit="1" customWidth="1"/>
    <col min="7" max="7" width="11.7109375" style="852" hidden="1" customWidth="1"/>
    <col min="8" max="8" width="1.140625" style="852" hidden="1" customWidth="1"/>
    <col min="9" max="9" width="11.7109375" style="852" hidden="1" customWidth="1"/>
    <col min="10" max="10" width="10.7109375" style="1028" hidden="1" customWidth="1"/>
    <col min="11" max="11" width="12" style="852" hidden="1" customWidth="1"/>
    <col min="12" max="12" width="10.85546875" style="1028" hidden="1" customWidth="1"/>
    <col min="13" max="13" width="12" style="852" hidden="1" customWidth="1"/>
    <col min="14" max="14" width="5.140625" style="852" customWidth="1"/>
    <col min="15" max="15" width="40.140625" style="852" customWidth="1"/>
    <col min="16" max="16" width="8.85546875" style="852" customWidth="1"/>
    <col min="17" max="17" width="12" style="852" bestFit="1" customWidth="1"/>
    <col min="18" max="18" width="11.28515625" style="852" customWidth="1"/>
    <col min="19" max="19" width="0.7109375" style="852" customWidth="1"/>
    <col min="20" max="20" width="12" style="936" bestFit="1" customWidth="1"/>
    <col min="21" max="21" width="11.7109375" style="852" hidden="1" customWidth="1"/>
    <col min="22" max="22" width="1.28515625" style="852" hidden="1" customWidth="1"/>
    <col min="23" max="23" width="12" style="852" hidden="1" customWidth="1"/>
    <col min="24" max="24" width="10.7109375" style="1028" hidden="1" customWidth="1"/>
    <col min="25" max="25" width="12" style="852" hidden="1" customWidth="1"/>
    <col min="26" max="26" width="10.7109375" style="1028" hidden="1" customWidth="1"/>
    <col min="27" max="27" width="12" style="852" hidden="1" customWidth="1"/>
    <col min="28" max="28" width="8.140625" style="972" customWidth="1"/>
    <col min="29" max="1024" width="11.5703125" style="852"/>
    <col min="1025" max="16384" width="11.5703125" style="887"/>
  </cols>
  <sheetData>
    <row r="1" spans="1:31" s="852" customFormat="1" ht="12" customHeight="1">
      <c r="A1" s="967"/>
      <c r="B1" s="967" t="s">
        <v>626</v>
      </c>
      <c r="C1" s="967"/>
      <c r="D1" s="967"/>
      <c r="E1" s="967"/>
      <c r="G1" s="967"/>
      <c r="H1" s="967"/>
      <c r="I1" s="967"/>
      <c r="J1" s="968"/>
      <c r="K1" s="969"/>
      <c r="L1" s="968"/>
      <c r="M1" s="967"/>
      <c r="N1" s="969"/>
      <c r="O1" s="967"/>
      <c r="P1" s="967" t="s">
        <v>626</v>
      </c>
      <c r="Q1" s="967"/>
      <c r="R1" s="967"/>
      <c r="S1" s="967"/>
      <c r="U1" s="967"/>
      <c r="V1" s="967"/>
      <c r="W1" s="967"/>
      <c r="X1" s="968"/>
      <c r="Y1" s="970"/>
      <c r="Z1" s="968"/>
      <c r="AA1" s="971"/>
      <c r="AB1" s="972"/>
    </row>
    <row r="2" spans="1:31" ht="12" customHeight="1">
      <c r="A2" s="969" t="s">
        <v>627</v>
      </c>
      <c r="B2" s="973" t="s">
        <v>628</v>
      </c>
      <c r="C2" s="973">
        <v>2020</v>
      </c>
      <c r="D2" s="973"/>
      <c r="E2" s="973"/>
      <c r="F2" s="974">
        <v>2019</v>
      </c>
      <c r="G2" s="975"/>
      <c r="H2" s="975"/>
      <c r="I2" s="975">
        <v>2018</v>
      </c>
      <c r="J2" s="976"/>
      <c r="K2" s="970">
        <v>2017</v>
      </c>
      <c r="L2" s="976"/>
      <c r="M2" s="970">
        <v>2016</v>
      </c>
      <c r="N2" s="975"/>
      <c r="O2" s="970" t="s">
        <v>629</v>
      </c>
      <c r="P2" s="973" t="s">
        <v>628</v>
      </c>
      <c r="Q2" s="973">
        <v>2020</v>
      </c>
      <c r="R2" s="973"/>
      <c r="S2" s="973"/>
      <c r="T2" s="974">
        <v>2019</v>
      </c>
      <c r="U2" s="975"/>
      <c r="V2" s="975"/>
      <c r="W2" s="975">
        <v>2018</v>
      </c>
      <c r="X2" s="977"/>
      <c r="Y2" s="978">
        <v>2017</v>
      </c>
      <c r="Z2" s="976"/>
      <c r="AA2" s="973">
        <v>2016</v>
      </c>
      <c r="AC2" s="979"/>
      <c r="AD2" s="980"/>
      <c r="AE2" s="980"/>
    </row>
    <row r="3" spans="1:31" ht="12" customHeight="1">
      <c r="A3" s="967"/>
      <c r="B3" s="967"/>
      <c r="C3" s="967"/>
      <c r="D3" s="981"/>
      <c r="E3" s="967"/>
      <c r="F3" s="982"/>
      <c r="G3" s="983"/>
      <c r="H3" s="983"/>
      <c r="I3" s="983"/>
      <c r="J3" s="968"/>
      <c r="K3" s="970"/>
      <c r="L3" s="968"/>
      <c r="M3" s="983"/>
      <c r="N3" s="970"/>
      <c r="O3" s="983"/>
      <c r="P3" s="983"/>
      <c r="Q3" s="983"/>
      <c r="R3" s="983"/>
      <c r="S3" s="983"/>
      <c r="T3" s="982"/>
      <c r="U3" s="984"/>
      <c r="V3" s="984"/>
      <c r="W3" s="983"/>
      <c r="X3" s="985"/>
      <c r="Y3" s="986"/>
      <c r="Z3" s="968"/>
      <c r="AA3" s="967"/>
    </row>
    <row r="4" spans="1:31" ht="12" customHeight="1">
      <c r="A4" s="987" t="s">
        <v>630</v>
      </c>
      <c r="B4" s="987"/>
      <c r="C4" s="987"/>
      <c r="D4" s="988"/>
      <c r="E4" s="987"/>
      <c r="F4" s="982"/>
      <c r="G4" s="989"/>
      <c r="H4" s="989"/>
      <c r="I4" s="989"/>
      <c r="J4" s="968"/>
      <c r="K4" s="970"/>
      <c r="L4" s="968"/>
      <c r="M4" s="989"/>
      <c r="N4" s="970"/>
      <c r="O4" s="990" t="s">
        <v>631</v>
      </c>
      <c r="P4" s="990"/>
      <c r="Q4" s="990"/>
      <c r="R4" s="990"/>
      <c r="S4" s="990"/>
      <c r="T4" s="982"/>
      <c r="U4" s="991"/>
      <c r="V4" s="991"/>
      <c r="W4" s="990"/>
      <c r="X4" s="985"/>
      <c r="Y4" s="992"/>
      <c r="Z4" s="968"/>
      <c r="AA4" s="993"/>
    </row>
    <row r="5" spans="1:31" ht="12" customHeight="1">
      <c r="A5" s="994" t="s">
        <v>632</v>
      </c>
      <c r="B5" s="995">
        <v>6</v>
      </c>
      <c r="C5" s="996">
        <f>'Planilla final'!Q5</f>
        <v>19936127.489999998</v>
      </c>
      <c r="D5" s="988">
        <f t="shared" ref="D5:D14" si="0">F5-C5</f>
        <v>-14050153.489999998</v>
      </c>
      <c r="E5" s="995"/>
      <c r="F5" s="952">
        <v>5885974</v>
      </c>
      <c r="G5" s="997">
        <v>-5247728</v>
      </c>
      <c r="H5" s="997"/>
      <c r="I5" s="998">
        <v>638246</v>
      </c>
      <c r="J5" s="997">
        <v>1104316</v>
      </c>
      <c r="K5" s="999">
        <v>1742562</v>
      </c>
      <c r="L5" s="997">
        <v>-9053595</v>
      </c>
      <c r="M5" s="1000">
        <v>10796157</v>
      </c>
      <c r="N5" s="970"/>
      <c r="O5" s="1001" t="s">
        <v>633</v>
      </c>
      <c r="P5" s="970"/>
      <c r="Q5" s="1002">
        <f>'Planilla final'!Q27</f>
        <v>0</v>
      </c>
      <c r="R5" s="1003">
        <f>+Q5-T5</f>
        <v>-74044</v>
      </c>
      <c r="S5" s="970"/>
      <c r="T5" s="952">
        <v>74044</v>
      </c>
      <c r="U5" s="997">
        <v>-3719967</v>
      </c>
      <c r="V5" s="997"/>
      <c r="W5" s="1004">
        <v>3794011</v>
      </c>
      <c r="X5" s="1005">
        <v>3533609</v>
      </c>
      <c r="Y5" s="1006">
        <v>260402</v>
      </c>
      <c r="Z5" s="997">
        <v>61512</v>
      </c>
      <c r="AA5" s="1007">
        <v>198890</v>
      </c>
      <c r="AB5" s="1008"/>
      <c r="AC5" s="1009"/>
      <c r="AD5" s="1010"/>
      <c r="AE5" s="1010"/>
    </row>
    <row r="6" spans="1:31" ht="12" customHeight="1">
      <c r="A6" s="994" t="s">
        <v>634</v>
      </c>
      <c r="B6" s="995"/>
      <c r="C6" s="996">
        <f>'Planilla final'!Q7</f>
        <v>3119911</v>
      </c>
      <c r="D6" s="988">
        <f t="shared" si="0"/>
        <v>-3107992</v>
      </c>
      <c r="E6" s="995"/>
      <c r="F6" s="952">
        <v>11919</v>
      </c>
      <c r="G6" s="997">
        <v>60892</v>
      </c>
      <c r="H6" s="997"/>
      <c r="I6" s="998">
        <v>72811</v>
      </c>
      <c r="J6" s="997">
        <v>29809</v>
      </c>
      <c r="K6" s="999">
        <v>102620</v>
      </c>
      <c r="L6" s="997">
        <v>-5828169</v>
      </c>
      <c r="M6" s="1000">
        <v>5930789</v>
      </c>
      <c r="N6" s="983"/>
      <c r="O6" s="1001" t="s">
        <v>65</v>
      </c>
      <c r="P6" s="970">
        <v>18</v>
      </c>
      <c r="Q6" s="1002">
        <f>'Planilla final'!Q28</f>
        <v>4080196</v>
      </c>
      <c r="R6" s="1003">
        <f t="shared" ref="R6:R14" si="1">+Q6-T6</f>
        <v>695083</v>
      </c>
      <c r="S6" s="970"/>
      <c r="T6" s="952">
        <v>3385113</v>
      </c>
      <c r="U6" s="997">
        <v>-8084255</v>
      </c>
      <c r="V6" s="997"/>
      <c r="W6" s="1004">
        <v>11469368</v>
      </c>
      <c r="X6" s="1005">
        <v>-1944307</v>
      </c>
      <c r="Y6" s="1011">
        <v>13413675</v>
      </c>
      <c r="Z6" s="997">
        <v>-4986126</v>
      </c>
      <c r="AA6" s="993">
        <v>18399801</v>
      </c>
      <c r="AC6" s="1012"/>
      <c r="AD6" s="1010"/>
      <c r="AE6" s="1010"/>
    </row>
    <row r="7" spans="1:31" ht="12" customHeight="1">
      <c r="A7" s="994" t="s">
        <v>36</v>
      </c>
      <c r="B7" s="995">
        <v>7</v>
      </c>
      <c r="C7" s="996">
        <f>'Planilla final'!Q6</f>
        <v>8650</v>
      </c>
      <c r="D7" s="988">
        <f t="shared" si="0"/>
        <v>3350139</v>
      </c>
      <c r="E7" s="995"/>
      <c r="F7" s="952">
        <v>3358789</v>
      </c>
      <c r="G7" s="997">
        <v>-965345</v>
      </c>
      <c r="H7" s="997"/>
      <c r="I7" s="998">
        <v>2393444</v>
      </c>
      <c r="J7" s="997">
        <v>251011</v>
      </c>
      <c r="K7" s="999">
        <v>2644455</v>
      </c>
      <c r="L7" s="997">
        <v>593863</v>
      </c>
      <c r="M7" s="1000">
        <v>2050592</v>
      </c>
      <c r="N7" s="970"/>
      <c r="O7" s="1001" t="s">
        <v>635</v>
      </c>
      <c r="P7" s="970">
        <v>19</v>
      </c>
      <c r="Q7" s="1002">
        <f>'Planilla final'!Q29</f>
        <v>7029609.0199999996</v>
      </c>
      <c r="R7" s="1003">
        <f t="shared" si="1"/>
        <v>4544878.0199999996</v>
      </c>
      <c r="S7" s="970"/>
      <c r="T7" s="952">
        <v>2484731</v>
      </c>
      <c r="U7" s="997">
        <v>-6103212</v>
      </c>
      <c r="V7" s="997"/>
      <c r="W7" s="1004">
        <v>8587943</v>
      </c>
      <c r="X7" s="1005">
        <v>-2871367</v>
      </c>
      <c r="Y7" s="1011">
        <v>11459310</v>
      </c>
      <c r="Z7" s="997">
        <v>-1466341</v>
      </c>
      <c r="AA7" s="993">
        <v>12925651</v>
      </c>
      <c r="AC7" s="1012"/>
      <c r="AD7" s="1010"/>
      <c r="AE7" s="1010"/>
    </row>
    <row r="8" spans="1:31" ht="12" customHeight="1">
      <c r="A8" s="994" t="s">
        <v>636</v>
      </c>
      <c r="B8" s="995">
        <v>8</v>
      </c>
      <c r="C8" s="996">
        <f>'Planilla final'!Q8</f>
        <v>8663493.7400000002</v>
      </c>
      <c r="D8" s="988">
        <f t="shared" si="0"/>
        <v>2423061.2599999998</v>
      </c>
      <c r="E8" s="995"/>
      <c r="F8" s="952">
        <v>11086555</v>
      </c>
      <c r="G8" s="997">
        <v>-1755023</v>
      </c>
      <c r="H8" s="997"/>
      <c r="I8" s="998">
        <v>9331532</v>
      </c>
      <c r="J8" s="997">
        <v>6231872</v>
      </c>
      <c r="K8" s="999">
        <v>15563404</v>
      </c>
      <c r="L8" s="997">
        <v>1100909</v>
      </c>
      <c r="M8" s="1000">
        <v>14462495</v>
      </c>
      <c r="N8" s="970"/>
      <c r="O8" s="1001" t="s">
        <v>637</v>
      </c>
      <c r="P8" s="970">
        <v>20</v>
      </c>
      <c r="Q8" s="1002">
        <f>'Planilla final'!Q30</f>
        <v>30113305</v>
      </c>
      <c r="R8" s="1003">
        <f t="shared" si="1"/>
        <v>7573306</v>
      </c>
      <c r="S8" s="970"/>
      <c r="T8" s="952">
        <v>22539999</v>
      </c>
      <c r="U8" s="997">
        <v>5790003</v>
      </c>
      <c r="V8" s="997"/>
      <c r="W8" s="1004">
        <v>16749996</v>
      </c>
      <c r="X8" s="1005">
        <v>-3686049</v>
      </c>
      <c r="Y8" s="1011">
        <v>20436045</v>
      </c>
      <c r="Z8" s="997">
        <v>1910661</v>
      </c>
      <c r="AA8" s="993">
        <v>18525384</v>
      </c>
      <c r="AC8" s="1012"/>
      <c r="AD8" s="1010"/>
      <c r="AE8" s="1010"/>
    </row>
    <row r="9" spans="1:31" ht="12" customHeight="1">
      <c r="A9" s="994" t="s">
        <v>638</v>
      </c>
      <c r="B9" s="995">
        <v>21</v>
      </c>
      <c r="C9" s="996">
        <f>'Planilla final'!Q9</f>
        <v>32644377.149999999</v>
      </c>
      <c r="D9" s="988">
        <f t="shared" si="0"/>
        <v>-840634.14999999851</v>
      </c>
      <c r="E9" s="995"/>
      <c r="F9" s="952">
        <v>31803743</v>
      </c>
      <c r="G9" s="997">
        <v>2402819</v>
      </c>
      <c r="H9" s="997"/>
      <c r="I9" s="998">
        <v>34206562</v>
      </c>
      <c r="J9" s="997">
        <v>-9131565</v>
      </c>
      <c r="K9" s="999">
        <v>25074997</v>
      </c>
      <c r="L9" s="997">
        <v>11254398</v>
      </c>
      <c r="M9" s="1000">
        <v>13820599</v>
      </c>
      <c r="N9" s="970"/>
      <c r="O9" s="1001" t="s">
        <v>638</v>
      </c>
      <c r="P9" s="970">
        <v>21</v>
      </c>
      <c r="Q9" s="1002">
        <f>'Planilla final'!Q31</f>
        <v>711036.08999999985</v>
      </c>
      <c r="R9" s="1003">
        <f t="shared" si="1"/>
        <v>-1033461.9100000001</v>
      </c>
      <c r="S9" s="970"/>
      <c r="T9" s="952">
        <v>1744498</v>
      </c>
      <c r="U9" s="997">
        <v>-726210</v>
      </c>
      <c r="V9" s="997"/>
      <c r="W9" s="1004">
        <v>2470708</v>
      </c>
      <c r="X9" s="1005">
        <v>557079</v>
      </c>
      <c r="Y9" s="1011">
        <v>1913629</v>
      </c>
      <c r="Z9" s="997">
        <v>1651239</v>
      </c>
      <c r="AA9" s="993">
        <v>262390</v>
      </c>
      <c r="AD9" s="1010"/>
      <c r="AE9" s="1010"/>
    </row>
    <row r="10" spans="1:31" ht="12" customHeight="1">
      <c r="A10" s="994" t="s">
        <v>43</v>
      </c>
      <c r="B10" s="995">
        <v>9</v>
      </c>
      <c r="C10" s="996">
        <f>'Planilla final'!Q11</f>
        <v>475895.76</v>
      </c>
      <c r="D10" s="988">
        <f t="shared" si="0"/>
        <v>46133.239999999991</v>
      </c>
      <c r="E10" s="995"/>
      <c r="F10" s="952">
        <v>522029</v>
      </c>
      <c r="G10" s="997">
        <v>228775</v>
      </c>
      <c r="H10" s="997"/>
      <c r="I10" s="998">
        <v>750804</v>
      </c>
      <c r="J10" s="997">
        <v>373975</v>
      </c>
      <c r="K10" s="999">
        <v>1124779</v>
      </c>
      <c r="L10" s="997">
        <v>-685042</v>
      </c>
      <c r="M10" s="1000">
        <v>1809821</v>
      </c>
      <c r="N10" s="970"/>
      <c r="O10" s="1001" t="s">
        <v>71</v>
      </c>
      <c r="P10" s="970">
        <v>23</v>
      </c>
      <c r="Q10" s="1002">
        <f>'Planilla final'!Q32</f>
        <v>7351642</v>
      </c>
      <c r="R10" s="1003">
        <f t="shared" si="1"/>
        <v>-481778</v>
      </c>
      <c r="S10" s="970"/>
      <c r="T10" s="952">
        <v>7833420</v>
      </c>
      <c r="U10" s="997">
        <v>1097769</v>
      </c>
      <c r="V10" s="997"/>
      <c r="W10" s="1004">
        <v>6735651</v>
      </c>
      <c r="X10" s="1005">
        <v>2460744</v>
      </c>
      <c r="Y10" s="1011">
        <v>4274907</v>
      </c>
      <c r="Z10" s="997">
        <v>130512</v>
      </c>
      <c r="AA10" s="993">
        <v>4144395</v>
      </c>
      <c r="AD10" s="1010"/>
      <c r="AE10" s="1010"/>
    </row>
    <row r="11" spans="1:31" ht="12" customHeight="1">
      <c r="A11" s="994" t="s">
        <v>42</v>
      </c>
      <c r="B11" s="995">
        <v>10</v>
      </c>
      <c r="C11" s="996">
        <f>'Planilla final'!Q10</f>
        <v>16964605</v>
      </c>
      <c r="D11" s="988">
        <f t="shared" si="0"/>
        <v>733482</v>
      </c>
      <c r="E11" s="995"/>
      <c r="F11" s="952">
        <v>17698087</v>
      </c>
      <c r="G11" s="997">
        <v>-12823967</v>
      </c>
      <c r="H11" s="997"/>
      <c r="I11" s="998">
        <v>4874120</v>
      </c>
      <c r="J11" s="997">
        <v>664328</v>
      </c>
      <c r="K11" s="999">
        <v>5538448</v>
      </c>
      <c r="L11" s="997">
        <v>2963608</v>
      </c>
      <c r="M11" s="1000">
        <v>2574840</v>
      </c>
      <c r="N11" s="970"/>
      <c r="O11" s="1001" t="s">
        <v>72</v>
      </c>
      <c r="P11" s="970">
        <v>22</v>
      </c>
      <c r="Q11" s="1002">
        <f>'Planilla final'!Q33</f>
        <v>1764627.53</v>
      </c>
      <c r="R11" s="1003">
        <f t="shared" si="1"/>
        <v>-2416376.4699999997</v>
      </c>
      <c r="S11" s="970"/>
      <c r="T11" s="952">
        <v>4181004</v>
      </c>
      <c r="U11" s="997">
        <v>-366719</v>
      </c>
      <c r="V11" s="997"/>
      <c r="W11" s="1004">
        <v>4547723</v>
      </c>
      <c r="X11" s="1005">
        <v>859355</v>
      </c>
      <c r="Y11" s="1011">
        <v>3688368</v>
      </c>
      <c r="Z11" s="997">
        <v>-31613</v>
      </c>
      <c r="AA11" s="993">
        <v>3719981</v>
      </c>
      <c r="AD11" s="1010"/>
      <c r="AE11" s="1010"/>
    </row>
    <row r="12" spans="1:31" ht="12" customHeight="1">
      <c r="A12" s="994" t="s">
        <v>45</v>
      </c>
      <c r="B12" s="995"/>
      <c r="C12" s="996">
        <f>'Planilla final'!Q12</f>
        <v>2551702</v>
      </c>
      <c r="D12" s="988">
        <f t="shared" si="0"/>
        <v>-1798658</v>
      </c>
      <c r="E12" s="995"/>
      <c r="F12" s="952">
        <v>753044</v>
      </c>
      <c r="G12" s="997">
        <v>-233386</v>
      </c>
      <c r="H12" s="997"/>
      <c r="I12" s="998">
        <v>519658</v>
      </c>
      <c r="J12" s="997">
        <v>122526</v>
      </c>
      <c r="K12" s="999">
        <v>642184</v>
      </c>
      <c r="L12" s="997">
        <v>-1728719</v>
      </c>
      <c r="M12" s="1000">
        <v>2370903</v>
      </c>
      <c r="N12" s="983"/>
      <c r="O12" s="1001" t="s">
        <v>835</v>
      </c>
      <c r="P12" s="970">
        <v>26</v>
      </c>
      <c r="Q12" s="1002">
        <f>'Planilla final'!Q34</f>
        <v>2479542</v>
      </c>
      <c r="R12" s="1003">
        <f t="shared" si="1"/>
        <v>-5196392</v>
      </c>
      <c r="S12" s="970"/>
      <c r="T12" s="952">
        <v>7675934</v>
      </c>
      <c r="U12" s="997">
        <v>-1991980</v>
      </c>
      <c r="V12" s="997"/>
      <c r="W12" s="1004">
        <v>9667914</v>
      </c>
      <c r="X12" s="1005">
        <v>3531359</v>
      </c>
      <c r="Y12" s="1011">
        <v>6136555</v>
      </c>
      <c r="Z12" s="997">
        <v>-2446877</v>
      </c>
      <c r="AA12" s="993">
        <v>8583432</v>
      </c>
      <c r="AD12" s="1010"/>
      <c r="AE12" s="1010"/>
    </row>
    <row r="13" spans="1:31" ht="12" customHeight="1">
      <c r="A13" s="994" t="s">
        <v>46</v>
      </c>
      <c r="B13" s="995">
        <v>11</v>
      </c>
      <c r="C13" s="996">
        <f>'Planilla final'!Q13</f>
        <v>28656854.379999999</v>
      </c>
      <c r="D13" s="988">
        <f t="shared" si="0"/>
        <v>259111.62000000104</v>
      </c>
      <c r="E13" s="995"/>
      <c r="F13" s="952">
        <v>28915966</v>
      </c>
      <c r="G13" s="997">
        <v>-4708564</v>
      </c>
      <c r="H13" s="997"/>
      <c r="I13" s="998">
        <v>24207402</v>
      </c>
      <c r="J13" s="997">
        <v>-9322375</v>
      </c>
      <c r="K13" s="999">
        <v>14885027</v>
      </c>
      <c r="L13" s="997">
        <v>-4055589</v>
      </c>
      <c r="M13" s="1000">
        <v>18940616</v>
      </c>
      <c r="N13" s="970"/>
      <c r="O13" s="982" t="s">
        <v>639</v>
      </c>
      <c r="P13" s="1013">
        <v>17</v>
      </c>
      <c r="Q13" s="1014">
        <f>'Planilla final'!Q36</f>
        <v>1574195</v>
      </c>
      <c r="R13" s="1003">
        <f t="shared" si="1"/>
        <v>54494</v>
      </c>
      <c r="S13" s="1013"/>
      <c r="T13" s="952">
        <v>1519701</v>
      </c>
      <c r="U13" s="997">
        <v>1519701</v>
      </c>
      <c r="V13" s="997"/>
      <c r="W13" s="982">
        <v>0</v>
      </c>
      <c r="X13" s="1015"/>
      <c r="Y13" s="810">
        <v>0</v>
      </c>
      <c r="Z13" s="997">
        <v>184123</v>
      </c>
      <c r="AA13" s="993">
        <v>4375344</v>
      </c>
      <c r="AD13" s="1010"/>
      <c r="AE13" s="1010"/>
    </row>
    <row r="14" spans="1:31" ht="12" customHeight="1">
      <c r="A14" s="852" t="s">
        <v>859</v>
      </c>
      <c r="B14" s="1016"/>
      <c r="C14" s="1017">
        <f>+'Planilla final'!Q14</f>
        <v>415625</v>
      </c>
      <c r="D14" s="988">
        <f t="shared" si="0"/>
        <v>-415625</v>
      </c>
      <c r="E14" s="1016"/>
      <c r="F14" s="1018"/>
      <c r="G14" s="982"/>
      <c r="H14" s="982"/>
      <c r="I14" s="982"/>
      <c r="J14" s="997"/>
      <c r="K14" s="1019">
        <v>67318476</v>
      </c>
      <c r="L14" s="997"/>
      <c r="M14" s="1019">
        <v>72756812</v>
      </c>
      <c r="N14" s="983"/>
      <c r="O14" s="1001" t="s">
        <v>75</v>
      </c>
      <c r="P14" s="970">
        <v>24</v>
      </c>
      <c r="Q14" s="1002">
        <f>'Planilla final'!Q35</f>
        <v>11651499.08</v>
      </c>
      <c r="R14" s="1003">
        <f t="shared" si="1"/>
        <v>3751706.08</v>
      </c>
      <c r="S14" s="970"/>
      <c r="T14" s="952">
        <v>7899793</v>
      </c>
      <c r="U14" s="997">
        <v>0</v>
      </c>
      <c r="V14" s="997"/>
      <c r="W14" s="982">
        <v>0</v>
      </c>
      <c r="X14" s="1015"/>
      <c r="Y14" s="810">
        <v>0</v>
      </c>
      <c r="Z14" s="997"/>
      <c r="AA14" s="1020">
        <v>71135268</v>
      </c>
      <c r="AD14" s="1010"/>
      <c r="AE14" s="1010"/>
    </row>
    <row r="15" spans="1:31" ht="12" customHeight="1">
      <c r="A15" s="987" t="s">
        <v>640</v>
      </c>
      <c r="B15" s="995"/>
      <c r="C15" s="1021">
        <f>SUM(C5:C14)</f>
        <v>113437241.51999998</v>
      </c>
      <c r="D15" s="988"/>
      <c r="E15" s="995"/>
      <c r="F15" s="1022">
        <v>100036106</v>
      </c>
      <c r="G15" s="997"/>
      <c r="H15" s="997"/>
      <c r="I15" s="1023">
        <v>76994579</v>
      </c>
      <c r="J15" s="997"/>
      <c r="K15" s="1024"/>
      <c r="L15" s="997"/>
      <c r="M15" s="1025"/>
      <c r="N15" s="983"/>
      <c r="O15" s="1026" t="s">
        <v>641</v>
      </c>
      <c r="P15" s="1027"/>
      <c r="Q15" s="1022">
        <f>SUM(Q5:Q14)</f>
        <v>66755651.719999999</v>
      </c>
      <c r="R15" s="1003"/>
      <c r="S15" s="1027"/>
      <c r="T15" s="1022">
        <v>59338237</v>
      </c>
      <c r="U15" s="997">
        <v>1674396</v>
      </c>
      <c r="V15" s="997"/>
      <c r="W15" s="1004">
        <v>6225397</v>
      </c>
      <c r="X15" s="1005">
        <v>1665930</v>
      </c>
      <c r="Y15" s="1011">
        <v>4559467</v>
      </c>
      <c r="AD15" s="1010"/>
      <c r="AE15" s="1010"/>
    </row>
    <row r="16" spans="1:31" ht="12" customHeight="1">
      <c r="A16" s="994"/>
      <c r="B16" s="995"/>
      <c r="C16" s="995"/>
      <c r="D16" s="988"/>
      <c r="E16" s="995"/>
      <c r="F16" s="982"/>
      <c r="G16" s="997"/>
      <c r="H16" s="997"/>
      <c r="I16" s="1029"/>
      <c r="J16" s="997">
        <v>687947</v>
      </c>
      <c r="K16" s="999">
        <v>3212434</v>
      </c>
      <c r="L16" s="997">
        <v>206140</v>
      </c>
      <c r="M16" s="1000">
        <v>3006294</v>
      </c>
      <c r="N16" s="983"/>
      <c r="U16" s="1028"/>
      <c r="V16" s="1028"/>
      <c r="W16" s="982"/>
      <c r="X16" s="1015"/>
      <c r="Y16" s="810"/>
      <c r="Z16" s="997">
        <v>251068</v>
      </c>
      <c r="AA16" s="993">
        <v>9423864</v>
      </c>
      <c r="AD16" s="1010"/>
      <c r="AE16" s="1010"/>
    </row>
    <row r="17" spans="1:35" ht="12" customHeight="1">
      <c r="A17" s="987" t="s">
        <v>642</v>
      </c>
      <c r="B17" s="995"/>
      <c r="C17" s="995"/>
      <c r="D17" s="988"/>
      <c r="E17" s="995"/>
      <c r="F17" s="982"/>
      <c r="G17" s="997"/>
      <c r="H17" s="997"/>
      <c r="I17" s="1029"/>
      <c r="J17" s="997">
        <v>1073025</v>
      </c>
      <c r="K17" s="982">
        <v>3150764</v>
      </c>
      <c r="L17" s="997">
        <v>3150764</v>
      </c>
      <c r="M17" s="1000">
        <v>0</v>
      </c>
      <c r="N17" s="970"/>
      <c r="O17" s="990" t="s">
        <v>643</v>
      </c>
      <c r="P17" s="1027"/>
      <c r="Q17" s="1027"/>
      <c r="R17" s="1003"/>
      <c r="S17" s="1027"/>
      <c r="T17" s="952"/>
      <c r="U17" s="997"/>
      <c r="V17" s="997"/>
      <c r="W17" s="990"/>
      <c r="X17" s="1005"/>
      <c r="Y17" s="810"/>
      <c r="Z17" s="997">
        <v>-6904650</v>
      </c>
      <c r="AA17" s="993">
        <v>13615166</v>
      </c>
      <c r="AD17" s="1010"/>
      <c r="AE17" s="1010"/>
    </row>
    <row r="18" spans="1:35" ht="12" customHeight="1">
      <c r="A18" s="994" t="s">
        <v>42</v>
      </c>
      <c r="B18" s="995"/>
      <c r="C18" s="996">
        <f>'Planilla final'!Q16</f>
        <v>0</v>
      </c>
      <c r="D18" s="988">
        <f t="shared" ref="D18:D27" si="2">F18-C18</f>
        <v>360864</v>
      </c>
      <c r="E18" s="995"/>
      <c r="F18" s="952">
        <v>360864</v>
      </c>
      <c r="G18" s="997">
        <v>2163623</v>
      </c>
      <c r="H18" s="997"/>
      <c r="I18" s="998">
        <v>2524487</v>
      </c>
      <c r="J18" s="997">
        <v>9280194</v>
      </c>
      <c r="K18" s="999">
        <v>112886401</v>
      </c>
      <c r="L18" s="997">
        <v>-2499431</v>
      </c>
      <c r="M18" s="1000">
        <v>115385832</v>
      </c>
      <c r="N18" s="970"/>
      <c r="O18" s="1030" t="s">
        <v>644</v>
      </c>
      <c r="P18" s="1027">
        <v>18</v>
      </c>
      <c r="Q18" s="1031">
        <f>'Planilla final'!Q38</f>
        <v>2731687</v>
      </c>
      <c r="R18" s="1003">
        <f t="shared" ref="R18:R26" si="3">+Q18-T18</f>
        <v>1077682</v>
      </c>
      <c r="S18" s="1027"/>
      <c r="T18" s="952">
        <v>1654005</v>
      </c>
      <c r="U18" s="997">
        <v>-2724382</v>
      </c>
      <c r="V18" s="997"/>
      <c r="W18" s="1032">
        <v>4378387</v>
      </c>
      <c r="X18" s="1005">
        <v>-5296545</v>
      </c>
      <c r="Y18" s="1033">
        <v>9674932</v>
      </c>
      <c r="Z18" s="997">
        <v>-3509537</v>
      </c>
      <c r="AA18" s="993">
        <v>5713210</v>
      </c>
      <c r="AD18" s="1010"/>
      <c r="AE18" s="1010"/>
    </row>
    <row r="19" spans="1:35" ht="12" customHeight="1">
      <c r="A19" s="994" t="s">
        <v>638</v>
      </c>
      <c r="B19" s="995">
        <v>21</v>
      </c>
      <c r="C19" s="996">
        <f>'Planilla final'!Q15</f>
        <v>6718699</v>
      </c>
      <c r="D19" s="988">
        <f t="shared" si="2"/>
        <v>-4640960</v>
      </c>
      <c r="E19" s="995"/>
      <c r="F19" s="952">
        <v>2077739</v>
      </c>
      <c r="G19" s="997">
        <v>0</v>
      </c>
      <c r="H19" s="997"/>
      <c r="I19" s="998">
        <v>2077739</v>
      </c>
      <c r="J19" s="997">
        <v>37744</v>
      </c>
      <c r="K19" s="999">
        <v>661755</v>
      </c>
      <c r="L19" s="997">
        <v>-39210</v>
      </c>
      <c r="M19" s="1000">
        <v>700965</v>
      </c>
      <c r="N19" s="970"/>
      <c r="O19" s="1030" t="s">
        <v>78</v>
      </c>
      <c r="P19" s="1027">
        <v>19</v>
      </c>
      <c r="Q19" s="1031">
        <f>'Planilla final'!Q39</f>
        <v>6657895</v>
      </c>
      <c r="R19" s="1003">
        <f t="shared" si="3"/>
        <v>6657895</v>
      </c>
      <c r="S19" s="1027"/>
      <c r="T19" s="1065">
        <v>0</v>
      </c>
      <c r="U19" s="997">
        <v>-2447101</v>
      </c>
      <c r="V19" s="997"/>
      <c r="W19" s="1032">
        <v>2447101</v>
      </c>
      <c r="X19" s="1005">
        <v>-4263415</v>
      </c>
      <c r="Y19" s="1033">
        <v>6710516</v>
      </c>
      <c r="Z19" s="997">
        <v>2</v>
      </c>
      <c r="AA19" s="993">
        <v>10628878</v>
      </c>
      <c r="AC19" s="1034"/>
      <c r="AD19" s="1010"/>
      <c r="AE19" s="1010"/>
      <c r="AG19" s="1035"/>
      <c r="AI19" s="1035"/>
    </row>
    <row r="20" spans="1:35" ht="12" customHeight="1">
      <c r="A20" s="994" t="s">
        <v>645</v>
      </c>
      <c r="B20" s="995">
        <v>12</v>
      </c>
      <c r="C20" s="996">
        <f>'Planilla final'!Q17+'Planilla final'!Q18</f>
        <v>80527255.439999998</v>
      </c>
      <c r="D20" s="988">
        <f t="shared" si="2"/>
        <v>5405815.5600000024</v>
      </c>
      <c r="E20" s="995"/>
      <c r="F20" s="952">
        <v>85933071</v>
      </c>
      <c r="G20" s="997">
        <v>17673136</v>
      </c>
      <c r="H20" s="997"/>
      <c r="I20" s="998">
        <v>103606207</v>
      </c>
      <c r="J20" s="997">
        <v>-2676829</v>
      </c>
      <c r="K20" s="999">
        <v>11276112</v>
      </c>
      <c r="L20" s="997">
        <v>-841341</v>
      </c>
      <c r="M20" s="1000">
        <v>12117453</v>
      </c>
      <c r="N20" s="970"/>
      <c r="O20" s="1001" t="s">
        <v>894</v>
      </c>
      <c r="P20" s="970">
        <v>20</v>
      </c>
      <c r="Q20" s="1002">
        <f>'Planilla final'!Q40</f>
        <v>4608085</v>
      </c>
      <c r="R20" s="1003">
        <f t="shared" si="3"/>
        <v>4608085</v>
      </c>
      <c r="S20" s="970"/>
      <c r="T20" s="952">
        <v>0</v>
      </c>
      <c r="U20" s="997">
        <v>-2345800</v>
      </c>
      <c r="V20" s="997"/>
      <c r="W20" s="1036">
        <v>2345800</v>
      </c>
      <c r="X20" s="1005">
        <v>142127</v>
      </c>
      <c r="Y20" s="1033">
        <v>2203673</v>
      </c>
      <c r="Z20" s="997">
        <v>-477887</v>
      </c>
      <c r="AA20" s="993">
        <v>2793866</v>
      </c>
      <c r="AD20" s="1010"/>
      <c r="AE20" s="1010"/>
      <c r="AF20" s="969"/>
      <c r="AG20" s="1035"/>
      <c r="AH20" s="969"/>
      <c r="AI20" s="1035"/>
    </row>
    <row r="21" spans="1:35" ht="12" customHeight="1">
      <c r="A21" s="994" t="s">
        <v>646</v>
      </c>
      <c r="B21" s="995">
        <v>13</v>
      </c>
      <c r="C21" s="996">
        <f>'Planilla final'!Q19</f>
        <v>984912.65</v>
      </c>
      <c r="D21" s="988">
        <f t="shared" si="2"/>
        <v>-400111.65</v>
      </c>
      <c r="E21" s="995"/>
      <c r="F21" s="952">
        <v>584801</v>
      </c>
      <c r="G21" s="997">
        <v>39210</v>
      </c>
      <c r="H21" s="997"/>
      <c r="I21" s="998">
        <v>624011</v>
      </c>
      <c r="J21" s="997">
        <v>0</v>
      </c>
      <c r="K21" s="999">
        <v>1422229</v>
      </c>
      <c r="L21" s="997">
        <v>0</v>
      </c>
      <c r="M21" s="1000">
        <v>1422229</v>
      </c>
      <c r="N21" s="970"/>
      <c r="O21" s="1001" t="s">
        <v>638</v>
      </c>
      <c r="P21" s="970">
        <v>21</v>
      </c>
      <c r="Q21" s="1002">
        <f>'Planilla final'!Q41</f>
        <v>693806.23000000045</v>
      </c>
      <c r="R21" s="1003">
        <f t="shared" si="3"/>
        <v>187048.23000000045</v>
      </c>
      <c r="S21" s="970"/>
      <c r="T21" s="952">
        <v>506758</v>
      </c>
      <c r="U21" s="997">
        <v>-10525144</v>
      </c>
      <c r="V21" s="997"/>
      <c r="W21" s="1036">
        <v>11031902</v>
      </c>
      <c r="X21" s="1005">
        <v>403022</v>
      </c>
      <c r="Y21" s="1033">
        <v>10628880</v>
      </c>
      <c r="Z21" s="997">
        <v>-610580</v>
      </c>
      <c r="AA21" s="993">
        <v>5796127</v>
      </c>
      <c r="AD21" s="1010"/>
      <c r="AE21" s="1010"/>
    </row>
    <row r="22" spans="1:35" ht="12" customHeight="1">
      <c r="A22" s="994" t="s">
        <v>647</v>
      </c>
      <c r="B22" s="995">
        <v>14</v>
      </c>
      <c r="C22" s="996">
        <f>'Planilla final'!Q20</f>
        <v>11569469</v>
      </c>
      <c r="D22" s="988">
        <f t="shared" si="2"/>
        <v>664615</v>
      </c>
      <c r="E22" s="995"/>
      <c r="F22" s="952">
        <v>12234084</v>
      </c>
      <c r="G22" s="997">
        <v>1718857</v>
      </c>
      <c r="H22" s="997"/>
      <c r="I22" s="998">
        <v>13952941</v>
      </c>
      <c r="J22" s="997">
        <v>0</v>
      </c>
      <c r="K22" s="999">
        <v>3318028</v>
      </c>
      <c r="L22" s="997">
        <v>-3227531</v>
      </c>
      <c r="M22" s="1000">
        <v>6545559</v>
      </c>
      <c r="N22" s="970"/>
      <c r="O22" s="1001" t="s">
        <v>72</v>
      </c>
      <c r="P22" s="970">
        <v>22</v>
      </c>
      <c r="Q22" s="1002">
        <f>'Planilla final'!Q42</f>
        <v>0</v>
      </c>
      <c r="R22" s="1003">
        <f t="shared" si="3"/>
        <v>-13415188</v>
      </c>
      <c r="S22" s="970"/>
      <c r="T22" s="1065">
        <v>13415188</v>
      </c>
      <c r="U22" s="997">
        <v>12329117</v>
      </c>
      <c r="V22" s="997"/>
      <c r="W22" s="1036">
        <v>1086071</v>
      </c>
      <c r="X22" s="1005">
        <v>-1229908</v>
      </c>
      <c r="Y22" s="1033">
        <v>2315979</v>
      </c>
      <c r="Z22" s="997">
        <v>3116879</v>
      </c>
      <c r="AA22" s="993">
        <v>17696327</v>
      </c>
      <c r="AD22" s="1010"/>
      <c r="AE22" s="1010"/>
    </row>
    <row r="23" spans="1:35" ht="12" customHeight="1">
      <c r="A23" s="994" t="s">
        <v>56</v>
      </c>
      <c r="B23" s="995">
        <v>15</v>
      </c>
      <c r="C23" s="996">
        <f>'Planilla final'!Q21</f>
        <v>1429486</v>
      </c>
      <c r="D23" s="988">
        <f t="shared" si="2"/>
        <v>244098</v>
      </c>
      <c r="E23" s="995"/>
      <c r="F23" s="952">
        <v>1673584</v>
      </c>
      <c r="G23" s="997">
        <v>-251355</v>
      </c>
      <c r="H23" s="997"/>
      <c r="I23" s="998">
        <v>1422229</v>
      </c>
      <c r="J23" s="997">
        <v>1257222</v>
      </c>
      <c r="K23" s="999">
        <v>4326687</v>
      </c>
      <c r="L23" s="997">
        <v>1190535</v>
      </c>
      <c r="M23" s="1000">
        <v>3136152</v>
      </c>
      <c r="N23" s="970"/>
      <c r="O23" s="1001" t="s">
        <v>871</v>
      </c>
      <c r="P23" s="970">
        <v>28</v>
      </c>
      <c r="Q23" s="1002">
        <f>'Planilla final'!Q43</f>
        <v>7329962</v>
      </c>
      <c r="R23" s="1003">
        <f t="shared" si="3"/>
        <v>-913518</v>
      </c>
      <c r="S23" s="970"/>
      <c r="T23" s="952">
        <v>8243480</v>
      </c>
      <c r="U23" s="997">
        <v>2284473</v>
      </c>
      <c r="V23" s="997"/>
      <c r="W23" s="1036">
        <v>5959007</v>
      </c>
      <c r="X23" s="1005">
        <v>773460</v>
      </c>
      <c r="Y23" s="1033">
        <v>5185547</v>
      </c>
      <c r="Z23" s="997">
        <v>0</v>
      </c>
      <c r="AA23" s="993">
        <v>3572443</v>
      </c>
      <c r="AD23" s="1010"/>
      <c r="AE23" s="1010"/>
    </row>
    <row r="24" spans="1:35" ht="12" customHeight="1">
      <c r="A24" s="994" t="s">
        <v>516</v>
      </c>
      <c r="B24" s="995">
        <v>16</v>
      </c>
      <c r="C24" s="996">
        <f>'Planilla final'!Q22</f>
        <v>3594280</v>
      </c>
      <c r="D24" s="988">
        <f t="shared" si="2"/>
        <v>-7878.5299999997951</v>
      </c>
      <c r="E24" s="995"/>
      <c r="F24" s="952">
        <v>3586401.47</v>
      </c>
      <c r="G24" s="997">
        <v>-268373.46999999898</v>
      </c>
      <c r="H24" s="997"/>
      <c r="I24" s="998">
        <v>3318028</v>
      </c>
      <c r="J24" s="997"/>
      <c r="K24" s="999">
        <v>0</v>
      </c>
      <c r="L24" s="997"/>
      <c r="M24" s="1000"/>
      <c r="N24" s="970"/>
      <c r="O24" s="1001" t="s">
        <v>892</v>
      </c>
      <c r="P24" s="970">
        <v>26</v>
      </c>
      <c r="Q24" s="1002">
        <f>+'Planilla final'!Q45</f>
        <v>42626983</v>
      </c>
      <c r="R24" s="1003">
        <f t="shared" si="3"/>
        <v>8770737</v>
      </c>
      <c r="S24" s="970"/>
      <c r="T24" s="952">
        <v>33856246</v>
      </c>
      <c r="U24" s="997">
        <v>9060189</v>
      </c>
      <c r="V24" s="997"/>
      <c r="W24" s="1036">
        <v>24796057</v>
      </c>
      <c r="X24" s="1005">
        <v>3982851</v>
      </c>
      <c r="Y24" s="1033">
        <v>20813206</v>
      </c>
      <c r="Z24" s="997"/>
      <c r="AA24" s="993"/>
      <c r="AD24" s="1010"/>
      <c r="AE24" s="1010"/>
    </row>
    <row r="25" spans="1:35" ht="12" customHeight="1">
      <c r="A25" s="994" t="s">
        <v>61</v>
      </c>
      <c r="B25" s="995"/>
      <c r="C25" s="996">
        <f>'Planilla final'!Q25</f>
        <v>307940.18000000017</v>
      </c>
      <c r="D25" s="988">
        <f t="shared" si="2"/>
        <v>-306340.18000000017</v>
      </c>
      <c r="E25" s="995"/>
      <c r="F25" s="952">
        <v>1600</v>
      </c>
      <c r="G25" s="997">
        <v>3067865</v>
      </c>
      <c r="H25" s="997"/>
      <c r="I25" s="998">
        <v>3069465</v>
      </c>
      <c r="J25" s="997">
        <v>-261500</v>
      </c>
      <c r="K25" s="999">
        <v>0</v>
      </c>
      <c r="L25" s="997">
        <v>0</v>
      </c>
      <c r="M25" s="1000">
        <v>0</v>
      </c>
      <c r="N25" s="982"/>
      <c r="O25" s="1001" t="s">
        <v>648</v>
      </c>
      <c r="P25" s="970">
        <v>17</v>
      </c>
      <c r="Q25" s="1002">
        <f>'Planilla final'!Q44</f>
        <v>2542451</v>
      </c>
      <c r="R25" s="1003">
        <f t="shared" si="3"/>
        <v>-261708</v>
      </c>
      <c r="S25" s="970"/>
      <c r="T25" s="952">
        <v>2804159</v>
      </c>
      <c r="U25" s="997">
        <v>2804159</v>
      </c>
      <c r="V25" s="997"/>
      <c r="W25" s="1037">
        <v>0</v>
      </c>
      <c r="X25" s="1005">
        <v>-3572443</v>
      </c>
      <c r="Y25" s="1033">
        <v>3572443</v>
      </c>
      <c r="Z25" s="997">
        <v>0</v>
      </c>
      <c r="AA25" s="1038">
        <v>0</v>
      </c>
      <c r="AD25" s="1010"/>
      <c r="AE25" s="1010"/>
    </row>
    <row r="26" spans="1:35" ht="12" customHeight="1">
      <c r="A26" s="994" t="s">
        <v>518</v>
      </c>
      <c r="B26" s="995">
        <v>17</v>
      </c>
      <c r="C26" s="996">
        <f>'Planilla final'!Q24</f>
        <v>3949574</v>
      </c>
      <c r="D26" s="988">
        <f t="shared" si="2"/>
        <v>197533</v>
      </c>
      <c r="E26" s="995"/>
      <c r="F26" s="952">
        <v>4147107</v>
      </c>
      <c r="G26" s="997">
        <v>-4147107</v>
      </c>
      <c r="H26" s="997"/>
      <c r="I26" s="998">
        <v>0</v>
      </c>
      <c r="K26" s="1019">
        <v>140254410</v>
      </c>
      <c r="M26" s="1019">
        <v>142314484</v>
      </c>
      <c r="N26" s="970"/>
      <c r="O26" s="1001" t="s">
        <v>895</v>
      </c>
      <c r="P26" s="970">
        <v>29</v>
      </c>
      <c r="Q26" s="1002">
        <f>'Planilla final'!Q46</f>
        <v>2580000</v>
      </c>
      <c r="R26" s="1003">
        <f t="shared" si="3"/>
        <v>0</v>
      </c>
      <c r="S26" s="970"/>
      <c r="T26" s="952">
        <v>2580000</v>
      </c>
      <c r="U26" s="997">
        <v>0</v>
      </c>
      <c r="V26" s="997"/>
      <c r="W26" s="1036">
        <v>2580000</v>
      </c>
      <c r="X26" s="1005">
        <v>2580000</v>
      </c>
      <c r="Y26" s="1039">
        <v>0</v>
      </c>
      <c r="AA26" s="1040">
        <v>69239881</v>
      </c>
      <c r="AD26" s="1010"/>
      <c r="AE26" s="1010"/>
    </row>
    <row r="27" spans="1:35" ht="12" customHeight="1">
      <c r="A27" s="994" t="s">
        <v>649</v>
      </c>
      <c r="B27" s="995"/>
      <c r="C27" s="996">
        <f>'Planilla final'!Q23</f>
        <v>263613</v>
      </c>
      <c r="D27" s="988">
        <f t="shared" si="2"/>
        <v>0</v>
      </c>
      <c r="E27" s="995"/>
      <c r="F27" s="952">
        <v>263613</v>
      </c>
      <c r="G27" s="997">
        <v>-2113</v>
      </c>
      <c r="H27" s="997"/>
      <c r="I27" s="998">
        <v>261500</v>
      </c>
      <c r="K27" s="982"/>
      <c r="M27" s="982"/>
      <c r="N27" s="982"/>
      <c r="O27" s="1026" t="s">
        <v>144</v>
      </c>
      <c r="P27" s="1027"/>
      <c r="Q27" s="1041">
        <f>SUM(Q18:Q26)</f>
        <v>69770869.230000004</v>
      </c>
      <c r="R27" s="1042"/>
      <c r="S27" s="1027"/>
      <c r="T27" s="1041">
        <v>63059836</v>
      </c>
      <c r="U27" s="1028"/>
      <c r="V27" s="1028"/>
      <c r="W27" s="1043">
        <v>54624325</v>
      </c>
      <c r="X27" s="1015"/>
      <c r="Y27" s="1044">
        <v>61105176</v>
      </c>
      <c r="AA27" s="1045">
        <v>140375149</v>
      </c>
      <c r="AD27" s="1010"/>
      <c r="AE27" s="1010"/>
    </row>
    <row r="28" spans="1:35" ht="12" customHeight="1">
      <c r="A28" s="987" t="s">
        <v>650</v>
      </c>
      <c r="B28" s="995"/>
      <c r="C28" s="1022">
        <f>SUM(C18:C27)</f>
        <v>109345229.27000001</v>
      </c>
      <c r="D28" s="1046"/>
      <c r="E28" s="995"/>
      <c r="F28" s="1022">
        <v>110862864.47</v>
      </c>
      <c r="G28" s="1019"/>
      <c r="H28" s="1019"/>
      <c r="I28" s="1023">
        <v>130856607</v>
      </c>
      <c r="K28" s="982"/>
      <c r="M28" s="982"/>
      <c r="N28" s="982"/>
      <c r="O28" s="1026" t="s">
        <v>86</v>
      </c>
      <c r="P28" s="1027"/>
      <c r="Q28" s="1022">
        <f>Q15+Q27</f>
        <v>136526520.94999999</v>
      </c>
      <c r="R28" s="1042"/>
      <c r="S28" s="1027"/>
      <c r="T28" s="1022">
        <v>122398073</v>
      </c>
      <c r="U28" s="1028"/>
      <c r="V28" s="1028"/>
      <c r="W28" s="1047">
        <v>124873036</v>
      </c>
      <c r="X28" s="1015"/>
      <c r="Y28" s="1048">
        <v>127247534</v>
      </c>
      <c r="AA28" s="950"/>
      <c r="AD28" s="1010"/>
      <c r="AE28" s="1010"/>
    </row>
    <row r="29" spans="1:35" ht="12" customHeight="1">
      <c r="B29" s="1016"/>
      <c r="C29" s="1016"/>
      <c r="D29" s="1046"/>
      <c r="E29" s="1016"/>
      <c r="F29" s="952"/>
      <c r="G29" s="982"/>
      <c r="H29" s="982"/>
      <c r="I29" s="982"/>
      <c r="K29" s="982"/>
      <c r="M29" s="982"/>
      <c r="N29" s="970"/>
      <c r="O29" s="1026"/>
      <c r="P29" s="1027"/>
      <c r="Q29" s="952"/>
      <c r="R29" s="1042"/>
      <c r="S29" s="1027"/>
      <c r="T29" s="952"/>
      <c r="U29" s="1028"/>
      <c r="V29" s="1028"/>
      <c r="W29" s="1049"/>
      <c r="X29" s="1015"/>
      <c r="Y29" s="1050"/>
      <c r="AA29" s="1051"/>
      <c r="AD29" s="1010"/>
      <c r="AE29" s="1010"/>
    </row>
    <row r="30" spans="1:35" ht="12" customHeight="1">
      <c r="B30" s="1016"/>
      <c r="C30" s="1016"/>
      <c r="D30" s="1046"/>
      <c r="E30" s="1016"/>
      <c r="F30" s="952"/>
      <c r="G30" s="982"/>
      <c r="H30" s="982"/>
      <c r="I30" s="982"/>
      <c r="K30" s="982"/>
      <c r="M30" s="982"/>
      <c r="N30" s="982"/>
      <c r="O30" s="1026" t="s">
        <v>651</v>
      </c>
      <c r="P30" s="1027"/>
      <c r="Q30" s="952">
        <f>'Planilla final'!Q59</f>
        <v>86255949.839999989</v>
      </c>
      <c r="R30" s="1003">
        <f>+Q30-T30</f>
        <v>-2244947.6300000101</v>
      </c>
      <c r="S30" s="1027"/>
      <c r="T30" s="952">
        <v>88500897.469999999</v>
      </c>
      <c r="U30" s="1028">
        <v>5522747.4699999997</v>
      </c>
      <c r="V30" s="1028"/>
      <c r="W30" s="999">
        <v>82978150</v>
      </c>
      <c r="X30" s="1015">
        <v>2652798</v>
      </c>
      <c r="Y30" s="1052">
        <v>80325352</v>
      </c>
      <c r="Z30" s="1028">
        <v>5629205</v>
      </c>
      <c r="AA30" s="1007">
        <v>74696147</v>
      </c>
      <c r="AC30" s="1012"/>
      <c r="AD30" s="1010"/>
      <c r="AE30" s="1010"/>
    </row>
    <row r="31" spans="1:35" ht="12" customHeight="1">
      <c r="B31" s="1016"/>
      <c r="C31" s="1016"/>
      <c r="D31" s="1046"/>
      <c r="E31" s="1016"/>
      <c r="F31" s="952"/>
      <c r="G31" s="982"/>
      <c r="H31" s="982"/>
      <c r="I31" s="982"/>
      <c r="K31" s="982"/>
      <c r="M31" s="982"/>
      <c r="N31" s="1053"/>
      <c r="O31" s="982"/>
      <c r="P31" s="1013"/>
      <c r="Q31" s="982"/>
      <c r="R31" s="1054"/>
      <c r="S31" s="1013"/>
      <c r="T31" s="982"/>
      <c r="U31" s="982"/>
      <c r="V31" s="982"/>
      <c r="W31" s="982"/>
      <c r="X31" s="1015"/>
      <c r="Y31" s="810"/>
      <c r="AD31" s="1010"/>
      <c r="AE31" s="1010"/>
    </row>
    <row r="32" spans="1:35" ht="12" customHeight="1">
      <c r="A32" s="967" t="s">
        <v>652</v>
      </c>
      <c r="B32" s="995"/>
      <c r="C32" s="1055">
        <f>C15+C28</f>
        <v>222782470.78999999</v>
      </c>
      <c r="D32" s="1056">
        <f>SUM(D5:D31)</f>
        <v>-11883500.319999993</v>
      </c>
      <c r="E32" s="995"/>
      <c r="F32" s="1055">
        <v>210898970.47</v>
      </c>
      <c r="G32" s="1035"/>
      <c r="H32" s="1035"/>
      <c r="I32" s="1055">
        <v>207851186</v>
      </c>
      <c r="J32" s="968"/>
      <c r="K32" s="1035">
        <v>207572886</v>
      </c>
      <c r="L32" s="968"/>
      <c r="M32" s="1035">
        <v>215071296</v>
      </c>
      <c r="N32" s="970"/>
      <c r="O32" s="1057" t="s">
        <v>653</v>
      </c>
      <c r="P32" s="1057"/>
      <c r="Q32" s="1055">
        <f>Q28+Q30</f>
        <v>222782470.78999996</v>
      </c>
      <c r="R32" s="1056">
        <f>SUM(R5:R31)</f>
        <v>11883500.319999989</v>
      </c>
      <c r="S32" s="1057"/>
      <c r="T32" s="1055">
        <v>210898970.47</v>
      </c>
      <c r="U32" s="1035"/>
      <c r="V32" s="1035"/>
      <c r="W32" s="1058">
        <v>207851186</v>
      </c>
      <c r="X32" s="985"/>
      <c r="Y32" s="1059">
        <v>207572886</v>
      </c>
      <c r="Z32" s="968"/>
      <c r="AA32" s="1055">
        <v>215071296</v>
      </c>
      <c r="AD32" s="1010"/>
      <c r="AE32" s="1010"/>
    </row>
    <row r="33" spans="1:30" ht="5.0999999999999996" customHeight="1">
      <c r="B33" s="1016"/>
      <c r="C33" s="1016"/>
      <c r="D33" s="1016"/>
      <c r="E33" s="1016"/>
      <c r="F33" s="982"/>
      <c r="G33" s="982"/>
      <c r="H33" s="982"/>
      <c r="I33" s="982"/>
      <c r="K33" s="1060"/>
      <c r="M33" s="982"/>
      <c r="N33" s="970"/>
      <c r="O33" s="1051"/>
      <c r="P33" s="1051"/>
      <c r="Q33" s="1051"/>
      <c r="R33" s="1051"/>
      <c r="S33" s="1051"/>
      <c r="T33" s="982"/>
      <c r="U33" s="1051"/>
      <c r="V33" s="1051"/>
      <c r="W33" s="1051"/>
      <c r="X33" s="1061"/>
      <c r="Y33" s="1062"/>
      <c r="AD33" s="1051"/>
    </row>
    <row r="34" spans="1:30" ht="17.25" customHeight="1">
      <c r="A34" s="852" t="s">
        <v>654</v>
      </c>
      <c r="C34" s="887"/>
      <c r="F34" s="1012"/>
      <c r="I34" s="887"/>
      <c r="K34" s="1060"/>
      <c r="N34" s="970"/>
      <c r="O34" s="1051"/>
      <c r="P34" s="1051"/>
      <c r="Q34" s="1051"/>
      <c r="R34" s="1051"/>
      <c r="S34" s="1051"/>
      <c r="T34" s="852"/>
      <c r="AD34" s="1051"/>
    </row>
    <row r="35" spans="1:30" ht="11.85" customHeight="1">
      <c r="F35" s="1012"/>
      <c r="K35" s="1060"/>
      <c r="N35" s="970"/>
      <c r="O35" s="1051"/>
      <c r="P35" s="1051"/>
      <c r="Q35" s="1051">
        <f>C32-Q32</f>
        <v>0</v>
      </c>
      <c r="R35" s="1051"/>
      <c r="S35" s="1051"/>
      <c r="T35" s="1009">
        <v>0</v>
      </c>
      <c r="U35" s="1009">
        <v>0</v>
      </c>
      <c r="V35" s="1009"/>
      <c r="W35" s="1009">
        <v>0</v>
      </c>
      <c r="AD35" s="1051"/>
    </row>
    <row r="36" spans="1:30" ht="12" customHeight="1">
      <c r="F36" s="852"/>
      <c r="K36" s="1051"/>
      <c r="N36" s="970"/>
      <c r="O36" s="1051"/>
      <c r="P36" s="1051"/>
      <c r="Q36" s="1051"/>
      <c r="R36" s="1051"/>
      <c r="S36" s="1051"/>
      <c r="T36" s="852"/>
      <c r="U36" s="1051"/>
      <c r="V36" s="1051"/>
      <c r="W36" s="1051"/>
      <c r="Y36" s="1051"/>
      <c r="AA36" s="1051"/>
      <c r="AD36" s="1051"/>
    </row>
    <row r="37" spans="1:30" s="896" customFormat="1" ht="12" customHeight="1">
      <c r="A37" s="894" t="s">
        <v>655</v>
      </c>
      <c r="B37" s="894"/>
      <c r="C37" s="895"/>
      <c r="F37" s="897"/>
      <c r="G37" s="898"/>
      <c r="H37" s="899"/>
      <c r="I37" s="898"/>
      <c r="K37" s="900"/>
      <c r="L37" s="901" t="s">
        <v>860</v>
      </c>
      <c r="M37" s="901"/>
      <c r="O37" s="901" t="s">
        <v>860</v>
      </c>
      <c r="P37" s="901"/>
      <c r="Q37" s="895"/>
      <c r="R37" s="898"/>
      <c r="T37" s="898"/>
      <c r="V37" s="902"/>
      <c r="X37" s="899"/>
    </row>
    <row r="38" spans="1:30" s="896" customFormat="1" ht="12" customHeight="1">
      <c r="A38" s="903" t="s">
        <v>656</v>
      </c>
      <c r="B38" s="903"/>
      <c r="C38" s="904">
        <f>+'EFE20'!C15</f>
        <v>468128</v>
      </c>
      <c r="D38" s="905"/>
      <c r="E38" s="905"/>
      <c r="F38" s="905"/>
      <c r="G38" s="898"/>
      <c r="H38" s="899"/>
      <c r="I38" s="898"/>
      <c r="J38" s="899"/>
      <c r="K38" s="900"/>
      <c r="L38" s="903" t="s">
        <v>348</v>
      </c>
      <c r="M38" s="903"/>
      <c r="O38" s="903" t="s">
        <v>348</v>
      </c>
      <c r="P38" s="903"/>
      <c r="Q38" s="904">
        <f>+Q48</f>
        <v>18007368.178671967</v>
      </c>
      <c r="R38" s="898"/>
      <c r="T38" s="898"/>
      <c r="V38" s="902"/>
      <c r="X38" s="899"/>
    </row>
    <row r="39" spans="1:30" s="896" customFormat="1" ht="12" customHeight="1">
      <c r="A39" s="906" t="s">
        <v>657</v>
      </c>
      <c r="B39" s="906"/>
      <c r="C39" s="907">
        <f>-C38+D24</f>
        <v>-476006.5299999998</v>
      </c>
      <c r="D39" s="908"/>
      <c r="E39" s="908"/>
      <c r="F39" s="908"/>
      <c r="G39" s="898"/>
      <c r="H39" s="899"/>
      <c r="I39" s="898"/>
      <c r="L39" s="909" t="s">
        <v>658</v>
      </c>
      <c r="M39" s="909"/>
      <c r="O39" s="909" t="s">
        <v>837</v>
      </c>
      <c r="P39" s="909"/>
      <c r="Q39" s="904">
        <f>+'ECP20'!T76</f>
        <v>-21629181</v>
      </c>
      <c r="R39" s="947"/>
      <c r="T39" s="898"/>
      <c r="V39" s="902"/>
      <c r="X39" s="899"/>
    </row>
    <row r="40" spans="1:30" s="896" customFormat="1" ht="12" customHeight="1">
      <c r="A40" s="911" t="s">
        <v>5</v>
      </c>
      <c r="B40" s="911"/>
      <c r="C40" s="907">
        <f>+C38+C39</f>
        <v>-7878.5299999997951</v>
      </c>
      <c r="D40" s="908"/>
      <c r="E40" s="908"/>
      <c r="F40" s="908"/>
      <c r="G40" s="898"/>
      <c r="H40" s="899"/>
      <c r="I40" s="898"/>
      <c r="K40" s="900"/>
      <c r="L40" s="909" t="s">
        <v>659</v>
      </c>
      <c r="M40" s="909"/>
      <c r="O40" s="909" t="s">
        <v>897</v>
      </c>
      <c r="P40" s="909"/>
      <c r="Q40" s="904">
        <f>+'ECP20'!T74</f>
        <v>660505</v>
      </c>
      <c r="R40" s="898"/>
      <c r="T40" s="898"/>
      <c r="V40" s="902"/>
      <c r="X40" s="899"/>
    </row>
    <row r="41" spans="1:30" s="896" customFormat="1" ht="12" customHeight="1">
      <c r="C41" s="912">
        <f>-C40+D24</f>
        <v>0</v>
      </c>
      <c r="G41" s="913"/>
      <c r="H41" s="899"/>
      <c r="I41" s="913"/>
      <c r="K41" s="900"/>
      <c r="L41" s="914" t="s">
        <v>660</v>
      </c>
      <c r="M41" s="914"/>
      <c r="O41" s="914" t="s">
        <v>898</v>
      </c>
      <c r="P41" s="914"/>
      <c r="Q41" s="904">
        <f>+'ECP20'!T71</f>
        <v>1859768</v>
      </c>
      <c r="R41" s="913"/>
      <c r="S41" s="899"/>
      <c r="T41" s="913"/>
      <c r="U41" s="899"/>
      <c r="V41" s="902"/>
      <c r="X41" s="899"/>
    </row>
    <row r="42" spans="1:30" s="896" customFormat="1" ht="12" customHeight="1">
      <c r="A42" s="894" t="s">
        <v>661</v>
      </c>
      <c r="B42" s="894"/>
      <c r="C42" s="895"/>
      <c r="G42" s="898"/>
      <c r="H42" s="899"/>
      <c r="I42" s="898"/>
      <c r="K42" s="900"/>
      <c r="L42" s="903" t="s">
        <v>747</v>
      </c>
      <c r="M42" s="903"/>
      <c r="O42" s="903" t="s">
        <v>747</v>
      </c>
      <c r="P42" s="903"/>
      <c r="Q42" s="904">
        <v>0</v>
      </c>
      <c r="R42" s="898"/>
      <c r="T42" s="898"/>
      <c r="V42" s="902"/>
      <c r="X42" s="899"/>
    </row>
    <row r="43" spans="1:30" s="896" customFormat="1" ht="12" customHeight="1">
      <c r="A43" s="903" t="s">
        <v>662</v>
      </c>
      <c r="B43" s="903"/>
      <c r="C43" s="904">
        <f>+'EFE20'!C10</f>
        <v>18186105</v>
      </c>
      <c r="D43" s="905"/>
      <c r="E43" s="905"/>
      <c r="F43" s="905"/>
      <c r="G43" s="898"/>
      <c r="H43" s="899"/>
      <c r="I43" s="898"/>
      <c r="J43" s="899"/>
      <c r="K43" s="900"/>
      <c r="L43" s="914" t="s">
        <v>663</v>
      </c>
      <c r="M43" s="914"/>
      <c r="O43" s="914" t="s">
        <v>873</v>
      </c>
      <c r="P43" s="914"/>
      <c r="Q43" s="904">
        <f>+'ECP20'!T78+'ECP20'!T80+'ECP20'!T82-4</f>
        <v>-1143408</v>
      </c>
      <c r="R43" s="898"/>
      <c r="T43" s="898"/>
      <c r="V43" s="902"/>
      <c r="X43" s="899"/>
    </row>
    <row r="44" spans="1:30" s="896" customFormat="1" ht="12" customHeight="1">
      <c r="A44" s="903" t="s">
        <v>899</v>
      </c>
      <c r="B44" s="903"/>
      <c r="C44" s="904">
        <v>-1766850</v>
      </c>
      <c r="D44" s="905"/>
      <c r="E44" s="905"/>
      <c r="F44" s="905"/>
      <c r="G44" s="898"/>
      <c r="H44" s="899"/>
      <c r="I44" s="898"/>
      <c r="J44" s="899"/>
      <c r="K44" s="900"/>
      <c r="L44" s="906"/>
      <c r="M44" s="906"/>
      <c r="O44" s="906"/>
      <c r="P44" s="906"/>
      <c r="Q44" s="904"/>
      <c r="R44" s="898"/>
      <c r="T44" s="898"/>
      <c r="V44" s="902"/>
      <c r="X44" s="899"/>
    </row>
    <row r="45" spans="1:30" s="896" customFormat="1" ht="12" customHeight="1">
      <c r="A45" s="906" t="s">
        <v>902</v>
      </c>
      <c r="B45" s="906"/>
      <c r="C45" s="907">
        <f>-C43+D20-C44</f>
        <v>-11013439.439999998</v>
      </c>
      <c r="D45" s="908"/>
      <c r="E45" s="908"/>
      <c r="F45" s="908"/>
      <c r="G45" s="898"/>
      <c r="H45" s="899"/>
      <c r="I45" s="898"/>
      <c r="L45" s="903" t="s">
        <v>664</v>
      </c>
      <c r="M45" s="903"/>
      <c r="O45" s="903" t="s">
        <v>664</v>
      </c>
      <c r="P45" s="903"/>
      <c r="Q45" s="904">
        <v>0</v>
      </c>
      <c r="R45" s="898"/>
      <c r="T45" s="898"/>
      <c r="V45" s="902"/>
      <c r="X45" s="899"/>
    </row>
    <row r="46" spans="1:30" s="896" customFormat="1" ht="12" customHeight="1">
      <c r="A46" s="911" t="s">
        <v>5</v>
      </c>
      <c r="B46" s="911"/>
      <c r="C46" s="907">
        <f>+C43+C45+C44</f>
        <v>5405815.5600000024</v>
      </c>
      <c r="D46" s="908"/>
      <c r="E46" s="908"/>
      <c r="F46" s="908"/>
      <c r="G46" s="898"/>
      <c r="H46" s="899"/>
      <c r="I46" s="898"/>
      <c r="K46" s="900"/>
      <c r="L46" s="915" t="s">
        <v>5</v>
      </c>
      <c r="M46" s="915"/>
      <c r="O46" s="915" t="s">
        <v>5</v>
      </c>
      <c r="P46" s="915"/>
      <c r="Q46" s="916">
        <f>SUM(Q38:Q45)</f>
        <v>-2244947.8213280328</v>
      </c>
      <c r="R46" s="898"/>
      <c r="T46" s="898"/>
      <c r="V46" s="902"/>
      <c r="X46" s="899"/>
    </row>
    <row r="47" spans="1:30" s="896" customFormat="1" ht="12" customHeight="1">
      <c r="C47" s="908">
        <f>+C46-D20</f>
        <v>0</v>
      </c>
      <c r="D47" s="908"/>
      <c r="E47" s="908"/>
      <c r="F47" s="908"/>
      <c r="G47" s="913"/>
      <c r="H47" s="917"/>
      <c r="I47" s="913"/>
      <c r="L47" s="910"/>
      <c r="M47" s="910"/>
      <c r="O47" s="910"/>
      <c r="P47" s="910"/>
      <c r="Q47" s="908">
        <f>+Q46-R30</f>
        <v>-0.1913280226290226</v>
      </c>
      <c r="R47" s="913"/>
      <c r="T47" s="913"/>
      <c r="V47" s="902"/>
      <c r="X47" s="899"/>
    </row>
    <row r="48" spans="1:30" s="896" customFormat="1" ht="12" customHeight="1">
      <c r="A48" s="894" t="s">
        <v>665</v>
      </c>
      <c r="B48" s="894"/>
      <c r="C48" s="895"/>
      <c r="G48" s="898"/>
      <c r="H48" s="899"/>
      <c r="I48" s="898"/>
      <c r="K48" s="900"/>
      <c r="L48" s="918" t="s">
        <v>348</v>
      </c>
      <c r="M48" s="918"/>
      <c r="O48" s="918" t="s">
        <v>348</v>
      </c>
      <c r="P48" s="918"/>
      <c r="Q48" s="919">
        <f>+'ECP20'!T84</f>
        <v>18007368.178671967</v>
      </c>
      <c r="R48" s="898"/>
      <c r="T48" s="898"/>
      <c r="V48" s="902"/>
      <c r="X48" s="899"/>
    </row>
    <row r="49" spans="1:24" s="896" customFormat="1" ht="12" customHeight="1">
      <c r="A49" s="903" t="s">
        <v>662</v>
      </c>
      <c r="B49" s="903"/>
      <c r="C49" s="904">
        <f>+'EFE20'!C12</f>
        <v>1804437</v>
      </c>
      <c r="D49" s="905"/>
      <c r="E49" s="905"/>
      <c r="F49" s="905"/>
      <c r="G49" s="898"/>
      <c r="H49" s="899"/>
      <c r="I49" s="898"/>
      <c r="J49" s="899"/>
      <c r="K49" s="900"/>
      <c r="L49" s="920" t="s">
        <v>861</v>
      </c>
      <c r="M49" s="920"/>
      <c r="O49" s="920" t="s">
        <v>861</v>
      </c>
      <c r="P49" s="920"/>
      <c r="Q49" s="907">
        <f>+C71</f>
        <v>8170072</v>
      </c>
      <c r="R49" s="898"/>
      <c r="T49" s="898"/>
      <c r="V49" s="902"/>
      <c r="X49" s="899"/>
    </row>
    <row r="50" spans="1:24" s="896" customFormat="1" ht="12" customHeight="1">
      <c r="A50" s="906" t="s">
        <v>666</v>
      </c>
      <c r="B50" s="906"/>
      <c r="C50" s="904">
        <v>0</v>
      </c>
      <c r="D50" s="908"/>
      <c r="E50" s="908"/>
      <c r="F50" s="908"/>
      <c r="G50" s="898"/>
      <c r="H50" s="899"/>
      <c r="I50" s="898"/>
      <c r="L50" s="921" t="s">
        <v>109</v>
      </c>
      <c r="M50" s="921"/>
      <c r="O50" s="921" t="s">
        <v>109</v>
      </c>
      <c r="P50" s="921"/>
      <c r="Q50" s="1063">
        <f>+Q48+Q49</f>
        <v>26177440.178671967</v>
      </c>
      <c r="R50" s="898"/>
      <c r="T50" s="898"/>
      <c r="V50" s="902"/>
      <c r="X50" s="899"/>
    </row>
    <row r="51" spans="1:24" s="896" customFormat="1" ht="12" customHeight="1">
      <c r="A51" s="906" t="s">
        <v>902</v>
      </c>
      <c r="B51" s="906"/>
      <c r="C51" s="907">
        <f>+D26-C49-C50</f>
        <v>-1606904</v>
      </c>
      <c r="D51" s="922"/>
      <c r="E51" s="908"/>
      <c r="F51" s="908"/>
      <c r="G51" s="898"/>
      <c r="H51" s="899"/>
      <c r="I51" s="898"/>
      <c r="L51" s="910"/>
      <c r="M51" s="910"/>
      <c r="O51" s="910"/>
      <c r="P51" s="910"/>
      <c r="Q51" s="910"/>
      <c r="R51" s="898"/>
      <c r="T51" s="898"/>
      <c r="V51" s="902"/>
      <c r="X51" s="899"/>
    </row>
    <row r="52" spans="1:24" s="896" customFormat="1" ht="12" customHeight="1">
      <c r="A52" s="911" t="s">
        <v>5</v>
      </c>
      <c r="B52" s="911"/>
      <c r="C52" s="907">
        <f>SUM(C49:C51)</f>
        <v>197533</v>
      </c>
      <c r="D52" s="908"/>
      <c r="E52" s="908"/>
      <c r="F52" s="908"/>
      <c r="G52" s="898"/>
      <c r="H52" s="899"/>
      <c r="I52" s="898"/>
      <c r="K52" s="900"/>
      <c r="L52" s="910"/>
      <c r="M52" s="910"/>
      <c r="O52" s="910"/>
      <c r="P52" s="910"/>
      <c r="Q52" s="910"/>
      <c r="R52" s="898"/>
      <c r="T52" s="898"/>
      <c r="V52" s="902"/>
      <c r="X52" s="899"/>
    </row>
    <row r="53" spans="1:24" s="896" customFormat="1" ht="12" customHeight="1">
      <c r="C53" s="923">
        <f>+D26-C52</f>
        <v>0</v>
      </c>
      <c r="D53" s="923"/>
      <c r="E53" s="923"/>
      <c r="F53" s="908"/>
      <c r="G53" s="898"/>
      <c r="H53" s="899"/>
      <c r="I53" s="898"/>
      <c r="K53" s="900"/>
      <c r="L53" s="910"/>
      <c r="M53" s="910"/>
      <c r="O53" s="910"/>
      <c r="P53" s="910"/>
      <c r="Q53" s="910"/>
      <c r="R53" s="898"/>
      <c r="T53" s="898"/>
      <c r="V53" s="902"/>
      <c r="X53" s="899"/>
    </row>
    <row r="54" spans="1:24" s="896" customFormat="1" ht="12" customHeight="1">
      <c r="A54" s="894" t="s">
        <v>667</v>
      </c>
      <c r="B54" s="894"/>
      <c r="C54" s="895"/>
      <c r="D54" s="908"/>
      <c r="E54" s="908"/>
      <c r="F54" s="908"/>
      <c r="G54" s="898"/>
      <c r="H54" s="899"/>
      <c r="I54" s="898"/>
      <c r="K54" s="900"/>
      <c r="L54" s="910"/>
      <c r="M54" s="910"/>
      <c r="O54" s="910"/>
      <c r="P54" s="910"/>
      <c r="Q54" s="910"/>
      <c r="R54" s="898"/>
      <c r="T54" s="898"/>
      <c r="V54" s="902"/>
      <c r="X54" s="899"/>
    </row>
    <row r="55" spans="1:24" s="896" customFormat="1" ht="12" customHeight="1">
      <c r="A55" s="903" t="s">
        <v>668</v>
      </c>
      <c r="B55" s="903"/>
      <c r="C55" s="904">
        <f>+'EFE20'!Y17</f>
        <v>886890</v>
      </c>
      <c r="D55" s="908"/>
      <c r="E55" s="908"/>
      <c r="F55" s="908"/>
      <c r="G55" s="913"/>
      <c r="I55" s="913"/>
      <c r="K55" s="900"/>
      <c r="L55" s="910"/>
      <c r="M55" s="910"/>
      <c r="O55" s="910"/>
      <c r="P55" s="910"/>
      <c r="Q55" s="910"/>
      <c r="R55" s="913"/>
      <c r="T55" s="913"/>
      <c r="V55" s="902"/>
      <c r="X55" s="899"/>
    </row>
    <row r="56" spans="1:24" s="896" customFormat="1" ht="12" customHeight="1">
      <c r="A56" s="903" t="s">
        <v>905</v>
      </c>
      <c r="B56" s="903"/>
      <c r="C56" s="904">
        <v>-1800408</v>
      </c>
      <c r="D56" s="908"/>
      <c r="E56" s="908"/>
      <c r="F56" s="908"/>
      <c r="G56" s="913"/>
      <c r="I56" s="913"/>
      <c r="K56" s="900"/>
      <c r="L56" s="910"/>
      <c r="M56" s="910"/>
      <c r="O56" s="910"/>
      <c r="P56" s="910"/>
      <c r="Q56" s="910"/>
      <c r="R56" s="913"/>
      <c r="T56" s="913"/>
      <c r="V56" s="902"/>
      <c r="X56" s="899"/>
    </row>
    <row r="57" spans="1:24" s="896" customFormat="1" ht="12" customHeight="1">
      <c r="A57" s="911" t="s">
        <v>5</v>
      </c>
      <c r="B57" s="911"/>
      <c r="C57" s="916">
        <f>SUM(C55:C56)</f>
        <v>-913518</v>
      </c>
      <c r="D57" s="908"/>
      <c r="E57" s="908"/>
      <c r="F57" s="908"/>
      <c r="G57" s="898"/>
      <c r="H57" s="899"/>
      <c r="I57" s="898"/>
      <c r="K57" s="900"/>
      <c r="L57" s="910"/>
      <c r="M57" s="910"/>
      <c r="O57" s="910"/>
      <c r="P57" s="910"/>
      <c r="Q57" s="910"/>
      <c r="R57" s="898"/>
      <c r="T57" s="898"/>
      <c r="V57" s="902"/>
      <c r="X57" s="899"/>
    </row>
    <row r="58" spans="1:24" s="896" customFormat="1" ht="12" customHeight="1">
      <c r="C58" s="908">
        <f>+C57-R23</f>
        <v>0</v>
      </c>
      <c r="D58" s="908"/>
      <c r="E58" s="908"/>
      <c r="F58" s="908"/>
      <c r="G58" s="898"/>
      <c r="H58" s="899"/>
      <c r="I58" s="898"/>
      <c r="K58" s="900"/>
      <c r="L58" s="910"/>
      <c r="M58" s="910"/>
      <c r="O58" s="910"/>
      <c r="P58" s="910"/>
      <c r="Q58" s="910"/>
      <c r="R58" s="898"/>
      <c r="T58" s="898"/>
      <c r="V58" s="902"/>
      <c r="X58" s="899"/>
    </row>
    <row r="59" spans="1:24" s="896" customFormat="1" ht="12" customHeight="1">
      <c r="A59" s="894" t="s">
        <v>670</v>
      </c>
      <c r="B59" s="894"/>
      <c r="C59" s="895"/>
      <c r="D59" s="908"/>
      <c r="E59" s="908"/>
      <c r="F59" s="908"/>
      <c r="G59" s="898"/>
      <c r="H59" s="899"/>
      <c r="I59" s="898"/>
      <c r="K59" s="900"/>
      <c r="L59" s="910"/>
      <c r="M59" s="910"/>
      <c r="O59" s="910"/>
      <c r="P59" s="910"/>
      <c r="Q59" s="910"/>
      <c r="R59" s="898"/>
      <c r="T59" s="898"/>
      <c r="V59" s="902"/>
      <c r="X59" s="899"/>
    </row>
    <row r="60" spans="1:24" s="896" customFormat="1" ht="12" customHeight="1">
      <c r="A60" s="903" t="s">
        <v>862</v>
      </c>
      <c r="B60" s="903"/>
      <c r="C60" s="904">
        <f>+'EFE20'!C14</f>
        <v>2165288</v>
      </c>
      <c r="D60" s="908"/>
      <c r="E60" s="908"/>
      <c r="F60" s="908"/>
      <c r="G60" s="898"/>
      <c r="H60" s="899"/>
      <c r="I60" s="898"/>
      <c r="L60" s="910"/>
      <c r="M60" s="910"/>
      <c r="O60" s="910"/>
      <c r="P60" s="910"/>
      <c r="Q60" s="910"/>
      <c r="R60" s="898"/>
      <c r="T60" s="898"/>
      <c r="V60" s="902"/>
      <c r="X60" s="899"/>
    </row>
    <row r="61" spans="1:24" s="896" customFormat="1" ht="12" customHeight="1">
      <c r="A61" s="903" t="s">
        <v>900</v>
      </c>
      <c r="B61" s="903"/>
      <c r="C61" s="904">
        <v>1085440</v>
      </c>
      <c r="D61" s="908"/>
      <c r="E61" s="908"/>
      <c r="F61" s="908"/>
      <c r="G61" s="898"/>
      <c r="H61" s="899"/>
      <c r="I61" s="898"/>
      <c r="L61" s="910"/>
      <c r="M61" s="910"/>
      <c r="O61" s="910"/>
      <c r="P61" s="910"/>
      <c r="Q61" s="910"/>
      <c r="R61" s="898"/>
      <c r="T61" s="898"/>
      <c r="V61" s="902"/>
      <c r="X61" s="899"/>
    </row>
    <row r="62" spans="1:24" s="896" customFormat="1" ht="12" customHeight="1">
      <c r="A62" s="906" t="s">
        <v>657</v>
      </c>
      <c r="B62" s="906"/>
      <c r="C62" s="907">
        <f>-C60+D22-C61</f>
        <v>-2586113</v>
      </c>
      <c r="D62" s="908"/>
      <c r="E62" s="908"/>
      <c r="F62" s="908"/>
      <c r="G62" s="898"/>
      <c r="H62" s="899"/>
      <c r="I62" s="898"/>
      <c r="L62" s="910"/>
      <c r="M62" s="910"/>
      <c r="O62" s="910"/>
      <c r="P62" s="910"/>
      <c r="Q62" s="910"/>
      <c r="R62" s="898"/>
      <c r="T62" s="898"/>
      <c r="V62" s="902"/>
      <c r="X62" s="899"/>
    </row>
    <row r="63" spans="1:24" s="896" customFormat="1" ht="12" customHeight="1">
      <c r="A63" s="911" t="s">
        <v>5</v>
      </c>
      <c r="B63" s="911"/>
      <c r="C63" s="907">
        <f>+C60+C62+C61</f>
        <v>664615</v>
      </c>
      <c r="D63" s="908"/>
      <c r="E63" s="908"/>
      <c r="F63" s="908"/>
      <c r="G63" s="913"/>
      <c r="H63" s="910"/>
      <c r="I63" s="913"/>
      <c r="L63" s="910"/>
      <c r="M63" s="910"/>
      <c r="O63" s="910"/>
      <c r="P63" s="910"/>
      <c r="Q63" s="910"/>
      <c r="R63" s="913"/>
      <c r="T63" s="913"/>
      <c r="V63" s="902"/>
      <c r="X63" s="899"/>
    </row>
    <row r="64" spans="1:24" s="896" customFormat="1" ht="12" customHeight="1">
      <c r="C64" s="908">
        <f>+C63-D22</f>
        <v>0</v>
      </c>
      <c r="D64" s="908"/>
      <c r="E64" s="908"/>
      <c r="F64" s="908"/>
      <c r="G64" s="913"/>
      <c r="H64" s="910"/>
      <c r="I64" s="913"/>
      <c r="L64" s="910"/>
      <c r="M64" s="910"/>
      <c r="O64" s="910"/>
      <c r="P64" s="910"/>
      <c r="Q64" s="910"/>
      <c r="R64" s="913"/>
      <c r="T64" s="913"/>
      <c r="V64" s="902"/>
      <c r="X64" s="899"/>
    </row>
    <row r="65" spans="1:24" s="896" customFormat="1" ht="12" customHeight="1">
      <c r="A65" s="894" t="s">
        <v>863</v>
      </c>
      <c r="B65" s="894"/>
      <c r="C65" s="895"/>
      <c r="D65" s="908"/>
      <c r="E65" s="908"/>
      <c r="F65" s="908"/>
      <c r="G65" s="913"/>
      <c r="I65" s="913"/>
      <c r="L65" s="910"/>
      <c r="M65" s="910"/>
      <c r="O65" s="910"/>
      <c r="P65" s="910"/>
      <c r="Q65" s="910"/>
      <c r="R65" s="913"/>
      <c r="T65" s="913"/>
      <c r="V65" s="902"/>
      <c r="X65" s="899"/>
    </row>
    <row r="66" spans="1:24" s="896" customFormat="1" ht="12" customHeight="1">
      <c r="A66" s="903" t="s">
        <v>864</v>
      </c>
      <c r="B66" s="903"/>
      <c r="C66" s="904">
        <f>+'EFE20'!C11</f>
        <v>39210</v>
      </c>
      <c r="D66" s="908"/>
      <c r="E66" s="908"/>
      <c r="F66" s="908"/>
      <c r="G66" s="913"/>
      <c r="I66" s="913"/>
      <c r="L66" s="910"/>
      <c r="M66" s="910"/>
      <c r="O66" s="910"/>
      <c r="P66" s="910"/>
      <c r="Q66" s="910"/>
      <c r="R66" s="913"/>
      <c r="T66" s="913"/>
      <c r="V66" s="902"/>
      <c r="X66" s="899"/>
    </row>
    <row r="67" spans="1:24" s="896" customFormat="1" ht="12" customHeight="1">
      <c r="A67" s="906" t="s">
        <v>657</v>
      </c>
      <c r="B67" s="906"/>
      <c r="C67" s="907">
        <f>-C66+D21</f>
        <v>-439321.65</v>
      </c>
      <c r="D67" s="908"/>
      <c r="E67" s="908"/>
      <c r="F67" s="908"/>
      <c r="G67" s="913"/>
      <c r="I67" s="913"/>
      <c r="R67" s="913"/>
      <c r="T67" s="913"/>
      <c r="V67" s="902"/>
      <c r="X67" s="899"/>
    </row>
    <row r="68" spans="1:24" s="896" customFormat="1" ht="12" customHeight="1">
      <c r="A68" s="911" t="s">
        <v>865</v>
      </c>
      <c r="B68" s="911"/>
      <c r="C68" s="907">
        <f>+C66+C67</f>
        <v>-400111.65</v>
      </c>
      <c r="D68" s="908"/>
      <c r="E68" s="908"/>
      <c r="F68" s="908"/>
      <c r="G68" s="913"/>
      <c r="I68" s="913"/>
      <c r="R68" s="913"/>
      <c r="T68" s="913"/>
      <c r="V68" s="902"/>
      <c r="X68" s="899"/>
    </row>
    <row r="69" spans="1:24" s="896" customFormat="1" ht="12" customHeight="1">
      <c r="C69" s="908">
        <f>+C68-D21</f>
        <v>0</v>
      </c>
      <c r="D69" s="908"/>
      <c r="E69" s="908"/>
      <c r="F69" s="908"/>
      <c r="G69" s="913"/>
      <c r="I69" s="913"/>
      <c r="R69" s="913"/>
      <c r="T69" s="913"/>
      <c r="V69" s="902"/>
      <c r="X69" s="899"/>
    </row>
    <row r="70" spans="1:24" s="896" customFormat="1" ht="12" customHeight="1">
      <c r="A70" s="894" t="s">
        <v>671</v>
      </c>
      <c r="B70" s="894"/>
      <c r="C70" s="919"/>
      <c r="D70" s="908"/>
      <c r="E70" s="908"/>
      <c r="F70" s="908"/>
      <c r="G70" s="913"/>
      <c r="I70" s="913"/>
      <c r="R70" s="913"/>
      <c r="T70" s="913"/>
      <c r="V70" s="902"/>
      <c r="X70" s="899"/>
    </row>
    <row r="71" spans="1:24" s="896" customFormat="1" ht="12" customHeight="1">
      <c r="A71" s="906" t="s">
        <v>866</v>
      </c>
      <c r="B71" s="906"/>
      <c r="C71" s="904">
        <f>-'ERI20'!D20</f>
        <v>8170072</v>
      </c>
      <c r="G71" s="913"/>
      <c r="I71" s="913"/>
      <c r="R71" s="913"/>
      <c r="T71" s="913"/>
      <c r="V71" s="902"/>
      <c r="X71" s="899"/>
    </row>
    <row r="72" spans="1:24" s="896" customFormat="1" ht="12" customHeight="1">
      <c r="A72" s="906" t="s">
        <v>672</v>
      </c>
      <c r="B72" s="906"/>
      <c r="C72" s="904">
        <f>+'EFE20'!C46</f>
        <v>-9630357</v>
      </c>
      <c r="G72" s="913"/>
      <c r="I72" s="913"/>
      <c r="R72" s="913"/>
      <c r="T72" s="913"/>
      <c r="V72" s="902"/>
      <c r="X72" s="899"/>
    </row>
    <row r="73" spans="1:24" s="896" customFormat="1" ht="12" customHeight="1">
      <c r="A73" s="906" t="s">
        <v>669</v>
      </c>
      <c r="B73" s="906"/>
      <c r="C73" s="924">
        <f>-C71-C72+R10</f>
        <v>978507</v>
      </c>
      <c r="G73" s="913"/>
      <c r="I73" s="913"/>
      <c r="R73" s="913"/>
      <c r="T73" s="913"/>
      <c r="V73" s="902"/>
      <c r="X73" s="899"/>
    </row>
    <row r="74" spans="1:24" s="896" customFormat="1" ht="12" customHeight="1">
      <c r="A74" s="911" t="s">
        <v>865</v>
      </c>
      <c r="B74" s="911"/>
      <c r="C74" s="924">
        <f>SUM(C71:C73)</f>
        <v>-481778</v>
      </c>
      <c r="G74" s="913"/>
      <c r="I74" s="913"/>
      <c r="R74" s="913"/>
      <c r="T74" s="913"/>
      <c r="V74" s="902"/>
      <c r="X74" s="899"/>
    </row>
    <row r="75" spans="1:24" s="896" customFormat="1" ht="12" customHeight="1">
      <c r="C75" s="939">
        <f>+C74-R10</f>
        <v>0</v>
      </c>
      <c r="G75" s="913"/>
      <c r="I75" s="913"/>
      <c r="R75" s="913"/>
      <c r="T75" s="913"/>
      <c r="V75" s="902"/>
      <c r="X75" s="899"/>
    </row>
    <row r="76" spans="1:24" s="896" customFormat="1" ht="12" customHeight="1">
      <c r="A76" s="894" t="s">
        <v>673</v>
      </c>
      <c r="B76" s="894"/>
      <c r="C76" s="919"/>
      <c r="G76" s="913"/>
      <c r="I76" s="913"/>
      <c r="R76" s="913"/>
      <c r="T76" s="913"/>
      <c r="V76" s="902"/>
      <c r="X76" s="899"/>
    </row>
    <row r="77" spans="1:24" s="896" customFormat="1" ht="12" customHeight="1">
      <c r="A77" s="906" t="s">
        <v>867</v>
      </c>
      <c r="B77" s="906"/>
      <c r="C77" s="904">
        <f>-'ERI20'!D18</f>
        <v>4993438</v>
      </c>
      <c r="G77" s="913"/>
      <c r="I77" s="913"/>
      <c r="R77" s="913"/>
      <c r="T77" s="913"/>
      <c r="V77" s="902"/>
      <c r="X77" s="899"/>
    </row>
    <row r="78" spans="1:24" s="896" customFormat="1" ht="12" customHeight="1">
      <c r="A78" s="906" t="s">
        <v>674</v>
      </c>
      <c r="B78" s="906"/>
      <c r="C78" s="966">
        <f>+'EFE20'!C40</f>
        <v>-4453394</v>
      </c>
      <c r="G78" s="913"/>
      <c r="I78" s="913"/>
      <c r="R78" s="913"/>
      <c r="T78" s="913"/>
      <c r="V78" s="902"/>
      <c r="X78" s="899"/>
    </row>
    <row r="79" spans="1:24" s="896" customFormat="1" ht="12" customHeight="1">
      <c r="A79" s="906" t="s">
        <v>669</v>
      </c>
      <c r="B79" s="906"/>
      <c r="C79" s="924">
        <f>-C77-C78+R14</f>
        <v>3211662.08</v>
      </c>
      <c r="G79" s="913"/>
      <c r="I79" s="913"/>
      <c r="R79" s="913"/>
      <c r="T79" s="913"/>
      <c r="V79" s="902"/>
      <c r="X79" s="899"/>
    </row>
    <row r="80" spans="1:24" s="896" customFormat="1" ht="12" customHeight="1">
      <c r="A80" s="911" t="s">
        <v>865</v>
      </c>
      <c r="B80" s="911"/>
      <c r="C80" s="924">
        <f>SUM(C77:C79)</f>
        <v>3751706.08</v>
      </c>
      <c r="G80" s="913"/>
      <c r="I80" s="913"/>
      <c r="R80" s="913"/>
      <c r="T80" s="913"/>
      <c r="V80" s="902"/>
      <c r="X80" s="899"/>
    </row>
    <row r="81" spans="1:24" s="896" customFormat="1" ht="12" customHeight="1">
      <c r="C81" s="939">
        <f>+C80-R14</f>
        <v>0</v>
      </c>
      <c r="G81" s="913"/>
      <c r="I81" s="913"/>
      <c r="R81" s="913"/>
      <c r="T81" s="913"/>
      <c r="V81" s="902"/>
      <c r="X81" s="899"/>
    </row>
    <row r="82" spans="1:24" s="896" customFormat="1" ht="12" customHeight="1">
      <c r="A82" s="894" t="s">
        <v>675</v>
      </c>
      <c r="B82" s="894"/>
      <c r="C82" s="895"/>
      <c r="G82" s="913"/>
      <c r="I82" s="913"/>
      <c r="R82" s="913"/>
      <c r="T82" s="913"/>
      <c r="V82" s="902"/>
      <c r="X82" s="899"/>
    </row>
    <row r="83" spans="1:24" s="896" customFormat="1" ht="12" customHeight="1">
      <c r="A83" s="903" t="s">
        <v>868</v>
      </c>
      <c r="B83" s="903"/>
      <c r="C83" s="904">
        <f>+'EFE20'!C8</f>
        <v>-174624</v>
      </c>
      <c r="G83" s="913"/>
      <c r="I83" s="913"/>
      <c r="R83" s="913"/>
      <c r="T83" s="913"/>
      <c r="V83" s="902"/>
      <c r="X83" s="899"/>
    </row>
    <row r="84" spans="1:24" s="896" customFormat="1" ht="12" customHeight="1">
      <c r="A84" s="903" t="s">
        <v>837</v>
      </c>
      <c r="B84" s="903"/>
      <c r="C84" s="904">
        <v>11504101</v>
      </c>
      <c r="G84" s="913"/>
      <c r="I84" s="913"/>
      <c r="R84" s="913"/>
      <c r="T84" s="913"/>
      <c r="V84" s="902"/>
      <c r="X84" s="899"/>
    </row>
    <row r="85" spans="1:24" s="896" customFormat="1" ht="12" customHeight="1">
      <c r="A85" s="906" t="s">
        <v>869</v>
      </c>
      <c r="B85" s="906"/>
      <c r="C85" s="907">
        <f>-C83+D8-C84</f>
        <v>-8906415.7400000002</v>
      </c>
      <c r="G85" s="913"/>
      <c r="I85" s="913"/>
      <c r="R85" s="913"/>
      <c r="T85" s="913"/>
      <c r="V85" s="902"/>
      <c r="X85" s="899"/>
    </row>
    <row r="86" spans="1:24" s="896" customFormat="1" ht="12" customHeight="1">
      <c r="A86" s="911" t="s">
        <v>865</v>
      </c>
      <c r="B86" s="911"/>
      <c r="C86" s="907">
        <f>+C83+C85+C84</f>
        <v>2423061.2599999998</v>
      </c>
      <c r="G86" s="913"/>
      <c r="I86" s="913"/>
      <c r="R86" s="913"/>
      <c r="T86" s="913"/>
      <c r="V86" s="902"/>
      <c r="X86" s="899"/>
    </row>
    <row r="87" spans="1:24" s="896" customFormat="1" ht="12" customHeight="1">
      <c r="C87" s="908">
        <f>+C86-D8</f>
        <v>0</v>
      </c>
      <c r="G87" s="913"/>
      <c r="I87" s="913"/>
      <c r="R87" s="913"/>
      <c r="T87" s="913"/>
      <c r="V87" s="902"/>
      <c r="X87" s="899"/>
    </row>
    <row r="88" spans="1:24" s="896" customFormat="1" ht="12" customHeight="1">
      <c r="A88" s="894" t="s">
        <v>676</v>
      </c>
      <c r="B88" s="894"/>
      <c r="C88" s="895"/>
      <c r="G88" s="913"/>
      <c r="I88" s="913"/>
      <c r="R88" s="913"/>
      <c r="T88" s="913"/>
      <c r="V88" s="902"/>
      <c r="X88" s="899"/>
    </row>
    <row r="89" spans="1:24" s="896" customFormat="1" ht="12" customHeight="1">
      <c r="A89" s="903" t="s">
        <v>868</v>
      </c>
      <c r="B89" s="903"/>
      <c r="C89" s="904">
        <v>0</v>
      </c>
      <c r="G89" s="913"/>
      <c r="I89" s="913"/>
      <c r="R89" s="913"/>
      <c r="T89" s="913"/>
      <c r="V89" s="902"/>
      <c r="X89" s="899"/>
    </row>
    <row r="90" spans="1:24" s="896" customFormat="1" ht="12" customHeight="1">
      <c r="A90" s="906" t="s">
        <v>870</v>
      </c>
      <c r="B90" s="906"/>
      <c r="C90" s="907">
        <f>-C89+D11+D18</f>
        <v>1094346</v>
      </c>
      <c r="G90" s="913"/>
      <c r="I90" s="913"/>
      <c r="R90" s="913"/>
      <c r="T90" s="913"/>
      <c r="V90" s="902"/>
      <c r="X90" s="899"/>
    </row>
    <row r="91" spans="1:24" s="896" customFormat="1" ht="12" customHeight="1">
      <c r="A91" s="911" t="s">
        <v>865</v>
      </c>
      <c r="B91" s="911"/>
      <c r="C91" s="907">
        <f>+C89+C90</f>
        <v>1094346</v>
      </c>
      <c r="G91" s="913"/>
      <c r="I91" s="913"/>
      <c r="R91" s="913"/>
      <c r="T91" s="913"/>
      <c r="V91" s="902"/>
      <c r="X91" s="899"/>
    </row>
    <row r="92" spans="1:24" s="896" customFormat="1" ht="12" customHeight="1">
      <c r="C92" s="923">
        <f>+D11+D18-C91</f>
        <v>0</v>
      </c>
      <c r="G92" s="913"/>
      <c r="I92" s="913"/>
      <c r="R92" s="913"/>
      <c r="T92" s="913"/>
      <c r="V92" s="902"/>
      <c r="X92" s="899"/>
    </row>
    <row r="93" spans="1:24" s="896" customFormat="1" ht="12" customHeight="1">
      <c r="A93" s="894" t="s">
        <v>677</v>
      </c>
      <c r="B93" s="894"/>
      <c r="C93" s="895"/>
      <c r="G93" s="913"/>
      <c r="I93" s="913"/>
      <c r="R93" s="913"/>
      <c r="T93" s="913"/>
      <c r="V93" s="902"/>
      <c r="X93" s="899"/>
    </row>
    <row r="94" spans="1:24" s="896" customFormat="1" ht="12" customHeight="1">
      <c r="A94" s="903" t="s">
        <v>678</v>
      </c>
      <c r="B94" s="903"/>
      <c r="C94" s="904">
        <v>0</v>
      </c>
      <c r="G94" s="913"/>
      <c r="I94" s="913"/>
      <c r="R94" s="913"/>
      <c r="T94" s="913"/>
      <c r="V94" s="902"/>
      <c r="X94" s="899"/>
    </row>
    <row r="95" spans="1:24" s="896" customFormat="1" ht="12" customHeight="1">
      <c r="A95" s="906" t="s">
        <v>669</v>
      </c>
      <c r="B95" s="906"/>
      <c r="C95" s="907">
        <f>-C94+D27</f>
        <v>0</v>
      </c>
      <c r="G95" s="913"/>
      <c r="I95" s="913"/>
      <c r="N95" s="887"/>
      <c r="R95" s="913"/>
      <c r="T95" s="913"/>
      <c r="V95" s="902"/>
    </row>
    <row r="96" spans="1:24" s="896" customFormat="1" ht="12" customHeight="1">
      <c r="A96" s="911" t="s">
        <v>865</v>
      </c>
      <c r="B96" s="911"/>
      <c r="C96" s="907">
        <f>+C94+C95</f>
        <v>0</v>
      </c>
      <c r="G96" s="913"/>
      <c r="I96" s="913"/>
      <c r="N96" s="887"/>
      <c r="R96" s="913"/>
      <c r="T96" s="913"/>
      <c r="V96" s="902"/>
    </row>
    <row r="97" spans="1:22" s="896" customFormat="1" ht="12" customHeight="1">
      <c r="C97" s="925">
        <f>+C96-D27</f>
        <v>0</v>
      </c>
      <c r="G97" s="913"/>
      <c r="I97" s="913"/>
      <c r="N97" s="887"/>
      <c r="R97" s="913"/>
      <c r="T97" s="913"/>
      <c r="V97" s="902"/>
    </row>
    <row r="98" spans="1:22" s="896" customFormat="1" ht="12" customHeight="1">
      <c r="A98" s="894" t="s">
        <v>679</v>
      </c>
      <c r="B98" s="894"/>
      <c r="C98" s="895"/>
      <c r="G98" s="913"/>
      <c r="I98" s="913"/>
      <c r="N98" s="887"/>
      <c r="R98" s="913"/>
      <c r="T98" s="913"/>
      <c r="V98" s="902"/>
    </row>
    <row r="99" spans="1:22" s="896" customFormat="1" ht="12" customHeight="1">
      <c r="A99" s="903" t="s">
        <v>680</v>
      </c>
      <c r="B99" s="903"/>
      <c r="C99" s="904">
        <f>+'EFE20'!C63</f>
        <v>-1307540</v>
      </c>
      <c r="G99" s="913"/>
      <c r="I99" s="913"/>
      <c r="N99" s="887"/>
      <c r="R99" s="913"/>
      <c r="T99" s="913"/>
      <c r="V99" s="902"/>
    </row>
    <row r="100" spans="1:22" s="896" customFormat="1" ht="12" customHeight="1">
      <c r="A100" s="903" t="s">
        <v>681</v>
      </c>
      <c r="B100" s="903"/>
      <c r="C100" s="904">
        <v>0</v>
      </c>
      <c r="G100" s="913"/>
      <c r="I100" s="913"/>
      <c r="N100" s="887"/>
      <c r="R100" s="913"/>
      <c r="T100" s="913"/>
      <c r="V100" s="902"/>
    </row>
    <row r="101" spans="1:22" s="896" customFormat="1" ht="12" customHeight="1">
      <c r="A101" s="906" t="s">
        <v>669</v>
      </c>
      <c r="B101" s="906"/>
      <c r="C101" s="924">
        <f>-C99-C100+R13+R25</f>
        <v>1100326</v>
      </c>
      <c r="G101" s="913"/>
      <c r="I101" s="913"/>
      <c r="N101" s="887"/>
      <c r="R101" s="913"/>
      <c r="T101" s="913"/>
      <c r="V101" s="902"/>
    </row>
    <row r="102" spans="1:22" s="896" customFormat="1" ht="12" customHeight="1">
      <c r="A102" s="911" t="s">
        <v>865</v>
      </c>
      <c r="B102" s="911"/>
      <c r="C102" s="907">
        <f>SUM(C99:C101)</f>
        <v>-207214</v>
      </c>
      <c r="G102" s="913"/>
      <c r="I102" s="913"/>
      <c r="N102" s="887"/>
      <c r="R102" s="913"/>
      <c r="T102" s="913"/>
      <c r="V102" s="902"/>
    </row>
    <row r="103" spans="1:22" s="896" customFormat="1" ht="12" customHeight="1">
      <c r="C103" s="925">
        <f>+C102-R13-R25</f>
        <v>0</v>
      </c>
      <c r="G103" s="913"/>
      <c r="I103" s="913"/>
      <c r="N103" s="887"/>
      <c r="R103" s="913"/>
      <c r="T103" s="913"/>
      <c r="V103" s="902"/>
    </row>
    <row r="104" spans="1:22" s="896" customFormat="1" ht="12" customHeight="1">
      <c r="A104" s="894" t="s">
        <v>903</v>
      </c>
      <c r="B104" s="894"/>
      <c r="C104" s="895"/>
      <c r="G104" s="913"/>
      <c r="I104" s="913"/>
      <c r="N104" s="887"/>
      <c r="R104" s="913"/>
      <c r="T104" s="913"/>
      <c r="V104" s="902"/>
    </row>
    <row r="105" spans="1:22" s="896" customFormat="1" ht="12" customHeight="1">
      <c r="A105" s="903" t="s">
        <v>76</v>
      </c>
      <c r="B105" s="903"/>
      <c r="C105" s="904">
        <f>'EFE20'!C18</f>
        <v>8770737</v>
      </c>
      <c r="G105" s="913"/>
      <c r="I105" s="913"/>
      <c r="N105" s="887"/>
      <c r="R105" s="913"/>
      <c r="T105" s="913"/>
      <c r="V105" s="902"/>
    </row>
    <row r="106" spans="1:22" s="896" customFormat="1" ht="12" customHeight="1">
      <c r="A106" s="906" t="s">
        <v>669</v>
      </c>
      <c r="B106" s="906"/>
      <c r="C106" s="907">
        <f>+C105-R24</f>
        <v>0</v>
      </c>
      <c r="G106" s="913"/>
      <c r="I106" s="913"/>
      <c r="N106" s="887"/>
      <c r="R106" s="913"/>
      <c r="T106" s="913"/>
      <c r="V106" s="902"/>
    </row>
    <row r="107" spans="1:22" s="896" customFormat="1" ht="12" customHeight="1">
      <c r="A107" s="911" t="s">
        <v>865</v>
      </c>
      <c r="B107" s="911"/>
      <c r="C107" s="907">
        <f>SUM(C105:C106)</f>
        <v>8770737</v>
      </c>
      <c r="G107" s="913"/>
      <c r="I107" s="913"/>
      <c r="N107" s="887"/>
      <c r="R107" s="913"/>
      <c r="T107" s="913"/>
      <c r="V107" s="902"/>
    </row>
    <row r="108" spans="1:22" ht="12" customHeight="1">
      <c r="C108" s="1064">
        <f>+C107-R24</f>
        <v>0</v>
      </c>
      <c r="F108" s="868">
        <v>0</v>
      </c>
    </row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>
      <selection activeCell="D22" sqref="D22"/>
    </sheetView>
  </sheetViews>
  <sheetFormatPr defaultColWidth="11.5703125" defaultRowHeight="15"/>
  <cols>
    <col min="1" max="1" width="2.42578125" style="582" customWidth="1"/>
    <col min="2" max="2" width="36" style="582" customWidth="1"/>
    <col min="3" max="3" width="9.85546875" style="582" customWidth="1"/>
    <col min="4" max="4" width="12.28515625" style="582" customWidth="1"/>
    <col min="5" max="5" width="3.42578125" style="582" customWidth="1"/>
    <col min="6" max="6" width="12.28515625" style="582" customWidth="1"/>
    <col min="7" max="7" width="11.5703125" style="582"/>
    <col min="8" max="8" width="12.28515625" style="582" hidden="1" customWidth="1"/>
    <col min="9" max="9" width="11.5703125" style="582" hidden="1"/>
    <col min="10" max="10" width="12.7109375" style="582" hidden="1" customWidth="1"/>
    <col min="11" max="11" width="11.5703125" style="582" hidden="1"/>
    <col min="12" max="12" width="12" style="582" hidden="1" customWidth="1"/>
    <col min="13" max="13" width="11.5703125" style="583"/>
    <col min="14" max="1024" width="11.5703125" style="582"/>
  </cols>
  <sheetData>
    <row r="1" spans="1:15" s="590" customFormat="1" ht="12">
      <c r="A1" s="584"/>
      <c r="B1" s="585"/>
      <c r="C1" s="586" t="s">
        <v>626</v>
      </c>
      <c r="D1" s="586">
        <v>2020</v>
      </c>
      <c r="E1" s="586"/>
      <c r="F1" s="587">
        <v>2019</v>
      </c>
      <c r="G1" s="585"/>
      <c r="H1" s="587">
        <v>2018</v>
      </c>
      <c r="I1" s="588"/>
      <c r="J1" s="589">
        <v>2017</v>
      </c>
      <c r="K1" s="589"/>
      <c r="L1" s="589">
        <v>2016</v>
      </c>
      <c r="M1" s="584"/>
    </row>
    <row r="2" spans="1:15" ht="12" customHeight="1">
      <c r="A2" s="583"/>
      <c r="B2" s="591"/>
      <c r="C2" s="578" t="s">
        <v>628</v>
      </c>
      <c r="D2" s="578"/>
      <c r="E2" s="578"/>
      <c r="F2" s="591"/>
      <c r="G2" s="591"/>
      <c r="H2" s="591"/>
      <c r="I2" s="588"/>
      <c r="J2" s="589"/>
      <c r="K2" s="589"/>
      <c r="L2" s="589"/>
    </row>
    <row r="3" spans="1:15">
      <c r="A3" s="592" t="s">
        <v>682</v>
      </c>
      <c r="C3" s="593"/>
      <c r="D3" s="594">
        <f>'Planilla final'!Q64</f>
        <v>209409829.90000001</v>
      </c>
      <c r="E3" s="593"/>
      <c r="F3" s="592">
        <v>191805258</v>
      </c>
      <c r="G3" s="592"/>
      <c r="H3" s="592">
        <v>159845498</v>
      </c>
      <c r="I3" s="595"/>
      <c r="J3" s="596">
        <v>155656071.41999999</v>
      </c>
      <c r="K3" s="597"/>
      <c r="L3" s="596">
        <v>146349769</v>
      </c>
      <c r="O3" s="598"/>
    </row>
    <row r="4" spans="1:15">
      <c r="A4" s="592" t="s">
        <v>683</v>
      </c>
      <c r="C4" s="593">
        <v>33</v>
      </c>
      <c r="D4" s="594">
        <f>'Planilla final'!Q65</f>
        <v>-96415770.700000003</v>
      </c>
      <c r="E4" s="593"/>
      <c r="F4" s="592">
        <v>-121049688</v>
      </c>
      <c r="G4" s="592"/>
      <c r="H4" s="592">
        <v>-106153033</v>
      </c>
      <c r="I4" s="595"/>
      <c r="J4" s="599">
        <v>-103315253</v>
      </c>
      <c r="K4" s="597"/>
      <c r="L4" s="599">
        <v>-96949966</v>
      </c>
    </row>
    <row r="5" spans="1:15" ht="5.0999999999999996" customHeight="1">
      <c r="A5" s="583"/>
      <c r="C5" s="584"/>
      <c r="D5" s="600"/>
      <c r="E5" s="584"/>
      <c r="F5" s="583"/>
      <c r="G5" s="583"/>
      <c r="H5" s="583"/>
    </row>
    <row r="6" spans="1:15">
      <c r="A6" s="592" t="s">
        <v>684</v>
      </c>
      <c r="C6" s="593"/>
      <c r="D6" s="601">
        <f>D3+D4</f>
        <v>112994059.2</v>
      </c>
      <c r="E6" s="593"/>
      <c r="F6" s="602">
        <v>70755570</v>
      </c>
      <c r="G6" s="597"/>
      <c r="H6" s="602">
        <v>53692465</v>
      </c>
      <c r="I6" s="595"/>
      <c r="J6" s="597">
        <v>52340818.420000002</v>
      </c>
      <c r="K6" s="597"/>
      <c r="L6" s="597">
        <v>49399803</v>
      </c>
    </row>
    <row r="7" spans="1:15" ht="5.0999999999999996" customHeight="1">
      <c r="A7" s="592"/>
      <c r="C7" s="593"/>
      <c r="D7" s="594"/>
      <c r="E7" s="593"/>
      <c r="F7" s="592"/>
      <c r="G7" s="592"/>
      <c r="H7" s="592"/>
      <c r="I7" s="592"/>
      <c r="J7" s="597"/>
      <c r="K7" s="597"/>
      <c r="L7" s="597"/>
    </row>
    <row r="8" spans="1:15">
      <c r="A8" s="591" t="s">
        <v>685</v>
      </c>
      <c r="C8" s="585"/>
      <c r="D8" s="603"/>
      <c r="E8" s="585"/>
      <c r="F8" s="591"/>
      <c r="G8" s="591"/>
      <c r="H8" s="591"/>
      <c r="I8" s="592"/>
      <c r="J8" s="597"/>
      <c r="K8" s="597"/>
      <c r="L8" s="597"/>
    </row>
    <row r="9" spans="1:15">
      <c r="A9" s="592" t="s">
        <v>686</v>
      </c>
      <c r="C9" s="593">
        <v>33</v>
      </c>
      <c r="D9" s="594">
        <f>'Planilla final'!N67</f>
        <v>-79644670.739999995</v>
      </c>
      <c r="E9" s="593"/>
      <c r="F9" s="592">
        <v>-44400771</v>
      </c>
      <c r="G9" s="592"/>
      <c r="H9" s="592">
        <v>-37329669</v>
      </c>
      <c r="I9" s="592"/>
      <c r="J9" s="604">
        <v>-35713851.420000002</v>
      </c>
      <c r="K9" s="597"/>
      <c r="L9" s="604">
        <v>-31216849</v>
      </c>
    </row>
    <row r="10" spans="1:15" ht="5.0999999999999996" customHeight="1">
      <c r="A10" s="592"/>
      <c r="C10" s="593"/>
      <c r="D10" s="594"/>
      <c r="E10" s="593"/>
      <c r="F10" s="592"/>
      <c r="G10" s="592"/>
      <c r="H10" s="592"/>
      <c r="I10" s="592"/>
      <c r="J10" s="597"/>
      <c r="K10" s="597"/>
      <c r="L10" s="597"/>
    </row>
    <row r="11" spans="1:15">
      <c r="A11" s="592" t="s">
        <v>687</v>
      </c>
      <c r="C11" s="593"/>
      <c r="D11" s="601">
        <f>D6+D9</f>
        <v>33349388.460000008</v>
      </c>
      <c r="E11" s="593"/>
      <c r="F11" s="602">
        <v>26354799</v>
      </c>
      <c r="G11" s="597"/>
      <c r="H11" s="602">
        <v>16362796</v>
      </c>
      <c r="I11" s="592"/>
      <c r="J11" s="597">
        <v>16626967</v>
      </c>
      <c r="K11" s="597"/>
      <c r="L11" s="597">
        <v>18182954</v>
      </c>
    </row>
    <row r="12" spans="1:15" ht="5.0999999999999996" customHeight="1">
      <c r="A12" s="592"/>
      <c r="C12" s="593"/>
      <c r="D12" s="594"/>
      <c r="E12" s="593"/>
      <c r="F12" s="592"/>
      <c r="G12" s="592"/>
      <c r="H12" s="592"/>
      <c r="I12" s="592"/>
      <c r="J12" s="597"/>
      <c r="K12" s="597"/>
      <c r="L12" s="597"/>
    </row>
    <row r="13" spans="1:15">
      <c r="A13" s="605" t="s">
        <v>688</v>
      </c>
      <c r="C13" s="606"/>
      <c r="D13" s="607">
        <f>'Planilla final'!N70</f>
        <v>-1897463</v>
      </c>
      <c r="E13" s="606"/>
      <c r="F13" s="605">
        <v>-2329066</v>
      </c>
      <c r="G13" s="605"/>
      <c r="H13" s="592">
        <v>-3672120</v>
      </c>
      <c r="I13" s="592"/>
      <c r="J13" s="597">
        <v>-5201733</v>
      </c>
      <c r="K13" s="597"/>
      <c r="L13" s="597">
        <v>-4584126</v>
      </c>
    </row>
    <row r="14" spans="1:15">
      <c r="A14" s="592" t="s">
        <v>689</v>
      </c>
      <c r="C14" s="593"/>
      <c r="D14" s="594">
        <f>'Planilla final'!N68</f>
        <v>-751487.41</v>
      </c>
      <c r="E14" s="593"/>
      <c r="F14" s="592">
        <v>219694.47</v>
      </c>
      <c r="G14" s="592"/>
      <c r="H14" s="592">
        <v>-1111670</v>
      </c>
      <c r="I14" s="592"/>
      <c r="J14" s="597">
        <v>-2320429.9500000002</v>
      </c>
      <c r="K14" s="597"/>
      <c r="L14" s="597">
        <v>-507141</v>
      </c>
      <c r="N14" s="598"/>
      <c r="O14" s="598"/>
    </row>
    <row r="15" spans="1:15" ht="5.45" customHeight="1">
      <c r="A15" s="592"/>
      <c r="C15" s="593"/>
      <c r="D15" s="594"/>
      <c r="E15" s="593"/>
      <c r="F15" s="592"/>
      <c r="G15" s="592"/>
      <c r="H15" s="592"/>
      <c r="I15" s="592"/>
      <c r="J15" s="604"/>
      <c r="K15" s="597"/>
      <c r="L15" s="604"/>
    </row>
    <row r="16" spans="1:15" ht="27.6" customHeight="1">
      <c r="B16" s="608" t="s">
        <v>690</v>
      </c>
      <c r="C16" s="609"/>
      <c r="D16" s="601">
        <f>D11+D13+D14</f>
        <v>30700438.050000008</v>
      </c>
      <c r="E16" s="609"/>
      <c r="F16" s="602">
        <v>24245427.469999999</v>
      </c>
      <c r="G16" s="597"/>
      <c r="H16" s="602">
        <v>11579006</v>
      </c>
      <c r="I16" s="592"/>
      <c r="J16" s="597">
        <v>9104804.0499999896</v>
      </c>
      <c r="K16" s="597"/>
      <c r="L16" s="597">
        <v>13091687</v>
      </c>
    </row>
    <row r="17" spans="1:17" ht="5.0999999999999996" customHeight="1">
      <c r="A17" s="592"/>
      <c r="C17" s="593"/>
      <c r="D17" s="594"/>
      <c r="E17" s="593"/>
      <c r="F17" s="592"/>
      <c r="G17" s="592"/>
      <c r="H17" s="592"/>
      <c r="I17" s="592"/>
      <c r="J17" s="597"/>
      <c r="K17" s="597"/>
      <c r="L17" s="597"/>
    </row>
    <row r="18" spans="1:17">
      <c r="A18" s="592" t="s">
        <v>110</v>
      </c>
      <c r="C18" s="593"/>
      <c r="D18" s="594">
        <f>'Planilla final'!N72</f>
        <v>-4993438</v>
      </c>
      <c r="E18" s="593"/>
      <c r="F18" s="592">
        <v>-4208157</v>
      </c>
      <c r="G18" s="592"/>
      <c r="H18" s="592">
        <v>-2417615</v>
      </c>
      <c r="I18" s="592"/>
      <c r="J18" s="596">
        <v>-1591304</v>
      </c>
      <c r="K18" s="595"/>
      <c r="L18" s="596">
        <v>-1759101</v>
      </c>
    </row>
    <row r="19" spans="1:17" ht="5.45" customHeight="1">
      <c r="A19" s="592"/>
      <c r="C19" s="593"/>
      <c r="D19" s="594"/>
      <c r="E19" s="593"/>
      <c r="F19" s="592"/>
      <c r="G19" s="592"/>
      <c r="H19" s="592"/>
      <c r="I19" s="592"/>
      <c r="J19" s="597"/>
      <c r="K19" s="597"/>
      <c r="L19" s="597"/>
    </row>
    <row r="20" spans="1:17">
      <c r="A20" s="592" t="s">
        <v>691</v>
      </c>
      <c r="C20" s="593">
        <v>27</v>
      </c>
      <c r="D20" s="594">
        <f>'Planilla final'!Q73</f>
        <v>-8170072</v>
      </c>
      <c r="E20" s="593"/>
      <c r="F20" s="592">
        <v>-7566400</v>
      </c>
      <c r="G20" s="592"/>
      <c r="H20" s="592">
        <v>-4254413</v>
      </c>
      <c r="J20" s="597">
        <v>-3475906</v>
      </c>
      <c r="L20" s="597">
        <v>-3198548</v>
      </c>
    </row>
    <row r="21" spans="1:17" ht="5.0999999999999996" customHeight="1">
      <c r="A21" s="610"/>
      <c r="C21" s="609"/>
      <c r="D21" s="611"/>
      <c r="E21" s="609"/>
      <c r="F21" s="610"/>
      <c r="G21" s="610"/>
      <c r="H21" s="610"/>
      <c r="J21" s="583"/>
      <c r="L21" s="583"/>
    </row>
    <row r="22" spans="1:17">
      <c r="B22" s="592" t="s">
        <v>194</v>
      </c>
      <c r="C22" s="593"/>
      <c r="D22" s="612">
        <f>D16+D18+D20</f>
        <v>17536928.050000008</v>
      </c>
      <c r="E22" s="593"/>
      <c r="F22" s="613">
        <v>12470870.470000001</v>
      </c>
      <c r="G22" s="597"/>
      <c r="H22" s="613">
        <v>4906978</v>
      </c>
      <c r="J22" s="613">
        <v>4037594.04999999</v>
      </c>
      <c r="K22" s="597"/>
      <c r="L22" s="613">
        <v>8134038</v>
      </c>
      <c r="M22" s="597"/>
      <c r="N22" s="614"/>
      <c r="O22" s="615"/>
      <c r="P22" s="616"/>
      <c r="Q22" s="617"/>
    </row>
    <row r="23" spans="1:17">
      <c r="A23" s="583"/>
      <c r="C23" s="584"/>
      <c r="D23" s="600"/>
      <c r="E23" s="584"/>
      <c r="F23" s="583"/>
      <c r="G23" s="583"/>
      <c r="H23" s="583"/>
    </row>
    <row r="24" spans="1:17">
      <c r="A24" s="591" t="s">
        <v>692</v>
      </c>
      <c r="C24" s="585"/>
      <c r="D24" s="603"/>
      <c r="E24" s="585"/>
      <c r="F24" s="591"/>
      <c r="G24" s="591"/>
      <c r="H24" s="591"/>
    </row>
    <row r="25" spans="1:17" ht="5.0999999999999996" customHeight="1">
      <c r="A25" s="610"/>
      <c r="C25" s="609"/>
      <c r="D25" s="611"/>
      <c r="E25" s="609"/>
      <c r="F25" s="610"/>
      <c r="G25" s="610"/>
      <c r="H25" s="610"/>
      <c r="J25" s="583"/>
      <c r="L25" s="583"/>
    </row>
    <row r="26" spans="1:17" ht="25.5" customHeight="1">
      <c r="B26" s="618" t="s">
        <v>693</v>
      </c>
      <c r="C26" s="593"/>
      <c r="D26" s="594">
        <f>'Planilla final'!Q75</f>
        <v>0</v>
      </c>
      <c r="E26" s="593"/>
      <c r="F26" s="594">
        <v>-1099700</v>
      </c>
      <c r="G26" s="594"/>
      <c r="H26" s="594">
        <v>70086</v>
      </c>
      <c r="J26" s="599">
        <v>1849659</v>
      </c>
      <c r="L26" s="599">
        <v>-495802</v>
      </c>
    </row>
    <row r="27" spans="1:17" ht="5.0999999999999996" customHeight="1">
      <c r="A27" s="610"/>
      <c r="C27" s="609"/>
      <c r="D27" s="611"/>
      <c r="E27" s="609"/>
      <c r="F27" s="610"/>
      <c r="G27" s="610"/>
      <c r="H27" s="610"/>
      <c r="J27" s="583"/>
      <c r="L27" s="583"/>
    </row>
    <row r="28" spans="1:17">
      <c r="A28" s="592" t="s">
        <v>98</v>
      </c>
      <c r="C28" s="593"/>
      <c r="D28" s="619">
        <f>D22+D26</f>
        <v>17536928.050000008</v>
      </c>
      <c r="E28" s="593"/>
      <c r="F28" s="620">
        <v>11371170.470000001</v>
      </c>
      <c r="G28" s="621"/>
      <c r="H28" s="620">
        <v>4977064</v>
      </c>
      <c r="J28" s="622">
        <v>5887253.0499999896</v>
      </c>
      <c r="L28" s="622">
        <v>7638236</v>
      </c>
    </row>
    <row r="29" spans="1:17" ht="5.0999999999999996" customHeight="1">
      <c r="A29" s="592"/>
      <c r="C29" s="593"/>
      <c r="D29" s="594"/>
      <c r="E29" s="593"/>
      <c r="F29" s="592"/>
      <c r="G29" s="592"/>
      <c r="H29" s="592"/>
    </row>
    <row r="30" spans="1:17" s="582" customFormat="1" ht="12" hidden="1">
      <c r="A30" s="583" t="s">
        <v>694</v>
      </c>
      <c r="C30" s="584"/>
      <c r="D30" s="623"/>
      <c r="E30" s="584"/>
      <c r="F30" s="579">
        <v>12631217.718596799</v>
      </c>
      <c r="G30" s="579"/>
      <c r="H30" s="597">
        <v>6002231</v>
      </c>
      <c r="J30" s="604">
        <v>6447471.9952226197</v>
      </c>
      <c r="K30" s="597"/>
      <c r="L30" s="604">
        <v>7246588</v>
      </c>
    </row>
    <row r="31" spans="1:17" s="582" customFormat="1" ht="5.0999999999999996" hidden="1" customHeight="1">
      <c r="A31" s="583"/>
      <c r="C31" s="584"/>
      <c r="D31" s="623"/>
      <c r="E31" s="584"/>
      <c r="F31" s="579"/>
      <c r="G31" s="579"/>
      <c r="H31" s="583"/>
      <c r="J31" s="624"/>
      <c r="K31" s="625"/>
      <c r="L31" s="624"/>
    </row>
    <row r="32" spans="1:17" s="582" customFormat="1" ht="12" hidden="1">
      <c r="A32" s="583" t="s">
        <v>695</v>
      </c>
      <c r="C32" s="584"/>
      <c r="D32" s="623"/>
      <c r="E32" s="584"/>
      <c r="F32" s="579">
        <v>-1260047.2485968301</v>
      </c>
      <c r="G32" s="579"/>
      <c r="H32" s="596">
        <v>-1025167</v>
      </c>
      <c r="J32" s="599">
        <v>-560218.94522262504</v>
      </c>
      <c r="L32" s="626">
        <v>391648</v>
      </c>
    </row>
    <row r="33" spans="1:12" s="582" customFormat="1" ht="5.0999999999999996" customHeight="1">
      <c r="A33" s="583"/>
      <c r="C33" s="584"/>
      <c r="D33" s="600"/>
      <c r="E33" s="584"/>
      <c r="F33" s="583"/>
      <c r="G33" s="583"/>
      <c r="H33" s="583"/>
    </row>
    <row r="34" spans="1:12">
      <c r="A34" s="583" t="s">
        <v>696</v>
      </c>
      <c r="C34" s="584"/>
      <c r="D34" s="627">
        <v>37143362</v>
      </c>
      <c r="E34" s="584"/>
      <c r="F34" s="514">
        <v>37143362</v>
      </c>
      <c r="G34" s="514"/>
      <c r="H34" s="514">
        <v>35042687</v>
      </c>
    </row>
    <row r="35" spans="1:12">
      <c r="A35" s="583" t="s">
        <v>697</v>
      </c>
      <c r="C35" s="583"/>
      <c r="D35" s="628">
        <f>D28/D34</f>
        <v>0.47214164539009712</v>
      </c>
      <c r="E35" s="583"/>
      <c r="F35" s="629">
        <v>0.306142736082964</v>
      </c>
      <c r="G35" s="583"/>
      <c r="H35" s="629">
        <v>0.14202860642507201</v>
      </c>
      <c r="J35" s="630"/>
      <c r="L35" s="630"/>
    </row>
    <row r="36" spans="1:12">
      <c r="D36" s="631"/>
    </row>
    <row r="37" spans="1:12" s="582" customFormat="1" ht="12">
      <c r="D37" s="631"/>
    </row>
    <row r="38" spans="1:12" s="582" customFormat="1" ht="12">
      <c r="D38" s="631"/>
      <c r="F38" s="632"/>
    </row>
    <row r="39" spans="1:12" s="582" customFormat="1" ht="12">
      <c r="D39" s="63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8"/>
  <sheetViews>
    <sheetView showGridLines="0" zoomScaleNormal="100" workbookViewId="0">
      <pane xSplit="1" ySplit="4" topLeftCell="B70" activePane="bottomRight" state="frozen"/>
      <selection pane="topRight" activeCell="B1" sqref="B1"/>
      <selection pane="bottomLeft" activeCell="A56" sqref="A56"/>
      <selection pane="bottomRight" activeCell="A79" sqref="A79"/>
    </sheetView>
  </sheetViews>
  <sheetFormatPr defaultColWidth="11.42578125" defaultRowHeight="15"/>
  <cols>
    <col min="1" max="1" width="32.85546875" style="633" customWidth="1"/>
    <col min="2" max="2" width="11.5703125" style="633" customWidth="1"/>
    <col min="3" max="3" width="1" style="633" customWidth="1"/>
    <col min="4" max="4" width="12.85546875" style="633" customWidth="1"/>
    <col min="5" max="5" width="0.7109375" style="633" customWidth="1"/>
    <col min="6" max="6" width="9.7109375" style="633" customWidth="1"/>
    <col min="7" max="7" width="0.85546875" style="633" customWidth="1"/>
    <col min="8" max="8" width="10.42578125" style="633" customWidth="1"/>
    <col min="9" max="9" width="1" style="633" customWidth="1"/>
    <col min="10" max="10" width="10.5703125" style="633" customWidth="1"/>
    <col min="11" max="11" width="1" style="633" customWidth="1"/>
    <col min="12" max="12" width="8.5703125" style="633" customWidth="1"/>
    <col min="13" max="13" width="0.7109375" style="633" customWidth="1"/>
    <col min="14" max="14" width="10.5703125" style="633" customWidth="1"/>
    <col min="15" max="15" width="0.85546875" style="633" customWidth="1"/>
    <col min="16" max="16" width="11" style="633" customWidth="1"/>
    <col min="17" max="17" width="0.7109375" style="633" customWidth="1"/>
    <col min="18" max="18" width="11.42578125" style="633"/>
    <col min="19" max="19" width="0.7109375" style="633" customWidth="1"/>
    <col min="20" max="20" width="11.7109375" style="633" customWidth="1"/>
    <col min="21" max="21" width="4.7109375" style="633" customWidth="1"/>
    <col min="22" max="22" width="3.5703125" style="633" bestFit="1" customWidth="1"/>
    <col min="23" max="1024" width="11.42578125" style="633"/>
  </cols>
  <sheetData>
    <row r="1" spans="1:20" s="635" customFormat="1" ht="12">
      <c r="A1" s="634" t="s">
        <v>390</v>
      </c>
    </row>
    <row r="2" spans="1:20" s="635" customFormat="1" ht="24">
      <c r="A2" s="636" t="s">
        <v>698</v>
      </c>
    </row>
    <row r="3" spans="1:20" s="637" customFormat="1" ht="14.25" customHeight="1">
      <c r="B3" s="638"/>
      <c r="C3" s="638"/>
      <c r="D3" s="639"/>
      <c r="E3" s="639"/>
      <c r="F3" s="639"/>
      <c r="G3" s="639"/>
      <c r="H3" s="639"/>
      <c r="I3" s="639"/>
      <c r="J3" s="639"/>
      <c r="K3" s="639"/>
      <c r="L3" s="640" t="s">
        <v>149</v>
      </c>
      <c r="M3" s="641"/>
      <c r="N3" s="641"/>
      <c r="O3" s="641"/>
      <c r="P3" s="641"/>
      <c r="Q3" s="641"/>
      <c r="R3" s="638"/>
      <c r="S3" s="638"/>
      <c r="T3" s="638"/>
    </row>
    <row r="4" spans="1:20" s="637" customFormat="1" ht="48">
      <c r="B4" s="641" t="s">
        <v>172</v>
      </c>
      <c r="C4" s="641"/>
      <c r="D4" s="641" t="s">
        <v>699</v>
      </c>
      <c r="E4" s="641"/>
      <c r="F4" s="641" t="s">
        <v>538</v>
      </c>
      <c r="G4" s="641"/>
      <c r="H4" s="641" t="s">
        <v>700</v>
      </c>
      <c r="I4" s="641"/>
      <c r="J4" s="641" t="s">
        <v>94</v>
      </c>
      <c r="K4" s="641"/>
      <c r="L4" s="641" t="s">
        <v>436</v>
      </c>
      <c r="M4" s="641"/>
      <c r="N4" s="641" t="s">
        <v>701</v>
      </c>
      <c r="O4" s="641"/>
      <c r="P4" s="641" t="s">
        <v>149</v>
      </c>
      <c r="Q4" s="641"/>
      <c r="R4" s="641" t="s">
        <v>702</v>
      </c>
      <c r="S4" s="641"/>
      <c r="T4" s="641" t="s">
        <v>259</v>
      </c>
    </row>
    <row r="5" spans="1:20" hidden="1">
      <c r="B5" s="642"/>
      <c r="C5" s="642"/>
      <c r="D5" s="642"/>
      <c r="E5" s="642"/>
      <c r="F5" s="642"/>
      <c r="G5" s="642"/>
      <c r="H5" s="642"/>
      <c r="I5" s="642"/>
      <c r="J5" s="642"/>
      <c r="K5" s="642"/>
      <c r="L5" s="642"/>
      <c r="M5" s="642"/>
      <c r="N5" s="642"/>
      <c r="O5" s="642"/>
      <c r="P5" s="642"/>
      <c r="Q5" s="642"/>
      <c r="R5" s="642"/>
      <c r="S5" s="642"/>
      <c r="T5" s="642"/>
    </row>
    <row r="6" spans="1:20" hidden="1">
      <c r="A6" s="643" t="s">
        <v>703</v>
      </c>
      <c r="B6" s="644">
        <v>23879352</v>
      </c>
      <c r="C6" s="644"/>
      <c r="D6" s="644">
        <v>705936</v>
      </c>
      <c r="E6" s="644"/>
      <c r="F6" s="644">
        <v>2640253</v>
      </c>
      <c r="G6" s="644"/>
      <c r="H6" s="644">
        <v>34797</v>
      </c>
      <c r="I6" s="644"/>
      <c r="J6" s="644">
        <v>0</v>
      </c>
      <c r="K6" s="644"/>
      <c r="L6" s="644">
        <v>227072</v>
      </c>
      <c r="M6" s="644"/>
      <c r="N6" s="644">
        <v>-3202431</v>
      </c>
      <c r="O6" s="644"/>
      <c r="P6" s="644">
        <v>34940142</v>
      </c>
      <c r="Q6" s="644"/>
      <c r="R6" s="644">
        <v>9357519</v>
      </c>
      <c r="S6" s="644"/>
      <c r="T6" s="644">
        <v>68582640</v>
      </c>
    </row>
    <row r="7" spans="1:20" hidden="1">
      <c r="B7" s="645"/>
      <c r="C7" s="645"/>
      <c r="D7" s="645"/>
      <c r="E7" s="645"/>
      <c r="F7" s="645"/>
      <c r="G7" s="645"/>
      <c r="H7" s="645"/>
      <c r="I7" s="645"/>
      <c r="J7" s="645"/>
      <c r="K7" s="645"/>
      <c r="L7" s="645"/>
      <c r="M7" s="645"/>
      <c r="N7" s="645"/>
      <c r="O7" s="645"/>
      <c r="P7" s="645"/>
      <c r="Q7" s="645"/>
      <c r="R7" s="645"/>
      <c r="S7" s="645"/>
      <c r="T7" s="645"/>
    </row>
    <row r="8" spans="1:20" ht="24.75" hidden="1">
      <c r="A8" s="643" t="s">
        <v>704</v>
      </c>
      <c r="B8" s="644"/>
      <c r="C8" s="644"/>
      <c r="D8" s="644"/>
      <c r="E8" s="644"/>
      <c r="F8" s="644"/>
      <c r="G8" s="644"/>
      <c r="H8" s="644"/>
      <c r="I8" s="644"/>
      <c r="J8" s="644"/>
      <c r="K8" s="644"/>
      <c r="L8" s="644"/>
      <c r="M8" s="644"/>
      <c r="N8" s="644"/>
      <c r="O8" s="644"/>
      <c r="P8" s="644">
        <v>-2936828</v>
      </c>
      <c r="Q8" s="644"/>
      <c r="R8" s="644">
        <v>0</v>
      </c>
      <c r="S8" s="644"/>
      <c r="T8" s="644">
        <v>-2936828</v>
      </c>
    </row>
    <row r="9" spans="1:20" hidden="1">
      <c r="B9" s="645"/>
      <c r="C9" s="645"/>
      <c r="D9" s="645"/>
      <c r="E9" s="645"/>
      <c r="F9" s="645"/>
      <c r="G9" s="645"/>
      <c r="H9" s="645"/>
      <c r="I9" s="645"/>
      <c r="J9" s="645"/>
      <c r="K9" s="645"/>
      <c r="L9" s="645"/>
      <c r="M9" s="645"/>
      <c r="N9" s="645"/>
      <c r="O9" s="645"/>
      <c r="P9" s="645"/>
      <c r="Q9" s="645"/>
      <c r="R9" s="645"/>
      <c r="S9" s="645"/>
      <c r="T9" s="645"/>
    </row>
    <row r="10" spans="1:20" hidden="1">
      <c r="B10" s="645"/>
      <c r="C10" s="645"/>
      <c r="D10" s="645"/>
      <c r="E10" s="645"/>
      <c r="F10" s="645"/>
      <c r="G10" s="645"/>
      <c r="H10" s="645"/>
      <c r="I10" s="645"/>
      <c r="J10" s="645"/>
      <c r="K10" s="645"/>
      <c r="L10" s="645"/>
      <c r="M10" s="645"/>
      <c r="N10" s="645"/>
      <c r="O10" s="645"/>
      <c r="P10" s="645"/>
      <c r="Q10" s="645"/>
      <c r="R10" s="645"/>
      <c r="S10" s="645"/>
      <c r="T10" s="645"/>
    </row>
    <row r="11" spans="1:20" ht="24.75" hidden="1">
      <c r="A11" s="643" t="s">
        <v>705</v>
      </c>
      <c r="B11" s="644">
        <v>23879352</v>
      </c>
      <c r="C11" s="644"/>
      <c r="D11" s="644">
        <v>705936</v>
      </c>
      <c r="E11" s="644"/>
      <c r="F11" s="644">
        <v>2640253</v>
      </c>
      <c r="G11" s="644"/>
      <c r="H11" s="644">
        <v>34797</v>
      </c>
      <c r="I11" s="644"/>
      <c r="J11" s="644">
        <v>0</v>
      </c>
      <c r="K11" s="644"/>
      <c r="L11" s="644">
        <v>227072</v>
      </c>
      <c r="M11" s="644"/>
      <c r="N11" s="644">
        <v>-3202431</v>
      </c>
      <c r="O11" s="644"/>
      <c r="P11" s="644">
        <v>32003314</v>
      </c>
      <c r="Q11" s="644"/>
      <c r="R11" s="644">
        <v>9357519</v>
      </c>
      <c r="S11" s="644"/>
      <c r="T11" s="644">
        <v>65645812</v>
      </c>
    </row>
    <row r="12" spans="1:20" hidden="1">
      <c r="B12" s="645"/>
      <c r="C12" s="645"/>
      <c r="D12" s="645"/>
      <c r="E12" s="645"/>
      <c r="F12" s="645"/>
      <c r="G12" s="645"/>
      <c r="H12" s="645"/>
      <c r="I12" s="645"/>
      <c r="J12" s="645"/>
      <c r="K12" s="645"/>
      <c r="L12" s="645"/>
      <c r="M12" s="645"/>
      <c r="N12" s="645"/>
      <c r="O12" s="645"/>
      <c r="P12" s="645"/>
      <c r="Q12" s="645"/>
      <c r="R12" s="645"/>
      <c r="S12" s="645"/>
      <c r="T12" s="645"/>
    </row>
    <row r="13" spans="1:20" hidden="1">
      <c r="A13" s="643" t="s">
        <v>706</v>
      </c>
      <c r="B13" s="645"/>
      <c r="C13" s="645"/>
      <c r="D13" s="645"/>
      <c r="E13" s="645"/>
      <c r="F13" s="645"/>
      <c r="G13" s="645"/>
      <c r="H13" s="645"/>
      <c r="I13" s="645"/>
      <c r="J13" s="645"/>
      <c r="K13" s="645"/>
      <c r="L13" s="645"/>
      <c r="M13" s="645"/>
      <c r="N13" s="645"/>
      <c r="O13" s="645"/>
      <c r="P13" s="645"/>
      <c r="Q13" s="645"/>
      <c r="R13" s="644">
        <v>1412099</v>
      </c>
      <c r="S13" s="644"/>
      <c r="T13" s="644">
        <v>1412099</v>
      </c>
    </row>
    <row r="14" spans="1:20" hidden="1">
      <c r="B14" s="645"/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5"/>
      <c r="N14" s="645"/>
      <c r="O14" s="645"/>
      <c r="P14" s="645"/>
      <c r="Q14" s="645"/>
      <c r="R14" s="645"/>
      <c r="S14" s="645"/>
      <c r="T14" s="645"/>
    </row>
    <row r="15" spans="1:20" ht="36.75" hidden="1">
      <c r="A15" s="643" t="s">
        <v>707</v>
      </c>
      <c r="B15" s="644"/>
      <c r="C15" s="644"/>
      <c r="D15" s="644"/>
      <c r="E15" s="644"/>
      <c r="F15" s="644">
        <v>1341885</v>
      </c>
      <c r="G15" s="644"/>
      <c r="H15" s="644"/>
      <c r="I15" s="644"/>
      <c r="J15" s="644"/>
      <c r="K15" s="644"/>
      <c r="L15" s="644"/>
      <c r="M15" s="644"/>
      <c r="N15" s="644"/>
      <c r="O15" s="644"/>
      <c r="P15" s="644">
        <v>-1341885</v>
      </c>
      <c r="Q15" s="644"/>
      <c r="R15" s="644"/>
      <c r="S15" s="644"/>
      <c r="T15" s="644">
        <v>0</v>
      </c>
    </row>
    <row r="16" spans="1:20" hidden="1">
      <c r="B16" s="645"/>
      <c r="C16" s="645"/>
      <c r="D16" s="645"/>
      <c r="E16" s="645"/>
      <c r="F16" s="645"/>
      <c r="G16" s="645"/>
      <c r="H16" s="645"/>
      <c r="I16" s="645"/>
      <c r="J16" s="645"/>
      <c r="K16" s="645"/>
      <c r="L16" s="645"/>
      <c r="M16" s="645"/>
      <c r="N16" s="645"/>
      <c r="O16" s="645"/>
      <c r="P16" s="645"/>
      <c r="Q16" s="645"/>
      <c r="R16" s="645"/>
      <c r="S16" s="645"/>
      <c r="T16" s="645"/>
    </row>
    <row r="17" spans="1:21" ht="24.75" hidden="1">
      <c r="A17" s="643" t="s">
        <v>708</v>
      </c>
      <c r="B17" s="646"/>
      <c r="C17" s="646"/>
      <c r="D17" s="644"/>
      <c r="E17" s="644"/>
      <c r="F17" s="644"/>
      <c r="G17" s="644"/>
      <c r="H17" s="644"/>
      <c r="I17" s="644"/>
      <c r="J17" s="644">
        <v>-495802</v>
      </c>
      <c r="K17" s="644"/>
      <c r="L17" s="644"/>
      <c r="M17" s="644"/>
      <c r="N17" s="644"/>
      <c r="O17" s="644"/>
      <c r="P17" s="644">
        <v>7742390</v>
      </c>
      <c r="Q17" s="644"/>
      <c r="R17" s="644">
        <v>391648</v>
      </c>
      <c r="S17" s="644"/>
      <c r="T17" s="644">
        <v>7638236</v>
      </c>
    </row>
    <row r="18" spans="1:21" hidden="1">
      <c r="B18" s="645"/>
      <c r="C18" s="645"/>
      <c r="D18" s="645"/>
      <c r="E18" s="645"/>
      <c r="F18" s="645"/>
      <c r="G18" s="645"/>
      <c r="H18" s="645"/>
      <c r="I18" s="645"/>
      <c r="J18" s="645"/>
      <c r="K18" s="645"/>
      <c r="L18" s="645"/>
      <c r="M18" s="645"/>
      <c r="N18" s="645"/>
      <c r="O18" s="645"/>
      <c r="P18" s="645"/>
      <c r="Q18" s="645"/>
      <c r="R18" s="645"/>
      <c r="S18" s="645"/>
      <c r="T18" s="645"/>
    </row>
    <row r="19" spans="1:21" hidden="1">
      <c r="A19" s="643" t="s">
        <v>197</v>
      </c>
      <c r="B19" s="642">
        <v>23879352</v>
      </c>
      <c r="C19" s="642"/>
      <c r="D19" s="642">
        <v>705936</v>
      </c>
      <c r="E19" s="642"/>
      <c r="F19" s="642">
        <v>3982138</v>
      </c>
      <c r="G19" s="642"/>
      <c r="H19" s="642">
        <v>34797</v>
      </c>
      <c r="I19" s="642"/>
      <c r="J19" s="644">
        <v>-495802</v>
      </c>
      <c r="K19" s="644"/>
      <c r="L19" s="642">
        <v>227072</v>
      </c>
      <c r="M19" s="642"/>
      <c r="N19" s="644">
        <v>-3202431</v>
      </c>
      <c r="O19" s="644"/>
      <c r="P19" s="642">
        <v>38403819</v>
      </c>
      <c r="Q19" s="642"/>
      <c r="R19" s="642">
        <v>11161266</v>
      </c>
      <c r="S19" s="642"/>
      <c r="T19" s="642">
        <v>74696147</v>
      </c>
      <c r="U19" s="647"/>
    </row>
    <row r="20" spans="1:21" hidden="1">
      <c r="A20" s="648"/>
      <c r="B20" s="648"/>
      <c r="C20" s="648"/>
      <c r="D20" s="648"/>
      <c r="E20" s="648"/>
      <c r="F20" s="648"/>
      <c r="G20" s="648"/>
      <c r="H20" s="648"/>
      <c r="I20" s="648"/>
      <c r="J20" s="648"/>
      <c r="K20" s="648"/>
      <c r="L20" s="648"/>
      <c r="M20" s="648"/>
      <c r="N20" s="648"/>
      <c r="O20" s="648"/>
      <c r="P20" s="648"/>
      <c r="Q20" s="648"/>
      <c r="R20" s="648"/>
      <c r="S20" s="648"/>
      <c r="T20" s="648"/>
    </row>
    <row r="21" spans="1:21" ht="36" hidden="1">
      <c r="A21" s="649" t="s">
        <v>709</v>
      </c>
      <c r="B21" s="644">
        <v>6127345</v>
      </c>
      <c r="C21" s="644"/>
      <c r="D21" s="650"/>
      <c r="E21" s="650"/>
      <c r="F21" s="650"/>
      <c r="G21" s="650"/>
      <c r="H21" s="650"/>
      <c r="I21" s="650"/>
      <c r="J21" s="650"/>
      <c r="K21" s="650"/>
      <c r="L21" s="650"/>
      <c r="M21" s="650"/>
      <c r="N21" s="650"/>
      <c r="O21" s="650"/>
      <c r="P21" s="650">
        <v>-6127345</v>
      </c>
      <c r="Q21" s="650"/>
      <c r="R21" s="650">
        <v>0</v>
      </c>
      <c r="S21" s="650"/>
      <c r="T21" s="650">
        <v>0</v>
      </c>
    </row>
    <row r="22" spans="1:21" hidden="1">
      <c r="A22" s="648"/>
      <c r="B22" s="648"/>
      <c r="C22" s="648"/>
      <c r="D22" s="648"/>
      <c r="E22" s="648"/>
      <c r="F22" s="648"/>
      <c r="G22" s="648"/>
      <c r="H22" s="648"/>
      <c r="I22" s="648"/>
      <c r="J22" s="648"/>
      <c r="K22" s="648"/>
      <c r="L22" s="648"/>
      <c r="M22" s="648"/>
      <c r="N22" s="648"/>
      <c r="O22" s="648"/>
      <c r="P22" s="648"/>
      <c r="Q22" s="648"/>
      <c r="R22" s="648"/>
      <c r="S22" s="648"/>
      <c r="T22" s="648"/>
    </row>
    <row r="23" spans="1:21" hidden="1">
      <c r="A23" s="643" t="s">
        <v>710</v>
      </c>
      <c r="B23" s="646"/>
      <c r="C23" s="646"/>
      <c r="D23" s="644"/>
      <c r="E23" s="644"/>
      <c r="F23" s="644">
        <v>680816</v>
      </c>
      <c r="G23" s="644"/>
      <c r="H23" s="644"/>
      <c r="I23" s="644"/>
      <c r="J23" s="644"/>
      <c r="K23" s="644"/>
      <c r="L23" s="644"/>
      <c r="M23" s="644"/>
      <c r="N23" s="644"/>
      <c r="O23" s="644"/>
      <c r="P23" s="644">
        <v>-680816</v>
      </c>
      <c r="Q23" s="644"/>
      <c r="R23" s="644">
        <v>0</v>
      </c>
      <c r="S23" s="644"/>
      <c r="T23" s="650">
        <v>0</v>
      </c>
    </row>
    <row r="24" spans="1:21" hidden="1">
      <c r="B24" s="644"/>
      <c r="C24" s="644"/>
      <c r="D24" s="644"/>
      <c r="E24" s="644"/>
      <c r="F24" s="646"/>
      <c r="G24" s="646"/>
      <c r="H24" s="646"/>
      <c r="I24" s="646"/>
      <c r="J24" s="646"/>
      <c r="K24" s="646"/>
      <c r="L24" s="646"/>
      <c r="M24" s="646"/>
      <c r="N24" s="646"/>
      <c r="O24" s="646"/>
      <c r="P24" s="646"/>
      <c r="Q24" s="646"/>
      <c r="R24" s="642"/>
      <c r="S24" s="642"/>
      <c r="T24" s="642"/>
    </row>
    <row r="25" spans="1:21" hidden="1">
      <c r="A25" s="643" t="s">
        <v>663</v>
      </c>
      <c r="B25" s="646"/>
      <c r="C25" s="646"/>
      <c r="D25" s="644"/>
      <c r="E25" s="644"/>
      <c r="F25" s="644"/>
      <c r="G25" s="644"/>
      <c r="H25" s="644"/>
      <c r="I25" s="644"/>
      <c r="J25" s="644"/>
      <c r="K25" s="644"/>
      <c r="L25" s="644"/>
      <c r="M25" s="644"/>
      <c r="N25" s="644"/>
      <c r="O25" s="644"/>
      <c r="P25" s="644">
        <v>446968</v>
      </c>
      <c r="Q25" s="644"/>
      <c r="R25" s="644">
        <v>0</v>
      </c>
      <c r="S25" s="644"/>
      <c r="T25" s="650">
        <v>446968</v>
      </c>
    </row>
    <row r="26" spans="1:21" hidden="1">
      <c r="B26" s="644"/>
      <c r="C26" s="644"/>
      <c r="D26" s="644"/>
      <c r="E26" s="644"/>
      <c r="F26" s="646"/>
      <c r="G26" s="646"/>
      <c r="H26" s="646"/>
      <c r="I26" s="646"/>
      <c r="J26" s="646"/>
      <c r="K26" s="646"/>
      <c r="L26" s="646"/>
      <c r="M26" s="646"/>
      <c r="N26" s="646"/>
      <c r="O26" s="646"/>
      <c r="P26" s="646"/>
      <c r="Q26" s="646"/>
      <c r="R26" s="642"/>
      <c r="S26" s="642"/>
      <c r="T26" s="642"/>
    </row>
    <row r="27" spans="1:21" ht="48" hidden="1">
      <c r="A27" s="649" t="s">
        <v>711</v>
      </c>
      <c r="B27" s="646"/>
      <c r="C27" s="646"/>
      <c r="D27" s="644">
        <v>-705015</v>
      </c>
      <c r="E27" s="644"/>
      <c r="F27" s="644"/>
      <c r="G27" s="644"/>
      <c r="H27" s="644"/>
      <c r="I27" s="644"/>
      <c r="J27" s="644"/>
      <c r="K27" s="644"/>
      <c r="L27" s="644"/>
      <c r="M27" s="644"/>
      <c r="N27" s="644"/>
      <c r="O27" s="644"/>
      <c r="P27" s="644"/>
      <c r="Q27" s="644"/>
      <c r="R27" s="644">
        <v>0</v>
      </c>
      <c r="S27" s="644"/>
      <c r="T27" s="650">
        <v>-705015</v>
      </c>
    </row>
    <row r="28" spans="1:21" hidden="1">
      <c r="A28" s="649"/>
      <c r="B28" s="644"/>
      <c r="C28" s="644"/>
      <c r="D28" s="644"/>
      <c r="E28" s="644"/>
      <c r="F28" s="646"/>
      <c r="G28" s="646"/>
      <c r="H28" s="646"/>
      <c r="I28" s="646"/>
      <c r="J28" s="646"/>
      <c r="K28" s="646"/>
      <c r="L28" s="646"/>
      <c r="M28" s="646"/>
      <c r="N28" s="646"/>
      <c r="O28" s="646"/>
      <c r="P28" s="646"/>
      <c r="Q28" s="646"/>
      <c r="R28" s="642"/>
      <c r="S28" s="642"/>
      <c r="T28" s="642"/>
    </row>
    <row r="29" spans="1:21" ht="24" hidden="1">
      <c r="A29" s="649" t="s">
        <v>708</v>
      </c>
      <c r="B29" s="644"/>
      <c r="C29" s="644"/>
      <c r="D29" s="644"/>
      <c r="E29" s="644"/>
      <c r="F29" s="644"/>
      <c r="G29" s="644"/>
      <c r="H29" s="644"/>
      <c r="I29" s="644"/>
      <c r="J29" s="644">
        <v>1849659</v>
      </c>
      <c r="K29" s="644"/>
      <c r="L29" s="644"/>
      <c r="M29" s="644"/>
      <c r="N29" s="644"/>
      <c r="O29" s="644"/>
      <c r="P29" s="644">
        <v>4597812.9952226197</v>
      </c>
      <c r="Q29" s="644"/>
      <c r="R29" s="644">
        <v>-560218.94522262504</v>
      </c>
      <c r="S29" s="644"/>
      <c r="T29" s="650">
        <v>5887253.0499999998</v>
      </c>
    </row>
    <row r="30" spans="1:21" hidden="1">
      <c r="A30" s="649"/>
      <c r="B30" s="645"/>
      <c r="C30" s="645"/>
      <c r="D30" s="645"/>
      <c r="E30" s="645"/>
      <c r="F30" s="645"/>
      <c r="G30" s="645"/>
      <c r="H30" s="645"/>
      <c r="I30" s="645"/>
      <c r="J30" s="645"/>
      <c r="K30" s="645"/>
      <c r="L30" s="645"/>
      <c r="M30" s="645"/>
      <c r="N30" s="645"/>
      <c r="O30" s="645"/>
      <c r="P30" s="645"/>
      <c r="Q30" s="645"/>
      <c r="R30" s="645"/>
      <c r="S30" s="645"/>
      <c r="T30" s="645"/>
    </row>
    <row r="31" spans="1:21" hidden="1">
      <c r="A31" s="649" t="s">
        <v>712</v>
      </c>
      <c r="B31" s="644">
        <v>30006697</v>
      </c>
      <c r="C31" s="644"/>
      <c r="D31" s="644">
        <v>921</v>
      </c>
      <c r="E31" s="644"/>
      <c r="F31" s="644">
        <v>4662954</v>
      </c>
      <c r="G31" s="644"/>
      <c r="H31" s="644">
        <v>34797</v>
      </c>
      <c r="I31" s="644"/>
      <c r="J31" s="644">
        <v>1353857</v>
      </c>
      <c r="K31" s="644"/>
      <c r="L31" s="644">
        <v>227072</v>
      </c>
      <c r="M31" s="644"/>
      <c r="N31" s="644">
        <v>-3202431</v>
      </c>
      <c r="O31" s="644"/>
      <c r="P31" s="642">
        <v>36640438.995222598</v>
      </c>
      <c r="Q31" s="642"/>
      <c r="R31" s="642">
        <v>10601047.054777401</v>
      </c>
      <c r="S31" s="642"/>
      <c r="T31" s="642">
        <v>80325353.049999997</v>
      </c>
    </row>
    <row r="32" spans="1:21" hidden="1">
      <c r="A32" s="649"/>
      <c r="B32" s="644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  <c r="N32" s="644"/>
      <c r="O32" s="644"/>
      <c r="P32" s="642"/>
      <c r="Q32" s="642"/>
      <c r="R32" s="642"/>
      <c r="S32" s="642"/>
      <c r="T32" s="642"/>
    </row>
    <row r="33" spans="1:23" hidden="1">
      <c r="A33" s="649" t="s">
        <v>713</v>
      </c>
      <c r="B33" s="651"/>
      <c r="C33" s="651"/>
      <c r="D33" s="651"/>
      <c r="E33" s="651"/>
      <c r="F33" s="651"/>
      <c r="G33" s="651"/>
      <c r="H33" s="651"/>
      <c r="I33" s="651"/>
      <c r="J33" s="651"/>
      <c r="K33" s="651"/>
      <c r="L33" s="651"/>
      <c r="M33" s="651"/>
      <c r="N33" s="651"/>
      <c r="O33" s="651"/>
      <c r="P33" s="651">
        <v>854455</v>
      </c>
      <c r="Q33" s="651"/>
      <c r="R33" s="651"/>
      <c r="S33" s="651"/>
      <c r="T33" s="651">
        <v>854455</v>
      </c>
    </row>
    <row r="34" spans="1:23" ht="3" hidden="1" customHeight="1">
      <c r="A34" s="649"/>
      <c r="B34" s="651"/>
      <c r="C34" s="651"/>
      <c r="D34" s="651"/>
      <c r="E34" s="651"/>
      <c r="F34" s="651"/>
      <c r="G34" s="651"/>
      <c r="H34" s="651"/>
      <c r="I34" s="651"/>
      <c r="J34" s="651"/>
      <c r="K34" s="651"/>
      <c r="L34" s="651"/>
      <c r="M34" s="651"/>
      <c r="N34" s="651"/>
      <c r="O34" s="651"/>
      <c r="P34" s="651"/>
      <c r="Q34" s="651"/>
      <c r="R34" s="651"/>
      <c r="S34" s="651"/>
      <c r="T34" s="651"/>
    </row>
    <row r="35" spans="1:23" ht="36" hidden="1">
      <c r="A35" s="649" t="s">
        <v>714</v>
      </c>
      <c r="B35" s="651">
        <v>5035990</v>
      </c>
      <c r="C35" s="651"/>
      <c r="D35" s="651"/>
      <c r="E35" s="651"/>
      <c r="F35" s="651"/>
      <c r="G35" s="651"/>
      <c r="H35" s="651"/>
      <c r="I35" s="651"/>
      <c r="J35" s="651"/>
      <c r="K35" s="651"/>
      <c r="L35" s="651"/>
      <c r="M35" s="651"/>
      <c r="N35" s="651"/>
      <c r="O35" s="651"/>
      <c r="P35" s="651">
        <v>-5035990</v>
      </c>
      <c r="Q35" s="651"/>
      <c r="R35" s="651"/>
      <c r="S35" s="651"/>
      <c r="T35" s="651">
        <v>0</v>
      </c>
    </row>
    <row r="36" spans="1:23" ht="3" hidden="1" customHeight="1">
      <c r="A36" s="649"/>
      <c r="B36" s="651"/>
      <c r="C36" s="651"/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51"/>
      <c r="P36" s="651"/>
      <c r="Q36" s="651"/>
      <c r="R36" s="651"/>
      <c r="S36" s="651"/>
      <c r="T36" s="651"/>
    </row>
    <row r="37" spans="1:23" ht="24" hidden="1">
      <c r="A37" s="649" t="s">
        <v>715</v>
      </c>
      <c r="B37" s="651"/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1"/>
      <c r="P37" s="651"/>
      <c r="Q37" s="651"/>
      <c r="R37" s="651">
        <v>-1560840</v>
      </c>
      <c r="S37" s="651"/>
      <c r="T37" s="651">
        <v>-1560840</v>
      </c>
    </row>
    <row r="38" spans="1:23" ht="3" hidden="1" customHeight="1">
      <c r="A38" s="649"/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</row>
    <row r="39" spans="1:23" hidden="1">
      <c r="A39" s="649" t="s">
        <v>710</v>
      </c>
      <c r="B39" s="651"/>
      <c r="C39" s="651"/>
      <c r="D39" s="651"/>
      <c r="E39" s="651"/>
      <c r="F39" s="651">
        <v>559554.56000000006</v>
      </c>
      <c r="G39" s="651"/>
      <c r="H39" s="651"/>
      <c r="I39" s="651"/>
      <c r="J39" s="651"/>
      <c r="K39" s="651"/>
      <c r="L39" s="651"/>
      <c r="M39" s="651"/>
      <c r="N39" s="651"/>
      <c r="O39" s="651"/>
      <c r="P39" s="651">
        <v>-559554.56000000006</v>
      </c>
      <c r="Q39" s="651"/>
      <c r="R39" s="651"/>
      <c r="S39" s="651"/>
      <c r="T39" s="651">
        <v>0</v>
      </c>
    </row>
    <row r="40" spans="1:23" ht="3" hidden="1" customHeight="1">
      <c r="A40" s="649"/>
      <c r="B40" s="651"/>
      <c r="C40" s="651"/>
      <c r="D40" s="651"/>
      <c r="E40" s="651"/>
      <c r="F40" s="651"/>
      <c r="G40" s="651"/>
      <c r="H40" s="651"/>
      <c r="I40" s="651"/>
      <c r="J40" s="651"/>
      <c r="K40" s="651"/>
      <c r="L40" s="651"/>
      <c r="M40" s="651"/>
      <c r="N40" s="651"/>
      <c r="O40" s="651"/>
      <c r="P40" s="651"/>
      <c r="Q40" s="651"/>
      <c r="R40" s="651"/>
      <c r="S40" s="651"/>
      <c r="T40" s="651"/>
    </row>
    <row r="41" spans="1:23" ht="36" hidden="1">
      <c r="A41" s="649" t="s">
        <v>716</v>
      </c>
      <c r="B41" s="651"/>
      <c r="C41" s="651"/>
      <c r="D41" s="651"/>
      <c r="E41" s="651"/>
      <c r="F41" s="651"/>
      <c r="G41" s="651"/>
      <c r="H41" s="651"/>
      <c r="I41" s="651"/>
      <c r="J41" s="651"/>
      <c r="K41" s="651"/>
      <c r="L41" s="651"/>
      <c r="M41" s="651"/>
      <c r="N41" s="651"/>
      <c r="O41" s="651"/>
      <c r="P41" s="651">
        <v>-1644668.365</v>
      </c>
      <c r="Q41" s="651"/>
      <c r="R41" s="651">
        <v>-341647.63500000001</v>
      </c>
      <c r="S41" s="651"/>
      <c r="T41" s="651">
        <v>-1986316</v>
      </c>
    </row>
    <row r="42" spans="1:23" ht="3" hidden="1" customHeight="1">
      <c r="A42" s="649"/>
      <c r="B42" s="651"/>
      <c r="C42" s="651"/>
      <c r="D42" s="651"/>
      <c r="E42" s="651"/>
      <c r="F42" s="651"/>
      <c r="G42" s="651"/>
      <c r="H42" s="651"/>
      <c r="I42" s="651"/>
      <c r="J42" s="651"/>
      <c r="K42" s="651"/>
      <c r="L42" s="651"/>
      <c r="M42" s="651"/>
      <c r="N42" s="651"/>
      <c r="O42" s="651"/>
      <c r="P42" s="651"/>
      <c r="Q42" s="651"/>
      <c r="R42" s="651"/>
      <c r="S42" s="651"/>
      <c r="T42" s="651"/>
    </row>
    <row r="43" spans="1:23" hidden="1">
      <c r="A43" s="649" t="s">
        <v>717</v>
      </c>
      <c r="B43" s="651"/>
      <c r="C43" s="651"/>
      <c r="D43" s="651"/>
      <c r="E43" s="651"/>
      <c r="F43" s="651"/>
      <c r="G43" s="651"/>
      <c r="H43" s="651"/>
      <c r="I43" s="651"/>
      <c r="J43" s="651"/>
      <c r="K43" s="651"/>
      <c r="L43" s="651"/>
      <c r="M43" s="651"/>
      <c r="N43" s="651"/>
      <c r="O43" s="651"/>
      <c r="P43" s="651">
        <v>368434</v>
      </c>
      <c r="Q43" s="651"/>
      <c r="R43" s="651"/>
      <c r="S43" s="651"/>
      <c r="T43" s="651">
        <v>368434</v>
      </c>
    </row>
    <row r="44" spans="1:23" ht="3" hidden="1" customHeight="1">
      <c r="A44" s="649"/>
      <c r="B44" s="651"/>
      <c r="C44" s="651"/>
      <c r="D44" s="651"/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1"/>
      <c r="P44" s="651"/>
      <c r="Q44" s="651"/>
      <c r="R44" s="651"/>
      <c r="S44" s="651"/>
      <c r="T44" s="651"/>
    </row>
    <row r="45" spans="1:23" ht="24" hidden="1">
      <c r="A45" s="649" t="s">
        <v>708</v>
      </c>
      <c r="B45" s="651"/>
      <c r="C45" s="651"/>
      <c r="D45" s="651"/>
      <c r="E45" s="651"/>
      <c r="F45" s="651"/>
      <c r="G45" s="651"/>
      <c r="H45" s="651"/>
      <c r="I45" s="651"/>
      <c r="J45" s="651">
        <v>70086</v>
      </c>
      <c r="K45" s="651"/>
      <c r="L45" s="651"/>
      <c r="M45" s="651"/>
      <c r="N45" s="651"/>
      <c r="O45" s="651"/>
      <c r="P45" s="651">
        <v>5932145</v>
      </c>
      <c r="Q45" s="651"/>
      <c r="R45" s="651">
        <v>-1025167</v>
      </c>
      <c r="S45" s="651"/>
      <c r="T45" s="651">
        <v>4977064</v>
      </c>
    </row>
    <row r="46" spans="1:23" hidden="1">
      <c r="A46" s="649"/>
      <c r="B46" s="651"/>
      <c r="C46" s="651"/>
      <c r="D46" s="651"/>
      <c r="E46" s="651"/>
      <c r="F46" s="651"/>
      <c r="G46" s="651"/>
      <c r="H46" s="651"/>
      <c r="I46" s="651"/>
      <c r="J46" s="651"/>
      <c r="K46" s="651"/>
      <c r="L46" s="651"/>
      <c r="M46" s="651"/>
      <c r="N46" s="651"/>
      <c r="O46" s="651"/>
      <c r="P46" s="651"/>
      <c r="Q46" s="651"/>
      <c r="R46" s="651"/>
      <c r="S46" s="651"/>
      <c r="T46" s="651"/>
    </row>
    <row r="47" spans="1:23">
      <c r="A47" s="649" t="s">
        <v>718</v>
      </c>
      <c r="B47" s="652">
        <v>35042687</v>
      </c>
      <c r="C47" s="653"/>
      <c r="D47" s="652">
        <v>921</v>
      </c>
      <c r="E47" s="653"/>
      <c r="F47" s="652">
        <v>5222508.5599999996</v>
      </c>
      <c r="G47" s="653"/>
      <c r="H47" s="652">
        <v>34797</v>
      </c>
      <c r="I47" s="653"/>
      <c r="J47" s="652">
        <v>1423943</v>
      </c>
      <c r="K47" s="653"/>
      <c r="L47" s="652">
        <v>227072</v>
      </c>
      <c r="M47" s="653"/>
      <c r="N47" s="652">
        <v>-3202431</v>
      </c>
      <c r="O47" s="653"/>
      <c r="P47" s="652">
        <v>36555260.070222601</v>
      </c>
      <c r="Q47" s="653"/>
      <c r="R47" s="652">
        <v>7673392.4197773803</v>
      </c>
      <c r="S47" s="653"/>
      <c r="T47" s="652">
        <v>82978150.049999997</v>
      </c>
      <c r="U47" s="643"/>
      <c r="V47" s="643"/>
      <c r="W47" s="643"/>
    </row>
    <row r="48" spans="1:23">
      <c r="B48" s="645"/>
      <c r="C48" s="645"/>
      <c r="D48" s="645"/>
      <c r="E48" s="645"/>
      <c r="F48" s="645"/>
      <c r="G48" s="645"/>
      <c r="H48" s="645"/>
      <c r="I48" s="645"/>
      <c r="J48" s="654"/>
      <c r="K48" s="654"/>
      <c r="L48" s="654"/>
      <c r="M48" s="654"/>
      <c r="N48" s="654"/>
      <c r="O48" s="654"/>
      <c r="P48" s="654"/>
      <c r="Q48" s="654"/>
      <c r="R48" s="654"/>
      <c r="S48" s="654"/>
      <c r="T48" s="654"/>
    </row>
    <row r="49" spans="1:21">
      <c r="A49" s="633" t="s">
        <v>719</v>
      </c>
      <c r="B49" s="645"/>
      <c r="C49" s="645"/>
      <c r="D49" s="645"/>
      <c r="E49" s="645"/>
      <c r="F49" s="645"/>
      <c r="G49" s="645"/>
      <c r="H49" s="645"/>
      <c r="I49" s="645"/>
      <c r="J49" s="654"/>
      <c r="K49" s="654"/>
      <c r="L49" s="654"/>
      <c r="M49" s="654"/>
      <c r="N49" s="654"/>
      <c r="O49" s="654"/>
      <c r="P49" s="655">
        <v>-1770198</v>
      </c>
      <c r="Q49" s="655"/>
      <c r="R49" s="654"/>
      <c r="S49" s="654"/>
      <c r="T49" s="656">
        <v>-1770198</v>
      </c>
    </row>
    <row r="50" spans="1:21" ht="3" customHeight="1">
      <c r="B50" s="645"/>
      <c r="C50" s="645"/>
      <c r="D50" s="645"/>
      <c r="E50" s="645"/>
      <c r="F50" s="645"/>
      <c r="G50" s="645"/>
      <c r="H50" s="645"/>
      <c r="I50" s="645"/>
      <c r="J50" s="654"/>
      <c r="K50" s="654"/>
      <c r="L50" s="654"/>
      <c r="M50" s="654"/>
      <c r="N50" s="654"/>
      <c r="O50" s="654"/>
      <c r="P50" s="655"/>
      <c r="Q50" s="655"/>
      <c r="R50" s="654"/>
      <c r="S50" s="654"/>
      <c r="T50" s="656"/>
    </row>
    <row r="51" spans="1:21" ht="36">
      <c r="A51" s="649" t="s">
        <v>720</v>
      </c>
      <c r="B51" s="651">
        <v>8215675</v>
      </c>
      <c r="C51" s="651"/>
      <c r="D51" s="651"/>
      <c r="E51" s="651"/>
      <c r="F51" s="651"/>
      <c r="G51" s="651"/>
      <c r="H51" s="651"/>
      <c r="I51" s="651"/>
      <c r="J51" s="656"/>
      <c r="K51" s="656"/>
      <c r="L51" s="656"/>
      <c r="M51" s="656"/>
      <c r="N51" s="656"/>
      <c r="O51" s="656"/>
      <c r="P51" s="656">
        <v>-8215675</v>
      </c>
      <c r="Q51" s="656"/>
      <c r="R51" s="656"/>
      <c r="S51" s="656"/>
      <c r="T51" s="656">
        <v>0</v>
      </c>
    </row>
    <row r="52" spans="1:21" ht="3" customHeight="1">
      <c r="A52" s="649"/>
      <c r="B52" s="651"/>
      <c r="C52" s="651"/>
      <c r="D52" s="651"/>
      <c r="E52" s="651"/>
      <c r="F52" s="651"/>
      <c r="G52" s="651"/>
      <c r="H52" s="651"/>
      <c r="I52" s="651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</row>
    <row r="53" spans="1:21">
      <c r="A53" s="649" t="s">
        <v>721</v>
      </c>
      <c r="B53" s="651"/>
      <c r="C53" s="651"/>
      <c r="D53" s="645"/>
      <c r="E53" s="645"/>
      <c r="F53" s="651"/>
      <c r="G53" s="651"/>
      <c r="H53" s="651"/>
      <c r="I53" s="651"/>
      <c r="J53" s="656"/>
      <c r="K53" s="656"/>
      <c r="L53" s="656"/>
      <c r="M53" s="656"/>
      <c r="N53" s="656"/>
      <c r="O53" s="656"/>
      <c r="P53" s="656"/>
      <c r="Q53" s="656"/>
      <c r="R53" s="656">
        <v>1188714</v>
      </c>
      <c r="S53" s="656"/>
      <c r="T53" s="656">
        <v>1188714</v>
      </c>
      <c r="U53" s="657"/>
    </row>
    <row r="54" spans="1:21" ht="3" customHeight="1">
      <c r="A54" s="649"/>
      <c r="B54" s="651"/>
      <c r="C54" s="651"/>
      <c r="D54" s="645"/>
      <c r="E54" s="645"/>
      <c r="F54" s="651"/>
      <c r="G54" s="651"/>
      <c r="H54" s="651"/>
      <c r="I54" s="651"/>
      <c r="J54" s="656"/>
      <c r="K54" s="656"/>
      <c r="L54" s="656"/>
      <c r="M54" s="656"/>
      <c r="N54" s="656"/>
      <c r="O54" s="656"/>
      <c r="P54" s="656"/>
      <c r="Q54" s="656"/>
      <c r="R54" s="656"/>
      <c r="S54" s="656"/>
      <c r="T54" s="656"/>
      <c r="U54" s="657"/>
    </row>
    <row r="55" spans="1:21" ht="24">
      <c r="A55" s="649" t="s">
        <v>722</v>
      </c>
      <c r="B55" s="651">
        <v>-6115000</v>
      </c>
      <c r="C55" s="651"/>
      <c r="D55" s="651">
        <v>6115000</v>
      </c>
      <c r="E55" s="651"/>
      <c r="F55" s="651"/>
      <c r="G55" s="651"/>
      <c r="H55" s="651"/>
      <c r="I55" s="651"/>
      <c r="J55" s="656"/>
      <c r="K55" s="656"/>
      <c r="L55" s="656"/>
      <c r="M55" s="656"/>
      <c r="N55" s="656"/>
      <c r="O55" s="656"/>
      <c r="P55" s="656"/>
      <c r="Q55" s="656"/>
      <c r="S55" s="656"/>
      <c r="T55" s="656">
        <v>0</v>
      </c>
    </row>
    <row r="56" spans="1:21" ht="3" customHeight="1">
      <c r="A56" s="649"/>
      <c r="B56" s="651"/>
      <c r="C56" s="651"/>
      <c r="D56" s="651"/>
      <c r="E56" s="651"/>
      <c r="F56" s="651"/>
      <c r="G56" s="651"/>
      <c r="H56" s="651"/>
      <c r="I56" s="651"/>
      <c r="J56" s="656"/>
      <c r="K56" s="656"/>
      <c r="L56" s="656"/>
      <c r="M56" s="656"/>
      <c r="N56" s="656"/>
      <c r="O56" s="656"/>
      <c r="P56" s="656"/>
      <c r="Q56" s="656"/>
      <c r="R56" s="656"/>
      <c r="S56" s="656"/>
      <c r="T56" s="656"/>
    </row>
    <row r="57" spans="1:21" ht="24">
      <c r="A57" s="649" t="s">
        <v>723</v>
      </c>
      <c r="B57" s="645"/>
      <c r="C57" s="645"/>
      <c r="D57" s="651"/>
      <c r="E57" s="651"/>
      <c r="F57" s="651"/>
      <c r="G57" s="651"/>
      <c r="H57" s="651"/>
      <c r="I57" s="651"/>
      <c r="J57" s="656"/>
      <c r="K57" s="656"/>
      <c r="L57" s="656"/>
      <c r="M57" s="656"/>
      <c r="N57" s="656"/>
      <c r="O57" s="656"/>
      <c r="P57" s="656"/>
      <c r="Q57" s="656"/>
      <c r="R57" s="656"/>
      <c r="S57" s="656"/>
      <c r="T57" s="656"/>
    </row>
    <row r="58" spans="1:21" ht="3" customHeight="1">
      <c r="A58" s="649"/>
      <c r="B58" s="645"/>
      <c r="C58" s="645"/>
      <c r="D58" s="651"/>
      <c r="E58" s="651"/>
      <c r="F58" s="651"/>
      <c r="G58" s="651"/>
      <c r="H58" s="651"/>
      <c r="I58" s="651"/>
      <c r="J58" s="656"/>
      <c r="K58" s="656"/>
      <c r="L58" s="656"/>
      <c r="M58" s="656"/>
      <c r="N58" s="656"/>
      <c r="O58" s="656"/>
      <c r="P58" s="656"/>
      <c r="Q58" s="656"/>
      <c r="R58" s="656"/>
      <c r="S58" s="656"/>
      <c r="T58" s="656"/>
    </row>
    <row r="59" spans="1:21">
      <c r="A59" s="649" t="s">
        <v>724</v>
      </c>
      <c r="B59" s="645"/>
      <c r="C59" s="645"/>
      <c r="D59" s="651"/>
      <c r="E59" s="651"/>
      <c r="F59" s="651"/>
      <c r="G59" s="651"/>
      <c r="H59" s="651"/>
      <c r="I59" s="651"/>
      <c r="J59" s="656"/>
      <c r="K59" s="656"/>
      <c r="L59" s="656"/>
      <c r="M59" s="656"/>
      <c r="N59" s="656"/>
      <c r="O59" s="656"/>
      <c r="P59" s="656">
        <v>-5488035</v>
      </c>
      <c r="Q59" s="656"/>
      <c r="R59" s="656"/>
      <c r="S59" s="656"/>
      <c r="T59" s="656">
        <v>-5488035</v>
      </c>
    </row>
    <row r="60" spans="1:21" ht="3" customHeight="1">
      <c r="A60" s="649"/>
      <c r="B60" s="645"/>
      <c r="C60" s="645"/>
      <c r="D60" s="651"/>
      <c r="E60" s="651"/>
      <c r="F60" s="651"/>
      <c r="G60" s="651"/>
      <c r="H60" s="651"/>
      <c r="I60" s="651"/>
      <c r="J60" s="656"/>
      <c r="K60" s="656"/>
      <c r="L60" s="656"/>
      <c r="M60" s="656"/>
      <c r="N60" s="656"/>
      <c r="O60" s="656"/>
      <c r="P60" s="656"/>
      <c r="Q60" s="656"/>
      <c r="R60" s="656"/>
      <c r="S60" s="656"/>
      <c r="T60" s="656"/>
    </row>
    <row r="61" spans="1:21">
      <c r="A61" s="649" t="s">
        <v>725</v>
      </c>
      <c r="B61" s="651"/>
      <c r="C61" s="651"/>
      <c r="D61" s="651"/>
      <c r="E61" s="651"/>
      <c r="F61" s="651">
        <v>912853</v>
      </c>
      <c r="G61" s="651"/>
      <c r="H61" s="651"/>
      <c r="I61" s="651"/>
      <c r="J61" s="656"/>
      <c r="K61" s="656"/>
      <c r="L61" s="656"/>
      <c r="M61" s="656"/>
      <c r="N61" s="656"/>
      <c r="O61" s="656"/>
      <c r="P61" s="656">
        <v>-912853</v>
      </c>
      <c r="Q61" s="656"/>
      <c r="R61" s="656"/>
      <c r="S61" s="656"/>
      <c r="T61" s="656">
        <v>0</v>
      </c>
    </row>
    <row r="62" spans="1:21" ht="3" customHeight="1">
      <c r="A62" s="649"/>
      <c r="B62" s="651"/>
      <c r="C62" s="651"/>
      <c r="D62" s="651"/>
      <c r="E62" s="651"/>
      <c r="F62" s="651"/>
      <c r="G62" s="651"/>
      <c r="H62" s="651"/>
      <c r="I62" s="651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</row>
    <row r="63" spans="1:21" ht="24">
      <c r="A63" s="649" t="s">
        <v>726</v>
      </c>
      <c r="B63" s="651">
        <v>0</v>
      </c>
      <c r="C63" s="651"/>
      <c r="D63" s="651"/>
      <c r="E63" s="651"/>
      <c r="F63" s="656">
        <v>0</v>
      </c>
      <c r="G63" s="656"/>
      <c r="H63" s="656"/>
      <c r="I63" s="656"/>
      <c r="J63" s="656"/>
      <c r="K63" s="656"/>
      <c r="L63" s="656">
        <v>0</v>
      </c>
      <c r="M63" s="656"/>
      <c r="N63" s="656"/>
      <c r="O63" s="656"/>
      <c r="P63" s="656">
        <v>221095</v>
      </c>
      <c r="Q63" s="656"/>
      <c r="R63" s="656">
        <v>0</v>
      </c>
      <c r="S63" s="656"/>
      <c r="T63" s="656">
        <v>221095</v>
      </c>
    </row>
    <row r="64" spans="1:21" ht="3" customHeight="1">
      <c r="A64" s="649"/>
      <c r="B64" s="651"/>
      <c r="C64" s="651"/>
      <c r="D64" s="651"/>
      <c r="E64" s="651"/>
      <c r="F64" s="656"/>
      <c r="G64" s="65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</row>
    <row r="65" spans="1:23" ht="24">
      <c r="A65" s="649" t="s">
        <v>708</v>
      </c>
      <c r="B65" s="651"/>
      <c r="C65" s="651"/>
      <c r="D65" s="651"/>
      <c r="E65" s="651"/>
      <c r="F65" s="656"/>
      <c r="G65" s="656"/>
      <c r="H65" s="656"/>
      <c r="I65" s="656"/>
      <c r="J65" s="656">
        <v>-1099700</v>
      </c>
      <c r="K65" s="656"/>
      <c r="L65" s="656"/>
      <c r="M65" s="656"/>
      <c r="N65" s="656"/>
      <c r="O65" s="656"/>
      <c r="P65" s="656">
        <v>13730917.763660001</v>
      </c>
      <c r="Q65" s="656"/>
      <c r="R65" s="656">
        <v>-1260047.29366</v>
      </c>
      <c r="S65" s="656"/>
      <c r="T65" s="656">
        <v>11371170.470000001</v>
      </c>
    </row>
    <row r="66" spans="1:23">
      <c r="B66" s="645"/>
      <c r="C66" s="645"/>
      <c r="D66" s="645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5"/>
      <c r="P66" s="645"/>
      <c r="Q66" s="645"/>
      <c r="R66" s="645"/>
      <c r="S66" s="645"/>
      <c r="T66" s="645"/>
    </row>
    <row r="67" spans="1:23" ht="15.75" thickBot="1">
      <c r="A67" s="649" t="s">
        <v>727</v>
      </c>
      <c r="B67" s="658">
        <v>37143362</v>
      </c>
      <c r="C67" s="653"/>
      <c r="D67" s="658">
        <v>6115921</v>
      </c>
      <c r="E67" s="653"/>
      <c r="F67" s="658">
        <v>6135361.5599999996</v>
      </c>
      <c r="G67" s="653"/>
      <c r="H67" s="658">
        <v>34797</v>
      </c>
      <c r="I67" s="653"/>
      <c r="J67" s="658">
        <v>324243</v>
      </c>
      <c r="K67" s="653"/>
      <c r="L67" s="658">
        <v>227072</v>
      </c>
      <c r="M67" s="653"/>
      <c r="N67" s="658">
        <v>-3202431</v>
      </c>
      <c r="O67" s="653"/>
      <c r="P67" s="658">
        <v>34120511.8338826</v>
      </c>
      <c r="Q67" s="653"/>
      <c r="R67" s="658">
        <v>7602059.1261173803</v>
      </c>
      <c r="S67" s="653"/>
      <c r="T67" s="658">
        <v>88500896.519999996</v>
      </c>
      <c r="U67" s="643"/>
      <c r="V67" s="957"/>
      <c r="W67" s="643"/>
    </row>
    <row r="68" spans="1:23" ht="15.75" thickTop="1">
      <c r="A68" s="649"/>
      <c r="B68" s="653"/>
      <c r="C68" s="653"/>
      <c r="D68" s="653"/>
      <c r="E68" s="653"/>
      <c r="F68" s="653"/>
      <c r="G68" s="653"/>
      <c r="H68" s="653"/>
      <c r="I68" s="653"/>
      <c r="J68" s="653"/>
      <c r="K68" s="653"/>
      <c r="L68" s="653"/>
      <c r="M68" s="653"/>
      <c r="N68" s="653"/>
      <c r="O68" s="653"/>
      <c r="P68" s="653"/>
      <c r="Q68" s="653"/>
      <c r="R68" s="653"/>
      <c r="S68" s="653"/>
      <c r="T68" s="653"/>
      <c r="U68" s="643"/>
      <c r="V68" s="643"/>
      <c r="W68" s="643"/>
    </row>
    <row r="69" spans="1:23" hidden="1">
      <c r="B69" s="645"/>
      <c r="C69" s="645"/>
      <c r="D69" s="645"/>
      <c r="E69" s="645"/>
      <c r="F69" s="645"/>
      <c r="G69" s="645"/>
      <c r="H69" s="645"/>
      <c r="I69" s="645"/>
      <c r="J69" s="654"/>
      <c r="K69" s="654"/>
      <c r="L69" s="654"/>
      <c r="M69" s="654"/>
      <c r="N69" s="654"/>
      <c r="O69" s="654"/>
      <c r="P69" s="655"/>
      <c r="Q69" s="655"/>
      <c r="R69" s="654"/>
      <c r="S69" s="654"/>
      <c r="T69" s="656">
        <f>SUM(B69:R70)</f>
        <v>0</v>
      </c>
    </row>
    <row r="70" spans="1:23" ht="3" customHeight="1">
      <c r="B70" s="645"/>
      <c r="C70" s="645"/>
      <c r="D70" s="645"/>
      <c r="E70" s="645"/>
      <c r="F70" s="645"/>
      <c r="G70" s="645"/>
      <c r="H70" s="645"/>
      <c r="I70" s="645"/>
      <c r="J70" s="654"/>
      <c r="K70" s="654"/>
      <c r="L70" s="654"/>
      <c r="M70" s="654"/>
      <c r="N70" s="654"/>
      <c r="O70" s="654"/>
      <c r="P70" s="655"/>
      <c r="Q70" s="655"/>
      <c r="R70" s="654"/>
      <c r="S70" s="654"/>
      <c r="T70" s="656"/>
    </row>
    <row r="71" spans="1:23">
      <c r="A71" s="649" t="s">
        <v>914</v>
      </c>
      <c r="B71" s="651">
        <v>6115000</v>
      </c>
      <c r="C71" s="651"/>
      <c r="D71" s="651">
        <v>-6115000</v>
      </c>
      <c r="E71" s="651"/>
      <c r="F71" s="651"/>
      <c r="G71" s="651"/>
      <c r="H71" s="651"/>
      <c r="I71" s="651"/>
      <c r="J71" s="656"/>
      <c r="K71" s="656"/>
      <c r="L71" s="656"/>
      <c r="M71" s="656"/>
      <c r="N71" s="656"/>
      <c r="O71" s="656"/>
      <c r="P71" s="656">
        <v>1859768</v>
      </c>
      <c r="Q71" s="656"/>
      <c r="R71" s="656"/>
      <c r="S71" s="656"/>
      <c r="T71" s="656">
        <f>SUM(B71:R72)</f>
        <v>1859768</v>
      </c>
    </row>
    <row r="72" spans="1:23" ht="10.5" hidden="1" customHeight="1">
      <c r="A72" s="649"/>
      <c r="B72" s="651"/>
      <c r="C72" s="651"/>
      <c r="D72" s="651"/>
      <c r="E72" s="651"/>
      <c r="F72" s="651"/>
      <c r="G72" s="651"/>
      <c r="H72" s="651"/>
      <c r="I72" s="651"/>
      <c r="J72" s="656"/>
      <c r="K72" s="656"/>
      <c r="L72" s="656"/>
      <c r="M72" s="656"/>
      <c r="N72" s="656"/>
      <c r="O72" s="656"/>
      <c r="P72" s="656"/>
      <c r="Q72" s="656"/>
      <c r="R72" s="656"/>
      <c r="S72" s="656"/>
      <c r="T72" s="656">
        <f>SUM(B72:R72)</f>
        <v>0</v>
      </c>
    </row>
    <row r="73" spans="1:23" ht="6.75" customHeight="1">
      <c r="A73" s="649"/>
      <c r="B73" s="651"/>
      <c r="C73" s="651"/>
      <c r="D73" s="645"/>
      <c r="E73" s="645"/>
      <c r="F73" s="651"/>
      <c r="G73" s="651"/>
      <c r="H73" s="651"/>
      <c r="I73" s="651"/>
      <c r="J73" s="656"/>
      <c r="K73" s="656"/>
      <c r="L73" s="656"/>
      <c r="M73" s="656"/>
      <c r="N73" s="656"/>
      <c r="O73" s="656"/>
      <c r="P73" s="656"/>
      <c r="Q73" s="656"/>
      <c r="R73" s="656"/>
      <c r="S73" s="656"/>
      <c r="T73" s="656"/>
      <c r="U73" s="657"/>
    </row>
    <row r="74" spans="1:23">
      <c r="A74" s="649" t="s">
        <v>913</v>
      </c>
      <c r="B74" s="651"/>
      <c r="C74" s="651"/>
      <c r="D74" s="651"/>
      <c r="E74" s="651"/>
      <c r="F74" s="651"/>
      <c r="G74" s="651"/>
      <c r="H74" s="651"/>
      <c r="I74" s="651"/>
      <c r="J74" s="656"/>
      <c r="K74" s="656"/>
      <c r="L74" s="656"/>
      <c r="M74" s="656"/>
      <c r="N74" s="656"/>
      <c r="O74" s="656"/>
      <c r="P74" s="656">
        <v>660505</v>
      </c>
      <c r="Q74" s="656"/>
      <c r="R74" s="656"/>
      <c r="S74" s="656"/>
      <c r="T74" s="656">
        <f>SUM(B74:R75)</f>
        <v>660505</v>
      </c>
    </row>
    <row r="75" spans="1:23" ht="5.25" customHeight="1">
      <c r="A75" s="649"/>
      <c r="B75" s="651"/>
      <c r="C75" s="651"/>
      <c r="D75" s="651"/>
      <c r="E75" s="651"/>
      <c r="F75" s="651"/>
      <c r="G75" s="651"/>
      <c r="H75" s="651"/>
      <c r="I75" s="651"/>
      <c r="J75" s="656"/>
      <c r="K75" s="656"/>
      <c r="L75" s="656"/>
      <c r="M75" s="656"/>
      <c r="N75" s="656"/>
      <c r="O75" s="656"/>
      <c r="P75" s="656"/>
      <c r="Q75" s="656"/>
      <c r="R75" s="656"/>
      <c r="S75" s="656"/>
      <c r="T75" s="656"/>
    </row>
    <row r="76" spans="1:23">
      <c r="A76" s="649" t="s">
        <v>837</v>
      </c>
      <c r="B76" s="651">
        <v>-21629181</v>
      </c>
      <c r="C76" s="651"/>
      <c r="D76" s="651"/>
      <c r="E76" s="651"/>
      <c r="F76" s="651"/>
      <c r="G76" s="651"/>
      <c r="H76" s="651"/>
      <c r="I76" s="651"/>
      <c r="J76" s="656"/>
      <c r="K76" s="656"/>
      <c r="L76" s="656"/>
      <c r="M76" s="656"/>
      <c r="N76" s="656"/>
      <c r="O76" s="656"/>
      <c r="P76" s="656"/>
      <c r="Q76" s="656"/>
      <c r="S76" s="656"/>
      <c r="T76" s="656">
        <f>SUM(B76:R77)</f>
        <v>-21629181</v>
      </c>
    </row>
    <row r="77" spans="1:23" ht="5.25" customHeight="1">
      <c r="A77" s="649"/>
      <c r="B77" s="651"/>
      <c r="C77" s="651"/>
      <c r="D77" s="651"/>
      <c r="E77" s="651"/>
      <c r="F77" s="651"/>
      <c r="G77" s="651"/>
      <c r="H77" s="651"/>
      <c r="I77" s="651"/>
      <c r="J77" s="656"/>
      <c r="K77" s="656"/>
      <c r="L77" s="656"/>
      <c r="M77" s="656"/>
      <c r="N77" s="656"/>
      <c r="O77" s="656"/>
      <c r="P77" s="656"/>
      <c r="Q77" s="656"/>
      <c r="R77" s="656"/>
      <c r="S77" s="656"/>
      <c r="T77" s="656">
        <f>SUM(B77:R77)</f>
        <v>0</v>
      </c>
    </row>
    <row r="78" spans="1:23" ht="24">
      <c r="A78" s="649" t="s">
        <v>915</v>
      </c>
      <c r="B78" s="651"/>
      <c r="C78" s="651"/>
      <c r="D78" s="651"/>
      <c r="E78" s="651"/>
      <c r="F78" s="656"/>
      <c r="G78" s="656"/>
      <c r="H78" s="656"/>
      <c r="I78" s="656"/>
      <c r="J78" s="656"/>
      <c r="K78" s="656"/>
      <c r="L78" s="656"/>
      <c r="M78" s="656"/>
      <c r="N78" s="656"/>
      <c r="O78" s="656"/>
      <c r="P78" s="656">
        <f>+'Hoja de trabajo'!Q88</f>
        <v>-373201</v>
      </c>
      <c r="Q78" s="656"/>
      <c r="R78" s="656"/>
      <c r="S78" s="656"/>
      <c r="T78" s="656">
        <f>SUM(B78:R79)</f>
        <v>-373201</v>
      </c>
    </row>
    <row r="79" spans="1:23" ht="3.75" customHeight="1">
      <c r="A79" s="649"/>
      <c r="B79" s="651"/>
      <c r="C79" s="651"/>
      <c r="D79" s="651"/>
      <c r="E79" s="651"/>
      <c r="F79" s="656"/>
      <c r="G79" s="656"/>
      <c r="H79" s="656"/>
      <c r="I79" s="656"/>
      <c r="J79" s="656"/>
      <c r="K79" s="656"/>
      <c r="L79" s="656"/>
      <c r="M79" s="656"/>
      <c r="N79" s="656"/>
      <c r="O79" s="656"/>
      <c r="P79" s="656"/>
      <c r="Q79" s="656"/>
      <c r="R79" s="656"/>
      <c r="S79" s="656"/>
      <c r="T79" s="656"/>
    </row>
    <row r="80" spans="1:23" ht="16.5" customHeight="1">
      <c r="A80" s="649" t="s">
        <v>891</v>
      </c>
      <c r="B80" s="651"/>
      <c r="C80" s="651"/>
      <c r="D80" s="651"/>
      <c r="E80" s="651"/>
      <c r="F80" s="656"/>
      <c r="G80" s="656"/>
      <c r="H80" s="656"/>
      <c r="I80" s="656"/>
      <c r="J80" s="656"/>
      <c r="K80" s="656"/>
      <c r="L80" s="656"/>
      <c r="M80" s="656"/>
      <c r="N80" s="656"/>
      <c r="O80" s="656"/>
      <c r="P80" s="656">
        <v>-881184</v>
      </c>
      <c r="Q80" s="656"/>
      <c r="R80" s="656"/>
      <c r="S80" s="656"/>
      <c r="T80" s="656">
        <f t="shared" ref="T80" si="0">SUM(B80:R81)</f>
        <v>-881184</v>
      </c>
    </row>
    <row r="81" spans="1:23" ht="3" customHeight="1">
      <c r="A81" s="649"/>
      <c r="B81" s="651"/>
      <c r="C81" s="651"/>
      <c r="D81" s="651"/>
      <c r="E81" s="651"/>
      <c r="F81" s="656"/>
      <c r="G81" s="656"/>
      <c r="H81" s="656"/>
      <c r="I81" s="656"/>
      <c r="J81" s="656"/>
      <c r="K81" s="656"/>
      <c r="L81" s="656"/>
      <c r="M81" s="656"/>
      <c r="N81" s="656"/>
      <c r="O81" s="656"/>
      <c r="P81" s="656"/>
      <c r="Q81" s="656"/>
      <c r="R81" s="656"/>
      <c r="S81" s="656"/>
      <c r="T81" s="656"/>
    </row>
    <row r="82" spans="1:23" ht="24">
      <c r="A82" s="649" t="s">
        <v>849</v>
      </c>
      <c r="B82" s="651"/>
      <c r="C82" s="651"/>
      <c r="D82" s="651"/>
      <c r="E82" s="651"/>
      <c r="F82" s="656"/>
      <c r="G82" s="656"/>
      <c r="H82" s="656"/>
      <c r="I82" s="656"/>
      <c r="J82" s="656"/>
      <c r="K82" s="656"/>
      <c r="L82" s="656"/>
      <c r="M82" s="656"/>
      <c r="N82" s="656"/>
      <c r="O82" s="656"/>
      <c r="P82" s="962">
        <f>953966-50758-116791-673128-2308</f>
        <v>110981</v>
      </c>
      <c r="Q82" s="656"/>
      <c r="R82" s="656"/>
      <c r="S82" s="656"/>
      <c r="T82" s="656">
        <f>SUM(B82:R83)</f>
        <v>110981</v>
      </c>
    </row>
    <row r="83" spans="1:23" ht="5.25" customHeight="1">
      <c r="A83" s="649"/>
      <c r="B83" s="651"/>
      <c r="C83" s="651"/>
      <c r="D83" s="651"/>
      <c r="E83" s="651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</row>
    <row r="84" spans="1:23" ht="24">
      <c r="A84" s="649" t="s">
        <v>708</v>
      </c>
      <c r="B84" s="651"/>
      <c r="C84" s="651"/>
      <c r="D84" s="651"/>
      <c r="E84" s="651"/>
      <c r="F84" s="656"/>
      <c r="G84" s="656"/>
      <c r="H84" s="656"/>
      <c r="I84" s="656"/>
      <c r="J84" s="656">
        <v>0</v>
      </c>
      <c r="K84" s="656"/>
      <c r="L84" s="656"/>
      <c r="M84" s="656"/>
      <c r="N84" s="656"/>
      <c r="O84" s="656"/>
      <c r="P84" s="656">
        <f>+'Planilla final'!Q80</f>
        <v>18705679.178671967</v>
      </c>
      <c r="Q84" s="656"/>
      <c r="R84" s="656">
        <f>+'Hoja de trabajo'!Q73</f>
        <v>-698311</v>
      </c>
      <c r="S84" s="656"/>
      <c r="T84" s="656">
        <f>SUM(B84:R85)</f>
        <v>18007368.178671967</v>
      </c>
    </row>
    <row r="85" spans="1:23" ht="4.5" customHeight="1"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5"/>
      <c r="M85" s="645"/>
      <c r="N85" s="645"/>
      <c r="O85" s="645"/>
      <c r="P85" s="645"/>
      <c r="Q85" s="645"/>
      <c r="R85" s="645"/>
      <c r="S85" s="645"/>
      <c r="T85" s="645"/>
    </row>
    <row r="86" spans="1:23" ht="15.75" thickBot="1">
      <c r="A86" s="649" t="s">
        <v>838</v>
      </c>
      <c r="B86" s="658">
        <f>SUM(B67:B85)</f>
        <v>21629181</v>
      </c>
      <c r="C86" s="653"/>
      <c r="D86" s="658">
        <f>SUM(D67:D85)</f>
        <v>921</v>
      </c>
      <c r="E86" s="653"/>
      <c r="F86" s="658">
        <f>SUM(F67:F85)</f>
        <v>6135361.5599999996</v>
      </c>
      <c r="G86" s="653"/>
      <c r="H86" s="658">
        <f>SUM(H67:H85)</f>
        <v>34797</v>
      </c>
      <c r="I86" s="653"/>
      <c r="J86" s="658">
        <f>SUM(J67:J85)</f>
        <v>324243</v>
      </c>
      <c r="K86" s="653"/>
      <c r="L86" s="658">
        <f>SUM(L67:L85)</f>
        <v>227072</v>
      </c>
      <c r="M86" s="653"/>
      <c r="N86" s="658">
        <f>SUM(N67:N85)</f>
        <v>-3202431</v>
      </c>
      <c r="O86" s="653"/>
      <c r="P86" s="658">
        <f>SUM(P67:P85)</f>
        <v>54203060.012554571</v>
      </c>
      <c r="Q86" s="653"/>
      <c r="R86" s="658">
        <f>SUM(R67:R85)</f>
        <v>6903748.1261173803</v>
      </c>
      <c r="S86" s="653"/>
      <c r="T86" s="658">
        <f>+T67+T69+T71+T76+T78+T84+T74+T82+T80</f>
        <v>86255952.698671967</v>
      </c>
      <c r="U86" s="643"/>
      <c r="V86" s="1076">
        <f>+T86-'Hoja de trabajo'!Q93</f>
        <v>-0.34132803976535797</v>
      </c>
      <c r="W86" s="643"/>
    </row>
    <row r="87" spans="1:23" ht="15.75" thickTop="1">
      <c r="B87" s="645"/>
      <c r="C87" s="645"/>
      <c r="D87" s="645"/>
      <c r="E87" s="645"/>
      <c r="F87" s="645"/>
      <c r="G87" s="645"/>
      <c r="H87" s="645"/>
      <c r="I87" s="645"/>
      <c r="J87" s="645"/>
      <c r="K87" s="645"/>
      <c r="L87" s="645"/>
      <c r="M87" s="645"/>
      <c r="N87" s="645"/>
      <c r="O87" s="645"/>
      <c r="P87" s="645"/>
      <c r="Q87" s="645"/>
      <c r="R87" s="645"/>
      <c r="S87" s="645"/>
      <c r="T87" s="830">
        <f>+B86+D86+F86+H86+J86+L86+N86+P86+R86-T86</f>
        <v>0</v>
      </c>
    </row>
    <row r="88" spans="1:23" ht="12" customHeight="1">
      <c r="B88" s="659" t="s">
        <v>654</v>
      </c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45"/>
      <c r="T88" s="645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M86"/>
  <sheetViews>
    <sheetView showGridLines="0" topLeftCell="A4" zoomScaleNormal="100" workbookViewId="0">
      <pane xSplit="1" ySplit="1" topLeftCell="B5" activePane="bottomRight" state="frozen"/>
      <selection activeCell="A4" sqref="A4"/>
      <selection pane="topRight" activeCell="AB4" sqref="AB4"/>
      <selection pane="bottomLeft" activeCell="A51" sqref="A51"/>
      <selection pane="bottomRight" activeCell="C15" sqref="C15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3.42578125" style="407" bestFit="1" customWidth="1"/>
    <col min="4" max="4" width="1" style="414" hidden="1" customWidth="1"/>
    <col min="5" max="5" width="0" style="407" hidden="1" customWidth="1"/>
    <col min="6" max="6" width="1" style="407" hidden="1" customWidth="1"/>
    <col min="7" max="7" width="0" style="407" hidden="1" customWidth="1"/>
    <col min="8" max="9" width="11.5703125" style="407" hidden="1" customWidth="1"/>
    <col min="10" max="10" width="13.42578125" style="407" hidden="1" customWidth="1" outlineLevel="1"/>
    <col min="11" max="11" width="12.42578125" style="407" hidden="1" customWidth="1" outlineLevel="1"/>
    <col min="12" max="18" width="11.42578125" style="407" hidden="1" customWidth="1" outlineLevel="1"/>
    <col min="19" max="20" width="9.7109375" style="407" hidden="1" customWidth="1" outlineLevel="1"/>
    <col min="21" max="21" width="11.42578125" style="407" hidden="1" customWidth="1" outlineLevel="1"/>
    <col min="22" max="22" width="12" style="407" hidden="1" customWidth="1" outlineLevel="1"/>
    <col min="23" max="24" width="11.42578125" style="407" hidden="1" customWidth="1" outlineLevel="1"/>
    <col min="25" max="25" width="12.140625" style="407" hidden="1" customWidth="1" outlineLevel="1"/>
    <col min="26" max="26" width="1.28515625" style="414" hidden="1" customWidth="1" outlineLevel="1"/>
    <col min="27" max="27" width="13.42578125" style="407" bestFit="1" customWidth="1" collapsed="1"/>
    <col min="28" max="1027" width="11.42578125" style="407"/>
  </cols>
  <sheetData>
    <row r="1" spans="1:27">
      <c r="A1" s="678" t="s">
        <v>390</v>
      </c>
      <c r="B1" s="678"/>
      <c r="C1" s="678"/>
      <c r="D1" s="944"/>
      <c r="AA1" s="678"/>
    </row>
    <row r="2" spans="1:27">
      <c r="A2" s="679" t="s">
        <v>756</v>
      </c>
      <c r="B2" s="680"/>
      <c r="C2" s="680"/>
      <c r="D2" s="945"/>
      <c r="E2" s="681"/>
      <c r="F2" s="681"/>
      <c r="G2" s="681"/>
      <c r="H2" s="681"/>
      <c r="I2" s="681"/>
      <c r="AA2" s="680"/>
    </row>
    <row r="3" spans="1:27">
      <c r="A3" s="679" t="s">
        <v>456</v>
      </c>
      <c r="B3" s="680"/>
      <c r="C3" s="680"/>
      <c r="D3" s="945"/>
      <c r="E3" s="681"/>
      <c r="F3" s="681"/>
      <c r="G3" s="681"/>
      <c r="H3" s="681"/>
      <c r="I3" s="681"/>
      <c r="AA3" s="680"/>
    </row>
    <row r="4" spans="1:27" ht="24" customHeight="1">
      <c r="A4" s="681"/>
      <c r="B4" s="682" t="s">
        <v>757</v>
      </c>
      <c r="C4" s="683">
        <v>2020</v>
      </c>
      <c r="D4" s="682"/>
      <c r="E4" s="683">
        <v>2019</v>
      </c>
      <c r="F4" s="683"/>
      <c r="G4" s="683">
        <v>2018</v>
      </c>
      <c r="H4" s="684">
        <v>2017</v>
      </c>
      <c r="I4" s="683">
        <v>2016</v>
      </c>
      <c r="J4" s="685" t="s">
        <v>501</v>
      </c>
      <c r="K4" s="686" t="s">
        <v>758</v>
      </c>
      <c r="L4" s="459" t="s">
        <v>828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759</v>
      </c>
      <c r="S4" s="459" t="s">
        <v>245</v>
      </c>
      <c r="T4" s="459" t="s">
        <v>247</v>
      </c>
      <c r="U4" s="459" t="s">
        <v>760</v>
      </c>
      <c r="V4" s="459" t="s">
        <v>259</v>
      </c>
      <c r="W4" s="459" t="s">
        <v>18</v>
      </c>
      <c r="X4" s="459" t="s">
        <v>19</v>
      </c>
      <c r="Y4" s="459" t="s">
        <v>761</v>
      </c>
      <c r="Z4" s="685"/>
      <c r="AA4" s="683">
        <v>2019</v>
      </c>
    </row>
    <row r="5" spans="1:27">
      <c r="A5" s="679" t="s">
        <v>762</v>
      </c>
      <c r="B5" s="687"/>
      <c r="C5" s="687"/>
      <c r="D5" s="687"/>
      <c r="E5" s="679"/>
      <c r="F5" s="679"/>
      <c r="G5" s="679"/>
      <c r="H5" s="681"/>
      <c r="I5" s="681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AA5" s="687"/>
    </row>
    <row r="6" spans="1:27">
      <c r="A6" s="681" t="s">
        <v>763</v>
      </c>
      <c r="B6" s="687"/>
      <c r="C6" s="882">
        <f>+'Planilla final'!Q71+'Planilla final'!Q72</f>
        <v>26175128.050000008</v>
      </c>
      <c r="D6" s="687"/>
      <c r="E6" s="475">
        <v>20037270.469999999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27906750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198175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30700438.050000008</v>
      </c>
      <c r="W6" s="408">
        <f>+'Planilla final'!O76</f>
        <v>902562</v>
      </c>
      <c r="X6" s="408">
        <f>+'Planilla final'!P76</f>
        <v>1370690</v>
      </c>
      <c r="Y6" s="408">
        <f>+V6+X6-W6</f>
        <v>31168566.050000008</v>
      </c>
      <c r="Z6" s="408"/>
      <c r="AA6" s="882">
        <v>20037270.469999999</v>
      </c>
    </row>
    <row r="7" spans="1:27">
      <c r="A7" s="688" t="s">
        <v>764</v>
      </c>
      <c r="B7" s="689"/>
      <c r="C7" s="882"/>
      <c r="D7" s="689"/>
      <c r="E7" s="475"/>
      <c r="F7" s="475"/>
      <c r="G7" s="690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19" si="0">SUM(J7:U7)</f>
        <v>0</v>
      </c>
      <c r="W7" s="408"/>
      <c r="X7" s="408"/>
      <c r="Y7" s="408"/>
      <c r="Z7" s="408"/>
      <c r="AA7" s="882"/>
    </row>
    <row r="8" spans="1:27">
      <c r="A8" s="691" t="s">
        <v>765</v>
      </c>
      <c r="B8" s="689"/>
      <c r="C8" s="882">
        <f t="shared" ref="C8:C15" si="1">+Y8</f>
        <v>-174624</v>
      </c>
      <c r="D8" s="689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>
        <v>-177231</v>
      </c>
      <c r="K8" s="408"/>
      <c r="L8" s="408"/>
      <c r="M8" s="408"/>
      <c r="N8" s="408"/>
      <c r="O8" s="408"/>
      <c r="P8" s="408"/>
      <c r="Q8" s="408"/>
      <c r="R8" s="408"/>
      <c r="S8" s="408"/>
      <c r="T8" s="952">
        <v>2607</v>
      </c>
      <c r="U8" s="408"/>
      <c r="V8" s="408">
        <f t="shared" si="0"/>
        <v>-174624</v>
      </c>
      <c r="W8" s="408"/>
      <c r="X8" s="408"/>
      <c r="Y8" s="408">
        <f t="shared" ref="Y8:Y14" si="2">+V8+W8-X8</f>
        <v>-174624</v>
      </c>
      <c r="Z8" s="408"/>
      <c r="AA8" s="882">
        <v>49654</v>
      </c>
    </row>
    <row r="9" spans="1:27">
      <c r="A9" s="691" t="s">
        <v>766</v>
      </c>
      <c r="B9" s="689"/>
      <c r="C9" s="882">
        <f t="shared" si="1"/>
        <v>0</v>
      </c>
      <c r="D9" s="689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2"/>
        <v>0</v>
      </c>
      <c r="Z9" s="408"/>
      <c r="AA9" s="882">
        <v>1812247</v>
      </c>
    </row>
    <row r="10" spans="1:27">
      <c r="A10" s="691" t="s">
        <v>767</v>
      </c>
      <c r="B10" s="689"/>
      <c r="C10" s="882">
        <f t="shared" si="1"/>
        <v>18186105</v>
      </c>
      <c r="D10" s="689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>
        <v>15870446</v>
      </c>
      <c r="K10" s="408">
        <v>1794410</v>
      </c>
      <c r="L10" s="408">
        <v>219425</v>
      </c>
      <c r="M10" s="408"/>
      <c r="N10" s="408"/>
      <c r="O10" s="408"/>
      <c r="P10" s="408"/>
      <c r="Q10" s="408"/>
      <c r="R10" s="408">
        <v>40586</v>
      </c>
      <c r="S10" s="408">
        <v>134304</v>
      </c>
      <c r="T10" s="408">
        <v>22690</v>
      </c>
      <c r="U10" s="408">
        <v>104244</v>
      </c>
      <c r="V10" s="408">
        <f t="shared" si="0"/>
        <v>18186105</v>
      </c>
      <c r="W10" s="408"/>
      <c r="X10" s="408"/>
      <c r="Y10" s="408">
        <f t="shared" si="2"/>
        <v>18186105</v>
      </c>
      <c r="Z10" s="408"/>
      <c r="AA10" s="882">
        <v>21515684</v>
      </c>
    </row>
    <row r="11" spans="1:27">
      <c r="A11" s="691" t="s">
        <v>768</v>
      </c>
      <c r="B11" s="884"/>
      <c r="C11" s="882">
        <f t="shared" si="1"/>
        <v>39210</v>
      </c>
      <c r="D11" s="689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>
        <v>39210</v>
      </c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39210</v>
      </c>
      <c r="W11" s="408"/>
      <c r="X11" s="408"/>
      <c r="Y11" s="408">
        <f t="shared" si="2"/>
        <v>39210</v>
      </c>
      <c r="Z11" s="408"/>
      <c r="AA11" s="882">
        <v>39210</v>
      </c>
    </row>
    <row r="12" spans="1:27">
      <c r="A12" s="691" t="s">
        <v>769</v>
      </c>
      <c r="B12" s="689"/>
      <c r="C12" s="882">
        <f t="shared" si="1"/>
        <v>1804437</v>
      </c>
      <c r="D12" s="689"/>
      <c r="E12" s="692">
        <v>1484293</v>
      </c>
      <c r="F12" s="692"/>
      <c r="G12" s="475">
        <v>0</v>
      </c>
      <c r="H12" s="475"/>
      <c r="I12" s="475"/>
      <c r="J12" s="408">
        <v>1804437</v>
      </c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1804437</v>
      </c>
      <c r="W12" s="408"/>
      <c r="X12" s="408"/>
      <c r="Y12" s="408">
        <f t="shared" si="2"/>
        <v>1804437</v>
      </c>
      <c r="Z12" s="408"/>
      <c r="AA12" s="882">
        <v>1484293</v>
      </c>
    </row>
    <row r="13" spans="1:27">
      <c r="A13" s="691" t="s">
        <v>901</v>
      </c>
      <c r="B13" s="689"/>
      <c r="C13" s="949">
        <f>+Y13</f>
        <v>-681410</v>
      </c>
      <c r="D13" s="689"/>
      <c r="E13" s="475">
        <v>0</v>
      </c>
      <c r="F13" s="475"/>
      <c r="G13" s="475"/>
      <c r="H13" s="475">
        <v>0</v>
      </c>
      <c r="I13" s="475">
        <v>169491</v>
      </c>
      <c r="J13" s="408">
        <v>-681410</v>
      </c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-681410</v>
      </c>
      <c r="W13" s="408"/>
      <c r="X13" s="408"/>
      <c r="Y13" s="408">
        <f t="shared" si="2"/>
        <v>-681410</v>
      </c>
      <c r="Z13" s="408"/>
      <c r="AA13" s="882">
        <v>0</v>
      </c>
    </row>
    <row r="14" spans="1:27">
      <c r="A14" s="691" t="s">
        <v>770</v>
      </c>
      <c r="B14" s="689"/>
      <c r="C14" s="882">
        <f t="shared" si="1"/>
        <v>2165288</v>
      </c>
      <c r="D14" s="689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>
        <v>2165288</v>
      </c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2165288</v>
      </c>
      <c r="W14" s="408"/>
      <c r="X14" s="408"/>
      <c r="Y14" s="408">
        <f t="shared" si="2"/>
        <v>2165288</v>
      </c>
      <c r="Z14" s="408"/>
      <c r="AA14" s="882">
        <v>2627915</v>
      </c>
    </row>
    <row r="15" spans="1:27">
      <c r="A15" s="691" t="s">
        <v>771</v>
      </c>
      <c r="B15" s="689"/>
      <c r="C15" s="882">
        <f t="shared" si="1"/>
        <v>468128</v>
      </c>
      <c r="D15" s="689"/>
      <c r="E15" s="948">
        <v>-268373.46999999881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>
        <f>+'AD ESF'!E318</f>
        <v>468128</v>
      </c>
      <c r="Y15" s="408">
        <f>+V15+X15</f>
        <v>468128</v>
      </c>
      <c r="Z15" s="408"/>
      <c r="AA15" s="882">
        <v>-268373.46999999881</v>
      </c>
    </row>
    <row r="16" spans="1:27">
      <c r="A16" s="691" t="s">
        <v>772</v>
      </c>
      <c r="B16" s="689"/>
      <c r="C16" s="882">
        <f>-'ERI20'!D18</f>
        <v>4993438</v>
      </c>
      <c r="D16" s="689"/>
      <c r="E16" s="475">
        <v>4208157</v>
      </c>
      <c r="F16" s="475"/>
      <c r="G16" s="475">
        <v>2417615</v>
      </c>
      <c r="H16" s="475">
        <f>-'ERI20'!J18</f>
        <v>1591304</v>
      </c>
      <c r="I16" s="475">
        <v>1759101</v>
      </c>
      <c r="J16" s="408">
        <v>4924720</v>
      </c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34972</v>
      </c>
      <c r="T16" s="408">
        <v>33746</v>
      </c>
      <c r="U16" s="408"/>
      <c r="V16" s="408">
        <f t="shared" si="0"/>
        <v>4993438</v>
      </c>
      <c r="W16" s="408"/>
      <c r="X16" s="408"/>
      <c r="Y16" s="408">
        <f>+V16+W16-X16</f>
        <v>4993438</v>
      </c>
      <c r="Z16" s="408"/>
      <c r="AA16" s="882">
        <v>4208157</v>
      </c>
    </row>
    <row r="17" spans="1:1027">
      <c r="A17" s="691" t="s">
        <v>773</v>
      </c>
      <c r="B17" s="689"/>
      <c r="C17" s="949">
        <f>+Y17</f>
        <v>886890</v>
      </c>
      <c r="D17" s="689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>
        <v>882007</v>
      </c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0"/>
        <v>886890</v>
      </c>
      <c r="W17" s="408"/>
      <c r="X17" s="408"/>
      <c r="Y17" s="408">
        <f>+V17+W17-X17</f>
        <v>886890</v>
      </c>
      <c r="Z17" s="408"/>
      <c r="AA17" s="949">
        <v>2973618</v>
      </c>
    </row>
    <row r="18" spans="1:1027">
      <c r="A18" s="691" t="s">
        <v>774</v>
      </c>
      <c r="B18" s="689"/>
      <c r="C18" s="949">
        <f>+'ESF20'!R24</f>
        <v>8770737</v>
      </c>
      <c r="D18" s="884"/>
      <c r="E18" s="886">
        <v>6346670</v>
      </c>
      <c r="F18" s="886"/>
      <c r="G18" s="886">
        <v>7559526</v>
      </c>
      <c r="H18" s="886">
        <v>3074772</v>
      </c>
      <c r="I18" s="886">
        <v>5177025</v>
      </c>
      <c r="J18" s="1074"/>
      <c r="K18" s="952"/>
      <c r="L18" s="952"/>
      <c r="M18" s="952"/>
      <c r="N18" s="952"/>
      <c r="O18" s="952"/>
      <c r="P18" s="952"/>
      <c r="Q18" s="952"/>
      <c r="R18" s="952"/>
      <c r="S18" s="952"/>
      <c r="T18" s="952"/>
      <c r="U18" s="952"/>
      <c r="V18" s="952">
        <f t="shared" si="0"/>
        <v>0</v>
      </c>
      <c r="W18" s="952"/>
      <c r="X18" s="952"/>
      <c r="Y18" s="952">
        <f>+V18+W18-X18</f>
        <v>0</v>
      </c>
      <c r="Z18" s="952"/>
      <c r="AA18" s="949">
        <v>6346670</v>
      </c>
    </row>
    <row r="19" spans="1:1027">
      <c r="A19" s="691" t="s">
        <v>775</v>
      </c>
      <c r="B19" s="689"/>
      <c r="C19" s="882">
        <f>+'ESF20'!Q40+'ESF20'!Q41+'ESF20'!Q43</f>
        <v>1376865</v>
      </c>
      <c r="D19" s="689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0</v>
      </c>
      <c r="W19" s="408"/>
      <c r="X19" s="408"/>
      <c r="Y19" s="408">
        <f>+V19+W19-X19</f>
        <v>0</v>
      </c>
      <c r="Z19" s="408"/>
      <c r="AA19" s="882">
        <v>-1770198</v>
      </c>
    </row>
    <row r="20" spans="1:1027" s="887" customFormat="1">
      <c r="A20" s="883"/>
      <c r="B20" s="884"/>
      <c r="C20" s="885">
        <f>+SUM(C6:C19)</f>
        <v>64010192.050000012</v>
      </c>
      <c r="D20" s="886">
        <f>+SUM(D6:D19)</f>
        <v>0</v>
      </c>
      <c r="E20" s="885">
        <v>59056147</v>
      </c>
      <c r="F20" s="886"/>
      <c r="G20" s="885">
        <f t="shared" ref="G20:W20" si="3">+SUM(G6:G19)</f>
        <v>45236812</v>
      </c>
      <c r="H20" s="886">
        <f t="shared" si="3"/>
        <v>36458920.04999999</v>
      </c>
      <c r="I20" s="886">
        <f t="shared" si="3"/>
        <v>42491899</v>
      </c>
      <c r="J20" s="886">
        <f t="shared" si="3"/>
        <v>52734217</v>
      </c>
      <c r="K20" s="886">
        <f t="shared" si="3"/>
        <v>-1393593</v>
      </c>
      <c r="L20" s="886">
        <f t="shared" si="3"/>
        <v>618606.98</v>
      </c>
      <c r="M20" s="886">
        <f t="shared" si="3"/>
        <v>0</v>
      </c>
      <c r="N20" s="886">
        <f t="shared" si="3"/>
        <v>0</v>
      </c>
      <c r="O20" s="886">
        <f t="shared" si="3"/>
        <v>331439.17</v>
      </c>
      <c r="P20" s="886">
        <f t="shared" si="3"/>
        <v>0</v>
      </c>
      <c r="Q20" s="886">
        <f t="shared" si="3"/>
        <v>0</v>
      </c>
      <c r="R20" s="886">
        <f t="shared" si="3"/>
        <v>-9.9999999998544808E-2</v>
      </c>
      <c r="S20" s="886">
        <f t="shared" si="3"/>
        <v>367451</v>
      </c>
      <c r="T20" s="886">
        <f t="shared" si="3"/>
        <v>257266</v>
      </c>
      <c r="U20" s="886">
        <f t="shared" si="3"/>
        <v>10947</v>
      </c>
      <c r="V20" s="886">
        <f t="shared" si="3"/>
        <v>57919772.050000012</v>
      </c>
      <c r="W20" s="886">
        <f t="shared" si="3"/>
        <v>902562</v>
      </c>
      <c r="X20" s="886"/>
      <c r="Y20" s="886">
        <f>+SUM(Y6:Y19)</f>
        <v>58856028.050000012</v>
      </c>
      <c r="Z20" s="886"/>
      <c r="AA20" s="885">
        <f>+SUM(AA6:AA19)</f>
        <v>59056147</v>
      </c>
      <c r="AB20" s="852"/>
      <c r="AC20" s="852"/>
      <c r="AD20" s="852"/>
      <c r="AE20" s="852"/>
      <c r="AF20" s="852"/>
      <c r="AG20" s="852"/>
      <c r="AH20" s="852"/>
      <c r="AI20" s="852"/>
      <c r="AJ20" s="852"/>
      <c r="AK20" s="852"/>
      <c r="AL20" s="852"/>
      <c r="AM20" s="852"/>
      <c r="AN20" s="852"/>
      <c r="AO20" s="852"/>
      <c r="AP20" s="852"/>
      <c r="AQ20" s="852"/>
      <c r="AR20" s="852"/>
      <c r="AS20" s="852"/>
      <c r="AT20" s="852"/>
      <c r="AU20" s="852"/>
      <c r="AV20" s="852"/>
      <c r="AW20" s="852"/>
      <c r="AX20" s="852"/>
      <c r="AY20" s="852"/>
      <c r="AZ20" s="852"/>
      <c r="BA20" s="852"/>
      <c r="BB20" s="852"/>
      <c r="BC20" s="852"/>
      <c r="BD20" s="852"/>
      <c r="BE20" s="852"/>
      <c r="BF20" s="852"/>
      <c r="BG20" s="852"/>
      <c r="BH20" s="852"/>
      <c r="BI20" s="852"/>
      <c r="BJ20" s="852"/>
      <c r="BK20" s="852"/>
      <c r="BL20" s="852"/>
      <c r="BM20" s="852"/>
      <c r="BN20" s="852"/>
      <c r="BO20" s="852"/>
      <c r="BP20" s="852"/>
      <c r="BQ20" s="852"/>
      <c r="BR20" s="852"/>
      <c r="BS20" s="852"/>
      <c r="BT20" s="852"/>
      <c r="BU20" s="852"/>
      <c r="BV20" s="852"/>
      <c r="BW20" s="852"/>
      <c r="BX20" s="852"/>
      <c r="BY20" s="852"/>
      <c r="BZ20" s="852"/>
      <c r="CA20" s="852"/>
      <c r="CB20" s="852"/>
      <c r="CC20" s="852"/>
      <c r="CD20" s="852"/>
      <c r="CE20" s="852"/>
      <c r="CF20" s="852"/>
      <c r="CG20" s="852"/>
      <c r="CH20" s="852"/>
      <c r="CI20" s="852"/>
      <c r="CJ20" s="852"/>
      <c r="CK20" s="852"/>
      <c r="CL20" s="852"/>
      <c r="CM20" s="852"/>
      <c r="CN20" s="852"/>
      <c r="CO20" s="852"/>
      <c r="CP20" s="852"/>
      <c r="CQ20" s="852"/>
      <c r="CR20" s="852"/>
      <c r="CS20" s="852"/>
      <c r="CT20" s="852"/>
      <c r="CU20" s="852"/>
      <c r="CV20" s="852"/>
      <c r="CW20" s="852"/>
      <c r="CX20" s="852"/>
      <c r="CY20" s="852"/>
      <c r="CZ20" s="852"/>
      <c r="DA20" s="852"/>
      <c r="DB20" s="852"/>
      <c r="DC20" s="852"/>
      <c r="DD20" s="852"/>
      <c r="DE20" s="852"/>
      <c r="DF20" s="852"/>
      <c r="DG20" s="852"/>
      <c r="DH20" s="852"/>
      <c r="DI20" s="852"/>
      <c r="DJ20" s="852"/>
      <c r="DK20" s="852"/>
      <c r="DL20" s="852"/>
      <c r="DM20" s="852"/>
      <c r="DN20" s="852"/>
      <c r="DO20" s="852"/>
      <c r="DP20" s="852"/>
      <c r="DQ20" s="852"/>
      <c r="DR20" s="852"/>
      <c r="DS20" s="852"/>
      <c r="DT20" s="852"/>
      <c r="DU20" s="852"/>
      <c r="DV20" s="852"/>
      <c r="DW20" s="852"/>
      <c r="DX20" s="852"/>
      <c r="DY20" s="852"/>
      <c r="DZ20" s="852"/>
      <c r="EA20" s="852"/>
      <c r="EB20" s="852"/>
      <c r="EC20" s="852"/>
      <c r="ED20" s="852"/>
      <c r="EE20" s="852"/>
      <c r="EF20" s="852"/>
      <c r="EG20" s="852"/>
      <c r="EH20" s="852"/>
      <c r="EI20" s="852"/>
      <c r="EJ20" s="852"/>
      <c r="EK20" s="852"/>
      <c r="EL20" s="852"/>
      <c r="EM20" s="852"/>
      <c r="EN20" s="852"/>
      <c r="EO20" s="852"/>
      <c r="EP20" s="852"/>
      <c r="EQ20" s="852"/>
      <c r="ER20" s="852"/>
      <c r="ES20" s="852"/>
      <c r="ET20" s="852"/>
      <c r="EU20" s="852"/>
      <c r="EV20" s="852"/>
      <c r="EW20" s="852"/>
      <c r="EX20" s="852"/>
      <c r="EY20" s="852"/>
      <c r="EZ20" s="852"/>
      <c r="FA20" s="852"/>
      <c r="FB20" s="852"/>
      <c r="FC20" s="852"/>
      <c r="FD20" s="852"/>
      <c r="FE20" s="852"/>
      <c r="FF20" s="852"/>
      <c r="FG20" s="852"/>
      <c r="FH20" s="852"/>
      <c r="FI20" s="852"/>
      <c r="FJ20" s="852"/>
      <c r="FK20" s="852"/>
      <c r="FL20" s="852"/>
      <c r="FM20" s="852"/>
      <c r="FN20" s="852"/>
      <c r="FO20" s="852"/>
      <c r="FP20" s="852"/>
      <c r="FQ20" s="852"/>
      <c r="FR20" s="852"/>
      <c r="FS20" s="852"/>
      <c r="FT20" s="852"/>
      <c r="FU20" s="852"/>
      <c r="FV20" s="852"/>
      <c r="FW20" s="852"/>
      <c r="FX20" s="852"/>
      <c r="FY20" s="852"/>
      <c r="FZ20" s="852"/>
      <c r="GA20" s="852"/>
      <c r="GB20" s="852"/>
      <c r="GC20" s="852"/>
      <c r="GD20" s="852"/>
      <c r="GE20" s="852"/>
      <c r="GF20" s="852"/>
      <c r="GG20" s="852"/>
      <c r="GH20" s="852"/>
      <c r="GI20" s="852"/>
      <c r="GJ20" s="852"/>
      <c r="GK20" s="852"/>
      <c r="GL20" s="852"/>
      <c r="GM20" s="852"/>
      <c r="GN20" s="852"/>
      <c r="GO20" s="852"/>
      <c r="GP20" s="852"/>
      <c r="GQ20" s="852"/>
      <c r="GR20" s="852"/>
      <c r="GS20" s="852"/>
      <c r="GT20" s="852"/>
      <c r="GU20" s="852"/>
      <c r="GV20" s="852"/>
      <c r="GW20" s="852"/>
      <c r="GX20" s="852"/>
      <c r="GY20" s="852"/>
      <c r="GZ20" s="852"/>
      <c r="HA20" s="852"/>
      <c r="HB20" s="852"/>
      <c r="HC20" s="852"/>
      <c r="HD20" s="852"/>
      <c r="HE20" s="852"/>
      <c r="HF20" s="852"/>
      <c r="HG20" s="852"/>
      <c r="HH20" s="852"/>
      <c r="HI20" s="852"/>
      <c r="HJ20" s="852"/>
      <c r="HK20" s="852"/>
      <c r="HL20" s="852"/>
      <c r="HM20" s="852"/>
      <c r="HN20" s="852"/>
      <c r="HO20" s="852"/>
      <c r="HP20" s="852"/>
      <c r="HQ20" s="852"/>
      <c r="HR20" s="852"/>
      <c r="HS20" s="852"/>
      <c r="HT20" s="852"/>
      <c r="HU20" s="852"/>
      <c r="HV20" s="852"/>
      <c r="HW20" s="852"/>
      <c r="HX20" s="852"/>
      <c r="HY20" s="852"/>
      <c r="HZ20" s="852"/>
      <c r="IA20" s="852"/>
      <c r="IB20" s="852"/>
      <c r="IC20" s="852"/>
      <c r="ID20" s="852"/>
      <c r="IE20" s="852"/>
      <c r="IF20" s="852"/>
      <c r="IG20" s="852"/>
      <c r="IH20" s="852"/>
      <c r="II20" s="852"/>
      <c r="IJ20" s="852"/>
      <c r="IK20" s="852"/>
      <c r="IL20" s="852"/>
      <c r="IM20" s="852"/>
      <c r="IN20" s="852"/>
      <c r="IO20" s="852"/>
      <c r="IP20" s="852"/>
      <c r="IQ20" s="852"/>
      <c r="IR20" s="852"/>
      <c r="IS20" s="852"/>
      <c r="IT20" s="852"/>
      <c r="IU20" s="852"/>
      <c r="IV20" s="852"/>
      <c r="IW20" s="852"/>
      <c r="IX20" s="852"/>
      <c r="IY20" s="852"/>
      <c r="IZ20" s="852"/>
      <c r="JA20" s="852"/>
      <c r="JB20" s="852"/>
      <c r="JC20" s="852"/>
      <c r="JD20" s="852"/>
      <c r="JE20" s="852"/>
      <c r="JF20" s="852"/>
      <c r="JG20" s="852"/>
      <c r="JH20" s="852"/>
      <c r="JI20" s="852"/>
      <c r="JJ20" s="852"/>
      <c r="JK20" s="852"/>
      <c r="JL20" s="852"/>
      <c r="JM20" s="852"/>
      <c r="JN20" s="852"/>
      <c r="JO20" s="852"/>
      <c r="JP20" s="852"/>
      <c r="JQ20" s="852"/>
      <c r="JR20" s="852"/>
      <c r="JS20" s="852"/>
      <c r="JT20" s="852"/>
      <c r="JU20" s="852"/>
      <c r="JV20" s="852"/>
      <c r="JW20" s="852"/>
      <c r="JX20" s="852"/>
      <c r="JY20" s="852"/>
      <c r="JZ20" s="852"/>
      <c r="KA20" s="852"/>
      <c r="KB20" s="852"/>
      <c r="KC20" s="852"/>
      <c r="KD20" s="852"/>
      <c r="KE20" s="852"/>
      <c r="KF20" s="852"/>
      <c r="KG20" s="852"/>
      <c r="KH20" s="852"/>
      <c r="KI20" s="852"/>
      <c r="KJ20" s="852"/>
      <c r="KK20" s="852"/>
      <c r="KL20" s="852"/>
      <c r="KM20" s="852"/>
      <c r="KN20" s="852"/>
      <c r="KO20" s="852"/>
      <c r="KP20" s="852"/>
      <c r="KQ20" s="852"/>
      <c r="KR20" s="852"/>
      <c r="KS20" s="852"/>
      <c r="KT20" s="852"/>
      <c r="KU20" s="852"/>
      <c r="KV20" s="852"/>
      <c r="KW20" s="852"/>
      <c r="KX20" s="852"/>
      <c r="KY20" s="852"/>
      <c r="KZ20" s="852"/>
      <c r="LA20" s="852"/>
      <c r="LB20" s="852"/>
      <c r="LC20" s="852"/>
      <c r="LD20" s="852"/>
      <c r="LE20" s="852"/>
      <c r="LF20" s="852"/>
      <c r="LG20" s="852"/>
      <c r="LH20" s="852"/>
      <c r="LI20" s="852"/>
      <c r="LJ20" s="852"/>
      <c r="LK20" s="852"/>
      <c r="LL20" s="852"/>
      <c r="LM20" s="852"/>
      <c r="LN20" s="852"/>
      <c r="LO20" s="852"/>
      <c r="LP20" s="852"/>
      <c r="LQ20" s="852"/>
      <c r="LR20" s="852"/>
      <c r="LS20" s="852"/>
      <c r="LT20" s="852"/>
      <c r="LU20" s="852"/>
      <c r="LV20" s="852"/>
      <c r="LW20" s="852"/>
      <c r="LX20" s="852"/>
      <c r="LY20" s="852"/>
      <c r="LZ20" s="852"/>
      <c r="MA20" s="852"/>
      <c r="MB20" s="852"/>
      <c r="MC20" s="852"/>
      <c r="MD20" s="852"/>
      <c r="ME20" s="852"/>
      <c r="MF20" s="852"/>
      <c r="MG20" s="852"/>
      <c r="MH20" s="852"/>
      <c r="MI20" s="852"/>
      <c r="MJ20" s="852"/>
      <c r="MK20" s="852"/>
      <c r="ML20" s="852"/>
      <c r="MM20" s="852"/>
      <c r="MN20" s="852"/>
      <c r="MO20" s="852"/>
      <c r="MP20" s="852"/>
      <c r="MQ20" s="852"/>
      <c r="MR20" s="852"/>
      <c r="MS20" s="852"/>
      <c r="MT20" s="852"/>
      <c r="MU20" s="852"/>
      <c r="MV20" s="852"/>
      <c r="MW20" s="852"/>
      <c r="MX20" s="852"/>
      <c r="MY20" s="852"/>
      <c r="MZ20" s="852"/>
      <c r="NA20" s="852"/>
      <c r="NB20" s="852"/>
      <c r="NC20" s="852"/>
      <c r="ND20" s="852"/>
      <c r="NE20" s="852"/>
      <c r="NF20" s="852"/>
      <c r="NG20" s="852"/>
      <c r="NH20" s="852"/>
      <c r="NI20" s="852"/>
      <c r="NJ20" s="852"/>
      <c r="NK20" s="852"/>
      <c r="NL20" s="852"/>
      <c r="NM20" s="852"/>
      <c r="NN20" s="852"/>
      <c r="NO20" s="852"/>
      <c r="NP20" s="852"/>
      <c r="NQ20" s="852"/>
      <c r="NR20" s="852"/>
      <c r="NS20" s="852"/>
      <c r="NT20" s="852"/>
      <c r="NU20" s="852"/>
      <c r="NV20" s="852"/>
      <c r="NW20" s="852"/>
      <c r="NX20" s="852"/>
      <c r="NY20" s="852"/>
      <c r="NZ20" s="852"/>
      <c r="OA20" s="852"/>
      <c r="OB20" s="852"/>
      <c r="OC20" s="852"/>
      <c r="OD20" s="852"/>
      <c r="OE20" s="852"/>
      <c r="OF20" s="852"/>
      <c r="OG20" s="852"/>
      <c r="OH20" s="852"/>
      <c r="OI20" s="852"/>
      <c r="OJ20" s="852"/>
      <c r="OK20" s="852"/>
      <c r="OL20" s="852"/>
      <c r="OM20" s="852"/>
      <c r="ON20" s="852"/>
      <c r="OO20" s="852"/>
      <c r="OP20" s="852"/>
      <c r="OQ20" s="852"/>
      <c r="OR20" s="852"/>
      <c r="OS20" s="852"/>
      <c r="OT20" s="852"/>
      <c r="OU20" s="852"/>
      <c r="OV20" s="852"/>
      <c r="OW20" s="852"/>
      <c r="OX20" s="852"/>
      <c r="OY20" s="852"/>
      <c r="OZ20" s="852"/>
      <c r="PA20" s="852"/>
      <c r="PB20" s="852"/>
      <c r="PC20" s="852"/>
      <c r="PD20" s="852"/>
      <c r="PE20" s="852"/>
      <c r="PF20" s="852"/>
      <c r="PG20" s="852"/>
      <c r="PH20" s="852"/>
      <c r="PI20" s="852"/>
      <c r="PJ20" s="852"/>
      <c r="PK20" s="852"/>
      <c r="PL20" s="852"/>
      <c r="PM20" s="852"/>
      <c r="PN20" s="852"/>
      <c r="PO20" s="852"/>
      <c r="PP20" s="852"/>
      <c r="PQ20" s="852"/>
      <c r="PR20" s="852"/>
      <c r="PS20" s="852"/>
      <c r="PT20" s="852"/>
      <c r="PU20" s="852"/>
      <c r="PV20" s="852"/>
      <c r="PW20" s="852"/>
      <c r="PX20" s="852"/>
      <c r="PY20" s="852"/>
      <c r="PZ20" s="852"/>
      <c r="QA20" s="852"/>
      <c r="QB20" s="852"/>
      <c r="QC20" s="852"/>
      <c r="QD20" s="852"/>
      <c r="QE20" s="852"/>
      <c r="QF20" s="852"/>
      <c r="QG20" s="852"/>
      <c r="QH20" s="852"/>
      <c r="QI20" s="852"/>
      <c r="QJ20" s="852"/>
      <c r="QK20" s="852"/>
      <c r="QL20" s="852"/>
      <c r="QM20" s="852"/>
      <c r="QN20" s="852"/>
      <c r="QO20" s="852"/>
      <c r="QP20" s="852"/>
      <c r="QQ20" s="852"/>
      <c r="QR20" s="852"/>
      <c r="QS20" s="852"/>
      <c r="QT20" s="852"/>
      <c r="QU20" s="852"/>
      <c r="QV20" s="852"/>
      <c r="QW20" s="852"/>
      <c r="QX20" s="852"/>
      <c r="QY20" s="852"/>
      <c r="QZ20" s="852"/>
      <c r="RA20" s="852"/>
      <c r="RB20" s="852"/>
      <c r="RC20" s="852"/>
      <c r="RD20" s="852"/>
      <c r="RE20" s="852"/>
      <c r="RF20" s="852"/>
      <c r="RG20" s="852"/>
      <c r="RH20" s="852"/>
      <c r="RI20" s="852"/>
      <c r="RJ20" s="852"/>
      <c r="RK20" s="852"/>
      <c r="RL20" s="852"/>
      <c r="RM20" s="852"/>
      <c r="RN20" s="852"/>
      <c r="RO20" s="852"/>
      <c r="RP20" s="852"/>
      <c r="RQ20" s="852"/>
      <c r="RR20" s="852"/>
      <c r="RS20" s="852"/>
      <c r="RT20" s="852"/>
      <c r="RU20" s="852"/>
      <c r="RV20" s="852"/>
      <c r="RW20" s="852"/>
      <c r="RX20" s="852"/>
      <c r="RY20" s="852"/>
      <c r="RZ20" s="852"/>
      <c r="SA20" s="852"/>
      <c r="SB20" s="852"/>
      <c r="SC20" s="852"/>
      <c r="SD20" s="852"/>
      <c r="SE20" s="852"/>
      <c r="SF20" s="852"/>
      <c r="SG20" s="852"/>
      <c r="SH20" s="852"/>
      <c r="SI20" s="852"/>
      <c r="SJ20" s="852"/>
      <c r="SK20" s="852"/>
      <c r="SL20" s="852"/>
      <c r="SM20" s="852"/>
      <c r="SN20" s="852"/>
      <c r="SO20" s="852"/>
      <c r="SP20" s="852"/>
      <c r="SQ20" s="852"/>
      <c r="SR20" s="852"/>
      <c r="SS20" s="852"/>
      <c r="ST20" s="852"/>
      <c r="SU20" s="852"/>
      <c r="SV20" s="852"/>
      <c r="SW20" s="852"/>
      <c r="SX20" s="852"/>
      <c r="SY20" s="852"/>
      <c r="SZ20" s="852"/>
      <c r="TA20" s="852"/>
      <c r="TB20" s="852"/>
      <c r="TC20" s="852"/>
      <c r="TD20" s="852"/>
      <c r="TE20" s="852"/>
      <c r="TF20" s="852"/>
      <c r="TG20" s="852"/>
      <c r="TH20" s="852"/>
      <c r="TI20" s="852"/>
      <c r="TJ20" s="852"/>
      <c r="TK20" s="852"/>
      <c r="TL20" s="852"/>
      <c r="TM20" s="852"/>
      <c r="TN20" s="852"/>
      <c r="TO20" s="852"/>
      <c r="TP20" s="852"/>
      <c r="TQ20" s="852"/>
      <c r="TR20" s="852"/>
      <c r="TS20" s="852"/>
      <c r="TT20" s="852"/>
      <c r="TU20" s="852"/>
      <c r="TV20" s="852"/>
      <c r="TW20" s="852"/>
      <c r="TX20" s="852"/>
      <c r="TY20" s="852"/>
      <c r="TZ20" s="852"/>
      <c r="UA20" s="852"/>
      <c r="UB20" s="852"/>
      <c r="UC20" s="852"/>
      <c r="UD20" s="852"/>
      <c r="UE20" s="852"/>
      <c r="UF20" s="852"/>
      <c r="UG20" s="852"/>
      <c r="UH20" s="852"/>
      <c r="UI20" s="852"/>
      <c r="UJ20" s="852"/>
      <c r="UK20" s="852"/>
      <c r="UL20" s="852"/>
      <c r="UM20" s="852"/>
      <c r="UN20" s="852"/>
      <c r="UO20" s="852"/>
      <c r="UP20" s="852"/>
      <c r="UQ20" s="852"/>
      <c r="UR20" s="852"/>
      <c r="US20" s="852"/>
      <c r="UT20" s="852"/>
      <c r="UU20" s="852"/>
      <c r="UV20" s="852"/>
      <c r="UW20" s="852"/>
      <c r="UX20" s="852"/>
      <c r="UY20" s="852"/>
      <c r="UZ20" s="852"/>
      <c r="VA20" s="852"/>
      <c r="VB20" s="852"/>
      <c r="VC20" s="852"/>
      <c r="VD20" s="852"/>
      <c r="VE20" s="852"/>
      <c r="VF20" s="852"/>
      <c r="VG20" s="852"/>
      <c r="VH20" s="852"/>
      <c r="VI20" s="852"/>
      <c r="VJ20" s="852"/>
      <c r="VK20" s="852"/>
      <c r="VL20" s="852"/>
      <c r="VM20" s="852"/>
      <c r="VN20" s="852"/>
      <c r="VO20" s="852"/>
      <c r="VP20" s="852"/>
      <c r="VQ20" s="852"/>
      <c r="VR20" s="852"/>
      <c r="VS20" s="852"/>
      <c r="VT20" s="852"/>
      <c r="VU20" s="852"/>
      <c r="VV20" s="852"/>
      <c r="VW20" s="852"/>
      <c r="VX20" s="852"/>
      <c r="VY20" s="852"/>
      <c r="VZ20" s="852"/>
      <c r="WA20" s="852"/>
      <c r="WB20" s="852"/>
      <c r="WC20" s="852"/>
      <c r="WD20" s="852"/>
      <c r="WE20" s="852"/>
      <c r="WF20" s="852"/>
      <c r="WG20" s="852"/>
      <c r="WH20" s="852"/>
      <c r="WI20" s="852"/>
      <c r="WJ20" s="852"/>
      <c r="WK20" s="852"/>
      <c r="WL20" s="852"/>
      <c r="WM20" s="852"/>
      <c r="WN20" s="852"/>
      <c r="WO20" s="852"/>
      <c r="WP20" s="852"/>
      <c r="WQ20" s="852"/>
      <c r="WR20" s="852"/>
      <c r="WS20" s="852"/>
      <c r="WT20" s="852"/>
      <c r="WU20" s="852"/>
      <c r="WV20" s="852"/>
      <c r="WW20" s="852"/>
      <c r="WX20" s="852"/>
      <c r="WY20" s="852"/>
      <c r="WZ20" s="852"/>
      <c r="XA20" s="852"/>
      <c r="XB20" s="852"/>
      <c r="XC20" s="852"/>
      <c r="XD20" s="852"/>
      <c r="XE20" s="852"/>
      <c r="XF20" s="852"/>
      <c r="XG20" s="852"/>
      <c r="XH20" s="852"/>
      <c r="XI20" s="852"/>
      <c r="XJ20" s="852"/>
      <c r="XK20" s="852"/>
      <c r="XL20" s="852"/>
      <c r="XM20" s="852"/>
      <c r="XN20" s="852"/>
      <c r="XO20" s="852"/>
      <c r="XP20" s="852"/>
      <c r="XQ20" s="852"/>
      <c r="XR20" s="852"/>
      <c r="XS20" s="852"/>
      <c r="XT20" s="852"/>
      <c r="XU20" s="852"/>
      <c r="XV20" s="852"/>
      <c r="XW20" s="852"/>
      <c r="XX20" s="852"/>
      <c r="XY20" s="852"/>
      <c r="XZ20" s="852"/>
      <c r="YA20" s="852"/>
      <c r="YB20" s="852"/>
      <c r="YC20" s="852"/>
      <c r="YD20" s="852"/>
      <c r="YE20" s="852"/>
      <c r="YF20" s="852"/>
      <c r="YG20" s="852"/>
      <c r="YH20" s="852"/>
      <c r="YI20" s="852"/>
      <c r="YJ20" s="852"/>
      <c r="YK20" s="852"/>
      <c r="YL20" s="852"/>
      <c r="YM20" s="852"/>
      <c r="YN20" s="852"/>
      <c r="YO20" s="852"/>
      <c r="YP20" s="852"/>
      <c r="YQ20" s="852"/>
      <c r="YR20" s="852"/>
      <c r="YS20" s="852"/>
      <c r="YT20" s="852"/>
      <c r="YU20" s="852"/>
      <c r="YV20" s="852"/>
      <c r="YW20" s="852"/>
      <c r="YX20" s="852"/>
      <c r="YY20" s="852"/>
      <c r="YZ20" s="852"/>
      <c r="ZA20" s="852"/>
      <c r="ZB20" s="852"/>
      <c r="ZC20" s="852"/>
      <c r="ZD20" s="852"/>
      <c r="ZE20" s="852"/>
      <c r="ZF20" s="852"/>
      <c r="ZG20" s="852"/>
      <c r="ZH20" s="852"/>
      <c r="ZI20" s="852"/>
      <c r="ZJ20" s="852"/>
      <c r="ZK20" s="852"/>
      <c r="ZL20" s="852"/>
      <c r="ZM20" s="852"/>
      <c r="ZN20" s="852"/>
      <c r="ZO20" s="852"/>
      <c r="ZP20" s="852"/>
      <c r="ZQ20" s="852"/>
      <c r="ZR20" s="852"/>
      <c r="ZS20" s="852"/>
      <c r="ZT20" s="852"/>
      <c r="ZU20" s="852"/>
      <c r="ZV20" s="852"/>
      <c r="ZW20" s="852"/>
      <c r="ZX20" s="852"/>
      <c r="ZY20" s="852"/>
      <c r="ZZ20" s="852"/>
      <c r="AAA20" s="852"/>
      <c r="AAB20" s="852"/>
      <c r="AAC20" s="852"/>
      <c r="AAD20" s="852"/>
      <c r="AAE20" s="852"/>
      <c r="AAF20" s="852"/>
      <c r="AAG20" s="852"/>
      <c r="AAH20" s="852"/>
      <c r="AAI20" s="852"/>
      <c r="AAJ20" s="852"/>
      <c r="AAK20" s="852"/>
      <c r="AAL20" s="852"/>
      <c r="AAM20" s="852"/>
      <c r="AAN20" s="852"/>
      <c r="AAO20" s="852"/>
      <c r="AAP20" s="852"/>
      <c r="AAQ20" s="852"/>
      <c r="AAR20" s="852"/>
      <c r="AAS20" s="852"/>
      <c r="AAT20" s="852"/>
      <c r="AAU20" s="852"/>
      <c r="AAV20" s="852"/>
      <c r="AAW20" s="852"/>
      <c r="AAX20" s="852"/>
      <c r="AAY20" s="852"/>
      <c r="AAZ20" s="852"/>
      <c r="ABA20" s="852"/>
      <c r="ABB20" s="852"/>
      <c r="ABC20" s="852"/>
      <c r="ABD20" s="852"/>
      <c r="ABE20" s="852"/>
      <c r="ABF20" s="852"/>
      <c r="ABG20" s="852"/>
      <c r="ABH20" s="852"/>
      <c r="ABI20" s="852"/>
      <c r="ABJ20" s="852"/>
      <c r="ABK20" s="852"/>
      <c r="ABL20" s="852"/>
      <c r="ABM20" s="852"/>
      <c r="ABN20" s="852"/>
      <c r="ABO20" s="852"/>
      <c r="ABP20" s="852"/>
      <c r="ABQ20" s="852"/>
      <c r="ABR20" s="852"/>
      <c r="ABS20" s="852"/>
      <c r="ABT20" s="852"/>
      <c r="ABU20" s="852"/>
      <c r="ABV20" s="852"/>
      <c r="ABW20" s="852"/>
      <c r="ABX20" s="852"/>
      <c r="ABY20" s="852"/>
      <c r="ABZ20" s="852"/>
      <c r="ACA20" s="852"/>
      <c r="ACB20" s="852"/>
      <c r="ACC20" s="852"/>
      <c r="ACD20" s="852"/>
      <c r="ACE20" s="852"/>
      <c r="ACF20" s="852"/>
      <c r="ACG20" s="852"/>
      <c r="ACH20" s="852"/>
      <c r="ACI20" s="852"/>
      <c r="ACJ20" s="852"/>
      <c r="ACK20" s="852"/>
      <c r="ACL20" s="852"/>
      <c r="ACM20" s="852"/>
      <c r="ACN20" s="852"/>
      <c r="ACO20" s="852"/>
      <c r="ACP20" s="852"/>
      <c r="ACQ20" s="852"/>
      <c r="ACR20" s="852"/>
      <c r="ACS20" s="852"/>
      <c r="ACT20" s="852"/>
      <c r="ACU20" s="852"/>
      <c r="ACV20" s="852"/>
      <c r="ACW20" s="852"/>
      <c r="ACX20" s="852"/>
      <c r="ACY20" s="852"/>
      <c r="ACZ20" s="852"/>
      <c r="ADA20" s="852"/>
      <c r="ADB20" s="852"/>
      <c r="ADC20" s="852"/>
      <c r="ADD20" s="852"/>
      <c r="ADE20" s="852"/>
      <c r="ADF20" s="852"/>
      <c r="ADG20" s="852"/>
      <c r="ADH20" s="852"/>
      <c r="ADI20" s="852"/>
      <c r="ADJ20" s="852"/>
      <c r="ADK20" s="852"/>
      <c r="ADL20" s="852"/>
      <c r="ADM20" s="852"/>
      <c r="ADN20" s="852"/>
      <c r="ADO20" s="852"/>
      <c r="ADP20" s="852"/>
      <c r="ADQ20" s="852"/>
      <c r="ADR20" s="852"/>
      <c r="ADS20" s="852"/>
      <c r="ADT20" s="852"/>
      <c r="ADU20" s="852"/>
      <c r="ADV20" s="852"/>
      <c r="ADW20" s="852"/>
      <c r="ADX20" s="852"/>
      <c r="ADY20" s="852"/>
      <c r="ADZ20" s="852"/>
      <c r="AEA20" s="852"/>
      <c r="AEB20" s="852"/>
      <c r="AEC20" s="852"/>
      <c r="AED20" s="852"/>
      <c r="AEE20" s="852"/>
      <c r="AEF20" s="852"/>
      <c r="AEG20" s="852"/>
      <c r="AEH20" s="852"/>
      <c r="AEI20" s="852"/>
      <c r="AEJ20" s="852"/>
      <c r="AEK20" s="852"/>
      <c r="AEL20" s="852"/>
      <c r="AEM20" s="852"/>
      <c r="AEN20" s="852"/>
      <c r="AEO20" s="852"/>
      <c r="AEP20" s="852"/>
      <c r="AEQ20" s="852"/>
      <c r="AER20" s="852"/>
      <c r="AES20" s="852"/>
      <c r="AET20" s="852"/>
      <c r="AEU20" s="852"/>
      <c r="AEV20" s="852"/>
      <c r="AEW20" s="852"/>
      <c r="AEX20" s="852"/>
      <c r="AEY20" s="852"/>
      <c r="AEZ20" s="852"/>
      <c r="AFA20" s="852"/>
      <c r="AFB20" s="852"/>
      <c r="AFC20" s="852"/>
      <c r="AFD20" s="852"/>
      <c r="AFE20" s="852"/>
      <c r="AFF20" s="852"/>
      <c r="AFG20" s="852"/>
      <c r="AFH20" s="852"/>
      <c r="AFI20" s="852"/>
      <c r="AFJ20" s="852"/>
      <c r="AFK20" s="852"/>
      <c r="AFL20" s="852"/>
      <c r="AFM20" s="852"/>
      <c r="AFN20" s="852"/>
      <c r="AFO20" s="852"/>
      <c r="AFP20" s="852"/>
      <c r="AFQ20" s="852"/>
      <c r="AFR20" s="852"/>
      <c r="AFS20" s="852"/>
      <c r="AFT20" s="852"/>
      <c r="AFU20" s="852"/>
      <c r="AFV20" s="852"/>
      <c r="AFW20" s="852"/>
      <c r="AFX20" s="852"/>
      <c r="AFY20" s="852"/>
      <c r="AFZ20" s="852"/>
      <c r="AGA20" s="852"/>
      <c r="AGB20" s="852"/>
      <c r="AGC20" s="852"/>
      <c r="AGD20" s="852"/>
      <c r="AGE20" s="852"/>
      <c r="AGF20" s="852"/>
      <c r="AGG20" s="852"/>
      <c r="AGH20" s="852"/>
      <c r="AGI20" s="852"/>
      <c r="AGJ20" s="852"/>
      <c r="AGK20" s="852"/>
      <c r="AGL20" s="852"/>
      <c r="AGM20" s="852"/>
      <c r="AGN20" s="852"/>
      <c r="AGO20" s="852"/>
      <c r="AGP20" s="852"/>
      <c r="AGQ20" s="852"/>
      <c r="AGR20" s="852"/>
      <c r="AGS20" s="852"/>
      <c r="AGT20" s="852"/>
      <c r="AGU20" s="852"/>
      <c r="AGV20" s="852"/>
      <c r="AGW20" s="852"/>
      <c r="AGX20" s="852"/>
      <c r="AGY20" s="852"/>
      <c r="AGZ20" s="852"/>
      <c r="AHA20" s="852"/>
      <c r="AHB20" s="852"/>
      <c r="AHC20" s="852"/>
      <c r="AHD20" s="852"/>
      <c r="AHE20" s="852"/>
      <c r="AHF20" s="852"/>
      <c r="AHG20" s="852"/>
      <c r="AHH20" s="852"/>
      <c r="AHI20" s="852"/>
      <c r="AHJ20" s="852"/>
      <c r="AHK20" s="852"/>
      <c r="AHL20" s="852"/>
      <c r="AHM20" s="852"/>
      <c r="AHN20" s="852"/>
      <c r="AHO20" s="852"/>
      <c r="AHP20" s="852"/>
      <c r="AHQ20" s="852"/>
      <c r="AHR20" s="852"/>
      <c r="AHS20" s="852"/>
      <c r="AHT20" s="852"/>
      <c r="AHU20" s="852"/>
      <c r="AHV20" s="852"/>
      <c r="AHW20" s="852"/>
      <c r="AHX20" s="852"/>
      <c r="AHY20" s="852"/>
      <c r="AHZ20" s="852"/>
      <c r="AIA20" s="852"/>
      <c r="AIB20" s="852"/>
      <c r="AIC20" s="852"/>
      <c r="AID20" s="852"/>
      <c r="AIE20" s="852"/>
      <c r="AIF20" s="852"/>
      <c r="AIG20" s="852"/>
      <c r="AIH20" s="852"/>
      <c r="AII20" s="852"/>
      <c r="AIJ20" s="852"/>
      <c r="AIK20" s="852"/>
      <c r="AIL20" s="852"/>
      <c r="AIM20" s="852"/>
      <c r="AIN20" s="852"/>
      <c r="AIO20" s="852"/>
      <c r="AIP20" s="852"/>
      <c r="AIQ20" s="852"/>
      <c r="AIR20" s="852"/>
      <c r="AIS20" s="852"/>
      <c r="AIT20" s="852"/>
      <c r="AIU20" s="852"/>
      <c r="AIV20" s="852"/>
      <c r="AIW20" s="852"/>
      <c r="AIX20" s="852"/>
      <c r="AIY20" s="852"/>
      <c r="AIZ20" s="852"/>
      <c r="AJA20" s="852"/>
      <c r="AJB20" s="852"/>
      <c r="AJC20" s="852"/>
      <c r="AJD20" s="852"/>
      <c r="AJE20" s="852"/>
      <c r="AJF20" s="852"/>
      <c r="AJG20" s="852"/>
      <c r="AJH20" s="852"/>
      <c r="AJI20" s="852"/>
      <c r="AJJ20" s="852"/>
      <c r="AJK20" s="852"/>
      <c r="AJL20" s="852"/>
      <c r="AJM20" s="852"/>
      <c r="AJN20" s="852"/>
      <c r="AJO20" s="852"/>
      <c r="AJP20" s="852"/>
      <c r="AJQ20" s="852"/>
      <c r="AJR20" s="852"/>
      <c r="AJS20" s="852"/>
      <c r="AJT20" s="852"/>
      <c r="AJU20" s="852"/>
      <c r="AJV20" s="852"/>
      <c r="AJW20" s="852"/>
      <c r="AJX20" s="852"/>
      <c r="AJY20" s="852"/>
      <c r="AJZ20" s="852"/>
      <c r="AKA20" s="852"/>
      <c r="AKB20" s="852"/>
      <c r="AKC20" s="852"/>
      <c r="AKD20" s="852"/>
      <c r="AKE20" s="852"/>
      <c r="AKF20" s="852"/>
      <c r="AKG20" s="852"/>
      <c r="AKH20" s="852"/>
      <c r="AKI20" s="852"/>
      <c r="AKJ20" s="852"/>
      <c r="AKK20" s="852"/>
      <c r="AKL20" s="852"/>
      <c r="AKM20" s="852"/>
      <c r="AKN20" s="852"/>
      <c r="AKO20" s="852"/>
      <c r="AKP20" s="852"/>
      <c r="AKQ20" s="852"/>
      <c r="AKR20" s="852"/>
      <c r="AKS20" s="852"/>
      <c r="AKT20" s="852"/>
      <c r="AKU20" s="852"/>
      <c r="AKV20" s="852"/>
      <c r="AKW20" s="852"/>
      <c r="AKX20" s="852"/>
      <c r="AKY20" s="852"/>
      <c r="AKZ20" s="852"/>
      <c r="ALA20" s="852"/>
      <c r="ALB20" s="852"/>
      <c r="ALC20" s="852"/>
      <c r="ALD20" s="852"/>
      <c r="ALE20" s="852"/>
      <c r="ALF20" s="852"/>
      <c r="ALG20" s="852"/>
      <c r="ALH20" s="852"/>
      <c r="ALI20" s="852"/>
      <c r="ALJ20" s="852"/>
      <c r="ALK20" s="852"/>
      <c r="ALL20" s="852"/>
      <c r="ALM20" s="852"/>
      <c r="ALN20" s="852"/>
      <c r="ALO20" s="852"/>
      <c r="ALP20" s="852"/>
      <c r="ALQ20" s="852"/>
      <c r="ALR20" s="852"/>
      <c r="ALS20" s="852"/>
      <c r="ALT20" s="852"/>
      <c r="ALU20" s="852"/>
      <c r="ALV20" s="852"/>
      <c r="ALW20" s="852"/>
      <c r="ALX20" s="852"/>
      <c r="ALY20" s="852"/>
      <c r="ALZ20" s="852"/>
      <c r="AMA20" s="852"/>
      <c r="AMB20" s="852"/>
      <c r="AMC20" s="852"/>
      <c r="AMD20" s="852"/>
      <c r="AME20" s="852"/>
      <c r="AMF20" s="852"/>
      <c r="AMG20" s="852"/>
      <c r="AMH20" s="852"/>
      <c r="AMI20" s="852"/>
      <c r="AMJ20" s="852"/>
      <c r="AMK20" s="852"/>
      <c r="AML20" s="852"/>
      <c r="AMM20" s="852"/>
    </row>
    <row r="21" spans="1:1027">
      <c r="A21" s="688" t="s">
        <v>776</v>
      </c>
      <c r="B21" s="689"/>
      <c r="C21" s="689"/>
      <c r="D21" s="689"/>
      <c r="E21" s="690"/>
      <c r="F21" s="690"/>
      <c r="G21" s="690"/>
      <c r="H21" s="475"/>
      <c r="I21" s="475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AA21" s="689"/>
    </row>
    <row r="22" spans="1:1027">
      <c r="A22" s="691" t="s">
        <v>38</v>
      </c>
      <c r="B22" s="689"/>
      <c r="C22" s="941">
        <f>+'ESF20'!C85</f>
        <v>-8906415.7400000002</v>
      </c>
      <c r="D22" s="689"/>
      <c r="E22" s="690">
        <v>-1804677</v>
      </c>
      <c r="F22" s="690"/>
      <c r="G22" s="690">
        <f>+'ESF20'!J8-'EFE20'!G8</f>
        <v>6208046</v>
      </c>
      <c r="H22" s="475">
        <v>-1300909</v>
      </c>
      <c r="I22" s="475">
        <v>2909073</v>
      </c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AA22" s="941">
        <v>-1804677</v>
      </c>
    </row>
    <row r="23" spans="1:1027">
      <c r="A23" s="691" t="s">
        <v>126</v>
      </c>
      <c r="B23" s="689"/>
      <c r="C23" s="941">
        <f>+'ESF20'!D19+'ESF20'!D9-10122768</f>
        <v>-15604362.149999999</v>
      </c>
      <c r="D23" s="689"/>
      <c r="E23" s="690">
        <v>2402819</v>
      </c>
      <c r="F23" s="690"/>
      <c r="G23" s="690">
        <f>+'ESF20'!J9+'ESF20'!J17</f>
        <v>-8058540</v>
      </c>
      <c r="H23" s="475">
        <v>-11254398</v>
      </c>
      <c r="I23" s="475">
        <v>-10190618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AA23" s="941">
        <v>2402819</v>
      </c>
    </row>
    <row r="24" spans="1:1027">
      <c r="A24" s="691" t="s">
        <v>42</v>
      </c>
      <c r="B24" s="689"/>
      <c r="C24" s="942">
        <f>+'ESF20'!D11+'ESF20'!D18</f>
        <v>1094346</v>
      </c>
      <c r="D24" s="689"/>
      <c r="E24" s="656">
        <v>-12472591</v>
      </c>
      <c r="F24" s="656"/>
      <c r="G24" s="656">
        <v>-1255245</v>
      </c>
      <c r="H24" s="475">
        <v>-5437748</v>
      </c>
      <c r="I24" s="475">
        <v>3571662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AA24" s="942">
        <v>-12472591</v>
      </c>
    </row>
    <row r="25" spans="1:1027">
      <c r="A25" s="691" t="s">
        <v>43</v>
      </c>
      <c r="B25" s="689"/>
      <c r="C25" s="941">
        <f>+'ESF20'!D10</f>
        <v>46133.239999999991</v>
      </c>
      <c r="D25" s="689"/>
      <c r="E25" s="690">
        <v>228775</v>
      </c>
      <c r="F25" s="690"/>
      <c r="G25" s="690">
        <f>+'ESF20'!J10</f>
        <v>373975</v>
      </c>
      <c r="H25" s="475">
        <v>685042</v>
      </c>
      <c r="I25" s="475">
        <v>53985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AA25" s="941">
        <v>228775</v>
      </c>
    </row>
    <row r="26" spans="1:1027">
      <c r="A26" s="691" t="s">
        <v>45</v>
      </c>
      <c r="B26" s="689"/>
      <c r="C26" s="941">
        <f>+'ESF20'!D12</f>
        <v>-1798658</v>
      </c>
      <c r="D26" s="689"/>
      <c r="E26" s="690">
        <v>-233386</v>
      </c>
      <c r="F26" s="690"/>
      <c r="G26" s="690">
        <f>+'ESF20'!J12</f>
        <v>122526</v>
      </c>
      <c r="H26" s="475">
        <v>1728719</v>
      </c>
      <c r="I26" s="475">
        <v>-230586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AA26" s="941">
        <v>-233386</v>
      </c>
    </row>
    <row r="27" spans="1:1027">
      <c r="A27" s="691" t="s">
        <v>46</v>
      </c>
      <c r="B27" s="689"/>
      <c r="C27" s="943">
        <f>+'ESF20'!D13</f>
        <v>259111.62000000104</v>
      </c>
      <c r="D27" s="689"/>
      <c r="E27" s="690">
        <v>-4708564</v>
      </c>
      <c r="F27" s="690"/>
      <c r="G27" s="690">
        <f>+'ESF20'!J13</f>
        <v>-9322375</v>
      </c>
      <c r="H27" s="475">
        <v>4055589</v>
      </c>
      <c r="I27" s="475">
        <v>653652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AA27" s="943">
        <v>-4708564</v>
      </c>
    </row>
    <row r="28" spans="1:1027">
      <c r="A28" s="691" t="s">
        <v>61</v>
      </c>
      <c r="B28" s="689"/>
      <c r="C28" s="941">
        <f>+'ESF20'!D14+'ESF20'!D25</f>
        <v>-721965.18000000017</v>
      </c>
      <c r="D28" s="689"/>
      <c r="E28" s="690">
        <v>3067865</v>
      </c>
      <c r="F28" s="690"/>
      <c r="G28" s="690">
        <f>+'ESF20'!J23</f>
        <v>1257222</v>
      </c>
      <c r="H28" s="475">
        <f>-+'ESF20'!L23</f>
        <v>-1190535</v>
      </c>
      <c r="I28" s="475">
        <v>-114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AA28" s="941">
        <v>3067865</v>
      </c>
    </row>
    <row r="29" spans="1:1027">
      <c r="A29" s="691" t="s">
        <v>67</v>
      </c>
      <c r="B29" s="689"/>
      <c r="C29" s="942">
        <f>+'ESF20'!R8</f>
        <v>7573306</v>
      </c>
      <c r="D29" s="689"/>
      <c r="E29" s="690">
        <v>3444203</v>
      </c>
      <c r="F29" s="690"/>
      <c r="G29" s="690">
        <f>+'ESF20'!X8+'ESF20'!X20</f>
        <v>-3543922</v>
      </c>
      <c r="H29" s="475">
        <f>+'ESF20'!Z8+'ESF20'!Z18</f>
        <v>-1598876</v>
      </c>
      <c r="I29" s="475">
        <v>-436112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AA29" s="942">
        <v>3444203</v>
      </c>
    </row>
    <row r="30" spans="1:1027">
      <c r="A30" s="691" t="s">
        <v>139</v>
      </c>
      <c r="B30" s="689"/>
      <c r="C30" s="941">
        <f>+'ESF20'!R9+'ESF20'!R21</f>
        <v>-846413.6799999997</v>
      </c>
      <c r="D30" s="689"/>
      <c r="E30" s="690">
        <v>-11251354</v>
      </c>
      <c r="F30" s="690"/>
      <c r="G30" s="690">
        <f>+'ESF20'!X9+'ESF20'!X21</f>
        <v>960101</v>
      </c>
      <c r="H30" s="475">
        <f>+'ESF20'!Z9+'ESF20'!Z19-705016</f>
        <v>946225</v>
      </c>
      <c r="I30" s="475">
        <v>-4197057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AA30" s="941">
        <v>-11251354</v>
      </c>
    </row>
    <row r="31" spans="1:1027">
      <c r="A31" s="691" t="s">
        <v>777</v>
      </c>
      <c r="B31" s="689"/>
      <c r="C31" s="941">
        <f>+'ESF20'!C73</f>
        <v>978507</v>
      </c>
      <c r="D31" s="689"/>
      <c r="E31" s="690">
        <v>845971</v>
      </c>
      <c r="F31" s="690"/>
      <c r="G31" s="690">
        <f>+'ESF20'!X10</f>
        <v>2460744</v>
      </c>
      <c r="H31" s="475">
        <f>+'ESF20'!Z10</f>
        <v>130512</v>
      </c>
      <c r="I31" s="475">
        <f>1627958+392</f>
        <v>1628350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AA31" s="941">
        <v>845971</v>
      </c>
    </row>
    <row r="32" spans="1:1027">
      <c r="A32" s="691" t="s">
        <v>72</v>
      </c>
      <c r="B32" s="689"/>
      <c r="C32" s="941">
        <f>+'ESF20'!R11+'ESF20'!R22</f>
        <v>-15831564.469999999</v>
      </c>
      <c r="D32" s="689"/>
      <c r="E32" s="690">
        <v>11962398</v>
      </c>
      <c r="F32" s="690"/>
      <c r="G32" s="690">
        <f>+'ESF20'!X11+'ESF20'!X22</f>
        <v>-370553</v>
      </c>
      <c r="H32" s="475">
        <f>+'ESF20'!Z11+'ESF20'!Z20</f>
        <v>-509500</v>
      </c>
      <c r="I32" s="475">
        <v>2623083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AA32" s="941">
        <v>11962398</v>
      </c>
    </row>
    <row r="33" spans="1:27">
      <c r="A33" s="691" t="s">
        <v>76</v>
      </c>
      <c r="B33" s="689"/>
      <c r="C33" s="940">
        <f>+'ESF20'!C106</f>
        <v>0</v>
      </c>
      <c r="D33" s="689"/>
      <c r="E33" s="690">
        <v>721539</v>
      </c>
      <c r="F33" s="690"/>
      <c r="G33" s="690">
        <v>-45316</v>
      </c>
      <c r="H33" s="656">
        <v>-2404770</v>
      </c>
      <c r="I33" s="475">
        <v>-5964702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AA33" s="940">
        <v>721539</v>
      </c>
    </row>
    <row r="34" spans="1:27">
      <c r="A34" s="691" t="s">
        <v>520</v>
      </c>
      <c r="B34" s="689"/>
      <c r="C34" s="941">
        <f>+'ESF20'!C101</f>
        <v>1100326</v>
      </c>
      <c r="D34" s="689"/>
      <c r="E34" s="690">
        <v>0</v>
      </c>
      <c r="F34" s="690"/>
      <c r="G34" s="690"/>
      <c r="H34" s="656"/>
      <c r="I34" s="475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AA34" s="941">
        <v>0</v>
      </c>
    </row>
    <row r="35" spans="1:27">
      <c r="A35" s="691" t="s">
        <v>904</v>
      </c>
      <c r="B35" s="689"/>
      <c r="C35" s="941">
        <f>+'ESF20'!R12+'ESF20'!R20</f>
        <v>-588307</v>
      </c>
      <c r="D35" s="689"/>
      <c r="E35" s="690">
        <v>0</v>
      </c>
      <c r="F35" s="690"/>
      <c r="G35" s="690"/>
      <c r="H35" s="656"/>
      <c r="I35" s="475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AA35" s="941">
        <v>0</v>
      </c>
    </row>
    <row r="36" spans="1:27">
      <c r="A36" s="691" t="s">
        <v>75</v>
      </c>
      <c r="B36" s="689"/>
      <c r="C36" s="940">
        <f>+'ESF20'!C79</f>
        <v>3211662.08</v>
      </c>
      <c r="D36" s="689"/>
      <c r="E36" s="690">
        <v>306465</v>
      </c>
      <c r="F36" s="690"/>
      <c r="G36" s="690">
        <f>+'ESF20'!X15-218884</f>
        <v>1447046</v>
      </c>
      <c r="H36" s="475">
        <f>+'ESF20'!Z13-199556+167797</f>
        <v>152364</v>
      </c>
      <c r="I36" s="475">
        <v>707123</v>
      </c>
      <c r="J36" s="656"/>
      <c r="K36" s="54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AA36" s="940">
        <v>306465</v>
      </c>
    </row>
    <row r="37" spans="1:27">
      <c r="A37" s="691" t="s">
        <v>875</v>
      </c>
      <c r="B37" s="689"/>
      <c r="C37" s="941"/>
      <c r="D37" s="689"/>
      <c r="E37" s="690">
        <v>0</v>
      </c>
      <c r="F37" s="690"/>
      <c r="G37" s="690">
        <f>+'ESF20'!X25+'ESF20'!X26</f>
        <v>-992443</v>
      </c>
      <c r="H37" s="475">
        <f>+'ESF20'!Z23</f>
        <v>0</v>
      </c>
      <c r="I37" s="475">
        <v>-2365666</v>
      </c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AA37" s="941">
        <v>0</v>
      </c>
    </row>
    <row r="38" spans="1:27">
      <c r="A38" s="688" t="s">
        <v>778</v>
      </c>
      <c r="B38" s="689"/>
      <c r="C38" s="693">
        <f>+SUM(C20:C37)</f>
        <v>33975897.770000011</v>
      </c>
      <c r="D38" s="475">
        <f>+SUM(D20:D37)</f>
        <v>0</v>
      </c>
      <c r="E38" s="693">
        <v>51565610</v>
      </c>
      <c r="F38" s="475"/>
      <c r="G38" s="693">
        <f>+SUM(G20:G37)</f>
        <v>34478078</v>
      </c>
      <c r="H38" s="475">
        <f>+SUM(H20:H37)</f>
        <v>20460635.04999999</v>
      </c>
      <c r="I38" s="475">
        <f>+SUM(I20:I37)</f>
        <v>31253972</v>
      </c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AA38" s="693">
        <f>+SUM(AA20:AA37)</f>
        <v>51565610</v>
      </c>
    </row>
    <row r="39" spans="1:27">
      <c r="A39" s="691" t="s">
        <v>779</v>
      </c>
      <c r="B39" s="689"/>
      <c r="C39" s="951">
        <f>+Y39</f>
        <v>-9630357</v>
      </c>
      <c r="D39" s="689"/>
      <c r="E39" s="690">
        <v>-7316715</v>
      </c>
      <c r="F39" s="690"/>
      <c r="G39" s="690">
        <f>+'ERI20'!H20</f>
        <v>-4254413</v>
      </c>
      <c r="H39" s="475">
        <f>+'ERI20'!J20</f>
        <v>-3475906</v>
      </c>
      <c r="I39" s="475">
        <v>-3198548</v>
      </c>
      <c r="J39" s="408">
        <v>-9036041</v>
      </c>
      <c r="K39" s="408"/>
      <c r="L39" s="408"/>
      <c r="M39" s="408"/>
      <c r="N39" s="408"/>
      <c r="O39" s="408"/>
      <c r="P39" s="408"/>
      <c r="Q39" s="408"/>
      <c r="R39" s="408"/>
      <c r="S39" s="953">
        <v>-268323</v>
      </c>
      <c r="T39" s="408">
        <v>-325993</v>
      </c>
      <c r="U39" s="408"/>
      <c r="V39" s="408">
        <f>SUM(J39:U39)</f>
        <v>-9630357</v>
      </c>
      <c r="W39" s="408"/>
      <c r="X39" s="408"/>
      <c r="Y39" s="408">
        <f>+V39+W39-X39</f>
        <v>-9630357</v>
      </c>
      <c r="Z39" s="408"/>
      <c r="AA39" s="951">
        <v>-7316715</v>
      </c>
    </row>
    <row r="40" spans="1:27">
      <c r="A40" s="691" t="s">
        <v>780</v>
      </c>
      <c r="B40" s="689"/>
      <c r="C40" s="949">
        <f t="shared" ref="C40" si="4">+Y40</f>
        <v>-4453394</v>
      </c>
      <c r="D40" s="689"/>
      <c r="E40" s="690">
        <v>-2840226</v>
      </c>
      <c r="F40" s="690"/>
      <c r="G40" s="656">
        <v>-1591304</v>
      </c>
      <c r="H40" s="475">
        <v>-1759101</v>
      </c>
      <c r="I40" s="475">
        <v>-2644886</v>
      </c>
      <c r="J40" s="408">
        <v>-3976474</v>
      </c>
      <c r="K40" s="414"/>
      <c r="L40" s="414"/>
      <c r="M40" s="414"/>
      <c r="N40" s="414"/>
      <c r="O40" s="414"/>
      <c r="P40" s="414"/>
      <c r="Q40" s="414"/>
      <c r="R40" s="414"/>
      <c r="S40" s="940">
        <v>-231683</v>
      </c>
      <c r="T40" s="940">
        <v>-245237</v>
      </c>
      <c r="U40" s="414"/>
      <c r="V40" s="408">
        <f>SUM(J40:U40)</f>
        <v>-4453394</v>
      </c>
      <c r="W40" s="414"/>
      <c r="X40" s="414"/>
      <c r="Y40" s="408">
        <f>+V40+W40-X40</f>
        <v>-4453394</v>
      </c>
      <c r="Z40" s="408"/>
      <c r="AA40" s="949">
        <v>-2840226</v>
      </c>
    </row>
    <row r="41" spans="1:27">
      <c r="A41" s="691" t="s">
        <v>781</v>
      </c>
      <c r="B41" s="689"/>
      <c r="C41" s="949">
        <f>+'ESF20'!C56</f>
        <v>-1800408</v>
      </c>
      <c r="D41" s="689"/>
      <c r="E41" s="690">
        <v>-1788845</v>
      </c>
      <c r="F41" s="690"/>
      <c r="G41" s="656">
        <v>-207177</v>
      </c>
      <c r="H41" s="475">
        <v>-107410</v>
      </c>
      <c r="I41" s="475">
        <v>-470931</v>
      </c>
      <c r="J41" s="408">
        <v>-17000</v>
      </c>
      <c r="K41" s="414"/>
      <c r="L41" s="414"/>
      <c r="M41" s="414"/>
      <c r="N41" s="414"/>
      <c r="O41" s="414"/>
      <c r="P41" s="414"/>
      <c r="Q41" s="414"/>
      <c r="R41" s="414"/>
      <c r="S41" s="414"/>
      <c r="T41" s="414"/>
      <c r="U41" s="414"/>
      <c r="V41" s="408">
        <f>SUM(J41:U41)</f>
        <v>-17000</v>
      </c>
      <c r="W41" s="414"/>
      <c r="X41" s="414"/>
      <c r="Y41" s="408">
        <f>+V41+W41-X41</f>
        <v>-17000</v>
      </c>
      <c r="Z41" s="408"/>
      <c r="AA41" s="949">
        <v>-1788845</v>
      </c>
    </row>
    <row r="42" spans="1:27">
      <c r="A42" s="694" t="s">
        <v>782</v>
      </c>
      <c r="B42" s="695"/>
      <c r="C42" s="696">
        <f>SUM(C38:C41)</f>
        <v>18091738.770000011</v>
      </c>
      <c r="D42" s="697">
        <f t="shared" ref="D42" si="5">+D38+D39+D40+D41</f>
        <v>0</v>
      </c>
      <c r="E42" s="696">
        <v>39619824</v>
      </c>
      <c r="F42" s="697"/>
      <c r="G42" s="696">
        <f>+G38+G39+G40+G41</f>
        <v>28425184</v>
      </c>
      <c r="H42" s="698">
        <f>+H38+H39+H40+H41</f>
        <v>15118218.04999999</v>
      </c>
      <c r="I42" s="697">
        <f>+I38+I39+I40+I41</f>
        <v>24939607</v>
      </c>
      <c r="J42" s="414"/>
      <c r="K42" s="481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4"/>
      <c r="X42" s="414"/>
      <c r="Y42" s="414"/>
      <c r="AA42" s="696">
        <f>SUM(AA38:AA41)</f>
        <v>39619824</v>
      </c>
    </row>
    <row r="43" spans="1:27" ht="15" hidden="1" customHeight="1">
      <c r="A43" s="679" t="s">
        <v>884</v>
      </c>
      <c r="B43" s="687"/>
      <c r="C43" s="687"/>
      <c r="D43" s="687"/>
      <c r="E43" s="408"/>
      <c r="F43" s="408"/>
      <c r="G43" s="408"/>
      <c r="H43" s="408"/>
      <c r="I43" s="408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414"/>
      <c r="AA43" s="687"/>
    </row>
    <row r="44" spans="1:27" ht="15" hidden="1" customHeight="1">
      <c r="A44" s="681" t="s">
        <v>886</v>
      </c>
      <c r="B44" s="687"/>
      <c r="C44" s="940">
        <f>+'ESF20'!F8+'ESF20'!F9+'ESF20'!F11+'ESF20'!F12+'ERI20'!D3-'ESF20'!C8-'ESF20'!C9-'ESF20'!C11-'ESF20'!C12</f>
        <v>209927081.00999996</v>
      </c>
      <c r="D44" s="687"/>
      <c r="E44" s="408"/>
      <c r="F44" s="408"/>
      <c r="G44" s="408"/>
      <c r="H44" s="408"/>
      <c r="I44" s="408"/>
      <c r="J44" s="940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AA44" s="940">
        <f>+'ESF20'!W8+'ESF20'!W9+'ESF20'!W11+'ESF20'!W12+'ERI20'!F3-'ESF20'!Q8-'ESF20'!Q9-'ESF20'!Q11-'ESF20'!Q12</f>
        <v>190173088.38</v>
      </c>
    </row>
    <row r="45" spans="1:27" ht="15" hidden="1" customHeight="1">
      <c r="A45" s="681" t="s">
        <v>887</v>
      </c>
      <c r="B45" s="687"/>
      <c r="C45" s="940">
        <v>-177586466</v>
      </c>
      <c r="D45" s="687"/>
      <c r="E45" s="408"/>
      <c r="F45" s="408"/>
      <c r="G45" s="408"/>
      <c r="H45" s="408"/>
      <c r="I45" s="408"/>
      <c r="J45" s="940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AA45" s="940">
        <f>39619824-178295705</f>
        <v>-138675881</v>
      </c>
    </row>
    <row r="46" spans="1:27" ht="15" hidden="1" customHeight="1">
      <c r="A46" s="681" t="s">
        <v>896</v>
      </c>
      <c r="B46" s="687"/>
      <c r="C46" s="940">
        <f>+Y46</f>
        <v>-9630357</v>
      </c>
      <c r="D46" s="687"/>
      <c r="E46" s="408"/>
      <c r="F46" s="408"/>
      <c r="G46" s="408"/>
      <c r="H46" s="408"/>
      <c r="I46" s="408"/>
      <c r="J46" s="940">
        <v>-9036041</v>
      </c>
      <c r="K46" s="414"/>
      <c r="L46" s="414"/>
      <c r="M46" s="414"/>
      <c r="N46" s="414"/>
      <c r="O46" s="414"/>
      <c r="P46" s="414"/>
      <c r="Q46" s="414"/>
      <c r="R46" s="414"/>
      <c r="S46" s="940">
        <v>-268323</v>
      </c>
      <c r="T46" s="940">
        <v>-325993</v>
      </c>
      <c r="U46" s="414"/>
      <c r="V46" s="544">
        <f>SUM(J46:U46)</f>
        <v>-9630357</v>
      </c>
      <c r="W46" s="414"/>
      <c r="X46" s="414"/>
      <c r="Y46" s="544">
        <f>+V46</f>
        <v>-9630357</v>
      </c>
      <c r="AA46" s="940">
        <v>-7316715</v>
      </c>
    </row>
    <row r="47" spans="1:27" ht="15" hidden="1" customHeight="1">
      <c r="A47" s="681" t="s">
        <v>888</v>
      </c>
      <c r="B47" s="687"/>
      <c r="C47" s="940">
        <f>+J47</f>
        <v>-501019</v>
      </c>
      <c r="D47" s="687"/>
      <c r="E47" s="408"/>
      <c r="F47" s="408"/>
      <c r="G47" s="408"/>
      <c r="H47" s="408"/>
      <c r="I47" s="408"/>
      <c r="J47" s="940">
        <v>-501019</v>
      </c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544">
        <f t="shared" ref="V47:V48" si="6">SUM(J47:U47)</f>
        <v>-501019</v>
      </c>
      <c r="W47" s="414"/>
      <c r="X47" s="414"/>
      <c r="Y47" s="544">
        <f t="shared" ref="Y47:Y48" si="7">+V47</f>
        <v>-501019</v>
      </c>
      <c r="AA47" s="940">
        <v>0</v>
      </c>
    </row>
    <row r="48" spans="1:27" ht="15" hidden="1" customHeight="1">
      <c r="A48" s="681" t="s">
        <v>889</v>
      </c>
      <c r="B48" s="687"/>
      <c r="C48" s="940">
        <f>+J48</f>
        <v>-1888989</v>
      </c>
      <c r="D48" s="687"/>
      <c r="E48" s="408"/>
      <c r="F48" s="408"/>
      <c r="G48" s="408"/>
      <c r="H48" s="408"/>
      <c r="I48" s="408"/>
      <c r="J48" s="940">
        <v>-1888989</v>
      </c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544">
        <f t="shared" si="6"/>
        <v>-1888989</v>
      </c>
      <c r="W48" s="414"/>
      <c r="X48" s="414"/>
      <c r="Y48" s="544">
        <f t="shared" si="7"/>
        <v>-1888989</v>
      </c>
      <c r="AA48" s="940">
        <v>-2563374</v>
      </c>
    </row>
    <row r="49" spans="1:27" ht="15" hidden="1" customHeight="1">
      <c r="A49" s="681" t="s">
        <v>890</v>
      </c>
      <c r="B49" s="687"/>
      <c r="C49" s="961">
        <f>SUM(C44:C48)</f>
        <v>20320250.009999961</v>
      </c>
      <c r="D49" s="687"/>
      <c r="E49" s="408"/>
      <c r="F49" s="408"/>
      <c r="G49" s="408"/>
      <c r="H49" s="408"/>
      <c r="I49" s="408"/>
      <c r="J49" s="940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AA49" s="961">
        <f>SUM(AA44:AA48)</f>
        <v>41617118.379999995</v>
      </c>
    </row>
    <row r="50" spans="1:27" ht="7.5" customHeight="1">
      <c r="A50" s="681"/>
      <c r="B50" s="687"/>
      <c r="D50" s="687"/>
      <c r="E50" s="408"/>
      <c r="F50" s="408"/>
      <c r="G50" s="408"/>
      <c r="H50" s="408"/>
      <c r="I50" s="408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AA50" s="960"/>
    </row>
    <row r="51" spans="1:27">
      <c r="A51" s="679" t="s">
        <v>783</v>
      </c>
      <c r="B51" s="687"/>
      <c r="C51" s="1066"/>
      <c r="D51" s="687"/>
      <c r="E51" s="699"/>
      <c r="F51" s="699"/>
      <c r="G51" s="699"/>
      <c r="H51" s="408"/>
      <c r="I51" s="408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AA51" s="687"/>
    </row>
    <row r="52" spans="1:27">
      <c r="A52" s="691" t="s">
        <v>784</v>
      </c>
      <c r="B52" s="689"/>
      <c r="C52" s="942">
        <f>+'ESF20'!D7</f>
        <v>3350139</v>
      </c>
      <c r="D52" s="689"/>
      <c r="E52" s="697">
        <v>-965345</v>
      </c>
      <c r="F52" s="697"/>
      <c r="G52" s="697">
        <f>+'ESF20'!J7</f>
        <v>251011</v>
      </c>
      <c r="H52" s="700">
        <v>-593863</v>
      </c>
      <c r="I52" s="697">
        <v>-175815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AA52" s="942">
        <v>-965345</v>
      </c>
    </row>
    <row r="53" spans="1:27">
      <c r="A53" s="691" t="s">
        <v>785</v>
      </c>
      <c r="B53" s="689"/>
      <c r="C53" s="941">
        <f>+'ESF20'!D6</f>
        <v>-3107992</v>
      </c>
      <c r="D53" s="689"/>
      <c r="E53" s="697">
        <v>60892</v>
      </c>
      <c r="F53" s="697"/>
      <c r="G53" s="697">
        <f>+'ESF20'!J6</f>
        <v>29809</v>
      </c>
      <c r="H53" s="700">
        <v>5828169</v>
      </c>
      <c r="I53" s="697">
        <v>-1655856</v>
      </c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AA53" s="941">
        <v>60892</v>
      </c>
    </row>
    <row r="54" spans="1:27">
      <c r="A54" s="691" t="s">
        <v>786</v>
      </c>
      <c r="B54" s="689"/>
      <c r="C54" s="942">
        <f>+'ESF20'!D23</f>
        <v>244098</v>
      </c>
      <c r="D54" s="689"/>
      <c r="E54" s="701">
        <v>-251355</v>
      </c>
      <c r="F54" s="701"/>
      <c r="G54" s="701">
        <v>0</v>
      </c>
      <c r="H54" s="432">
        <v>0</v>
      </c>
      <c r="I54" s="697">
        <v>-125000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AA54" s="942">
        <v>-251355</v>
      </c>
    </row>
    <row r="55" spans="1:27">
      <c r="A55" s="691" t="s">
        <v>878</v>
      </c>
      <c r="B55" s="689"/>
      <c r="C55" s="941">
        <f>+'ESF20'!C39</f>
        <v>-476006.5299999998</v>
      </c>
      <c r="D55" s="689"/>
      <c r="E55" s="701"/>
      <c r="F55" s="701"/>
      <c r="G55" s="701"/>
      <c r="H55" s="432"/>
      <c r="I55" s="697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AA55" s="941">
        <v>0</v>
      </c>
    </row>
    <row r="56" spans="1:27">
      <c r="A56" s="691" t="s">
        <v>877</v>
      </c>
      <c r="B56" s="689"/>
      <c r="C56" s="940">
        <f>+'ESF20'!C67</f>
        <v>-439321.65</v>
      </c>
      <c r="D56" s="689"/>
      <c r="E56" s="701"/>
      <c r="F56" s="701"/>
      <c r="G56" s="701">
        <v>0</v>
      </c>
      <c r="H56" s="697">
        <v>119269</v>
      </c>
      <c r="I56" s="697">
        <v>-1494761</v>
      </c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AA56" s="940">
        <v>0</v>
      </c>
    </row>
    <row r="57" spans="1:27">
      <c r="A57" s="691" t="s">
        <v>787</v>
      </c>
      <c r="B57" s="689"/>
      <c r="C57" s="941">
        <f>+'ESF20'!C45</f>
        <v>-11013439.439999998</v>
      </c>
      <c r="D57" s="689"/>
      <c r="E57" s="700">
        <v>-3842548</v>
      </c>
      <c r="F57" s="700"/>
      <c r="G57" s="700">
        <v>-12283237</v>
      </c>
      <c r="H57" s="697">
        <v>-15283415</v>
      </c>
      <c r="I57" s="697">
        <f>-19113929+437588</f>
        <v>-18676341</v>
      </c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AA57" s="941">
        <v>-3842548</v>
      </c>
    </row>
    <row r="58" spans="1:27">
      <c r="A58" s="691" t="s">
        <v>876</v>
      </c>
      <c r="B58" s="689"/>
      <c r="C58" s="940">
        <f>+'ESF20'!C51</f>
        <v>-1606904</v>
      </c>
      <c r="D58" s="689"/>
      <c r="E58" s="701">
        <v>0</v>
      </c>
      <c r="F58" s="701"/>
      <c r="G58" s="701">
        <v>0</v>
      </c>
      <c r="H58" s="432">
        <v>0</v>
      </c>
      <c r="I58" s="697">
        <v>-49200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AA58" s="940">
        <v>0</v>
      </c>
    </row>
    <row r="59" spans="1:27">
      <c r="A59" s="691" t="s">
        <v>788</v>
      </c>
      <c r="B59" s="689"/>
      <c r="C59" s="941">
        <f>+'ESF20'!C62</f>
        <v>-2586113</v>
      </c>
      <c r="D59" s="689"/>
      <c r="E59" s="700">
        <v>-909058</v>
      </c>
      <c r="F59" s="700"/>
      <c r="G59" s="700">
        <v>-4862718</v>
      </c>
      <c r="H59" s="697">
        <f>-(1121449+75987)</f>
        <v>-1197436</v>
      </c>
      <c r="I59" s="697">
        <v>-2492677</v>
      </c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AA59" s="941">
        <v>-909058</v>
      </c>
    </row>
    <row r="60" spans="1:27">
      <c r="A60" s="694" t="s">
        <v>789</v>
      </c>
      <c r="B60" s="689"/>
      <c r="C60" s="696">
        <f t="shared" ref="C60:AA60" si="8">+SUM(C52:C59)</f>
        <v>-15635539.619999997</v>
      </c>
      <c r="D60" s="696">
        <f t="shared" si="8"/>
        <v>0</v>
      </c>
      <c r="E60" s="696">
        <f t="shared" si="8"/>
        <v>-5907414</v>
      </c>
      <c r="F60" s="696">
        <f t="shared" si="8"/>
        <v>0</v>
      </c>
      <c r="G60" s="696">
        <f t="shared" si="8"/>
        <v>-16865135</v>
      </c>
      <c r="H60" s="696">
        <f t="shared" si="8"/>
        <v>-11127276</v>
      </c>
      <c r="I60" s="696">
        <f t="shared" si="8"/>
        <v>-24669650</v>
      </c>
      <c r="J60" s="696">
        <f t="shared" si="8"/>
        <v>0</v>
      </c>
      <c r="K60" s="696">
        <f t="shared" si="8"/>
        <v>0</v>
      </c>
      <c r="L60" s="696">
        <f t="shared" si="8"/>
        <v>0</v>
      </c>
      <c r="M60" s="696">
        <f t="shared" si="8"/>
        <v>0</v>
      </c>
      <c r="N60" s="696">
        <f t="shared" si="8"/>
        <v>0</v>
      </c>
      <c r="O60" s="696">
        <f t="shared" si="8"/>
        <v>0</v>
      </c>
      <c r="P60" s="696">
        <f t="shared" si="8"/>
        <v>0</v>
      </c>
      <c r="Q60" s="696">
        <f t="shared" si="8"/>
        <v>0</v>
      </c>
      <c r="R60" s="696">
        <f t="shared" si="8"/>
        <v>0</v>
      </c>
      <c r="S60" s="696">
        <f t="shared" si="8"/>
        <v>0</v>
      </c>
      <c r="T60" s="696">
        <f t="shared" si="8"/>
        <v>0</v>
      </c>
      <c r="U60" s="696">
        <f t="shared" si="8"/>
        <v>0</v>
      </c>
      <c r="V60" s="696">
        <f t="shared" si="8"/>
        <v>0</v>
      </c>
      <c r="W60" s="696">
        <f t="shared" si="8"/>
        <v>0</v>
      </c>
      <c r="X60" s="696">
        <f t="shared" si="8"/>
        <v>0</v>
      </c>
      <c r="Y60" s="696">
        <f t="shared" si="8"/>
        <v>0</v>
      </c>
      <c r="Z60" s="697">
        <f t="shared" si="8"/>
        <v>0</v>
      </c>
      <c r="AA60" s="696">
        <f t="shared" si="8"/>
        <v>-5907414</v>
      </c>
    </row>
    <row r="61" spans="1:27" ht="5.0999999999999996" customHeight="1">
      <c r="A61" s="414"/>
      <c r="B61" s="580"/>
      <c r="C61" s="580"/>
      <c r="D61" s="580"/>
      <c r="E61" s="408"/>
      <c r="F61" s="408"/>
      <c r="G61" s="408"/>
      <c r="H61" s="408"/>
      <c r="I61" s="408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AA61" s="580"/>
    </row>
    <row r="62" spans="1:27">
      <c r="A62" s="679" t="s">
        <v>790</v>
      </c>
      <c r="B62" s="687"/>
      <c r="C62" s="687"/>
      <c r="D62" s="687"/>
      <c r="E62" s="699"/>
      <c r="F62" s="699"/>
      <c r="G62" s="699"/>
      <c r="H62" s="408"/>
      <c r="I62" s="408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AA62" s="687"/>
    </row>
    <row r="63" spans="1:27">
      <c r="A63" s="681" t="s">
        <v>791</v>
      </c>
      <c r="B63" s="687"/>
      <c r="C63" s="949">
        <f t="shared" ref="C63" si="9">+Y63</f>
        <v>-1307540</v>
      </c>
      <c r="D63" s="687"/>
      <c r="E63" s="408">
        <v>-1307540</v>
      </c>
      <c r="F63" s="408"/>
      <c r="G63" s="699"/>
      <c r="H63" s="408"/>
      <c r="I63" s="408"/>
      <c r="J63" s="514">
        <v>-1307540</v>
      </c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544">
        <f>SUM(J63:U63)</f>
        <v>-1307540</v>
      </c>
      <c r="W63" s="414"/>
      <c r="X63" s="414"/>
      <c r="Y63" s="544">
        <f>+V63+W63-X63</f>
        <v>-1307540</v>
      </c>
      <c r="Z63" s="544"/>
      <c r="AA63" s="949">
        <v>-1307540</v>
      </c>
    </row>
    <row r="64" spans="1:27">
      <c r="A64" s="681" t="s">
        <v>874</v>
      </c>
      <c r="B64" s="687"/>
      <c r="C64" s="882">
        <v>0</v>
      </c>
      <c r="D64" s="687"/>
      <c r="E64" s="700">
        <v>221096</v>
      </c>
      <c r="F64" s="408"/>
      <c r="G64" s="699"/>
      <c r="H64" s="408"/>
      <c r="I64" s="408"/>
      <c r="J64" s="5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544"/>
      <c r="W64" s="414"/>
      <c r="X64" s="414"/>
      <c r="Y64" s="544"/>
      <c r="Z64" s="544"/>
      <c r="AA64" s="882">
        <v>221096</v>
      </c>
    </row>
    <row r="65" spans="1:27">
      <c r="A65" s="691" t="s">
        <v>792</v>
      </c>
      <c r="B65" s="689"/>
      <c r="C65" s="882">
        <v>0</v>
      </c>
      <c r="D65" s="689"/>
      <c r="E65" s="700">
        <v>1188714</v>
      </c>
      <c r="F65" s="700"/>
      <c r="G65" s="700">
        <v>0</v>
      </c>
      <c r="H65" s="432"/>
      <c r="I65" s="697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AA65" s="882">
        <v>1188714</v>
      </c>
    </row>
    <row r="66" spans="1:27">
      <c r="A66" s="691" t="s">
        <v>793</v>
      </c>
      <c r="B66" s="689"/>
      <c r="C66" s="882">
        <v>0</v>
      </c>
      <c r="D66" s="689"/>
      <c r="E66" s="690">
        <v>-5488035</v>
      </c>
      <c r="F66" s="700"/>
      <c r="G66" s="700">
        <v>0</v>
      </c>
      <c r="H66" s="432"/>
      <c r="I66" s="697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AA66" s="882">
        <v>-5488035</v>
      </c>
    </row>
    <row r="67" spans="1:27">
      <c r="A67" s="691" t="s">
        <v>794</v>
      </c>
      <c r="B67" s="689"/>
      <c r="C67" s="941">
        <f>+'ESF20'!R6+'ESF20'!R18</f>
        <v>1772765</v>
      </c>
      <c r="D67" s="689"/>
      <c r="E67" s="690">
        <v>-10808637</v>
      </c>
      <c r="F67" s="690"/>
      <c r="G67" s="690">
        <f>+'ESF20'!X6+'ESF20'!X18</f>
        <v>-7240852</v>
      </c>
      <c r="H67" s="697">
        <f>+'ESF20'!Z6+'ESF20'!Z16</f>
        <v>-4735058</v>
      </c>
      <c r="I67" s="697">
        <f>15141796-13490379-198890+4596345</f>
        <v>6048872</v>
      </c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AA67" s="941">
        <v>-10808637</v>
      </c>
    </row>
    <row r="68" spans="1:27">
      <c r="A68" s="691" t="s">
        <v>795</v>
      </c>
      <c r="B68" s="689"/>
      <c r="C68" s="942">
        <f>+'ESF20'!R7+'ESF20'!R19</f>
        <v>11202773.02</v>
      </c>
      <c r="D68" s="689"/>
      <c r="E68" s="946">
        <v>-8550313</v>
      </c>
      <c r="F68" s="690"/>
      <c r="G68" s="690">
        <f>+'ESF20'!X7+'ESF20'!X19</f>
        <v>-7134782</v>
      </c>
      <c r="H68" s="697">
        <f>+'ESF20'!Z7+'ESF20'!Z17</f>
        <v>-8370991</v>
      </c>
      <c r="I68" s="697">
        <f>13238971-9192632</f>
        <v>4046339</v>
      </c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AA68" s="942">
        <v>-8550313</v>
      </c>
    </row>
    <row r="69" spans="1:27">
      <c r="A69" s="694" t="s">
        <v>796</v>
      </c>
      <c r="B69" s="695"/>
      <c r="C69" s="702">
        <f>+SUM(C63:C68)</f>
        <v>11667998.02</v>
      </c>
      <c r="D69" s="702">
        <f t="shared" ref="D69:AA69" si="10">+SUM(D63:D68)</f>
        <v>0</v>
      </c>
      <c r="E69" s="702">
        <f t="shared" si="10"/>
        <v>-24744715</v>
      </c>
      <c r="F69" s="702">
        <f t="shared" si="10"/>
        <v>0</v>
      </c>
      <c r="G69" s="702">
        <f t="shared" si="10"/>
        <v>-14375634</v>
      </c>
      <c r="H69" s="702">
        <f t="shared" si="10"/>
        <v>-13106049</v>
      </c>
      <c r="I69" s="702">
        <f t="shared" si="10"/>
        <v>10095211</v>
      </c>
      <c r="J69" s="702">
        <f t="shared" si="10"/>
        <v>-1307540</v>
      </c>
      <c r="K69" s="702">
        <f t="shared" si="10"/>
        <v>0</v>
      </c>
      <c r="L69" s="702">
        <f t="shared" si="10"/>
        <v>0</v>
      </c>
      <c r="M69" s="702">
        <f t="shared" si="10"/>
        <v>0</v>
      </c>
      <c r="N69" s="702">
        <f t="shared" si="10"/>
        <v>0</v>
      </c>
      <c r="O69" s="702">
        <f t="shared" si="10"/>
        <v>0</v>
      </c>
      <c r="P69" s="702">
        <f t="shared" si="10"/>
        <v>0</v>
      </c>
      <c r="Q69" s="702">
        <f t="shared" si="10"/>
        <v>0</v>
      </c>
      <c r="R69" s="702">
        <f t="shared" si="10"/>
        <v>0</v>
      </c>
      <c r="S69" s="702">
        <f t="shared" si="10"/>
        <v>0</v>
      </c>
      <c r="T69" s="702">
        <f t="shared" si="10"/>
        <v>0</v>
      </c>
      <c r="U69" s="702">
        <f t="shared" si="10"/>
        <v>0</v>
      </c>
      <c r="V69" s="702">
        <f t="shared" si="10"/>
        <v>-1307540</v>
      </c>
      <c r="W69" s="702">
        <f t="shared" si="10"/>
        <v>0</v>
      </c>
      <c r="X69" s="702">
        <f t="shared" si="10"/>
        <v>0</v>
      </c>
      <c r="Y69" s="702">
        <f t="shared" si="10"/>
        <v>-1307540</v>
      </c>
      <c r="Z69" s="690">
        <f t="shared" si="10"/>
        <v>0</v>
      </c>
      <c r="AA69" s="702">
        <f t="shared" si="10"/>
        <v>-24744715</v>
      </c>
    </row>
    <row r="70" spans="1:27" ht="5.0999999999999996" customHeight="1">
      <c r="A70" s="703"/>
      <c r="B70" s="704"/>
      <c r="C70" s="704"/>
      <c r="D70" s="704"/>
      <c r="F70" s="701"/>
      <c r="G70" s="701"/>
      <c r="H70" s="408"/>
      <c r="I70" s="408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AA70" s="704"/>
    </row>
    <row r="71" spans="1:27">
      <c r="A71" s="694" t="s">
        <v>797</v>
      </c>
      <c r="B71" s="689"/>
      <c r="C71" s="690">
        <f>+C42+C60+C69</f>
        <v>14124197.170000013</v>
      </c>
      <c r="D71" s="690">
        <f t="shared" ref="D71:Z71" si="11">+D49+D60+D69</f>
        <v>0</v>
      </c>
      <c r="E71" s="690">
        <f t="shared" si="11"/>
        <v>-30652129</v>
      </c>
      <c r="F71" s="690">
        <f t="shared" si="11"/>
        <v>0</v>
      </c>
      <c r="G71" s="690">
        <f t="shared" si="11"/>
        <v>-31240769</v>
      </c>
      <c r="H71" s="690">
        <f t="shared" si="11"/>
        <v>-24233325</v>
      </c>
      <c r="I71" s="690">
        <f t="shared" si="11"/>
        <v>-14574439</v>
      </c>
      <c r="J71" s="690">
        <f t="shared" si="11"/>
        <v>-1307540</v>
      </c>
      <c r="K71" s="690">
        <f t="shared" si="11"/>
        <v>0</v>
      </c>
      <c r="L71" s="690">
        <f t="shared" si="11"/>
        <v>0</v>
      </c>
      <c r="M71" s="690">
        <f t="shared" si="11"/>
        <v>0</v>
      </c>
      <c r="N71" s="690">
        <f t="shared" si="11"/>
        <v>0</v>
      </c>
      <c r="O71" s="690">
        <f t="shared" si="11"/>
        <v>0</v>
      </c>
      <c r="P71" s="690">
        <f t="shared" si="11"/>
        <v>0</v>
      </c>
      <c r="Q71" s="690">
        <f t="shared" si="11"/>
        <v>0</v>
      </c>
      <c r="R71" s="690">
        <f t="shared" si="11"/>
        <v>0</v>
      </c>
      <c r="S71" s="690">
        <f t="shared" si="11"/>
        <v>0</v>
      </c>
      <c r="T71" s="690">
        <f t="shared" si="11"/>
        <v>0</v>
      </c>
      <c r="U71" s="690">
        <f t="shared" si="11"/>
        <v>0</v>
      </c>
      <c r="V71" s="690">
        <f t="shared" si="11"/>
        <v>-1307540</v>
      </c>
      <c r="W71" s="690">
        <f t="shared" si="11"/>
        <v>0</v>
      </c>
      <c r="X71" s="690">
        <f t="shared" si="11"/>
        <v>0</v>
      </c>
      <c r="Y71" s="690">
        <f t="shared" si="11"/>
        <v>-1307540</v>
      </c>
      <c r="Z71" s="690">
        <f t="shared" si="11"/>
        <v>0</v>
      </c>
      <c r="AA71" s="690">
        <f>+AA42+AA60+AA69</f>
        <v>8967695</v>
      </c>
    </row>
    <row r="72" spans="1:27">
      <c r="A72" s="694" t="s">
        <v>798</v>
      </c>
      <c r="B72" s="689"/>
      <c r="C72" s="941">
        <f>+AA73</f>
        <v>5811930</v>
      </c>
      <c r="D72" s="689"/>
      <c r="E72" s="946">
        <v>-3155765</v>
      </c>
      <c r="F72" s="690"/>
      <c r="G72" s="690">
        <f>+H73</f>
        <v>-35947050</v>
      </c>
      <c r="H72" s="697">
        <f>+I73</f>
        <v>-11713725</v>
      </c>
      <c r="I72" s="697">
        <v>2860714</v>
      </c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AA72" s="941">
        <v>-3155765</v>
      </c>
    </row>
    <row r="73" spans="1:27" ht="15.75" thickBot="1">
      <c r="A73" s="694" t="s">
        <v>799</v>
      </c>
      <c r="B73" s="689"/>
      <c r="C73" s="705">
        <f>+C71+C72</f>
        <v>19936127.170000013</v>
      </c>
      <c r="D73" s="705">
        <f t="shared" ref="D73:AA73" si="12">+D71+D72</f>
        <v>0</v>
      </c>
      <c r="E73" s="705">
        <f t="shared" si="12"/>
        <v>-33807894</v>
      </c>
      <c r="F73" s="705">
        <f t="shared" si="12"/>
        <v>0</v>
      </c>
      <c r="G73" s="705">
        <f t="shared" si="12"/>
        <v>-67187819</v>
      </c>
      <c r="H73" s="705">
        <f t="shared" si="12"/>
        <v>-35947050</v>
      </c>
      <c r="I73" s="705">
        <f t="shared" si="12"/>
        <v>-11713725</v>
      </c>
      <c r="J73" s="705">
        <f t="shared" si="12"/>
        <v>-1307540</v>
      </c>
      <c r="K73" s="705">
        <f t="shared" si="12"/>
        <v>0</v>
      </c>
      <c r="L73" s="705">
        <f t="shared" si="12"/>
        <v>0</v>
      </c>
      <c r="M73" s="705">
        <f t="shared" si="12"/>
        <v>0</v>
      </c>
      <c r="N73" s="705">
        <f t="shared" si="12"/>
        <v>0</v>
      </c>
      <c r="O73" s="705">
        <f t="shared" si="12"/>
        <v>0</v>
      </c>
      <c r="P73" s="705">
        <f t="shared" si="12"/>
        <v>0</v>
      </c>
      <c r="Q73" s="705">
        <f t="shared" si="12"/>
        <v>0</v>
      </c>
      <c r="R73" s="705">
        <f t="shared" si="12"/>
        <v>0</v>
      </c>
      <c r="S73" s="705">
        <f t="shared" si="12"/>
        <v>0</v>
      </c>
      <c r="T73" s="705">
        <f t="shared" si="12"/>
        <v>0</v>
      </c>
      <c r="U73" s="705">
        <f t="shared" si="12"/>
        <v>0</v>
      </c>
      <c r="V73" s="705">
        <f t="shared" si="12"/>
        <v>-1307540</v>
      </c>
      <c r="W73" s="705">
        <f t="shared" si="12"/>
        <v>0</v>
      </c>
      <c r="X73" s="705">
        <f t="shared" si="12"/>
        <v>0</v>
      </c>
      <c r="Y73" s="705">
        <f t="shared" si="12"/>
        <v>-1307540</v>
      </c>
      <c r="Z73" s="690">
        <f t="shared" si="12"/>
        <v>0</v>
      </c>
      <c r="AA73" s="705">
        <f t="shared" si="12"/>
        <v>5811930</v>
      </c>
    </row>
    <row r="74" spans="1:27" ht="5.0999999999999996" customHeight="1" thickTop="1">
      <c r="A74" s="414"/>
      <c r="B74" s="414"/>
      <c r="C74" s="414"/>
      <c r="E74" s="706"/>
      <c r="F74" s="706"/>
      <c r="G74" s="706"/>
      <c r="H74" s="706"/>
      <c r="I74" s="706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AA74" s="414"/>
    </row>
    <row r="75" spans="1:27" ht="11.25" customHeight="1">
      <c r="A75" s="414" t="s">
        <v>885</v>
      </c>
      <c r="B75" s="414"/>
      <c r="C75" s="950">
        <f>+C73-'ESF20'!C5</f>
        <v>-0.31999998539686203</v>
      </c>
      <c r="F75" s="706"/>
      <c r="G75" s="706"/>
      <c r="H75" s="706"/>
      <c r="I75" s="706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AA75" s="950">
        <f>8967695-AA71</f>
        <v>0</v>
      </c>
    </row>
    <row r="76" spans="1:27" ht="5.0999999999999996" customHeight="1">
      <c r="A76" s="414"/>
      <c r="B76" s="414"/>
      <c r="C76" s="414"/>
      <c r="E76" s="706"/>
      <c r="F76" s="706"/>
      <c r="G76" s="706"/>
      <c r="H76" s="706"/>
      <c r="I76" s="706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AA76" s="414"/>
    </row>
    <row r="77" spans="1:27">
      <c r="E77" s="707"/>
      <c r="F77" s="707"/>
      <c r="G77" s="706"/>
      <c r="H77" s="706"/>
      <c r="I77" s="706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</row>
    <row r="78" spans="1:27">
      <c r="E78" s="428">
        <v>0</v>
      </c>
      <c r="F78" s="428"/>
      <c r="G78" s="706"/>
      <c r="H78" s="706"/>
      <c r="I78" s="706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</row>
    <row r="79" spans="1:27">
      <c r="E79" s="428"/>
      <c r="F79" s="428"/>
      <c r="G79" s="706"/>
      <c r="H79" s="706"/>
      <c r="I79" s="706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</row>
    <row r="80" spans="1:27">
      <c r="G80" s="414"/>
      <c r="H80" s="581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</row>
    <row r="81" spans="7:25">
      <c r="G81" s="414"/>
      <c r="H81" s="414"/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</row>
    <row r="82" spans="7:25">
      <c r="G82" s="414"/>
      <c r="H82" s="414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</row>
    <row r="83" spans="7:25">
      <c r="G83" s="414"/>
      <c r="H83" s="414"/>
      <c r="I83" s="414"/>
      <c r="J83" s="414"/>
      <c r="K83" s="414"/>
      <c r="L83" s="414"/>
      <c r="M83" s="414"/>
      <c r="N83" s="414"/>
      <c r="O83" s="414"/>
      <c r="P83" s="414"/>
      <c r="Q83" s="414"/>
      <c r="R83" s="414"/>
      <c r="S83" s="414"/>
      <c r="T83" s="414"/>
      <c r="U83" s="414"/>
      <c r="V83" s="414"/>
      <c r="W83" s="414"/>
      <c r="X83" s="414"/>
      <c r="Y83" s="414"/>
    </row>
    <row r="84" spans="7:25"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</row>
    <row r="85" spans="7:25"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</row>
    <row r="86" spans="7:25"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</row>
  </sheetData>
  <pageMargins left="0.7" right="0.7" top="0.75" bottom="0.75" header="0.51180555555555496" footer="0.51180555555555496"/>
  <pageSetup scale="8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opLeftCell="A4" zoomScaleNormal="100" workbookViewId="0">
      <pane xSplit="1" ySplit="44" topLeftCell="B85" activePane="bottomRight" state="frozen"/>
      <selection activeCell="A4" sqref="A4"/>
      <selection pane="topRight" activeCell="B4" sqref="B4"/>
      <selection pane="bottomLeft" activeCell="A48" sqref="A48"/>
      <selection pane="bottomRight" activeCell="A90" sqref="A90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660" hidden="1" customWidth="1"/>
    <col min="19" max="19" width="12.28515625" style="403" hidden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728</v>
      </c>
    </row>
    <row r="3" spans="1:18">
      <c r="A3" s="404" t="s">
        <v>456</v>
      </c>
    </row>
    <row r="4" spans="1:18" ht="24.75" thickBot="1">
      <c r="B4" s="661" t="s">
        <v>293</v>
      </c>
      <c r="C4" s="661" t="s">
        <v>243</v>
      </c>
      <c r="D4" s="661" t="s">
        <v>828</v>
      </c>
      <c r="E4" s="661" t="s">
        <v>280</v>
      </c>
      <c r="F4" s="661" t="s">
        <v>281</v>
      </c>
      <c r="G4" s="661" t="s">
        <v>432</v>
      </c>
      <c r="H4" s="661" t="s">
        <v>282</v>
      </c>
      <c r="I4" s="661" t="s">
        <v>433</v>
      </c>
      <c r="J4" s="661" t="s">
        <v>827</v>
      </c>
      <c r="K4" s="661" t="s">
        <v>245</v>
      </c>
      <c r="L4" s="661" t="s">
        <v>247</v>
      </c>
      <c r="M4" s="661" t="s">
        <v>32</v>
      </c>
      <c r="N4" s="661" t="s">
        <v>497</v>
      </c>
      <c r="O4" s="662" t="s">
        <v>200</v>
      </c>
      <c r="P4" s="662" t="s">
        <v>201</v>
      </c>
      <c r="Q4" s="662" t="s">
        <v>453</v>
      </c>
    </row>
    <row r="5" spans="1:18" hidden="1">
      <c r="A5" s="663" t="s">
        <v>729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730</v>
      </c>
      <c r="B6" s="664">
        <v>35042687</v>
      </c>
      <c r="C6" s="664">
        <v>5000</v>
      </c>
      <c r="D6" s="664">
        <v>1105000</v>
      </c>
      <c r="E6" s="664">
        <v>10000</v>
      </c>
      <c r="F6" s="664">
        <v>1000</v>
      </c>
      <c r="G6" s="664">
        <v>1000</v>
      </c>
      <c r="H6" s="664">
        <v>5000</v>
      </c>
      <c r="I6" s="664">
        <v>10000</v>
      </c>
      <c r="J6" s="664">
        <v>800</v>
      </c>
      <c r="K6" s="664">
        <v>800</v>
      </c>
      <c r="L6" s="664">
        <v>3661400</v>
      </c>
      <c r="M6" s="664">
        <v>10000</v>
      </c>
      <c r="N6" s="664">
        <f>SUM(B6:M6)</f>
        <v>39852687</v>
      </c>
      <c r="O6" s="664">
        <f>+'AD ESF'!D137+'AD ESF'!D161+'AD ESF'!D198</f>
        <v>4810000</v>
      </c>
      <c r="P6" s="664"/>
      <c r="Q6" s="442">
        <f>+N6+P6-O6</f>
        <v>35042687</v>
      </c>
      <c r="R6" s="665">
        <f>+Q6-'ECP20'!B47</f>
        <v>0</v>
      </c>
    </row>
    <row r="7" spans="1:18" hidden="1">
      <c r="A7" s="564" t="s">
        <v>731</v>
      </c>
      <c r="B7" s="664">
        <v>-6115000</v>
      </c>
      <c r="C7" s="664"/>
      <c r="D7" s="664"/>
      <c r="E7" s="664">
        <v>-3200</v>
      </c>
      <c r="F7" s="664"/>
      <c r="G7" s="664"/>
      <c r="H7" s="664"/>
      <c r="I7" s="664"/>
      <c r="J7" s="664"/>
      <c r="K7" s="664"/>
      <c r="L7" s="664"/>
      <c r="M7" s="664"/>
      <c r="N7" s="664">
        <f>SUM(B7:M7)</f>
        <v>-6118200</v>
      </c>
      <c r="O7" s="664"/>
      <c r="P7" s="664">
        <f>+'AD ESF'!E189</f>
        <v>3200</v>
      </c>
      <c r="Q7" s="442">
        <f>+N7+P7-O7</f>
        <v>-6115000</v>
      </c>
      <c r="R7" s="665"/>
    </row>
    <row r="8" spans="1:18" hidden="1">
      <c r="A8" s="564" t="s">
        <v>732</v>
      </c>
      <c r="B8" s="664"/>
      <c r="C8" s="664"/>
      <c r="D8" s="664"/>
      <c r="E8" s="664">
        <v>-6800</v>
      </c>
      <c r="F8" s="664"/>
      <c r="G8" s="664"/>
      <c r="H8" s="664"/>
      <c r="I8" s="664"/>
      <c r="J8" s="664"/>
      <c r="K8" s="664"/>
      <c r="L8" s="664"/>
      <c r="M8" s="664"/>
      <c r="N8" s="664">
        <f>SUM(B8:M8)</f>
        <v>-6800</v>
      </c>
      <c r="O8" s="664"/>
      <c r="P8" s="664">
        <f>+'AD ESF'!E223</f>
        <v>6800</v>
      </c>
      <c r="Q8" s="442">
        <f>+N8+P8-O8</f>
        <v>0</v>
      </c>
      <c r="R8" s="665"/>
    </row>
    <row r="9" spans="1:18" ht="30" hidden="1">
      <c r="A9" s="666" t="s">
        <v>733</v>
      </c>
      <c r="B9" s="664">
        <v>8215675</v>
      </c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>
        <f>SUM(B9:M9)</f>
        <v>8215675</v>
      </c>
      <c r="O9" s="664"/>
      <c r="P9" s="664"/>
      <c r="Q9" s="442">
        <f>+N9+P9-O9</f>
        <v>8215675</v>
      </c>
    </row>
    <row r="10" spans="1:18" hidden="1">
      <c r="A10" s="667" t="s">
        <v>734</v>
      </c>
      <c r="B10" s="668">
        <f t="shared" ref="B10:Q10" si="0">SUM(B6:B9)</f>
        <v>37143362</v>
      </c>
      <c r="C10" s="668">
        <f t="shared" si="0"/>
        <v>5000</v>
      </c>
      <c r="D10" s="668">
        <f t="shared" si="0"/>
        <v>1105000</v>
      </c>
      <c r="E10" s="668">
        <f t="shared" si="0"/>
        <v>0</v>
      </c>
      <c r="F10" s="668">
        <f t="shared" si="0"/>
        <v>1000</v>
      </c>
      <c r="G10" s="668">
        <f t="shared" si="0"/>
        <v>1000</v>
      </c>
      <c r="H10" s="668">
        <f t="shared" si="0"/>
        <v>5000</v>
      </c>
      <c r="I10" s="668">
        <f t="shared" si="0"/>
        <v>10000</v>
      </c>
      <c r="J10" s="668">
        <f t="shared" si="0"/>
        <v>800</v>
      </c>
      <c r="K10" s="668">
        <f t="shared" si="0"/>
        <v>800</v>
      </c>
      <c r="L10" s="668">
        <f t="shared" si="0"/>
        <v>3661400</v>
      </c>
      <c r="M10" s="668">
        <f t="shared" si="0"/>
        <v>10000</v>
      </c>
      <c r="N10" s="668">
        <f t="shared" si="0"/>
        <v>41943362</v>
      </c>
      <c r="O10" s="668">
        <f t="shared" si="0"/>
        <v>4810000</v>
      </c>
      <c r="P10" s="668">
        <f t="shared" si="0"/>
        <v>10000</v>
      </c>
      <c r="Q10" s="668">
        <f t="shared" si="0"/>
        <v>37143362</v>
      </c>
      <c r="R10" s="665">
        <f>+Q10-'ECP20'!B67</f>
        <v>0</v>
      </c>
    </row>
    <row r="11" spans="1:18" hidden="1">
      <c r="B11" s="669">
        <f>+B10-'Planilla final'!B48</f>
        <v>15514181</v>
      </c>
      <c r="C11" s="669">
        <f>+C10-'Planilla final'!C48</f>
        <v>0</v>
      </c>
      <c r="D11" s="669">
        <f>+D10-'Planilla final'!D48</f>
        <v>0</v>
      </c>
      <c r="E11" s="669">
        <f>+E10-'Planilla final'!E48</f>
        <v>0</v>
      </c>
      <c r="F11" s="669">
        <f>+F10-'Planilla final'!F48</f>
        <v>0</v>
      </c>
      <c r="G11" s="669">
        <f>+G10-'Planilla final'!G48</f>
        <v>0</v>
      </c>
      <c r="H11" s="669">
        <f>+H10-'Planilla final'!H48</f>
        <v>0</v>
      </c>
      <c r="I11" s="669">
        <f>+I10-'Planilla final'!I48</f>
        <v>0</v>
      </c>
      <c r="J11" s="669">
        <f>+J10-'Planilla final'!J48</f>
        <v>0</v>
      </c>
      <c r="K11" s="669">
        <f>+K10-'Planilla final'!K48</f>
        <v>0</v>
      </c>
      <c r="L11" s="669">
        <f>+L10-'Planilla final'!L48</f>
        <v>0</v>
      </c>
      <c r="M11" s="669">
        <f>+M10-'Planilla final'!M48</f>
        <v>0</v>
      </c>
      <c r="N11" s="669">
        <f>+N10-'Planilla final'!N48</f>
        <v>15514181</v>
      </c>
      <c r="O11" s="669">
        <f>+O10-'Planilla final'!O48</f>
        <v>10000</v>
      </c>
      <c r="P11" s="669">
        <f>+P10-'Planilla final'!P48</f>
        <v>10000</v>
      </c>
      <c r="Q11" s="669">
        <f>+Q10-'Planilla final'!Q48</f>
        <v>15514181</v>
      </c>
    </row>
    <row r="12" spans="1:18" hidden="1">
      <c r="A12" s="663" t="s">
        <v>735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0"/>
      <c r="M12" s="670"/>
      <c r="N12" s="670"/>
      <c r="O12" s="670"/>
      <c r="P12" s="670"/>
      <c r="Q12" s="439"/>
    </row>
    <row r="13" spans="1:18" hidden="1">
      <c r="A13" s="564" t="s">
        <v>730</v>
      </c>
      <c r="B13" s="664">
        <v>920</v>
      </c>
      <c r="C13" s="664">
        <v>37142894.460000001</v>
      </c>
      <c r="D13" s="664">
        <v>877313.05</v>
      </c>
      <c r="E13" s="664">
        <v>0</v>
      </c>
      <c r="F13" s="664">
        <v>49015</v>
      </c>
      <c r="G13" s="664">
        <v>330450</v>
      </c>
      <c r="H13" s="664">
        <v>0</v>
      </c>
      <c r="I13" s="664">
        <v>0</v>
      </c>
      <c r="J13" s="664">
        <v>0</v>
      </c>
      <c r="K13" s="664">
        <v>1833417.66</v>
      </c>
      <c r="L13" s="664">
        <v>406799.86</v>
      </c>
      <c r="M13" s="664">
        <v>0</v>
      </c>
      <c r="N13" s="664">
        <f>SUM(B13:M13)</f>
        <v>40640810.029999994</v>
      </c>
      <c r="O13" s="664">
        <f>+'AD ESF'!D140+'AD ESF'!D162</f>
        <v>40639889</v>
      </c>
      <c r="P13" s="664"/>
      <c r="Q13" s="442">
        <f>+N13+P13-O13</f>
        <v>921.02999999374151</v>
      </c>
    </row>
    <row r="14" spans="1:18" ht="30" hidden="1">
      <c r="A14" s="666" t="s">
        <v>736</v>
      </c>
      <c r="B14" s="664">
        <v>6115000</v>
      </c>
      <c r="C14" s="664">
        <v>4797300</v>
      </c>
      <c r="D14" s="664"/>
      <c r="E14" s="664"/>
      <c r="F14" s="664"/>
      <c r="G14" s="664"/>
      <c r="H14" s="664"/>
      <c r="I14" s="664"/>
      <c r="J14" s="664"/>
      <c r="K14" s="664"/>
      <c r="L14" s="664"/>
      <c r="M14" s="664"/>
      <c r="N14" s="664">
        <f>SUM(B14:M14)</f>
        <v>10912300</v>
      </c>
      <c r="O14" s="664">
        <f>+'AD ESF'!D169+'AD ESF'!D196</f>
        <v>4797299</v>
      </c>
      <c r="P14" s="664"/>
      <c r="Q14" s="442">
        <f>+N14+P14-O14</f>
        <v>6115001</v>
      </c>
    </row>
    <row r="15" spans="1:18" hidden="1">
      <c r="A15" s="667" t="s">
        <v>734</v>
      </c>
      <c r="B15" s="668">
        <f>+B13+B14</f>
        <v>6115920</v>
      </c>
      <c r="C15" s="668">
        <f>+C13+C14</f>
        <v>41940194.460000001</v>
      </c>
      <c r="D15" s="668">
        <f>+'Planilla final'!D49</f>
        <v>877313.05</v>
      </c>
      <c r="E15" s="668">
        <f>+'Planilla final'!E49</f>
        <v>0</v>
      </c>
      <c r="F15" s="668">
        <f>+'Planilla final'!F49</f>
        <v>49015</v>
      </c>
      <c r="G15" s="668">
        <f>+'Planilla final'!G49</f>
        <v>330450</v>
      </c>
      <c r="H15" s="668">
        <f>+'Planilla final'!H49</f>
        <v>0</v>
      </c>
      <c r="I15" s="668">
        <f>+'Planilla final'!I49</f>
        <v>0</v>
      </c>
      <c r="J15" s="668">
        <f>+'Planilla final'!J49</f>
        <v>0</v>
      </c>
      <c r="K15" s="668">
        <f>+'Planilla final'!K49</f>
        <v>1833418</v>
      </c>
      <c r="L15" s="668">
        <f>+'Planilla final'!L49</f>
        <v>406800</v>
      </c>
      <c r="M15" s="668">
        <f>+'Planilla final'!M49</f>
        <v>0</v>
      </c>
      <c r="N15" s="668">
        <f>SUM(B15:M15)</f>
        <v>51553110.509999998</v>
      </c>
      <c r="O15" s="668">
        <f>SUM(O13:O14)</f>
        <v>45437188</v>
      </c>
      <c r="P15" s="668">
        <f>SUM(P13:P14)</f>
        <v>0</v>
      </c>
      <c r="Q15" s="668">
        <f>+N15+P15-O15</f>
        <v>6115922.5099999979</v>
      </c>
      <c r="R15" s="665">
        <f>+Q15-'ECP20'!D67</f>
        <v>1.5099999979138374</v>
      </c>
    </row>
    <row r="16" spans="1:18" hidden="1">
      <c r="B16" s="671"/>
      <c r="C16" s="669"/>
      <c r="D16" s="671"/>
      <c r="E16" s="671"/>
      <c r="F16" s="671"/>
      <c r="G16" s="671"/>
      <c r="H16" s="671"/>
      <c r="I16" s="671"/>
      <c r="J16" s="671"/>
      <c r="K16" s="671"/>
      <c r="L16" s="671"/>
      <c r="M16" s="671"/>
      <c r="N16" s="671"/>
      <c r="O16" s="6">
        <f>+'Planilla final'!O49-O15</f>
        <v>0</v>
      </c>
      <c r="P16" s="671">
        <f>+'Planilla final'!P49-P15</f>
        <v>0</v>
      </c>
    </row>
    <row r="17" spans="1:18" hidden="1">
      <c r="A17" s="672" t="s">
        <v>737</v>
      </c>
      <c r="B17" s="670"/>
      <c r="C17" s="670"/>
      <c r="D17" s="670"/>
      <c r="E17" s="670"/>
      <c r="F17" s="670"/>
      <c r="G17" s="670"/>
      <c r="H17" s="670"/>
      <c r="I17" s="670"/>
      <c r="J17" s="670"/>
      <c r="K17" s="670"/>
      <c r="L17" s="670"/>
      <c r="M17" s="670"/>
      <c r="N17" s="670"/>
      <c r="O17" s="670"/>
      <c r="P17" s="670"/>
      <c r="Q17" s="439"/>
    </row>
    <row r="18" spans="1:18" hidden="1">
      <c r="A18" s="443" t="s">
        <v>730</v>
      </c>
      <c r="B18" s="664">
        <v>5222508.5599999996</v>
      </c>
      <c r="C18" s="664">
        <v>0</v>
      </c>
      <c r="D18" s="664">
        <v>0</v>
      </c>
      <c r="E18" s="664">
        <v>74427</v>
      </c>
      <c r="F18" s="664">
        <v>500</v>
      </c>
      <c r="G18" s="664">
        <v>0</v>
      </c>
      <c r="H18" s="664"/>
      <c r="I18" s="664">
        <v>0</v>
      </c>
      <c r="J18" s="664">
        <v>0</v>
      </c>
      <c r="K18" s="664">
        <v>0</v>
      </c>
      <c r="L18" s="664">
        <v>0</v>
      </c>
      <c r="M18" s="664">
        <v>0</v>
      </c>
      <c r="N18" s="664">
        <f>SUM(B18:M18)</f>
        <v>5297435.5599999996</v>
      </c>
      <c r="O18" s="664">
        <f>+'AD ESF'!D138</f>
        <v>74927</v>
      </c>
      <c r="P18" s="664"/>
      <c r="Q18" s="442">
        <f>+N18+P18-O18</f>
        <v>5222508.5599999996</v>
      </c>
    </row>
    <row r="19" spans="1:18" hidden="1">
      <c r="A19" s="443" t="s">
        <v>738</v>
      </c>
      <c r="B19" s="664">
        <v>912853</v>
      </c>
      <c r="C19" s="664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>
        <f>SUM(B19:M19)</f>
        <v>912853</v>
      </c>
      <c r="O19" s="664"/>
      <c r="P19" s="664"/>
      <c r="Q19" s="442">
        <f>+N19+P19-O19</f>
        <v>912853</v>
      </c>
    </row>
    <row r="20" spans="1:18" hidden="1">
      <c r="A20" s="403" t="s">
        <v>717</v>
      </c>
      <c r="B20" s="577"/>
      <c r="C20" s="577"/>
      <c r="D20" s="577"/>
      <c r="E20" s="673">
        <v>-74427</v>
      </c>
      <c r="F20" s="577"/>
      <c r="G20" s="577"/>
      <c r="H20" s="673"/>
      <c r="I20" s="577"/>
      <c r="J20" s="577"/>
      <c r="K20" s="577"/>
      <c r="L20" s="577"/>
      <c r="M20" s="577"/>
      <c r="N20" s="664">
        <f>SUM(B20:M20)</f>
        <v>-74427</v>
      </c>
      <c r="O20" s="577"/>
      <c r="P20" s="673">
        <f>+'AD ESF'!E224</f>
        <v>74427</v>
      </c>
      <c r="Q20" s="442">
        <f>+N20+P20-O20</f>
        <v>0</v>
      </c>
    </row>
    <row r="21" spans="1:18" hidden="1">
      <c r="A21" s="674" t="s">
        <v>734</v>
      </c>
      <c r="B21" s="668">
        <f t="shared" ref="B21:Q21" si="1">SUM(B18:B20)</f>
        <v>6135361.5599999996</v>
      </c>
      <c r="C21" s="668">
        <f t="shared" si="1"/>
        <v>0</v>
      </c>
      <c r="D21" s="668">
        <f t="shared" si="1"/>
        <v>0</v>
      </c>
      <c r="E21" s="668">
        <f t="shared" si="1"/>
        <v>0</v>
      </c>
      <c r="F21" s="668">
        <f t="shared" si="1"/>
        <v>500</v>
      </c>
      <c r="G21" s="668">
        <f t="shared" si="1"/>
        <v>0</v>
      </c>
      <c r="H21" s="668">
        <f t="shared" si="1"/>
        <v>0</v>
      </c>
      <c r="I21" s="668">
        <f t="shared" si="1"/>
        <v>0</v>
      </c>
      <c r="J21" s="668">
        <f t="shared" si="1"/>
        <v>0</v>
      </c>
      <c r="K21" s="668">
        <f t="shared" si="1"/>
        <v>0</v>
      </c>
      <c r="L21" s="668">
        <f t="shared" si="1"/>
        <v>0</v>
      </c>
      <c r="M21" s="668">
        <f t="shared" si="1"/>
        <v>0</v>
      </c>
      <c r="N21" s="668">
        <f t="shared" si="1"/>
        <v>6135861.5599999996</v>
      </c>
      <c r="O21" s="668">
        <f t="shared" si="1"/>
        <v>74927</v>
      </c>
      <c r="P21" s="668">
        <f t="shared" si="1"/>
        <v>74427</v>
      </c>
      <c r="Q21" s="668">
        <f t="shared" si="1"/>
        <v>6135361.5599999996</v>
      </c>
      <c r="R21" s="665">
        <f>+Q21-'ECP20'!F67</f>
        <v>0</v>
      </c>
    </row>
    <row r="22" spans="1:18" hidden="1">
      <c r="B22" s="671"/>
      <c r="C22" s="671"/>
      <c r="D22" s="671"/>
      <c r="E22" s="671"/>
      <c r="F22" s="671"/>
      <c r="G22" s="671"/>
      <c r="H22" s="671"/>
      <c r="I22" s="671"/>
      <c r="J22" s="671"/>
      <c r="K22" s="671"/>
      <c r="L22" s="671"/>
      <c r="M22" s="671"/>
      <c r="N22" s="671"/>
      <c r="O22" s="671">
        <f>+O21-'Planilla final'!O50</f>
        <v>-29616</v>
      </c>
      <c r="P22" s="671">
        <f>+P21-'Planilla final'!P50</f>
        <v>74427</v>
      </c>
    </row>
    <row r="23" spans="1:18" hidden="1">
      <c r="A23" s="672" t="s">
        <v>739</v>
      </c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0"/>
      <c r="P23" s="670"/>
      <c r="Q23" s="439"/>
    </row>
    <row r="24" spans="1:18" hidden="1">
      <c r="A24" s="443" t="s">
        <v>730</v>
      </c>
      <c r="B24" s="664">
        <v>34797</v>
      </c>
      <c r="C24" s="664">
        <v>0</v>
      </c>
      <c r="D24" s="664">
        <v>0</v>
      </c>
      <c r="E24" s="664">
        <v>0</v>
      </c>
      <c r="F24" s="664">
        <v>0</v>
      </c>
      <c r="G24" s="664">
        <v>0</v>
      </c>
      <c r="H24" s="664">
        <v>0</v>
      </c>
      <c r="I24" s="664">
        <v>0</v>
      </c>
      <c r="J24" s="664">
        <v>0</v>
      </c>
      <c r="K24" s="664">
        <v>0</v>
      </c>
      <c r="L24" s="664">
        <v>0</v>
      </c>
      <c r="M24" s="664">
        <v>0</v>
      </c>
      <c r="N24" s="664">
        <f>SUM(B24:M24)</f>
        <v>34797</v>
      </c>
      <c r="O24" s="664"/>
      <c r="P24" s="664"/>
      <c r="Q24" s="442">
        <f>+N24+P24-O24</f>
        <v>34797</v>
      </c>
    </row>
    <row r="25" spans="1:18" hidden="1">
      <c r="A25" s="443"/>
      <c r="B25" s="664"/>
      <c r="C25" s="664"/>
      <c r="D25" s="664"/>
      <c r="E25" s="664"/>
      <c r="F25" s="664"/>
      <c r="G25" s="664"/>
      <c r="H25" s="664"/>
      <c r="I25" s="664"/>
      <c r="J25" s="664"/>
      <c r="K25" s="664"/>
      <c r="L25" s="664"/>
      <c r="M25" s="664"/>
      <c r="N25" s="664">
        <f>SUM(B25:M25)</f>
        <v>0</v>
      </c>
      <c r="O25" s="664"/>
      <c r="P25" s="664"/>
      <c r="Q25" s="442">
        <f>+N25+P25-O25</f>
        <v>0</v>
      </c>
    </row>
    <row r="26" spans="1:18" hidden="1">
      <c r="A26" s="674" t="s">
        <v>734</v>
      </c>
      <c r="B26" s="668">
        <f>+'Planilla final'!B51</f>
        <v>34797</v>
      </c>
      <c r="C26" s="668">
        <f>+'Planilla final'!C51</f>
        <v>0</v>
      </c>
      <c r="D26" s="668">
        <f>+'Planilla final'!D51</f>
        <v>0</v>
      </c>
      <c r="E26" s="668">
        <f>+'Planilla final'!E51</f>
        <v>0</v>
      </c>
      <c r="F26" s="668">
        <f>+'Planilla final'!F51</f>
        <v>0</v>
      </c>
      <c r="G26" s="668">
        <f>+'Planilla final'!G51</f>
        <v>0</v>
      </c>
      <c r="H26" s="668">
        <f>+'Planilla final'!H51</f>
        <v>0</v>
      </c>
      <c r="I26" s="668">
        <f>+'Planilla final'!I51</f>
        <v>0</v>
      </c>
      <c r="J26" s="668">
        <f>+'Planilla final'!J51</f>
        <v>0</v>
      </c>
      <c r="K26" s="668">
        <f>+'Planilla final'!K51</f>
        <v>0</v>
      </c>
      <c r="L26" s="668">
        <f>+'Planilla final'!L51</f>
        <v>0</v>
      </c>
      <c r="M26" s="668">
        <f>+'Planilla final'!M51</f>
        <v>0</v>
      </c>
      <c r="N26" s="668">
        <f>SUM(B26:M26)</f>
        <v>34797</v>
      </c>
      <c r="O26" s="668">
        <f>SUM(O24:O25)</f>
        <v>0</v>
      </c>
      <c r="P26" s="668">
        <f>SUM(P24:P25)</f>
        <v>0</v>
      </c>
      <c r="Q26" s="668">
        <f>+N26+P26-O26</f>
        <v>34797</v>
      </c>
      <c r="R26" s="665">
        <f>+Q26-'ECP20'!H67</f>
        <v>0</v>
      </c>
    </row>
    <row r="27" spans="1:18" hidden="1">
      <c r="B27" s="671"/>
      <c r="C27" s="671"/>
      <c r="D27" s="671"/>
      <c r="E27" s="671"/>
      <c r="F27" s="671"/>
      <c r="G27" s="671"/>
      <c r="H27" s="671"/>
      <c r="I27" s="671"/>
      <c r="J27" s="671"/>
      <c r="K27" s="671"/>
      <c r="L27" s="671"/>
      <c r="M27" s="671"/>
      <c r="N27" s="671"/>
      <c r="O27" s="671">
        <f>+O26-'Planilla final'!O51</f>
        <v>0</v>
      </c>
      <c r="P27" s="671">
        <f>+P26-'Planilla final'!P51</f>
        <v>0</v>
      </c>
    </row>
    <row r="28" spans="1:18" hidden="1">
      <c r="A28" s="672" t="s">
        <v>740</v>
      </c>
      <c r="B28" s="670"/>
      <c r="C28" s="670"/>
      <c r="D28" s="670"/>
      <c r="E28" s="670"/>
      <c r="F28" s="670"/>
      <c r="G28" s="670"/>
      <c r="H28" s="670"/>
      <c r="I28" s="670"/>
      <c r="J28" s="670"/>
      <c r="K28" s="670"/>
      <c r="L28" s="670"/>
      <c r="M28" s="670"/>
      <c r="N28" s="670"/>
      <c r="O28" s="670"/>
      <c r="P28" s="670"/>
      <c r="Q28" s="439"/>
    </row>
    <row r="29" spans="1:18" hidden="1">
      <c r="A29" s="443" t="s">
        <v>730</v>
      </c>
      <c r="B29" s="664">
        <v>227072</v>
      </c>
      <c r="C29" s="664">
        <v>0</v>
      </c>
      <c r="D29" s="664">
        <v>0</v>
      </c>
      <c r="E29" s="664">
        <v>0</v>
      </c>
      <c r="F29" s="664">
        <v>0</v>
      </c>
      <c r="G29" s="664">
        <v>109633</v>
      </c>
      <c r="H29" s="664">
        <v>1226</v>
      </c>
      <c r="I29" s="664">
        <v>0</v>
      </c>
      <c r="J29" s="664">
        <v>340</v>
      </c>
      <c r="K29" s="664">
        <v>0</v>
      </c>
      <c r="L29" s="664">
        <v>0</v>
      </c>
      <c r="M29" s="664">
        <v>0</v>
      </c>
      <c r="N29" s="664">
        <f>SUM(B29:M29)</f>
        <v>338271</v>
      </c>
      <c r="O29" s="664">
        <f>+'AD ESF'!D139</f>
        <v>111199</v>
      </c>
      <c r="P29" s="664"/>
      <c r="Q29" s="442">
        <f>+N29+P29-O29</f>
        <v>227072</v>
      </c>
    </row>
    <row r="30" spans="1:18" hidden="1">
      <c r="A30" s="443" t="s">
        <v>717</v>
      </c>
      <c r="B30" s="664"/>
      <c r="C30" s="664"/>
      <c r="D30" s="664"/>
      <c r="E30" s="664"/>
      <c r="F30" s="664"/>
      <c r="G30" s="664"/>
      <c r="H30" s="675">
        <v>-1226</v>
      </c>
      <c r="I30" s="664"/>
      <c r="J30" s="664"/>
      <c r="K30" s="664"/>
      <c r="L30" s="664"/>
      <c r="M30" s="664"/>
      <c r="N30" s="664">
        <f>SUM(B30:M30)</f>
        <v>-1226</v>
      </c>
      <c r="O30" s="664"/>
      <c r="P30" s="664">
        <f>+'AD ESF'!E225</f>
        <v>1226</v>
      </c>
      <c r="Q30" s="442">
        <f>+N30+P30-O30</f>
        <v>0</v>
      </c>
    </row>
    <row r="31" spans="1:18" hidden="1">
      <c r="A31" s="674" t="s">
        <v>734</v>
      </c>
      <c r="B31" s="668">
        <f>+'Planilla final'!B52</f>
        <v>227072</v>
      </c>
      <c r="C31" s="668">
        <f>+'Planilla final'!C52</f>
        <v>0</v>
      </c>
      <c r="D31" s="668">
        <f>+'Planilla final'!D52</f>
        <v>0</v>
      </c>
      <c r="E31" s="668">
        <f>+'Planilla final'!E52</f>
        <v>0</v>
      </c>
      <c r="F31" s="668">
        <f>+'Planilla final'!F52</f>
        <v>0</v>
      </c>
      <c r="G31" s="668">
        <f>+'Planilla final'!G52</f>
        <v>109633</v>
      </c>
      <c r="H31" s="668">
        <f>+'Planilla final'!H52</f>
        <v>0</v>
      </c>
      <c r="I31" s="668">
        <f>+'Planilla final'!I52</f>
        <v>0</v>
      </c>
      <c r="J31" s="668">
        <f>+J29+J30</f>
        <v>340</v>
      </c>
      <c r="K31" s="668">
        <f>+'Planilla final'!K52</f>
        <v>0</v>
      </c>
      <c r="L31" s="668">
        <f>+'Planilla final'!L52</f>
        <v>0</v>
      </c>
      <c r="M31" s="668">
        <f>+'Planilla final'!M52</f>
        <v>0</v>
      </c>
      <c r="N31" s="668">
        <f>SUM(B31:M31)</f>
        <v>337045</v>
      </c>
      <c r="O31" s="668">
        <f>SUM(O29:O30)</f>
        <v>111199</v>
      </c>
      <c r="P31" s="668">
        <f>SUM(P29:P30)</f>
        <v>1226</v>
      </c>
      <c r="Q31" s="668">
        <f>+N31+P31-O31</f>
        <v>227072</v>
      </c>
      <c r="R31" s="665">
        <f>+Q31-'ECP20'!L67</f>
        <v>0</v>
      </c>
    </row>
    <row r="32" spans="1:18" hidden="1">
      <c r="B32" s="671"/>
      <c r="C32" s="671"/>
      <c r="D32" s="671"/>
      <c r="E32" s="671"/>
      <c r="F32" s="671"/>
      <c r="G32" s="671"/>
      <c r="H32" s="671"/>
      <c r="I32" s="671"/>
      <c r="J32" s="671"/>
      <c r="K32" s="671"/>
      <c r="L32" s="671"/>
      <c r="M32" s="671"/>
      <c r="N32" s="671"/>
      <c r="O32" s="671">
        <f>+O31-'Planilla final'!O52</f>
        <v>1226</v>
      </c>
      <c r="P32" s="671">
        <f>+P31-'Planilla final'!P52</f>
        <v>1226</v>
      </c>
    </row>
    <row r="33" spans="1:18" hidden="1">
      <c r="A33" s="672" t="s">
        <v>741</v>
      </c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0"/>
      <c r="P33" s="670"/>
      <c r="Q33" s="439"/>
    </row>
    <row r="34" spans="1:18" hidden="1">
      <c r="A34" s="443" t="s">
        <v>730</v>
      </c>
      <c r="B34" s="664">
        <v>1423943</v>
      </c>
      <c r="C34" s="664">
        <v>0</v>
      </c>
      <c r="D34" s="664">
        <v>0</v>
      </c>
      <c r="E34" s="664">
        <v>0</v>
      </c>
      <c r="F34" s="664">
        <v>0</v>
      </c>
      <c r="G34" s="664">
        <v>0</v>
      </c>
      <c r="H34" s="664">
        <v>0</v>
      </c>
      <c r="I34" s="664">
        <v>0</v>
      </c>
      <c r="J34" s="664">
        <v>0</v>
      </c>
      <c r="K34" s="664">
        <v>0</v>
      </c>
      <c r="L34" s="664">
        <v>0</v>
      </c>
      <c r="M34" s="664">
        <v>0</v>
      </c>
      <c r="N34" s="664">
        <f>SUM(B34:M34)</f>
        <v>1423943</v>
      </c>
      <c r="O34" s="664"/>
      <c r="P34" s="664"/>
      <c r="Q34" s="442">
        <f>+N34+P34-O34</f>
        <v>1423943</v>
      </c>
    </row>
    <row r="35" spans="1:18" hidden="1">
      <c r="A35" s="443" t="s">
        <v>742</v>
      </c>
      <c r="B35" s="664">
        <v>-1099700</v>
      </c>
      <c r="C35" s="664"/>
      <c r="D35" s="664"/>
      <c r="E35" s="664"/>
      <c r="F35" s="664"/>
      <c r="G35" s="664"/>
      <c r="H35" s="664"/>
      <c r="I35" s="664"/>
      <c r="J35" s="664"/>
      <c r="K35" s="664"/>
      <c r="L35" s="664"/>
      <c r="M35" s="664"/>
      <c r="N35" s="664">
        <f>SUM(B35:M35)</f>
        <v>-1099700</v>
      </c>
      <c r="O35" s="664"/>
      <c r="P35" s="664"/>
      <c r="Q35" s="442">
        <f>+N35+P35-O35</f>
        <v>-1099700</v>
      </c>
    </row>
    <row r="36" spans="1:18" hidden="1">
      <c r="A36" s="674" t="s">
        <v>734</v>
      </c>
      <c r="B36" s="668">
        <f>+B34+B35</f>
        <v>324243</v>
      </c>
      <c r="C36" s="668">
        <f>+'Planilla final'!C53</f>
        <v>0</v>
      </c>
      <c r="D36" s="668">
        <f>+'Planilla final'!D53</f>
        <v>0</v>
      </c>
      <c r="E36" s="668">
        <f>+'Planilla final'!E53</f>
        <v>0</v>
      </c>
      <c r="F36" s="668">
        <f>+'Planilla final'!F53</f>
        <v>0</v>
      </c>
      <c r="G36" s="668">
        <f>+'Planilla final'!G53</f>
        <v>0</v>
      </c>
      <c r="H36" s="668">
        <f>+'Planilla final'!H53</f>
        <v>0</v>
      </c>
      <c r="I36" s="668">
        <f>+'Planilla final'!I53</f>
        <v>0</v>
      </c>
      <c r="J36" s="668">
        <f>+'Planilla final'!J53</f>
        <v>0</v>
      </c>
      <c r="K36" s="668">
        <f>+'Planilla final'!K53</f>
        <v>0</v>
      </c>
      <c r="L36" s="668">
        <f>+'Planilla final'!L54</f>
        <v>202047</v>
      </c>
      <c r="M36" s="668">
        <f>+'Planilla final'!M53</f>
        <v>0</v>
      </c>
      <c r="N36" s="668">
        <f>SUM(B36:M36)</f>
        <v>526290</v>
      </c>
      <c r="O36" s="668">
        <f>SUM(O34:O35)</f>
        <v>0</v>
      </c>
      <c r="P36" s="668">
        <f>SUM(P34:P35)</f>
        <v>0</v>
      </c>
      <c r="Q36" s="668">
        <f>+N36+P36-O36</f>
        <v>526290</v>
      </c>
      <c r="R36" s="665">
        <f>+Q36-'ECP20'!J67</f>
        <v>202047</v>
      </c>
    </row>
    <row r="37" spans="1:18" hidden="1">
      <c r="B37" s="671"/>
      <c r="C37" s="671"/>
      <c r="D37" s="671"/>
      <c r="E37" s="671"/>
      <c r="F37" s="671"/>
      <c r="G37" s="671"/>
      <c r="H37" s="671"/>
      <c r="I37" s="671"/>
      <c r="J37" s="671"/>
      <c r="K37" s="671"/>
      <c r="L37" s="671"/>
      <c r="M37" s="671"/>
      <c r="N37" s="671"/>
      <c r="O37" s="671">
        <f>+O36-'Planilla final'!O53</f>
        <v>0</v>
      </c>
      <c r="P37" s="671">
        <f>+P36-'Planilla final'!P53</f>
        <v>0</v>
      </c>
    </row>
    <row r="38" spans="1:18" hidden="1">
      <c r="A38" s="672" t="s">
        <v>743</v>
      </c>
      <c r="B38" s="670"/>
      <c r="C38" s="670"/>
      <c r="D38" s="670"/>
      <c r="E38" s="670"/>
      <c r="F38" s="670"/>
      <c r="G38" s="670"/>
      <c r="H38" s="670"/>
      <c r="I38" s="670"/>
      <c r="J38" s="670"/>
      <c r="K38" s="670"/>
      <c r="L38" s="670"/>
      <c r="M38" s="670"/>
      <c r="N38" s="670"/>
      <c r="O38" s="670"/>
      <c r="P38" s="670"/>
      <c r="Q38" s="439"/>
    </row>
    <row r="39" spans="1:18" hidden="1">
      <c r="A39" s="443" t="s">
        <v>730</v>
      </c>
      <c r="B39" s="664">
        <v>0</v>
      </c>
      <c r="C39" s="664">
        <v>0</v>
      </c>
      <c r="D39" s="664">
        <v>0</v>
      </c>
      <c r="E39" s="664">
        <v>0</v>
      </c>
      <c r="F39" s="664">
        <v>0</v>
      </c>
      <c r="G39" s="664">
        <v>0</v>
      </c>
      <c r="H39" s="664">
        <v>0</v>
      </c>
      <c r="I39" s="664">
        <v>0</v>
      </c>
      <c r="J39" s="664">
        <v>1378712</v>
      </c>
      <c r="K39" s="664">
        <v>0</v>
      </c>
      <c r="L39" s="664">
        <v>274690.03999999998</v>
      </c>
      <c r="M39" s="664">
        <v>0</v>
      </c>
      <c r="N39" s="664">
        <f>SUM(B39:M39)</f>
        <v>1653402.04</v>
      </c>
      <c r="O39" s="664">
        <f>+'AD ESF'!D141+'AD ESF'!D152</f>
        <v>1653402</v>
      </c>
      <c r="P39" s="664"/>
      <c r="Q39" s="442">
        <f>+N39+P39-O39</f>
        <v>4.0000000037252903E-2</v>
      </c>
    </row>
    <row r="40" spans="1:18" hidden="1">
      <c r="A40" s="443" t="s">
        <v>744</v>
      </c>
      <c r="B40" s="664"/>
      <c r="C40" s="664"/>
      <c r="D40" s="664"/>
      <c r="E40" s="664"/>
      <c r="F40" s="664"/>
      <c r="G40" s="664"/>
      <c r="H40" s="664"/>
      <c r="I40" s="664"/>
      <c r="J40" s="664"/>
      <c r="K40" s="664"/>
      <c r="L40" s="664">
        <v>-151290</v>
      </c>
      <c r="M40" s="664"/>
      <c r="N40" s="664">
        <f>SUM(B40:M40)</f>
        <v>-151290</v>
      </c>
      <c r="O40" s="664"/>
      <c r="P40" s="664">
        <f>+'AD ESF'!E177</f>
        <v>151290</v>
      </c>
      <c r="Q40" s="442">
        <f>+N40+P40-O40</f>
        <v>0</v>
      </c>
    </row>
    <row r="41" spans="1:18" hidden="1">
      <c r="A41" s="674" t="s">
        <v>734</v>
      </c>
      <c r="B41" s="668">
        <f t="shared" ref="B41:M41" si="2">SUM(B39:B40)</f>
        <v>0</v>
      </c>
      <c r="C41" s="668">
        <f t="shared" si="2"/>
        <v>0</v>
      </c>
      <c r="D41" s="668">
        <f t="shared" si="2"/>
        <v>0</v>
      </c>
      <c r="E41" s="668">
        <f t="shared" si="2"/>
        <v>0</v>
      </c>
      <c r="F41" s="668">
        <f t="shared" si="2"/>
        <v>0</v>
      </c>
      <c r="G41" s="668">
        <f t="shared" si="2"/>
        <v>0</v>
      </c>
      <c r="H41" s="668">
        <f t="shared" si="2"/>
        <v>0</v>
      </c>
      <c r="I41" s="668">
        <f t="shared" si="2"/>
        <v>0</v>
      </c>
      <c r="J41" s="668">
        <f t="shared" si="2"/>
        <v>1378712</v>
      </c>
      <c r="K41" s="668">
        <f t="shared" si="2"/>
        <v>0</v>
      </c>
      <c r="L41" s="668">
        <f t="shared" si="2"/>
        <v>123400.03999999998</v>
      </c>
      <c r="M41" s="668">
        <f t="shared" si="2"/>
        <v>0</v>
      </c>
      <c r="N41" s="668">
        <f>SUM(B41:M41)</f>
        <v>1502112.04</v>
      </c>
      <c r="O41" s="668">
        <f>SUM(O39:O40)</f>
        <v>1653402</v>
      </c>
      <c r="P41" s="668">
        <f>SUM(P39:P40)</f>
        <v>151290</v>
      </c>
      <c r="Q41" s="668">
        <f>SUM(Q39:Q40)</f>
        <v>4.0000000037252903E-2</v>
      </c>
    </row>
    <row r="42" spans="1:18" hidden="1">
      <c r="B42" s="671"/>
      <c r="C42" s="671"/>
      <c r="D42" s="671"/>
      <c r="E42" s="671"/>
      <c r="F42" s="671"/>
      <c r="G42" s="671"/>
      <c r="H42" s="671"/>
      <c r="I42" s="671"/>
      <c r="J42" s="671"/>
      <c r="K42" s="671"/>
      <c r="L42" s="671"/>
      <c r="M42" s="671"/>
      <c r="N42" s="671"/>
      <c r="O42" s="671">
        <f>+O41-'Planilla final'!O54</f>
        <v>72643</v>
      </c>
      <c r="P42" s="671">
        <f>+P41-'Planilla final'!P54</f>
        <v>151290</v>
      </c>
    </row>
    <row r="43" spans="1:18" hidden="1">
      <c r="A43" s="672" t="s">
        <v>745</v>
      </c>
      <c r="B43" s="670"/>
      <c r="C43" s="670"/>
      <c r="D43" s="670"/>
      <c r="E43" s="670"/>
      <c r="F43" s="670"/>
      <c r="G43" s="670"/>
      <c r="H43" s="670"/>
      <c r="I43" s="670"/>
      <c r="J43" s="670"/>
      <c r="K43" s="670"/>
      <c r="L43" s="670"/>
      <c r="M43" s="670"/>
      <c r="N43" s="670"/>
      <c r="O43" s="670"/>
      <c r="P43" s="670"/>
      <c r="Q43" s="439"/>
    </row>
    <row r="44" spans="1:18" hidden="1">
      <c r="A44" s="443" t="s">
        <v>730</v>
      </c>
      <c r="B44" s="664">
        <v>-3202431</v>
      </c>
      <c r="C44" s="664">
        <v>0</v>
      </c>
      <c r="D44" s="664">
        <v>0</v>
      </c>
      <c r="E44" s="664">
        <v>0</v>
      </c>
      <c r="F44" s="664">
        <v>82150</v>
      </c>
      <c r="G44" s="664">
        <v>0</v>
      </c>
      <c r="H44" s="664">
        <v>0</v>
      </c>
      <c r="I44" s="664">
        <v>0</v>
      </c>
      <c r="J44" s="664">
        <v>0</v>
      </c>
      <c r="K44" s="664">
        <v>0</v>
      </c>
      <c r="L44" s="664">
        <v>-56932</v>
      </c>
      <c r="M44" s="664">
        <v>0</v>
      </c>
      <c r="N44" s="664">
        <f>SUM(B44:M44)</f>
        <v>-3177213</v>
      </c>
      <c r="O44" s="664"/>
      <c r="P44" s="664">
        <f>+'AD ESF'!E144</f>
        <v>-25218</v>
      </c>
      <c r="Q44" s="442">
        <f>+N44+P44-O44</f>
        <v>-3202431</v>
      </c>
      <c r="R44" s="665">
        <f>+Q44-'ECP20'!N47</f>
        <v>0</v>
      </c>
    </row>
    <row r="45" spans="1:18" hidden="1">
      <c r="A45" s="443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>
        <f>SUM(B45:M45)</f>
        <v>0</v>
      </c>
      <c r="O45" s="664"/>
      <c r="P45" s="664"/>
      <c r="Q45" s="442">
        <f>+N45+P45-O45</f>
        <v>0</v>
      </c>
    </row>
    <row r="46" spans="1:18" hidden="1">
      <c r="A46" s="674" t="s">
        <v>734</v>
      </c>
      <c r="B46" s="668">
        <f t="shared" ref="B46:Q46" si="3">SUM(B44:B45)</f>
        <v>-3202431</v>
      </c>
      <c r="C46" s="668">
        <f t="shared" si="3"/>
        <v>0</v>
      </c>
      <c r="D46" s="668">
        <f t="shared" si="3"/>
        <v>0</v>
      </c>
      <c r="E46" s="668">
        <f t="shared" si="3"/>
        <v>0</v>
      </c>
      <c r="F46" s="668">
        <f t="shared" si="3"/>
        <v>82150</v>
      </c>
      <c r="G46" s="668">
        <f t="shared" si="3"/>
        <v>0</v>
      </c>
      <c r="H46" s="668">
        <f t="shared" si="3"/>
        <v>0</v>
      </c>
      <c r="I46" s="668">
        <f t="shared" si="3"/>
        <v>0</v>
      </c>
      <c r="J46" s="668">
        <f t="shared" si="3"/>
        <v>0</v>
      </c>
      <c r="K46" s="668">
        <f t="shared" si="3"/>
        <v>0</v>
      </c>
      <c r="L46" s="668">
        <f t="shared" si="3"/>
        <v>-56932</v>
      </c>
      <c r="M46" s="668">
        <f t="shared" si="3"/>
        <v>0</v>
      </c>
      <c r="N46" s="668">
        <f t="shared" si="3"/>
        <v>-3177213</v>
      </c>
      <c r="O46" s="668">
        <f t="shared" si="3"/>
        <v>0</v>
      </c>
      <c r="P46" s="668">
        <f t="shared" si="3"/>
        <v>-25218</v>
      </c>
      <c r="Q46" s="668">
        <f t="shared" si="3"/>
        <v>-3202431</v>
      </c>
      <c r="R46" s="665">
        <f>+Q46-'ECP20'!N67</f>
        <v>0</v>
      </c>
    </row>
    <row r="47" spans="1:18" ht="15.75" hidden="1" thickBot="1"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>
        <f>+O46-'Planilla final'!O55</f>
        <v>-25218</v>
      </c>
      <c r="P47" s="671">
        <f>+P46-'Planilla final'!P55</f>
        <v>-25218</v>
      </c>
    </row>
    <row r="48" spans="1:18">
      <c r="A48" s="777" t="s">
        <v>746</v>
      </c>
      <c r="B48" s="778"/>
      <c r="C48" s="778"/>
      <c r="D48" s="778"/>
      <c r="E48" s="778"/>
      <c r="F48" s="778"/>
      <c r="G48" s="778"/>
      <c r="H48" s="778"/>
      <c r="I48" s="778"/>
      <c r="J48" s="778"/>
      <c r="K48" s="778"/>
      <c r="L48" s="845"/>
      <c r="M48" s="778"/>
      <c r="N48" s="778"/>
      <c r="O48" s="778"/>
      <c r="P48" s="845"/>
      <c r="Q48" s="814"/>
      <c r="R48" s="665"/>
    </row>
    <row r="49" spans="1:19" hidden="1">
      <c r="A49" s="780" t="s">
        <v>730</v>
      </c>
      <c r="B49" s="664">
        <v>42657482</v>
      </c>
      <c r="C49" s="664">
        <v>-4291030</v>
      </c>
      <c r="D49" s="664">
        <v>50053.89</v>
      </c>
      <c r="E49" s="664">
        <v>34764</v>
      </c>
      <c r="F49" s="676">
        <v>-1223180</v>
      </c>
      <c r="G49" s="664">
        <v>-80845</v>
      </c>
      <c r="H49" s="664">
        <v>1762.47</v>
      </c>
      <c r="I49" s="664">
        <v>0</v>
      </c>
      <c r="J49" s="676">
        <v>-201038</v>
      </c>
      <c r="K49" s="664">
        <v>-1012827</v>
      </c>
      <c r="L49" s="846">
        <v>-4780262</v>
      </c>
      <c r="M49" s="664">
        <v>-584524</v>
      </c>
      <c r="N49" s="664">
        <f t="shared" ref="N49:N55" si="4">SUM(B49:M49)</f>
        <v>30570356.359999999</v>
      </c>
      <c r="O49" s="664"/>
      <c r="P49" s="846"/>
      <c r="Q49" s="781">
        <f t="shared" ref="Q49:Q55" si="5">+N49+P49-O49</f>
        <v>30570356.359999999</v>
      </c>
      <c r="R49" s="665">
        <f>+Q49-'ECP20'!P47</f>
        <v>-5984903.7102226019</v>
      </c>
      <c r="S49" s="434"/>
    </row>
    <row r="50" spans="1:19" hidden="1">
      <c r="A50" s="780" t="s">
        <v>747</v>
      </c>
      <c r="B50" s="664">
        <v>-1770198</v>
      </c>
      <c r="C50" s="664"/>
      <c r="D50" s="664"/>
      <c r="E50" s="664"/>
      <c r="F50" s="676"/>
      <c r="G50" s="664"/>
      <c r="H50" s="664"/>
      <c r="I50" s="664"/>
      <c r="J50" s="676"/>
      <c r="K50" s="664"/>
      <c r="L50" s="846"/>
      <c r="M50" s="664"/>
      <c r="N50" s="664">
        <f t="shared" si="4"/>
        <v>-1770198</v>
      </c>
      <c r="O50" s="664"/>
      <c r="P50" s="846"/>
      <c r="Q50" s="781">
        <f t="shared" si="5"/>
        <v>-1770198</v>
      </c>
      <c r="R50" s="665"/>
      <c r="S50" s="434"/>
    </row>
    <row r="51" spans="1:19" ht="30" hidden="1">
      <c r="A51" s="782" t="s">
        <v>733</v>
      </c>
      <c r="B51" s="664">
        <v>-8215675</v>
      </c>
      <c r="C51" s="664"/>
      <c r="D51" s="664"/>
      <c r="E51" s="664"/>
      <c r="F51" s="664"/>
      <c r="G51" s="664"/>
      <c r="H51" s="664"/>
      <c r="I51" s="664"/>
      <c r="J51" s="664"/>
      <c r="K51" s="664"/>
      <c r="L51" s="846"/>
      <c r="M51" s="664"/>
      <c r="N51" s="664">
        <f t="shared" si="4"/>
        <v>-8215675</v>
      </c>
      <c r="O51" s="664"/>
      <c r="P51" s="846"/>
      <c r="Q51" s="781">
        <f t="shared" si="5"/>
        <v>-8215675</v>
      </c>
      <c r="R51" s="665"/>
    </row>
    <row r="52" spans="1:19" hidden="1">
      <c r="A52" s="780" t="s">
        <v>748</v>
      </c>
      <c r="B52" s="664">
        <v>-912853</v>
      </c>
      <c r="C52" s="664"/>
      <c r="D52" s="664"/>
      <c r="E52" s="664"/>
      <c r="F52" s="664"/>
      <c r="G52" s="664"/>
      <c r="H52" s="664"/>
      <c r="I52" s="664"/>
      <c r="J52" s="664"/>
      <c r="K52" s="664"/>
      <c r="L52" s="846"/>
      <c r="M52" s="664"/>
      <c r="N52" s="664">
        <f t="shared" si="4"/>
        <v>-912853</v>
      </c>
      <c r="O52" s="664"/>
      <c r="P52" s="846"/>
      <c r="Q52" s="781">
        <f t="shared" si="5"/>
        <v>-912853</v>
      </c>
    </row>
    <row r="53" spans="1:19" hidden="1">
      <c r="A53" s="780" t="s">
        <v>658</v>
      </c>
      <c r="B53" s="664">
        <v>-5488035</v>
      </c>
      <c r="C53" s="664"/>
      <c r="D53" s="664"/>
      <c r="E53" s="664"/>
      <c r="F53" s="664"/>
      <c r="G53" s="664"/>
      <c r="H53" s="664"/>
      <c r="I53" s="664"/>
      <c r="J53" s="664"/>
      <c r="K53" s="664"/>
      <c r="L53" s="846"/>
      <c r="M53" s="664"/>
      <c r="N53" s="664">
        <f t="shared" si="4"/>
        <v>-5488035</v>
      </c>
      <c r="O53" s="664"/>
      <c r="P53" s="846"/>
      <c r="Q53" s="781">
        <f t="shared" si="5"/>
        <v>-5488035</v>
      </c>
    </row>
    <row r="54" spans="1:19" hidden="1">
      <c r="A54" s="780" t="s">
        <v>717</v>
      </c>
      <c r="B54" s="664"/>
      <c r="C54" s="664">
        <v>37386</v>
      </c>
      <c r="D54" s="664"/>
      <c r="E54" s="664">
        <f>-34764</f>
        <v>-34764</v>
      </c>
      <c r="F54" s="664">
        <v>1173951</v>
      </c>
      <c r="G54" s="664"/>
      <c r="H54" s="664">
        <v>-1762</v>
      </c>
      <c r="I54" s="664"/>
      <c r="J54" s="664"/>
      <c r="K54" s="664">
        <v>-1728</v>
      </c>
      <c r="L54" s="846">
        <v>-78647</v>
      </c>
      <c r="M54" s="664">
        <v>-38152</v>
      </c>
      <c r="N54" s="664">
        <f t="shared" si="4"/>
        <v>1056284</v>
      </c>
      <c r="O54" s="664"/>
      <c r="P54" s="846"/>
      <c r="Q54" s="781">
        <f t="shared" si="5"/>
        <v>1056284</v>
      </c>
    </row>
    <row r="55" spans="1:19" hidden="1">
      <c r="A55" s="780" t="s">
        <v>749</v>
      </c>
      <c r="B55" s="664">
        <v>15216635</v>
      </c>
      <c r="C55" s="664">
        <v>-5325487</v>
      </c>
      <c r="D55" s="664">
        <v>181072</v>
      </c>
      <c r="E55" s="664"/>
      <c r="F55" s="664">
        <v>-44933</v>
      </c>
      <c r="G55" s="664">
        <v>-13474</v>
      </c>
      <c r="H55" s="664"/>
      <c r="I55" s="664"/>
      <c r="J55" s="664">
        <v>-40586</v>
      </c>
      <c r="K55" s="664">
        <v>1063188</v>
      </c>
      <c r="L55" s="846">
        <v>1040435</v>
      </c>
      <c r="M55" s="664">
        <v>-436196</v>
      </c>
      <c r="N55" s="664">
        <f t="shared" si="4"/>
        <v>11640654</v>
      </c>
      <c r="O55" s="664"/>
      <c r="P55" s="846"/>
      <c r="Q55" s="781">
        <f t="shared" si="5"/>
        <v>11640654</v>
      </c>
    </row>
    <row r="56" spans="1:19">
      <c r="A56" s="792" t="s">
        <v>734</v>
      </c>
      <c r="B56" s="670">
        <f t="shared" ref="B56:N56" si="6">SUM(B49:B55)</f>
        <v>41487356</v>
      </c>
      <c r="C56" s="670">
        <f t="shared" si="6"/>
        <v>-9579131</v>
      </c>
      <c r="D56" s="670">
        <f t="shared" si="6"/>
        <v>231125.89</v>
      </c>
      <c r="E56" s="670">
        <f t="shared" si="6"/>
        <v>0</v>
      </c>
      <c r="F56" s="670">
        <f t="shared" si="6"/>
        <v>-94162</v>
      </c>
      <c r="G56" s="670">
        <f t="shared" si="6"/>
        <v>-94319</v>
      </c>
      <c r="H56" s="670">
        <f t="shared" si="6"/>
        <v>0.47000000000002728</v>
      </c>
      <c r="I56" s="670">
        <f t="shared" si="6"/>
        <v>0</v>
      </c>
      <c r="J56" s="670">
        <f t="shared" si="6"/>
        <v>-241624</v>
      </c>
      <c r="K56" s="670">
        <f t="shared" si="6"/>
        <v>48633</v>
      </c>
      <c r="L56" s="847">
        <f>SUM(L49:L55)-673126</f>
        <v>-4491600</v>
      </c>
      <c r="M56" s="670">
        <f t="shared" si="6"/>
        <v>-1058872</v>
      </c>
      <c r="N56" s="670">
        <f t="shared" si="6"/>
        <v>26880533.359999999</v>
      </c>
      <c r="O56" s="670">
        <f>+'AD ESF'!D307</f>
        <v>950362</v>
      </c>
      <c r="P56" s="847">
        <f>+'AD ESF'!E254+'AD ESF'!E263+'AD ESF'!E291</f>
        <v>7517216</v>
      </c>
      <c r="Q56" s="794">
        <f>+N56+P56-O56</f>
        <v>33447387.359999999</v>
      </c>
      <c r="R56" s="665"/>
      <c r="S56" s="868"/>
    </row>
    <row r="57" spans="1:19">
      <c r="A57" s="780" t="s">
        <v>846</v>
      </c>
      <c r="B57" s="664">
        <v>1859768</v>
      </c>
      <c r="C57" s="664"/>
      <c r="D57" s="664"/>
      <c r="E57" s="664"/>
      <c r="F57" s="676"/>
      <c r="G57" s="664"/>
      <c r="H57" s="664"/>
      <c r="I57" s="664"/>
      <c r="J57" s="676"/>
      <c r="K57" s="664"/>
      <c r="L57" s="664"/>
      <c r="M57" s="664"/>
      <c r="N57" s="664">
        <f t="shared" ref="N57:N63" si="7">SUM(B57:M57)</f>
        <v>1859768</v>
      </c>
      <c r="O57" s="664"/>
      <c r="P57" s="664"/>
      <c r="Q57" s="958">
        <f t="shared" ref="Q57:Q63" si="8">+N57+P57-O57</f>
        <v>1859768</v>
      </c>
      <c r="R57" s="665"/>
      <c r="S57" s="434"/>
    </row>
    <row r="58" spans="1:19">
      <c r="A58" s="780" t="s">
        <v>847</v>
      </c>
      <c r="B58" s="664">
        <v>660505</v>
      </c>
      <c r="C58" s="846"/>
      <c r="E58" s="664"/>
      <c r="F58" s="664"/>
      <c r="G58" s="664"/>
      <c r="H58" s="664"/>
      <c r="I58" s="664"/>
      <c r="J58" s="664"/>
      <c r="K58" s="664"/>
      <c r="M58" s="664"/>
      <c r="N58" s="664">
        <f t="shared" si="7"/>
        <v>660505</v>
      </c>
      <c r="O58" s="664">
        <f>+'AD ESF'!D203</f>
        <v>0</v>
      </c>
      <c r="P58" s="664"/>
      <c r="Q58" s="958">
        <f t="shared" si="8"/>
        <v>660505</v>
      </c>
    </row>
    <row r="59" spans="1:19" ht="15" customHeight="1">
      <c r="A59" s="782" t="s">
        <v>848</v>
      </c>
      <c r="B59" s="664"/>
      <c r="D59" s="664"/>
      <c r="E59" s="664"/>
      <c r="F59" s="664"/>
      <c r="G59" s="664"/>
      <c r="H59" s="664"/>
      <c r="I59" s="664"/>
      <c r="J59" s="664"/>
      <c r="K59" s="664">
        <f>-373201</f>
        <v>-373201</v>
      </c>
      <c r="L59" s="664"/>
      <c r="M59" s="664">
        <v>-881184</v>
      </c>
      <c r="N59" s="664">
        <f t="shared" si="7"/>
        <v>-1254385</v>
      </c>
      <c r="O59" s="664"/>
      <c r="P59" s="664"/>
      <c r="Q59" s="958">
        <f t="shared" si="8"/>
        <v>-1254385</v>
      </c>
      <c r="R59" s="665"/>
    </row>
    <row r="60" spans="1:19" ht="15" customHeight="1">
      <c r="A60" s="782" t="s">
        <v>717</v>
      </c>
      <c r="B60" s="664"/>
      <c r="C60" s="664">
        <v>953966</v>
      </c>
      <c r="D60" s="664">
        <v>-116791</v>
      </c>
      <c r="E60" s="664"/>
      <c r="F60" s="664"/>
      <c r="G60" s="664"/>
      <c r="H60" s="664"/>
      <c r="I60" s="664"/>
      <c r="J60" s="664"/>
      <c r="K60" s="664"/>
      <c r="L60" s="664">
        <f>-50758</f>
        <v>-50758</v>
      </c>
      <c r="M60" s="664"/>
      <c r="N60" s="664">
        <f t="shared" si="7"/>
        <v>786417</v>
      </c>
      <c r="O60" s="664"/>
      <c r="P60" s="664"/>
      <c r="Q60" s="958">
        <f t="shared" si="8"/>
        <v>786417</v>
      </c>
      <c r="R60" s="665"/>
    </row>
    <row r="61" spans="1:19">
      <c r="A61" s="780" t="s">
        <v>748</v>
      </c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846">
        <v>-104043</v>
      </c>
      <c r="M61" s="664"/>
      <c r="N61" s="664">
        <f t="shared" si="7"/>
        <v>-104043</v>
      </c>
      <c r="O61" s="664"/>
      <c r="P61" s="664">
        <f>+'AD ESF'!E285</f>
        <v>104043</v>
      </c>
      <c r="Q61" s="958">
        <f t="shared" si="8"/>
        <v>0</v>
      </c>
    </row>
    <row r="62" spans="1:19">
      <c r="A62" s="780" t="s">
        <v>829</v>
      </c>
      <c r="B62" s="664"/>
      <c r="C62" s="664"/>
      <c r="D62" s="664">
        <v>2534340</v>
      </c>
      <c r="E62" s="664"/>
      <c r="F62" s="664"/>
      <c r="G62" s="664"/>
      <c r="H62" s="664"/>
      <c r="I62" s="664"/>
      <c r="J62" s="664"/>
      <c r="K62" s="664"/>
      <c r="L62" s="664"/>
      <c r="M62" s="664"/>
      <c r="N62" s="664">
        <f t="shared" si="7"/>
        <v>2534340</v>
      </c>
      <c r="O62" s="664">
        <f>+'AD ESF'!D275</f>
        <v>2534340</v>
      </c>
      <c r="P62" s="664"/>
      <c r="Q62" s="958">
        <f t="shared" si="8"/>
        <v>0</v>
      </c>
    </row>
    <row r="63" spans="1:19">
      <c r="A63" s="780" t="s">
        <v>749</v>
      </c>
      <c r="B63" s="664">
        <f>+'Planilla final'!B76</f>
        <v>19822071</v>
      </c>
      <c r="C63" s="664">
        <f>+'Planilla final'!C76</f>
        <v>-3188003</v>
      </c>
      <c r="D63" s="664">
        <f>+'Planilla final'!D76</f>
        <v>399181.97999999992</v>
      </c>
      <c r="E63" s="664">
        <f>+'Planilla final'!E76</f>
        <v>0</v>
      </c>
      <c r="F63" s="664">
        <f>+'Planilla final'!F76</f>
        <v>0</v>
      </c>
      <c r="G63" s="664">
        <f>+'Planilla final'!G76</f>
        <v>331439.17</v>
      </c>
      <c r="H63" s="664">
        <f>+'Planilla final'!H76</f>
        <v>0</v>
      </c>
      <c r="I63" s="664">
        <f>+'Planilla final'!I76</f>
        <v>0</v>
      </c>
      <c r="J63" s="664">
        <f>+'Planilla final'!J76</f>
        <v>-40586.1</v>
      </c>
      <c r="K63" s="664">
        <f>+'Planilla final'!K76</f>
        <v>150815</v>
      </c>
      <c r="L63" s="664">
        <f>+'Planilla final'!L76</f>
        <v>155307</v>
      </c>
      <c r="M63" s="664">
        <f>+'Planilla final'!M76</f>
        <v>-93297</v>
      </c>
      <c r="N63" s="664">
        <f t="shared" si="7"/>
        <v>17536928.050000001</v>
      </c>
      <c r="O63" s="664">
        <f>+'Planilla final'!O76</f>
        <v>902562</v>
      </c>
      <c r="P63" s="664">
        <f>+'Planilla final'!P76+'AD ESF'!E270</f>
        <v>2069001</v>
      </c>
      <c r="Q63" s="959">
        <f t="shared" si="8"/>
        <v>18703367.050000001</v>
      </c>
      <c r="R63" s="929"/>
    </row>
    <row r="64" spans="1:19" ht="15.75" thickBot="1">
      <c r="A64" s="783" t="s">
        <v>826</v>
      </c>
      <c r="B64" s="784">
        <f t="shared" ref="B64:Q64" si="9">SUM(B56:B63)</f>
        <v>63829700</v>
      </c>
      <c r="C64" s="784">
        <f t="shared" si="9"/>
        <v>-11813168</v>
      </c>
      <c r="D64" s="784">
        <f t="shared" si="9"/>
        <v>3047856.87</v>
      </c>
      <c r="E64" s="784">
        <f t="shared" si="9"/>
        <v>0</v>
      </c>
      <c r="F64" s="784">
        <f t="shared" si="9"/>
        <v>-94162</v>
      </c>
      <c r="G64" s="784">
        <f t="shared" si="9"/>
        <v>237120.16999999998</v>
      </c>
      <c r="H64" s="784">
        <f t="shared" si="9"/>
        <v>0.47000000000002728</v>
      </c>
      <c r="I64" s="784">
        <f t="shared" si="9"/>
        <v>0</v>
      </c>
      <c r="J64" s="784">
        <f t="shared" si="9"/>
        <v>-282210.09999999998</v>
      </c>
      <c r="K64" s="784">
        <f t="shared" si="9"/>
        <v>-173753</v>
      </c>
      <c r="L64" s="784">
        <f t="shared" si="9"/>
        <v>-4491094</v>
      </c>
      <c r="M64" s="784">
        <f t="shared" si="9"/>
        <v>-2033353</v>
      </c>
      <c r="N64" s="784">
        <f t="shared" si="9"/>
        <v>48900063.409999996</v>
      </c>
      <c r="O64" s="784">
        <f t="shared" si="9"/>
        <v>4387264</v>
      </c>
      <c r="P64" s="784">
        <f t="shared" si="9"/>
        <v>9690260</v>
      </c>
      <c r="Q64" s="785">
        <f t="shared" si="9"/>
        <v>54203059.409999996</v>
      </c>
      <c r="R64" s="929">
        <f>+Q64-'ECP20'!P86</f>
        <v>-0.6025545746088028</v>
      </c>
      <c r="S64" s="936"/>
    </row>
    <row r="65" spans="1:1024" ht="15.75" thickBot="1">
      <c r="B65" s="677">
        <f>+'Planilla final'!B56+'Planilla final'!B57-B64</f>
        <v>0</v>
      </c>
      <c r="C65" s="677">
        <f>+'Planilla final'!C56+'Planilla final'!C57-C64</f>
        <v>0</v>
      </c>
      <c r="D65" s="677">
        <f>+'Planilla final'!D56+'Planilla final'!D57-D64</f>
        <v>-9.0000000316649675E-2</v>
      </c>
      <c r="E65" s="677">
        <f>+'Planilla final'!E56+'Planilla final'!E57-E64</f>
        <v>0</v>
      </c>
      <c r="F65" s="677">
        <f>+'Planilla final'!F56+'Planilla final'!F57-F64</f>
        <v>-0.88999999989755452</v>
      </c>
      <c r="G65" s="677">
        <f>+'Planilla final'!G56+'Planilla final'!G57-G64</f>
        <v>-0.16999999998370185</v>
      </c>
      <c r="H65" s="677">
        <f>+'Planilla final'!H56+'Planilla final'!H57-H64</f>
        <v>-0.47000000000002728</v>
      </c>
      <c r="I65" s="677">
        <f>+'Planilla final'!I56+'Planilla final'!I57-I64</f>
        <v>0</v>
      </c>
      <c r="J65" s="677">
        <f>+'Planilla final'!J56+'Planilla final'!J57-J64</f>
        <v>-0.27000000001862645</v>
      </c>
      <c r="K65" s="677">
        <f>+'Planilla final'!K56+'Planilla final'!K57-K64</f>
        <v>-1</v>
      </c>
      <c r="L65" s="677">
        <f>+'Planilla final'!L56+'Planilla final'!L57-L64</f>
        <v>673127</v>
      </c>
      <c r="M65" s="677">
        <f>+'Planilla final'!M56+'Planilla final'!M57-M64</f>
        <v>-2</v>
      </c>
      <c r="N65" s="677">
        <f>+'Planilla final'!N56+'Planilla final'!N57-N64</f>
        <v>-3.8900000005960464</v>
      </c>
      <c r="O65" s="677">
        <f>+'Planilla final'!O56-O64</f>
        <v>-902562</v>
      </c>
      <c r="P65" s="677">
        <f>+'Planilla final'!P56-P64</f>
        <v>-2069001</v>
      </c>
      <c r="Q65" s="1075">
        <f>+'Planilla final'!Q56+'Planilla final'!Q57-Q64</f>
        <v>-3.8900000005960464</v>
      </c>
      <c r="S65" s="434"/>
    </row>
    <row r="66" spans="1:1024">
      <c r="A66" s="777" t="s">
        <v>750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78"/>
      <c r="P66" s="778"/>
      <c r="Q66" s="779"/>
      <c r="R66" s="665"/>
    </row>
    <row r="67" spans="1:1024" hidden="1">
      <c r="A67" s="780" t="s">
        <v>730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664"/>
      <c r="Q67" s="781">
        <f t="shared" ref="Q67:Q74" si="10">+N67+P67-O67</f>
        <v>0</v>
      </c>
      <c r="R67" s="665"/>
    </row>
    <row r="68" spans="1:1024" hidden="1">
      <c r="A68" s="780" t="s">
        <v>751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671"/>
      <c r="P68" s="664"/>
      <c r="Q68" s="781">
        <f t="shared" si="10"/>
        <v>0</v>
      </c>
      <c r="R68" s="665"/>
    </row>
    <row r="69" spans="1:1024" ht="30" hidden="1">
      <c r="A69" s="782" t="s">
        <v>752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664"/>
      <c r="P69" s="664"/>
      <c r="Q69" s="781">
        <f t="shared" si="10"/>
        <v>0</v>
      </c>
    </row>
    <row r="70" spans="1:1024" hidden="1">
      <c r="A70" s="780" t="s">
        <v>721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664"/>
      <c r="P70" s="664"/>
      <c r="Q70" s="781">
        <f t="shared" si="10"/>
        <v>0</v>
      </c>
    </row>
    <row r="71" spans="1:1024">
      <c r="A71" s="792" t="s">
        <v>734</v>
      </c>
      <c r="B71" s="793"/>
      <c r="C71" s="793"/>
      <c r="D71" s="793"/>
      <c r="E71" s="793">
        <f t="shared" ref="E71:N71" si="11">SUM(E67:E70)</f>
        <v>0</v>
      </c>
      <c r="F71" s="793">
        <f t="shared" si="11"/>
        <v>0</v>
      </c>
      <c r="G71" s="793">
        <f t="shared" si="11"/>
        <v>0</v>
      </c>
      <c r="H71" s="793">
        <f t="shared" si="11"/>
        <v>0</v>
      </c>
      <c r="I71" s="793">
        <f t="shared" si="11"/>
        <v>0</v>
      </c>
      <c r="J71" s="793">
        <f t="shared" si="11"/>
        <v>0</v>
      </c>
      <c r="K71" s="793">
        <f t="shared" si="11"/>
        <v>0</v>
      </c>
      <c r="L71" s="793">
        <f t="shared" si="11"/>
        <v>0</v>
      </c>
      <c r="M71" s="793">
        <f t="shared" si="11"/>
        <v>0</v>
      </c>
      <c r="N71" s="793">
        <f t="shared" si="11"/>
        <v>0</v>
      </c>
      <c r="O71" s="670">
        <f>+'AD ESF'!D264</f>
        <v>0</v>
      </c>
      <c r="P71" s="670">
        <f>+'AD ESF'!E264</f>
        <v>7602059</v>
      </c>
      <c r="Q71" s="794">
        <f t="shared" si="10"/>
        <v>7602059</v>
      </c>
    </row>
    <row r="72" spans="1:1024">
      <c r="A72" s="780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671">
        <f>+'AD ESF'!D192</f>
        <v>0</v>
      </c>
      <c r="P72" s="664"/>
      <c r="Q72" s="781">
        <f t="shared" si="10"/>
        <v>0</v>
      </c>
      <c r="R72" s="665"/>
    </row>
    <row r="73" spans="1:1024" ht="30">
      <c r="A73" s="782" t="s">
        <v>752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664">
        <f>+'AD ESF'!D269</f>
        <v>698311</v>
      </c>
      <c r="P73" s="664"/>
      <c r="Q73" s="781">
        <f t="shared" si="10"/>
        <v>-698311</v>
      </c>
      <c r="R73" s="665"/>
    </row>
    <row r="74" spans="1:1024">
      <c r="A74" s="780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664"/>
      <c r="P74" s="664"/>
      <c r="Q74" s="781">
        <f t="shared" si="10"/>
        <v>0</v>
      </c>
    </row>
    <row r="75" spans="1:1024" ht="15.75" thickBot="1">
      <c r="A75" s="783" t="s">
        <v>826</v>
      </c>
      <c r="B75" s="787"/>
      <c r="C75" s="787"/>
      <c r="D75" s="787"/>
      <c r="E75" s="787">
        <f t="shared" ref="E75:N75" si="12">SUM(E71:E74)</f>
        <v>0</v>
      </c>
      <c r="F75" s="787">
        <f t="shared" si="12"/>
        <v>0</v>
      </c>
      <c r="G75" s="787">
        <f t="shared" si="12"/>
        <v>0</v>
      </c>
      <c r="H75" s="787">
        <f t="shared" si="12"/>
        <v>0</v>
      </c>
      <c r="I75" s="787">
        <f t="shared" si="12"/>
        <v>0</v>
      </c>
      <c r="J75" s="787">
        <f t="shared" si="12"/>
        <v>0</v>
      </c>
      <c r="K75" s="787">
        <f t="shared" si="12"/>
        <v>0</v>
      </c>
      <c r="L75" s="787">
        <f t="shared" si="12"/>
        <v>0</v>
      </c>
      <c r="M75" s="787">
        <f t="shared" si="12"/>
        <v>0</v>
      </c>
      <c r="N75" s="787">
        <f t="shared" si="12"/>
        <v>0</v>
      </c>
      <c r="O75" s="784">
        <f>SUM(O71:O74)</f>
        <v>698311</v>
      </c>
      <c r="P75" s="784">
        <f>SUM(P71:P74)</f>
        <v>7602059</v>
      </c>
      <c r="Q75" s="785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671"/>
      <c r="P76" s="671">
        <f>+P71-'Planilla final'!P58</f>
        <v>0</v>
      </c>
      <c r="Q76" s="447">
        <f>+Q75-'ECP20'!R86</f>
        <v>-0.12611738033592701</v>
      </c>
    </row>
    <row r="77" spans="1:1024">
      <c r="A77" s="788" t="s">
        <v>753</v>
      </c>
      <c r="B77" s="778"/>
      <c r="C77" s="778"/>
      <c r="D77" s="778"/>
      <c r="E77" s="778"/>
      <c r="F77" s="778"/>
      <c r="G77" s="778"/>
      <c r="H77" s="778"/>
      <c r="I77" s="778"/>
      <c r="J77" s="778"/>
      <c r="K77" s="778"/>
      <c r="L77" s="778"/>
      <c r="M77" s="778"/>
      <c r="N77" s="778"/>
      <c r="O77" s="778"/>
      <c r="P77" s="778"/>
      <c r="Q77" s="779"/>
    </row>
    <row r="78" spans="1:1024" hidden="1">
      <c r="A78" s="789" t="s">
        <v>730</v>
      </c>
      <c r="B78" s="664">
        <f t="shared" ref="B78:M78" si="13">+B6+B13+B18+B24+B29+B34+B44+B49+B39+B67</f>
        <v>81406978.560000002</v>
      </c>
      <c r="C78" s="664">
        <f t="shared" si="13"/>
        <v>32856864.460000001</v>
      </c>
      <c r="D78" s="664">
        <f t="shared" si="13"/>
        <v>2032366.94</v>
      </c>
      <c r="E78" s="664">
        <f t="shared" si="13"/>
        <v>119191</v>
      </c>
      <c r="F78" s="664">
        <f t="shared" si="13"/>
        <v>-1090515</v>
      </c>
      <c r="G78" s="664">
        <f t="shared" si="13"/>
        <v>360238</v>
      </c>
      <c r="H78" s="664">
        <f t="shared" si="13"/>
        <v>7988.47</v>
      </c>
      <c r="I78" s="664">
        <f t="shared" si="13"/>
        <v>10000</v>
      </c>
      <c r="J78" s="664">
        <f t="shared" si="13"/>
        <v>1178814</v>
      </c>
      <c r="K78" s="664">
        <f t="shared" si="13"/>
        <v>821390.65999999992</v>
      </c>
      <c r="L78" s="664">
        <f t="shared" si="13"/>
        <v>-494304.10000000015</v>
      </c>
      <c r="M78" s="664">
        <f t="shared" si="13"/>
        <v>-574524</v>
      </c>
      <c r="N78" s="664">
        <f>SUM(B78:M78)</f>
        <v>116634488.99000001</v>
      </c>
      <c r="O78" s="664"/>
      <c r="P78" s="664"/>
      <c r="Q78" s="790">
        <f>+P78+N78-O78</f>
        <v>116634488.99000001</v>
      </c>
      <c r="R78" s="665">
        <f>+Q78-'ECP20'!T47</f>
        <v>33656338.940000013</v>
      </c>
    </row>
    <row r="79" spans="1:1024" hidden="1">
      <c r="A79" s="780" t="s">
        <v>747</v>
      </c>
      <c r="B79" s="664">
        <v>-1770198</v>
      </c>
      <c r="C79" s="664"/>
      <c r="D79" s="664"/>
      <c r="E79" s="664"/>
      <c r="F79" s="676"/>
      <c r="G79" s="664"/>
      <c r="H79" s="664"/>
      <c r="I79" s="664"/>
      <c r="J79" s="676"/>
      <c r="K79" s="664"/>
      <c r="L79" s="664"/>
      <c r="M79" s="664"/>
      <c r="N79" s="664">
        <f>SUM(B79:M79)</f>
        <v>-1770198</v>
      </c>
      <c r="O79" s="664"/>
      <c r="P79" s="664"/>
      <c r="Q79" s="781">
        <f>+N79+P79-O79</f>
        <v>-1770198</v>
      </c>
      <c r="R79" s="665"/>
      <c r="S79" s="434"/>
    </row>
    <row r="80" spans="1:1024" s="801" customFormat="1" hidden="1">
      <c r="A80" s="797" t="s">
        <v>754</v>
      </c>
      <c r="B80" s="795"/>
      <c r="C80" s="795">
        <f t="shared" ref="C80:M80" si="14">+C14</f>
        <v>4797300</v>
      </c>
      <c r="D80" s="795">
        <f t="shared" si="14"/>
        <v>0</v>
      </c>
      <c r="E80" s="795">
        <f t="shared" si="14"/>
        <v>0</v>
      </c>
      <c r="F80" s="795">
        <f t="shared" si="14"/>
        <v>0</v>
      </c>
      <c r="G80" s="795">
        <f t="shared" si="14"/>
        <v>0</v>
      </c>
      <c r="H80" s="795">
        <f t="shared" si="14"/>
        <v>0</v>
      </c>
      <c r="I80" s="795">
        <f t="shared" si="14"/>
        <v>0</v>
      </c>
      <c r="J80" s="795">
        <f t="shared" si="14"/>
        <v>0</v>
      </c>
      <c r="K80" s="795">
        <f t="shared" si="14"/>
        <v>0</v>
      </c>
      <c r="L80" s="795">
        <f t="shared" si="14"/>
        <v>0</v>
      </c>
      <c r="M80" s="795">
        <f t="shared" si="14"/>
        <v>0</v>
      </c>
      <c r="N80" s="795">
        <f>SUM(B80:M80)</f>
        <v>4797300</v>
      </c>
      <c r="O80" s="795"/>
      <c r="P80" s="795"/>
      <c r="Q80" s="798">
        <f>+P80+N80-O80</f>
        <v>4797300</v>
      </c>
      <c r="R80" s="799"/>
      <c r="S80" s="800"/>
      <c r="T80" s="800"/>
      <c r="U80" s="800"/>
      <c r="V80" s="800"/>
      <c r="W80" s="800"/>
      <c r="X80" s="800"/>
      <c r="Y80" s="800"/>
      <c r="Z80" s="800"/>
      <c r="AA80" s="800"/>
      <c r="AB80" s="800"/>
      <c r="AC80" s="800"/>
      <c r="AD80" s="800"/>
      <c r="AE80" s="800"/>
      <c r="AF80" s="800"/>
      <c r="AG80" s="800"/>
      <c r="AH80" s="800"/>
      <c r="AI80" s="800"/>
      <c r="AJ80" s="800"/>
      <c r="AK80" s="800"/>
      <c r="AL80" s="800"/>
      <c r="AM80" s="800"/>
      <c r="AN80" s="800"/>
      <c r="AO80" s="800"/>
      <c r="AP80" s="800"/>
      <c r="AQ80" s="800"/>
      <c r="AR80" s="800"/>
      <c r="AS80" s="800"/>
      <c r="AT80" s="800"/>
      <c r="AU80" s="800"/>
      <c r="AV80" s="800"/>
      <c r="AW80" s="800"/>
      <c r="AX80" s="800"/>
      <c r="AY80" s="800"/>
      <c r="AZ80" s="800"/>
      <c r="BA80" s="800"/>
      <c r="BB80" s="800"/>
      <c r="BC80" s="800"/>
      <c r="BD80" s="800"/>
      <c r="BE80" s="800"/>
      <c r="BF80" s="800"/>
      <c r="BG80" s="800"/>
      <c r="BH80" s="800"/>
      <c r="BI80" s="800"/>
      <c r="BJ80" s="800"/>
      <c r="BK80" s="800"/>
      <c r="BL80" s="800"/>
      <c r="BM80" s="800"/>
      <c r="BN80" s="800"/>
      <c r="BO80" s="800"/>
      <c r="BP80" s="800"/>
      <c r="BQ80" s="800"/>
      <c r="BR80" s="800"/>
      <c r="BS80" s="800"/>
      <c r="BT80" s="800"/>
      <c r="BU80" s="800"/>
      <c r="BV80" s="800"/>
      <c r="BW80" s="800"/>
      <c r="BX80" s="800"/>
      <c r="BY80" s="800"/>
      <c r="BZ80" s="800"/>
      <c r="CA80" s="800"/>
      <c r="CB80" s="800"/>
      <c r="CC80" s="800"/>
      <c r="CD80" s="800"/>
      <c r="CE80" s="800"/>
      <c r="CF80" s="800"/>
      <c r="CG80" s="800"/>
      <c r="CH80" s="800"/>
      <c r="CI80" s="800"/>
      <c r="CJ80" s="800"/>
      <c r="CK80" s="800"/>
      <c r="CL80" s="800"/>
      <c r="CM80" s="800"/>
      <c r="CN80" s="800"/>
      <c r="CO80" s="800"/>
      <c r="CP80" s="800"/>
      <c r="CQ80" s="800"/>
      <c r="CR80" s="800"/>
      <c r="CS80" s="800"/>
      <c r="CT80" s="800"/>
      <c r="CU80" s="800"/>
      <c r="CV80" s="800"/>
      <c r="CW80" s="800"/>
      <c r="CX80" s="800"/>
      <c r="CY80" s="800"/>
      <c r="CZ80" s="800"/>
      <c r="DA80" s="800"/>
      <c r="DB80" s="800"/>
      <c r="DC80" s="800"/>
      <c r="DD80" s="800"/>
      <c r="DE80" s="800"/>
      <c r="DF80" s="800"/>
      <c r="DG80" s="800"/>
      <c r="DH80" s="800"/>
      <c r="DI80" s="800"/>
      <c r="DJ80" s="800"/>
      <c r="DK80" s="800"/>
      <c r="DL80" s="800"/>
      <c r="DM80" s="800"/>
      <c r="DN80" s="800"/>
      <c r="DO80" s="800"/>
      <c r="DP80" s="800"/>
      <c r="DQ80" s="800"/>
      <c r="DR80" s="800"/>
      <c r="DS80" s="800"/>
      <c r="DT80" s="800"/>
      <c r="DU80" s="800"/>
      <c r="DV80" s="800"/>
      <c r="DW80" s="800"/>
      <c r="DX80" s="800"/>
      <c r="DY80" s="800"/>
      <c r="DZ80" s="800"/>
      <c r="EA80" s="800"/>
      <c r="EB80" s="800"/>
      <c r="EC80" s="800"/>
      <c r="ED80" s="800"/>
      <c r="EE80" s="800"/>
      <c r="EF80" s="800"/>
      <c r="EG80" s="800"/>
      <c r="EH80" s="800"/>
      <c r="EI80" s="800"/>
      <c r="EJ80" s="800"/>
      <c r="EK80" s="800"/>
      <c r="EL80" s="800"/>
      <c r="EM80" s="800"/>
      <c r="EN80" s="800"/>
      <c r="EO80" s="800"/>
      <c r="EP80" s="800"/>
      <c r="EQ80" s="800"/>
      <c r="ER80" s="800"/>
      <c r="ES80" s="800"/>
      <c r="ET80" s="800"/>
      <c r="EU80" s="800"/>
      <c r="EV80" s="800"/>
      <c r="EW80" s="800"/>
      <c r="EX80" s="800"/>
      <c r="EY80" s="800"/>
      <c r="EZ80" s="800"/>
      <c r="FA80" s="800"/>
      <c r="FB80" s="800"/>
      <c r="FC80" s="800"/>
      <c r="FD80" s="800"/>
      <c r="FE80" s="800"/>
      <c r="FF80" s="800"/>
      <c r="FG80" s="800"/>
      <c r="FH80" s="800"/>
      <c r="FI80" s="800"/>
      <c r="FJ80" s="800"/>
      <c r="FK80" s="800"/>
      <c r="FL80" s="800"/>
      <c r="FM80" s="800"/>
      <c r="FN80" s="800"/>
      <c r="FO80" s="800"/>
      <c r="FP80" s="800"/>
      <c r="FQ80" s="800"/>
      <c r="FR80" s="800"/>
      <c r="FS80" s="800"/>
      <c r="FT80" s="800"/>
      <c r="FU80" s="800"/>
      <c r="FV80" s="800"/>
      <c r="FW80" s="800"/>
      <c r="FX80" s="800"/>
      <c r="FY80" s="800"/>
      <c r="FZ80" s="800"/>
      <c r="GA80" s="800"/>
      <c r="GB80" s="800"/>
      <c r="GC80" s="800"/>
      <c r="GD80" s="800"/>
      <c r="GE80" s="800"/>
      <c r="GF80" s="800"/>
      <c r="GG80" s="800"/>
      <c r="GH80" s="800"/>
      <c r="GI80" s="800"/>
      <c r="GJ80" s="800"/>
      <c r="GK80" s="800"/>
      <c r="GL80" s="800"/>
      <c r="GM80" s="800"/>
      <c r="GN80" s="800"/>
      <c r="GO80" s="800"/>
      <c r="GP80" s="800"/>
      <c r="GQ80" s="800"/>
      <c r="GR80" s="800"/>
      <c r="GS80" s="800"/>
      <c r="GT80" s="800"/>
      <c r="GU80" s="800"/>
      <c r="GV80" s="800"/>
      <c r="GW80" s="800"/>
      <c r="GX80" s="800"/>
      <c r="GY80" s="800"/>
      <c r="GZ80" s="800"/>
      <c r="HA80" s="800"/>
      <c r="HB80" s="800"/>
      <c r="HC80" s="800"/>
      <c r="HD80" s="800"/>
      <c r="HE80" s="800"/>
      <c r="HF80" s="800"/>
      <c r="HG80" s="800"/>
      <c r="HH80" s="800"/>
      <c r="HI80" s="800"/>
      <c r="HJ80" s="800"/>
      <c r="HK80" s="800"/>
      <c r="HL80" s="800"/>
      <c r="HM80" s="800"/>
      <c r="HN80" s="800"/>
      <c r="HO80" s="800"/>
      <c r="HP80" s="800"/>
      <c r="HQ80" s="800"/>
      <c r="HR80" s="800"/>
      <c r="HS80" s="800"/>
      <c r="HT80" s="800"/>
      <c r="HU80" s="800"/>
      <c r="HV80" s="800"/>
      <c r="HW80" s="800"/>
      <c r="HX80" s="800"/>
      <c r="HY80" s="800"/>
      <c r="HZ80" s="800"/>
      <c r="IA80" s="800"/>
      <c r="IB80" s="800"/>
      <c r="IC80" s="800"/>
      <c r="ID80" s="800"/>
      <c r="IE80" s="800"/>
      <c r="IF80" s="800"/>
      <c r="IG80" s="800"/>
      <c r="IH80" s="800"/>
      <c r="II80" s="800"/>
      <c r="IJ80" s="800"/>
      <c r="IK80" s="800"/>
      <c r="IL80" s="800"/>
      <c r="IM80" s="800"/>
      <c r="IN80" s="800"/>
      <c r="IO80" s="800"/>
      <c r="IP80" s="800"/>
      <c r="IQ80" s="800"/>
      <c r="IR80" s="800"/>
      <c r="IS80" s="800"/>
      <c r="IT80" s="800"/>
      <c r="IU80" s="800"/>
      <c r="IV80" s="800"/>
      <c r="IW80" s="800"/>
      <c r="IX80" s="800"/>
      <c r="IY80" s="800"/>
      <c r="IZ80" s="800"/>
      <c r="JA80" s="800"/>
      <c r="JB80" s="800"/>
      <c r="JC80" s="800"/>
      <c r="JD80" s="800"/>
      <c r="JE80" s="800"/>
      <c r="JF80" s="800"/>
      <c r="JG80" s="800"/>
      <c r="JH80" s="800"/>
      <c r="JI80" s="800"/>
      <c r="JJ80" s="800"/>
      <c r="JK80" s="800"/>
      <c r="JL80" s="800"/>
      <c r="JM80" s="800"/>
      <c r="JN80" s="800"/>
      <c r="JO80" s="800"/>
      <c r="JP80" s="800"/>
      <c r="JQ80" s="800"/>
      <c r="JR80" s="800"/>
      <c r="JS80" s="800"/>
      <c r="JT80" s="800"/>
      <c r="JU80" s="800"/>
      <c r="JV80" s="800"/>
      <c r="JW80" s="800"/>
      <c r="JX80" s="800"/>
      <c r="JY80" s="800"/>
      <c r="JZ80" s="800"/>
      <c r="KA80" s="800"/>
      <c r="KB80" s="800"/>
      <c r="KC80" s="800"/>
      <c r="KD80" s="800"/>
      <c r="KE80" s="800"/>
      <c r="KF80" s="800"/>
      <c r="KG80" s="800"/>
      <c r="KH80" s="800"/>
      <c r="KI80" s="800"/>
      <c r="KJ80" s="800"/>
      <c r="KK80" s="800"/>
      <c r="KL80" s="800"/>
      <c r="KM80" s="800"/>
      <c r="KN80" s="800"/>
      <c r="KO80" s="800"/>
      <c r="KP80" s="800"/>
      <c r="KQ80" s="800"/>
      <c r="KR80" s="800"/>
      <c r="KS80" s="800"/>
      <c r="KT80" s="800"/>
      <c r="KU80" s="800"/>
      <c r="KV80" s="800"/>
      <c r="KW80" s="800"/>
      <c r="KX80" s="800"/>
      <c r="KY80" s="800"/>
      <c r="KZ80" s="800"/>
      <c r="LA80" s="800"/>
      <c r="LB80" s="800"/>
      <c r="LC80" s="800"/>
      <c r="LD80" s="800"/>
      <c r="LE80" s="800"/>
      <c r="LF80" s="800"/>
      <c r="LG80" s="800"/>
      <c r="LH80" s="800"/>
      <c r="LI80" s="800"/>
      <c r="LJ80" s="800"/>
      <c r="LK80" s="800"/>
      <c r="LL80" s="800"/>
      <c r="LM80" s="800"/>
      <c r="LN80" s="800"/>
      <c r="LO80" s="800"/>
      <c r="LP80" s="800"/>
      <c r="LQ80" s="800"/>
      <c r="LR80" s="800"/>
      <c r="LS80" s="800"/>
      <c r="LT80" s="800"/>
      <c r="LU80" s="800"/>
      <c r="LV80" s="800"/>
      <c r="LW80" s="800"/>
      <c r="LX80" s="800"/>
      <c r="LY80" s="800"/>
      <c r="LZ80" s="800"/>
      <c r="MA80" s="800"/>
      <c r="MB80" s="800"/>
      <c r="MC80" s="800"/>
      <c r="MD80" s="800"/>
      <c r="ME80" s="800"/>
      <c r="MF80" s="800"/>
      <c r="MG80" s="800"/>
      <c r="MH80" s="800"/>
      <c r="MI80" s="800"/>
      <c r="MJ80" s="800"/>
      <c r="MK80" s="800"/>
      <c r="ML80" s="800"/>
      <c r="MM80" s="800"/>
      <c r="MN80" s="800"/>
      <c r="MO80" s="800"/>
      <c r="MP80" s="800"/>
      <c r="MQ80" s="800"/>
      <c r="MR80" s="800"/>
      <c r="MS80" s="800"/>
      <c r="MT80" s="800"/>
      <c r="MU80" s="800"/>
      <c r="MV80" s="800"/>
      <c r="MW80" s="800"/>
      <c r="MX80" s="800"/>
      <c r="MY80" s="800"/>
      <c r="MZ80" s="800"/>
      <c r="NA80" s="800"/>
      <c r="NB80" s="800"/>
      <c r="NC80" s="800"/>
      <c r="ND80" s="800"/>
      <c r="NE80" s="800"/>
      <c r="NF80" s="800"/>
      <c r="NG80" s="800"/>
      <c r="NH80" s="800"/>
      <c r="NI80" s="800"/>
      <c r="NJ80" s="800"/>
      <c r="NK80" s="800"/>
      <c r="NL80" s="800"/>
      <c r="NM80" s="800"/>
      <c r="NN80" s="800"/>
      <c r="NO80" s="800"/>
      <c r="NP80" s="800"/>
      <c r="NQ80" s="800"/>
      <c r="NR80" s="800"/>
      <c r="NS80" s="800"/>
      <c r="NT80" s="800"/>
      <c r="NU80" s="800"/>
      <c r="NV80" s="800"/>
      <c r="NW80" s="800"/>
      <c r="NX80" s="800"/>
      <c r="NY80" s="800"/>
      <c r="NZ80" s="800"/>
      <c r="OA80" s="800"/>
      <c r="OB80" s="800"/>
      <c r="OC80" s="800"/>
      <c r="OD80" s="800"/>
      <c r="OE80" s="800"/>
      <c r="OF80" s="800"/>
      <c r="OG80" s="800"/>
      <c r="OH80" s="800"/>
      <c r="OI80" s="800"/>
      <c r="OJ80" s="800"/>
      <c r="OK80" s="800"/>
      <c r="OL80" s="800"/>
      <c r="OM80" s="800"/>
      <c r="ON80" s="800"/>
      <c r="OO80" s="800"/>
      <c r="OP80" s="800"/>
      <c r="OQ80" s="800"/>
      <c r="OR80" s="800"/>
      <c r="OS80" s="800"/>
      <c r="OT80" s="800"/>
      <c r="OU80" s="800"/>
      <c r="OV80" s="800"/>
      <c r="OW80" s="800"/>
      <c r="OX80" s="800"/>
      <c r="OY80" s="800"/>
      <c r="OZ80" s="800"/>
      <c r="PA80" s="800"/>
      <c r="PB80" s="800"/>
      <c r="PC80" s="800"/>
      <c r="PD80" s="800"/>
      <c r="PE80" s="800"/>
      <c r="PF80" s="800"/>
      <c r="PG80" s="800"/>
      <c r="PH80" s="800"/>
      <c r="PI80" s="800"/>
      <c r="PJ80" s="800"/>
      <c r="PK80" s="800"/>
      <c r="PL80" s="800"/>
      <c r="PM80" s="800"/>
      <c r="PN80" s="800"/>
      <c r="PO80" s="800"/>
      <c r="PP80" s="800"/>
      <c r="PQ80" s="800"/>
      <c r="PR80" s="800"/>
      <c r="PS80" s="800"/>
      <c r="PT80" s="800"/>
      <c r="PU80" s="800"/>
      <c r="PV80" s="800"/>
      <c r="PW80" s="800"/>
      <c r="PX80" s="800"/>
      <c r="PY80" s="800"/>
      <c r="PZ80" s="800"/>
      <c r="QA80" s="800"/>
      <c r="QB80" s="800"/>
      <c r="QC80" s="800"/>
      <c r="QD80" s="800"/>
      <c r="QE80" s="800"/>
      <c r="QF80" s="800"/>
      <c r="QG80" s="800"/>
      <c r="QH80" s="800"/>
      <c r="QI80" s="800"/>
      <c r="QJ80" s="800"/>
      <c r="QK80" s="800"/>
      <c r="QL80" s="800"/>
      <c r="QM80" s="800"/>
      <c r="QN80" s="800"/>
      <c r="QO80" s="800"/>
      <c r="QP80" s="800"/>
      <c r="QQ80" s="800"/>
      <c r="QR80" s="800"/>
      <c r="QS80" s="800"/>
      <c r="QT80" s="800"/>
      <c r="QU80" s="800"/>
      <c r="QV80" s="800"/>
      <c r="QW80" s="800"/>
      <c r="QX80" s="800"/>
      <c r="QY80" s="800"/>
      <c r="QZ80" s="800"/>
      <c r="RA80" s="800"/>
      <c r="RB80" s="800"/>
      <c r="RC80" s="800"/>
      <c r="RD80" s="800"/>
      <c r="RE80" s="800"/>
      <c r="RF80" s="800"/>
      <c r="RG80" s="800"/>
      <c r="RH80" s="800"/>
      <c r="RI80" s="800"/>
      <c r="RJ80" s="800"/>
      <c r="RK80" s="800"/>
      <c r="RL80" s="800"/>
      <c r="RM80" s="800"/>
      <c r="RN80" s="800"/>
      <c r="RO80" s="800"/>
      <c r="RP80" s="800"/>
      <c r="RQ80" s="800"/>
      <c r="RR80" s="800"/>
      <c r="RS80" s="800"/>
      <c r="RT80" s="800"/>
      <c r="RU80" s="800"/>
      <c r="RV80" s="800"/>
      <c r="RW80" s="800"/>
      <c r="RX80" s="800"/>
      <c r="RY80" s="800"/>
      <c r="RZ80" s="800"/>
      <c r="SA80" s="800"/>
      <c r="SB80" s="800"/>
      <c r="SC80" s="800"/>
      <c r="SD80" s="800"/>
      <c r="SE80" s="800"/>
      <c r="SF80" s="800"/>
      <c r="SG80" s="800"/>
      <c r="SH80" s="800"/>
      <c r="SI80" s="800"/>
      <c r="SJ80" s="800"/>
      <c r="SK80" s="800"/>
      <c r="SL80" s="800"/>
      <c r="SM80" s="800"/>
      <c r="SN80" s="800"/>
      <c r="SO80" s="800"/>
      <c r="SP80" s="800"/>
      <c r="SQ80" s="800"/>
      <c r="SR80" s="800"/>
      <c r="SS80" s="800"/>
      <c r="ST80" s="800"/>
      <c r="SU80" s="800"/>
      <c r="SV80" s="800"/>
      <c r="SW80" s="800"/>
      <c r="SX80" s="800"/>
      <c r="SY80" s="800"/>
      <c r="SZ80" s="800"/>
      <c r="TA80" s="800"/>
      <c r="TB80" s="800"/>
      <c r="TC80" s="800"/>
      <c r="TD80" s="800"/>
      <c r="TE80" s="800"/>
      <c r="TF80" s="800"/>
      <c r="TG80" s="800"/>
      <c r="TH80" s="800"/>
      <c r="TI80" s="800"/>
      <c r="TJ80" s="800"/>
      <c r="TK80" s="800"/>
      <c r="TL80" s="800"/>
      <c r="TM80" s="800"/>
      <c r="TN80" s="800"/>
      <c r="TO80" s="800"/>
      <c r="TP80" s="800"/>
      <c r="TQ80" s="800"/>
      <c r="TR80" s="800"/>
      <c r="TS80" s="800"/>
      <c r="TT80" s="800"/>
      <c r="TU80" s="800"/>
      <c r="TV80" s="800"/>
      <c r="TW80" s="800"/>
      <c r="TX80" s="800"/>
      <c r="TY80" s="800"/>
      <c r="TZ80" s="800"/>
      <c r="UA80" s="800"/>
      <c r="UB80" s="800"/>
      <c r="UC80" s="800"/>
      <c r="UD80" s="800"/>
      <c r="UE80" s="800"/>
      <c r="UF80" s="800"/>
      <c r="UG80" s="800"/>
      <c r="UH80" s="800"/>
      <c r="UI80" s="800"/>
      <c r="UJ80" s="800"/>
      <c r="UK80" s="800"/>
      <c r="UL80" s="800"/>
      <c r="UM80" s="800"/>
      <c r="UN80" s="800"/>
      <c r="UO80" s="800"/>
      <c r="UP80" s="800"/>
      <c r="UQ80" s="800"/>
      <c r="UR80" s="800"/>
      <c r="US80" s="800"/>
      <c r="UT80" s="800"/>
      <c r="UU80" s="800"/>
      <c r="UV80" s="800"/>
      <c r="UW80" s="800"/>
      <c r="UX80" s="800"/>
      <c r="UY80" s="800"/>
      <c r="UZ80" s="800"/>
      <c r="VA80" s="800"/>
      <c r="VB80" s="800"/>
      <c r="VC80" s="800"/>
      <c r="VD80" s="800"/>
      <c r="VE80" s="800"/>
      <c r="VF80" s="800"/>
      <c r="VG80" s="800"/>
      <c r="VH80" s="800"/>
      <c r="VI80" s="800"/>
      <c r="VJ80" s="800"/>
      <c r="VK80" s="800"/>
      <c r="VL80" s="800"/>
      <c r="VM80" s="800"/>
      <c r="VN80" s="800"/>
      <c r="VO80" s="800"/>
      <c r="VP80" s="800"/>
      <c r="VQ80" s="800"/>
      <c r="VR80" s="800"/>
      <c r="VS80" s="800"/>
      <c r="VT80" s="800"/>
      <c r="VU80" s="800"/>
      <c r="VV80" s="800"/>
      <c r="VW80" s="800"/>
      <c r="VX80" s="800"/>
      <c r="VY80" s="800"/>
      <c r="VZ80" s="800"/>
      <c r="WA80" s="800"/>
      <c r="WB80" s="800"/>
      <c r="WC80" s="800"/>
      <c r="WD80" s="800"/>
      <c r="WE80" s="800"/>
      <c r="WF80" s="800"/>
      <c r="WG80" s="800"/>
      <c r="WH80" s="800"/>
      <c r="WI80" s="800"/>
      <c r="WJ80" s="800"/>
      <c r="WK80" s="800"/>
      <c r="WL80" s="800"/>
      <c r="WM80" s="800"/>
      <c r="WN80" s="800"/>
      <c r="WO80" s="800"/>
      <c r="WP80" s="800"/>
      <c r="WQ80" s="800"/>
      <c r="WR80" s="800"/>
      <c r="WS80" s="800"/>
      <c r="WT80" s="800"/>
      <c r="WU80" s="800"/>
      <c r="WV80" s="800"/>
      <c r="WW80" s="800"/>
      <c r="WX80" s="800"/>
      <c r="WY80" s="800"/>
      <c r="WZ80" s="800"/>
      <c r="XA80" s="800"/>
      <c r="XB80" s="800"/>
      <c r="XC80" s="800"/>
      <c r="XD80" s="800"/>
      <c r="XE80" s="800"/>
      <c r="XF80" s="800"/>
      <c r="XG80" s="800"/>
      <c r="XH80" s="800"/>
      <c r="XI80" s="800"/>
      <c r="XJ80" s="800"/>
      <c r="XK80" s="800"/>
      <c r="XL80" s="800"/>
      <c r="XM80" s="800"/>
      <c r="XN80" s="800"/>
      <c r="XO80" s="800"/>
      <c r="XP80" s="800"/>
      <c r="XQ80" s="800"/>
      <c r="XR80" s="800"/>
      <c r="XS80" s="800"/>
      <c r="XT80" s="800"/>
      <c r="XU80" s="800"/>
      <c r="XV80" s="800"/>
      <c r="XW80" s="800"/>
      <c r="XX80" s="800"/>
      <c r="XY80" s="800"/>
      <c r="XZ80" s="800"/>
      <c r="YA80" s="800"/>
      <c r="YB80" s="800"/>
      <c r="YC80" s="800"/>
      <c r="YD80" s="800"/>
      <c r="YE80" s="800"/>
      <c r="YF80" s="800"/>
      <c r="YG80" s="800"/>
      <c r="YH80" s="800"/>
      <c r="YI80" s="800"/>
      <c r="YJ80" s="800"/>
      <c r="YK80" s="800"/>
      <c r="YL80" s="800"/>
      <c r="YM80" s="800"/>
      <c r="YN80" s="800"/>
      <c r="YO80" s="800"/>
      <c r="YP80" s="800"/>
      <c r="YQ80" s="800"/>
      <c r="YR80" s="800"/>
      <c r="YS80" s="800"/>
      <c r="YT80" s="800"/>
      <c r="YU80" s="800"/>
      <c r="YV80" s="800"/>
      <c r="YW80" s="800"/>
      <c r="YX80" s="800"/>
      <c r="YY80" s="800"/>
      <c r="YZ80" s="800"/>
      <c r="ZA80" s="800"/>
      <c r="ZB80" s="800"/>
      <c r="ZC80" s="800"/>
      <c r="ZD80" s="800"/>
      <c r="ZE80" s="800"/>
      <c r="ZF80" s="800"/>
      <c r="ZG80" s="800"/>
      <c r="ZH80" s="800"/>
      <c r="ZI80" s="800"/>
      <c r="ZJ80" s="800"/>
      <c r="ZK80" s="800"/>
      <c r="ZL80" s="800"/>
      <c r="ZM80" s="800"/>
      <c r="ZN80" s="800"/>
      <c r="ZO80" s="800"/>
      <c r="ZP80" s="800"/>
      <c r="ZQ80" s="800"/>
      <c r="ZR80" s="800"/>
      <c r="ZS80" s="800"/>
      <c r="ZT80" s="800"/>
      <c r="ZU80" s="800"/>
      <c r="ZV80" s="800"/>
      <c r="ZW80" s="800"/>
      <c r="ZX80" s="800"/>
      <c r="ZY80" s="800"/>
      <c r="ZZ80" s="800"/>
      <c r="AAA80" s="800"/>
      <c r="AAB80" s="800"/>
      <c r="AAC80" s="800"/>
      <c r="AAD80" s="800"/>
      <c r="AAE80" s="800"/>
      <c r="AAF80" s="800"/>
      <c r="AAG80" s="800"/>
      <c r="AAH80" s="800"/>
      <c r="AAI80" s="800"/>
      <c r="AAJ80" s="800"/>
      <c r="AAK80" s="800"/>
      <c r="AAL80" s="800"/>
      <c r="AAM80" s="800"/>
      <c r="AAN80" s="800"/>
      <c r="AAO80" s="800"/>
      <c r="AAP80" s="800"/>
      <c r="AAQ80" s="800"/>
      <c r="AAR80" s="800"/>
      <c r="AAS80" s="800"/>
      <c r="AAT80" s="800"/>
      <c r="AAU80" s="800"/>
      <c r="AAV80" s="800"/>
      <c r="AAW80" s="800"/>
      <c r="AAX80" s="800"/>
      <c r="AAY80" s="800"/>
      <c r="AAZ80" s="800"/>
      <c r="ABA80" s="800"/>
      <c r="ABB80" s="800"/>
      <c r="ABC80" s="800"/>
      <c r="ABD80" s="800"/>
      <c r="ABE80" s="800"/>
      <c r="ABF80" s="800"/>
      <c r="ABG80" s="800"/>
      <c r="ABH80" s="800"/>
      <c r="ABI80" s="800"/>
      <c r="ABJ80" s="800"/>
      <c r="ABK80" s="800"/>
      <c r="ABL80" s="800"/>
      <c r="ABM80" s="800"/>
      <c r="ABN80" s="800"/>
      <c r="ABO80" s="800"/>
      <c r="ABP80" s="800"/>
      <c r="ABQ80" s="800"/>
      <c r="ABR80" s="800"/>
      <c r="ABS80" s="800"/>
      <c r="ABT80" s="800"/>
      <c r="ABU80" s="800"/>
      <c r="ABV80" s="800"/>
      <c r="ABW80" s="800"/>
      <c r="ABX80" s="800"/>
      <c r="ABY80" s="800"/>
      <c r="ABZ80" s="800"/>
      <c r="ACA80" s="800"/>
      <c r="ACB80" s="800"/>
      <c r="ACC80" s="800"/>
      <c r="ACD80" s="800"/>
      <c r="ACE80" s="800"/>
      <c r="ACF80" s="800"/>
      <c r="ACG80" s="800"/>
      <c r="ACH80" s="800"/>
      <c r="ACI80" s="800"/>
      <c r="ACJ80" s="800"/>
      <c r="ACK80" s="800"/>
      <c r="ACL80" s="800"/>
      <c r="ACM80" s="800"/>
      <c r="ACN80" s="800"/>
      <c r="ACO80" s="800"/>
      <c r="ACP80" s="800"/>
      <c r="ACQ80" s="800"/>
      <c r="ACR80" s="800"/>
      <c r="ACS80" s="800"/>
      <c r="ACT80" s="800"/>
      <c r="ACU80" s="800"/>
      <c r="ACV80" s="800"/>
      <c r="ACW80" s="800"/>
      <c r="ACX80" s="800"/>
      <c r="ACY80" s="800"/>
      <c r="ACZ80" s="800"/>
      <c r="ADA80" s="800"/>
      <c r="ADB80" s="800"/>
      <c r="ADC80" s="800"/>
      <c r="ADD80" s="800"/>
      <c r="ADE80" s="800"/>
      <c r="ADF80" s="800"/>
      <c r="ADG80" s="800"/>
      <c r="ADH80" s="800"/>
      <c r="ADI80" s="800"/>
      <c r="ADJ80" s="800"/>
      <c r="ADK80" s="800"/>
      <c r="ADL80" s="800"/>
      <c r="ADM80" s="800"/>
      <c r="ADN80" s="800"/>
      <c r="ADO80" s="800"/>
      <c r="ADP80" s="800"/>
      <c r="ADQ80" s="800"/>
      <c r="ADR80" s="800"/>
      <c r="ADS80" s="800"/>
      <c r="ADT80" s="800"/>
      <c r="ADU80" s="800"/>
      <c r="ADV80" s="800"/>
      <c r="ADW80" s="800"/>
      <c r="ADX80" s="800"/>
      <c r="ADY80" s="800"/>
      <c r="ADZ80" s="800"/>
      <c r="AEA80" s="800"/>
      <c r="AEB80" s="800"/>
      <c r="AEC80" s="800"/>
      <c r="AED80" s="800"/>
      <c r="AEE80" s="800"/>
      <c r="AEF80" s="800"/>
      <c r="AEG80" s="800"/>
      <c r="AEH80" s="800"/>
      <c r="AEI80" s="800"/>
      <c r="AEJ80" s="800"/>
      <c r="AEK80" s="800"/>
      <c r="AEL80" s="800"/>
      <c r="AEM80" s="800"/>
      <c r="AEN80" s="800"/>
      <c r="AEO80" s="800"/>
      <c r="AEP80" s="800"/>
      <c r="AEQ80" s="800"/>
      <c r="AER80" s="800"/>
      <c r="AES80" s="800"/>
      <c r="AET80" s="800"/>
      <c r="AEU80" s="800"/>
      <c r="AEV80" s="800"/>
      <c r="AEW80" s="800"/>
      <c r="AEX80" s="800"/>
      <c r="AEY80" s="800"/>
      <c r="AEZ80" s="800"/>
      <c r="AFA80" s="800"/>
      <c r="AFB80" s="800"/>
      <c r="AFC80" s="800"/>
      <c r="AFD80" s="800"/>
      <c r="AFE80" s="800"/>
      <c r="AFF80" s="800"/>
      <c r="AFG80" s="800"/>
      <c r="AFH80" s="800"/>
      <c r="AFI80" s="800"/>
      <c r="AFJ80" s="800"/>
      <c r="AFK80" s="800"/>
      <c r="AFL80" s="800"/>
      <c r="AFM80" s="800"/>
      <c r="AFN80" s="800"/>
      <c r="AFO80" s="800"/>
      <c r="AFP80" s="800"/>
      <c r="AFQ80" s="800"/>
      <c r="AFR80" s="800"/>
      <c r="AFS80" s="800"/>
      <c r="AFT80" s="800"/>
      <c r="AFU80" s="800"/>
      <c r="AFV80" s="800"/>
      <c r="AFW80" s="800"/>
      <c r="AFX80" s="800"/>
      <c r="AFY80" s="800"/>
      <c r="AFZ80" s="800"/>
      <c r="AGA80" s="800"/>
      <c r="AGB80" s="800"/>
      <c r="AGC80" s="800"/>
      <c r="AGD80" s="800"/>
      <c r="AGE80" s="800"/>
      <c r="AGF80" s="800"/>
      <c r="AGG80" s="800"/>
      <c r="AGH80" s="800"/>
      <c r="AGI80" s="800"/>
      <c r="AGJ80" s="800"/>
      <c r="AGK80" s="800"/>
      <c r="AGL80" s="800"/>
      <c r="AGM80" s="800"/>
      <c r="AGN80" s="800"/>
      <c r="AGO80" s="800"/>
      <c r="AGP80" s="800"/>
      <c r="AGQ80" s="800"/>
      <c r="AGR80" s="800"/>
      <c r="AGS80" s="800"/>
      <c r="AGT80" s="800"/>
      <c r="AGU80" s="800"/>
      <c r="AGV80" s="800"/>
      <c r="AGW80" s="800"/>
      <c r="AGX80" s="800"/>
      <c r="AGY80" s="800"/>
      <c r="AGZ80" s="800"/>
      <c r="AHA80" s="800"/>
      <c r="AHB80" s="800"/>
      <c r="AHC80" s="800"/>
      <c r="AHD80" s="800"/>
      <c r="AHE80" s="800"/>
      <c r="AHF80" s="800"/>
      <c r="AHG80" s="800"/>
      <c r="AHH80" s="800"/>
      <c r="AHI80" s="800"/>
      <c r="AHJ80" s="800"/>
      <c r="AHK80" s="800"/>
      <c r="AHL80" s="800"/>
      <c r="AHM80" s="800"/>
      <c r="AHN80" s="800"/>
      <c r="AHO80" s="800"/>
      <c r="AHP80" s="800"/>
      <c r="AHQ80" s="800"/>
      <c r="AHR80" s="800"/>
      <c r="AHS80" s="800"/>
      <c r="AHT80" s="800"/>
      <c r="AHU80" s="800"/>
      <c r="AHV80" s="800"/>
      <c r="AHW80" s="800"/>
      <c r="AHX80" s="800"/>
      <c r="AHY80" s="800"/>
      <c r="AHZ80" s="800"/>
      <c r="AIA80" s="800"/>
      <c r="AIB80" s="800"/>
      <c r="AIC80" s="800"/>
      <c r="AID80" s="800"/>
      <c r="AIE80" s="800"/>
      <c r="AIF80" s="800"/>
      <c r="AIG80" s="800"/>
      <c r="AIH80" s="800"/>
      <c r="AII80" s="800"/>
      <c r="AIJ80" s="800"/>
      <c r="AIK80" s="800"/>
      <c r="AIL80" s="800"/>
      <c r="AIM80" s="800"/>
      <c r="AIN80" s="800"/>
      <c r="AIO80" s="800"/>
      <c r="AIP80" s="800"/>
      <c r="AIQ80" s="800"/>
      <c r="AIR80" s="800"/>
      <c r="AIS80" s="800"/>
      <c r="AIT80" s="800"/>
      <c r="AIU80" s="800"/>
      <c r="AIV80" s="800"/>
      <c r="AIW80" s="800"/>
      <c r="AIX80" s="800"/>
      <c r="AIY80" s="800"/>
      <c r="AIZ80" s="800"/>
      <c r="AJA80" s="800"/>
      <c r="AJB80" s="800"/>
      <c r="AJC80" s="800"/>
      <c r="AJD80" s="800"/>
      <c r="AJE80" s="800"/>
      <c r="AJF80" s="800"/>
      <c r="AJG80" s="800"/>
      <c r="AJH80" s="800"/>
      <c r="AJI80" s="800"/>
      <c r="AJJ80" s="800"/>
      <c r="AJK80" s="800"/>
      <c r="AJL80" s="800"/>
      <c r="AJM80" s="800"/>
      <c r="AJN80" s="800"/>
      <c r="AJO80" s="800"/>
      <c r="AJP80" s="800"/>
      <c r="AJQ80" s="800"/>
      <c r="AJR80" s="800"/>
      <c r="AJS80" s="800"/>
      <c r="AJT80" s="800"/>
      <c r="AJU80" s="800"/>
      <c r="AJV80" s="800"/>
      <c r="AJW80" s="800"/>
      <c r="AJX80" s="800"/>
      <c r="AJY80" s="800"/>
      <c r="AJZ80" s="800"/>
      <c r="AKA80" s="800"/>
      <c r="AKB80" s="800"/>
      <c r="AKC80" s="800"/>
      <c r="AKD80" s="800"/>
      <c r="AKE80" s="800"/>
      <c r="AKF80" s="800"/>
      <c r="AKG80" s="800"/>
      <c r="AKH80" s="800"/>
      <c r="AKI80" s="800"/>
      <c r="AKJ80" s="800"/>
      <c r="AKK80" s="800"/>
      <c r="AKL80" s="800"/>
      <c r="AKM80" s="800"/>
      <c r="AKN80" s="800"/>
      <c r="AKO80" s="800"/>
      <c r="AKP80" s="800"/>
      <c r="AKQ80" s="800"/>
      <c r="AKR80" s="800"/>
      <c r="AKS80" s="800"/>
      <c r="AKT80" s="800"/>
      <c r="AKU80" s="800"/>
      <c r="AKV80" s="800"/>
      <c r="AKW80" s="800"/>
      <c r="AKX80" s="800"/>
      <c r="AKY80" s="800"/>
      <c r="AKZ80" s="800"/>
      <c r="ALA80" s="800"/>
      <c r="ALB80" s="800"/>
      <c r="ALC80" s="800"/>
      <c r="ALD80" s="800"/>
      <c r="ALE80" s="800"/>
      <c r="ALF80" s="800"/>
      <c r="ALG80" s="800"/>
      <c r="ALH80" s="800"/>
      <c r="ALI80" s="800"/>
      <c r="ALJ80" s="800"/>
      <c r="ALK80" s="800"/>
      <c r="ALL80" s="800"/>
      <c r="ALM80" s="800"/>
      <c r="ALN80" s="800"/>
      <c r="ALO80" s="800"/>
      <c r="ALP80" s="800"/>
      <c r="ALQ80" s="800"/>
      <c r="ALR80" s="800"/>
      <c r="ALS80" s="800"/>
      <c r="ALT80" s="800"/>
      <c r="ALU80" s="800"/>
      <c r="ALV80" s="800"/>
      <c r="ALW80" s="800"/>
      <c r="ALX80" s="800"/>
      <c r="ALY80" s="800"/>
      <c r="ALZ80" s="800"/>
      <c r="AMA80" s="800"/>
      <c r="AMB80" s="800"/>
      <c r="AMC80" s="800"/>
      <c r="AMD80" s="800"/>
      <c r="AME80" s="800"/>
      <c r="AMF80" s="800"/>
      <c r="AMG80" s="800"/>
      <c r="AMH80" s="800"/>
      <c r="AMI80" s="800"/>
      <c r="AMJ80" s="800"/>
    </row>
    <row r="81" spans="1:19" hidden="1">
      <c r="A81" s="789" t="s">
        <v>731</v>
      </c>
      <c r="B81" s="664"/>
      <c r="C81" s="664">
        <f t="shared" ref="C81:N81" si="15">+C7</f>
        <v>0</v>
      </c>
      <c r="D81" s="664">
        <f t="shared" si="15"/>
        <v>0</v>
      </c>
      <c r="E81" s="664">
        <f t="shared" si="15"/>
        <v>-3200</v>
      </c>
      <c r="F81" s="664">
        <f t="shared" si="15"/>
        <v>0</v>
      </c>
      <c r="G81" s="664">
        <f t="shared" si="15"/>
        <v>0</v>
      </c>
      <c r="H81" s="664">
        <f t="shared" si="15"/>
        <v>0</v>
      </c>
      <c r="I81" s="664">
        <f t="shared" si="15"/>
        <v>0</v>
      </c>
      <c r="J81" s="664">
        <f t="shared" si="15"/>
        <v>0</v>
      </c>
      <c r="K81" s="664">
        <f t="shared" si="15"/>
        <v>0</v>
      </c>
      <c r="L81" s="664">
        <f t="shared" si="15"/>
        <v>0</v>
      </c>
      <c r="M81" s="664">
        <f t="shared" si="15"/>
        <v>0</v>
      </c>
      <c r="N81" s="664">
        <f t="shared" si="15"/>
        <v>-6118200</v>
      </c>
      <c r="O81" s="664"/>
      <c r="P81" s="664"/>
      <c r="Q81" s="790">
        <f>+P81+N81-O81</f>
        <v>-6118200</v>
      </c>
    </row>
    <row r="82" spans="1:19" hidden="1">
      <c r="A82" s="789" t="s">
        <v>658</v>
      </c>
      <c r="B82" s="664">
        <f t="shared" ref="B82:M82" si="16">+B53</f>
        <v>-5488035</v>
      </c>
      <c r="C82" s="664">
        <f t="shared" si="16"/>
        <v>0</v>
      </c>
      <c r="D82" s="664">
        <f t="shared" si="16"/>
        <v>0</v>
      </c>
      <c r="E82" s="664">
        <f t="shared" si="16"/>
        <v>0</v>
      </c>
      <c r="F82" s="664">
        <f t="shared" si="16"/>
        <v>0</v>
      </c>
      <c r="G82" s="664">
        <f t="shared" si="16"/>
        <v>0</v>
      </c>
      <c r="H82" s="664">
        <f t="shared" si="16"/>
        <v>0</v>
      </c>
      <c r="I82" s="664">
        <f t="shared" si="16"/>
        <v>0</v>
      </c>
      <c r="J82" s="664">
        <f t="shared" si="16"/>
        <v>0</v>
      </c>
      <c r="K82" s="664">
        <f t="shared" si="16"/>
        <v>0</v>
      </c>
      <c r="L82" s="664">
        <f t="shared" si="16"/>
        <v>0</v>
      </c>
      <c r="M82" s="664">
        <f t="shared" si="16"/>
        <v>0</v>
      </c>
      <c r="N82" s="664">
        <f t="shared" ref="N82:N89" si="17">SUM(B82:M82)</f>
        <v>-5488035</v>
      </c>
      <c r="O82" s="664"/>
      <c r="P82" s="664"/>
      <c r="Q82" s="790">
        <f>+P82+N82-O82</f>
        <v>-5488035</v>
      </c>
    </row>
    <row r="83" spans="1:19" hidden="1">
      <c r="A83" s="789" t="s">
        <v>755</v>
      </c>
      <c r="B83" s="664">
        <f>+B54</f>
        <v>0</v>
      </c>
      <c r="C83" s="664">
        <f>+C54</f>
        <v>37386</v>
      </c>
      <c r="D83" s="664">
        <f>+D54</f>
        <v>0</v>
      </c>
      <c r="E83" s="664">
        <f>+E54+E20+E8</f>
        <v>-115991</v>
      </c>
      <c r="F83" s="664">
        <f>+F54</f>
        <v>1173951</v>
      </c>
      <c r="G83" s="664">
        <f>+G54</f>
        <v>0</v>
      </c>
      <c r="H83" s="664">
        <f>H30+H54</f>
        <v>-2988</v>
      </c>
      <c r="I83" s="664">
        <f>+I54</f>
        <v>0</v>
      </c>
      <c r="J83" s="664">
        <f>+J54</f>
        <v>0</v>
      </c>
      <c r="K83" s="664">
        <f>+K54</f>
        <v>-1728</v>
      </c>
      <c r="L83" s="664">
        <f>+L40</f>
        <v>-151290</v>
      </c>
      <c r="M83" s="664">
        <f>+M54</f>
        <v>-38152</v>
      </c>
      <c r="N83" s="664">
        <f t="shared" si="17"/>
        <v>901188</v>
      </c>
      <c r="O83" s="664"/>
      <c r="P83" s="664"/>
      <c r="Q83" s="790">
        <f>+P83+N83-O83</f>
        <v>901188</v>
      </c>
    </row>
    <row r="84" spans="1:19" ht="30" hidden="1">
      <c r="A84" s="791" t="s">
        <v>752</v>
      </c>
      <c r="B84" s="664">
        <f t="shared" ref="B84:M84" si="18">+B55+B35</f>
        <v>14116935</v>
      </c>
      <c r="C84" s="664">
        <f t="shared" si="18"/>
        <v>-5325487</v>
      </c>
      <c r="D84" s="664">
        <f t="shared" si="18"/>
        <v>181072</v>
      </c>
      <c r="E84" s="664">
        <f t="shared" si="18"/>
        <v>0</v>
      </c>
      <c r="F84" s="664">
        <f t="shared" si="18"/>
        <v>-44933</v>
      </c>
      <c r="G84" s="664">
        <f t="shared" si="18"/>
        <v>-13474</v>
      </c>
      <c r="H84" s="664">
        <f t="shared" si="18"/>
        <v>0</v>
      </c>
      <c r="I84" s="664">
        <f t="shared" si="18"/>
        <v>0</v>
      </c>
      <c r="J84" s="664">
        <f t="shared" si="18"/>
        <v>-40586</v>
      </c>
      <c r="K84" s="664">
        <f t="shared" si="18"/>
        <v>1063188</v>
      </c>
      <c r="L84" s="664">
        <f t="shared" si="18"/>
        <v>1040435</v>
      </c>
      <c r="M84" s="664">
        <f t="shared" si="18"/>
        <v>-436196</v>
      </c>
      <c r="N84" s="664">
        <f t="shared" si="17"/>
        <v>10540954</v>
      </c>
      <c r="O84" s="664"/>
      <c r="P84" s="664"/>
      <c r="Q84" s="790">
        <f>+P84+N84-O84</f>
        <v>10540954</v>
      </c>
    </row>
    <row r="85" spans="1:19">
      <c r="A85" s="792" t="s">
        <v>734</v>
      </c>
      <c r="B85" s="670">
        <f t="shared" ref="B85:M85" si="19">SUM(B78:B84)</f>
        <v>88265680.560000002</v>
      </c>
      <c r="C85" s="670">
        <f t="shared" si="19"/>
        <v>32366063.460000001</v>
      </c>
      <c r="D85" s="670">
        <f t="shared" si="19"/>
        <v>2213438.94</v>
      </c>
      <c r="E85" s="670">
        <f t="shared" si="19"/>
        <v>0</v>
      </c>
      <c r="F85" s="670">
        <f t="shared" si="19"/>
        <v>38503</v>
      </c>
      <c r="G85" s="670">
        <f t="shared" si="19"/>
        <v>346764</v>
      </c>
      <c r="H85" s="670">
        <f t="shared" si="19"/>
        <v>5000.47</v>
      </c>
      <c r="I85" s="670">
        <f t="shared" si="19"/>
        <v>10000</v>
      </c>
      <c r="J85" s="670">
        <f t="shared" si="19"/>
        <v>1138228</v>
      </c>
      <c r="K85" s="670">
        <f t="shared" si="19"/>
        <v>1882850.66</v>
      </c>
      <c r="L85" s="670">
        <f t="shared" si="19"/>
        <v>394840.89999999991</v>
      </c>
      <c r="M85" s="670">
        <f t="shared" si="19"/>
        <v>-1048872</v>
      </c>
      <c r="N85" s="670">
        <f t="shared" si="17"/>
        <v>125612497.99000001</v>
      </c>
      <c r="O85" s="670">
        <f>+'Planilla final'!O59-'Planilla final'!O57-O90</f>
        <v>53706354</v>
      </c>
      <c r="P85" s="670">
        <f>+'Planilla final'!P59-'Planilla final'!P57</f>
        <v>15223318</v>
      </c>
      <c r="Q85" s="794">
        <f>+N85+P85-O85</f>
        <v>87129461.99000001</v>
      </c>
      <c r="R85" s="815">
        <f>+Q85-'ECP20'!T67</f>
        <v>-1371434.5299999863</v>
      </c>
      <c r="S85" s="665">
        <f>+O85-P85</f>
        <v>38483036</v>
      </c>
    </row>
    <row r="86" spans="1:19">
      <c r="A86" s="780" t="s">
        <v>847</v>
      </c>
      <c r="B86" s="664">
        <f>+B58</f>
        <v>660505</v>
      </c>
      <c r="C86" s="664"/>
      <c r="D86" s="664"/>
      <c r="E86" s="664"/>
      <c r="F86" s="676"/>
      <c r="G86" s="664"/>
      <c r="H86" s="664"/>
      <c r="I86" s="664"/>
      <c r="J86" s="676"/>
      <c r="K86" s="664"/>
      <c r="L86" s="664">
        <v>0</v>
      </c>
      <c r="M86" s="664"/>
      <c r="N86" s="664">
        <f>SUM(B86:M86)</f>
        <v>660505</v>
      </c>
      <c r="O86" s="664"/>
      <c r="P86" s="664"/>
      <c r="Q86" s="937">
        <f t="shared" ref="Q86" si="20">+N86+P86-O86</f>
        <v>660505</v>
      </c>
      <c r="R86" s="665"/>
      <c r="S86" s="434">
        <f>+S85-37706078</f>
        <v>776958</v>
      </c>
    </row>
    <row r="87" spans="1:19">
      <c r="A87" s="780" t="s">
        <v>837</v>
      </c>
      <c r="B87" s="664">
        <v>-21629181</v>
      </c>
      <c r="C87" s="664"/>
      <c r="D87" s="664"/>
      <c r="E87" s="664"/>
      <c r="F87" s="676"/>
      <c r="G87" s="664"/>
      <c r="H87" s="664"/>
      <c r="I87" s="664"/>
      <c r="J87" s="676"/>
      <c r="K87" s="664"/>
      <c r="L87" s="664"/>
      <c r="M87" s="664"/>
      <c r="N87" s="664">
        <f t="shared" si="17"/>
        <v>-21629181</v>
      </c>
      <c r="O87" s="664"/>
      <c r="P87" s="664"/>
      <c r="Q87" s="938">
        <f>+N87+P87-O87</f>
        <v>-21629181</v>
      </c>
      <c r="R87" s="665"/>
      <c r="S87" s="434"/>
    </row>
    <row r="88" spans="1:19">
      <c r="A88" s="789" t="s">
        <v>872</v>
      </c>
      <c r="B88" s="664"/>
      <c r="C88" s="664"/>
      <c r="D88" s="664"/>
      <c r="E88" s="664"/>
      <c r="F88" s="664"/>
      <c r="G88" s="664"/>
      <c r="H88" s="664"/>
      <c r="I88" s="664"/>
      <c r="J88" s="664"/>
      <c r="K88" s="664">
        <f>+K59</f>
        <v>-373201</v>
      </c>
      <c r="L88" s="664"/>
      <c r="M88" s="664"/>
      <c r="N88" s="664">
        <f t="shared" si="17"/>
        <v>-373201</v>
      </c>
      <c r="O88" s="664"/>
      <c r="P88" s="664"/>
      <c r="Q88" s="937">
        <f>+P88+N88-O88</f>
        <v>-373201</v>
      </c>
    </row>
    <row r="89" spans="1:19">
      <c r="A89" s="789" t="s">
        <v>846</v>
      </c>
      <c r="B89" s="664">
        <f>+B57</f>
        <v>1859768</v>
      </c>
      <c r="C89" s="664"/>
      <c r="D89" s="664"/>
      <c r="E89" s="664"/>
      <c r="F89" s="664"/>
      <c r="G89" s="664"/>
      <c r="H89" s="664"/>
      <c r="I89" s="664"/>
      <c r="J89" s="664"/>
      <c r="K89" s="664"/>
      <c r="L89" s="664"/>
      <c r="M89" s="664"/>
      <c r="N89" s="664">
        <f t="shared" si="17"/>
        <v>1859768</v>
      </c>
      <c r="O89" s="664"/>
      <c r="P89" s="664"/>
      <c r="Q89" s="937">
        <f>+P89+N89-O89</f>
        <v>1859768</v>
      </c>
    </row>
    <row r="90" spans="1:19">
      <c r="A90" s="789" t="s">
        <v>829</v>
      </c>
      <c r="B90" s="664"/>
      <c r="C90" s="664"/>
      <c r="D90" s="664">
        <f>+D62</f>
        <v>2534340</v>
      </c>
      <c r="E90" s="664"/>
      <c r="F90" s="664"/>
      <c r="G90" s="664"/>
      <c r="H90" s="664"/>
      <c r="I90" s="664"/>
      <c r="J90" s="664"/>
      <c r="K90" s="664"/>
      <c r="L90" s="664"/>
      <c r="M90" s="664"/>
      <c r="N90" s="664">
        <f>SUM(B90:M90)</f>
        <v>2534340</v>
      </c>
      <c r="O90" s="664">
        <f>+O62</f>
        <v>2534340</v>
      </c>
      <c r="P90" s="664"/>
      <c r="Q90" s="937">
        <f>+P90+N90-O90</f>
        <v>0</v>
      </c>
    </row>
    <row r="91" spans="1:19">
      <c r="A91" s="789" t="s">
        <v>717</v>
      </c>
      <c r="C91" s="664">
        <f>+C60</f>
        <v>953966</v>
      </c>
      <c r="D91" s="664">
        <f>+D60</f>
        <v>-116791</v>
      </c>
      <c r="E91" s="664"/>
      <c r="F91" s="664"/>
      <c r="G91" s="664"/>
      <c r="H91" s="664"/>
      <c r="I91" s="664"/>
      <c r="J91" s="664"/>
      <c r="K91" s="664"/>
      <c r="L91" s="664">
        <f>+L60</f>
        <v>-50758</v>
      </c>
      <c r="M91" s="664">
        <f>+M59</f>
        <v>-881184</v>
      </c>
      <c r="N91" s="664">
        <f>SUM(B91:M91)</f>
        <v>-94767</v>
      </c>
      <c r="O91" s="664"/>
      <c r="P91" s="664"/>
      <c r="Q91" s="937">
        <f>+P91+N91-O91</f>
        <v>-94767</v>
      </c>
    </row>
    <row r="92" spans="1:19" ht="15" customHeight="1">
      <c r="A92" s="796" t="s">
        <v>830</v>
      </c>
      <c r="B92" s="795">
        <f>+B63</f>
        <v>19822071</v>
      </c>
      <c r="C92" s="664">
        <f t="shared" ref="C92:M92" si="21">+C63+C42</f>
        <v>-3188003</v>
      </c>
      <c r="D92" s="664">
        <f t="shared" si="21"/>
        <v>399181.97999999992</v>
      </c>
      <c r="E92" s="664">
        <f t="shared" si="21"/>
        <v>0</v>
      </c>
      <c r="F92" s="664">
        <f t="shared" si="21"/>
        <v>0</v>
      </c>
      <c r="G92" s="664">
        <f t="shared" si="21"/>
        <v>331439.17</v>
      </c>
      <c r="H92" s="664">
        <f t="shared" si="21"/>
        <v>0</v>
      </c>
      <c r="I92" s="664">
        <f t="shared" si="21"/>
        <v>0</v>
      </c>
      <c r="J92" s="664">
        <f t="shared" si="21"/>
        <v>-40586.1</v>
      </c>
      <c r="K92" s="664">
        <f t="shared" si="21"/>
        <v>150815</v>
      </c>
      <c r="L92" s="664">
        <f t="shared" si="21"/>
        <v>155307</v>
      </c>
      <c r="M92" s="664">
        <f t="shared" si="21"/>
        <v>-93297</v>
      </c>
      <c r="N92" s="664">
        <f>SUM(B92:M92)</f>
        <v>17536928.050000001</v>
      </c>
      <c r="O92" s="664">
        <f>+O63</f>
        <v>902562</v>
      </c>
      <c r="P92" s="664">
        <f>+P63</f>
        <v>2069001</v>
      </c>
      <c r="Q92" s="937">
        <f>+P92+N92-O92</f>
        <v>18703367.050000001</v>
      </c>
    </row>
    <row r="93" spans="1:19" ht="15.75" thickBot="1">
      <c r="A93" s="783" t="s">
        <v>826</v>
      </c>
      <c r="B93" s="784">
        <f t="shared" ref="B93:M93" si="22">SUM(B85:B92)</f>
        <v>88978843.560000002</v>
      </c>
      <c r="C93" s="784">
        <f t="shared" si="22"/>
        <v>30132026.460000001</v>
      </c>
      <c r="D93" s="784">
        <f t="shared" si="22"/>
        <v>5030169.919999999</v>
      </c>
      <c r="E93" s="784">
        <f t="shared" si="22"/>
        <v>0</v>
      </c>
      <c r="F93" s="784">
        <f t="shared" si="22"/>
        <v>38503</v>
      </c>
      <c r="G93" s="784">
        <f t="shared" si="22"/>
        <v>678203.16999999993</v>
      </c>
      <c r="H93" s="784">
        <f t="shared" si="22"/>
        <v>5000.47</v>
      </c>
      <c r="I93" s="784">
        <f t="shared" si="22"/>
        <v>10000</v>
      </c>
      <c r="J93" s="784">
        <f t="shared" si="22"/>
        <v>1097641.8999999999</v>
      </c>
      <c r="K93" s="784">
        <f t="shared" si="22"/>
        <v>1660464.66</v>
      </c>
      <c r="L93" s="784">
        <f t="shared" si="22"/>
        <v>499389.89999999991</v>
      </c>
      <c r="M93" s="784">
        <f t="shared" si="22"/>
        <v>-2023353</v>
      </c>
      <c r="N93" s="784">
        <f>SUM(B93:M93)</f>
        <v>126106890.04000002</v>
      </c>
      <c r="O93" s="784">
        <f>SUM(O85:O92)</f>
        <v>57143256</v>
      </c>
      <c r="P93" s="784">
        <f>SUM(P85:P92)</f>
        <v>17292319</v>
      </c>
      <c r="Q93" s="785">
        <f>SUM(Q85:Q92)</f>
        <v>86255953.040000007</v>
      </c>
      <c r="R93" s="665">
        <f>+Q93-'Planilla final'!Q59</f>
        <v>3.2000000178813934</v>
      </c>
      <c r="S93" s="434">
        <f>+R85-R93</f>
        <v>-1371437.7300000042</v>
      </c>
    </row>
    <row r="94" spans="1:19">
      <c r="A94" s="660"/>
      <c r="B94" s="665">
        <f>+B93-'Planilla final'!B59</f>
        <v>-0.43999999761581421</v>
      </c>
      <c r="C94" s="665">
        <f>+C93-'Planilla final'!C59</f>
        <v>0.46000000089406967</v>
      </c>
      <c r="D94" s="665">
        <f>+D93-'Planilla final'!D59</f>
        <v>8.9999998919665813E-2</v>
      </c>
      <c r="E94" s="665">
        <f>+E93-'Planilla final'!E59</f>
        <v>0</v>
      </c>
      <c r="F94" s="665">
        <f>+F93-'Planilla final'!F59</f>
        <v>0.43999999988591298</v>
      </c>
      <c r="G94" s="665">
        <f>+G93-'Planilla final'!G59</f>
        <v>0.16999999992549419</v>
      </c>
      <c r="H94" s="665">
        <f>+H93-'Planilla final'!H59</f>
        <v>0.47000000000025466</v>
      </c>
      <c r="I94" s="665">
        <f>+I93-'Planilla final'!I59</f>
        <v>0</v>
      </c>
      <c r="J94" s="665">
        <f>+J93-'Planilla final'!J59</f>
        <v>0.45000000018626451</v>
      </c>
      <c r="K94" s="665">
        <f>+K93-'Planilla final'!K59</f>
        <v>0.65999999991618097</v>
      </c>
      <c r="L94" s="665">
        <f>+L93-'Planilla final'!L59</f>
        <v>-1.1000000000931323</v>
      </c>
      <c r="M94" s="665">
        <f>+M93-'Planilla final'!M59</f>
        <v>2</v>
      </c>
      <c r="N94" s="665">
        <f>+N93-'Planilla final'!N59</f>
        <v>3.2000000178813934</v>
      </c>
      <c r="O94" s="665">
        <f>+O93-'Planilla final'!O59</f>
        <v>0</v>
      </c>
      <c r="P94" s="665">
        <f>+P93-'Planilla final'!P59</f>
        <v>0</v>
      </c>
      <c r="Q94" s="929">
        <f>+Q93-'Planilla final'!Q59</f>
        <v>3.2000000178813934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4FAD-A338-4568-B474-EE2CB3F28454}">
  <dimension ref="A1:AMK174"/>
  <sheetViews>
    <sheetView workbookViewId="0">
      <selection activeCell="P15" sqref="P15"/>
    </sheetView>
  </sheetViews>
  <sheetFormatPr defaultColWidth="11.5703125" defaultRowHeight="15"/>
  <cols>
    <col min="1" max="1" width="40.140625" style="852" customWidth="1"/>
    <col min="2" max="2" width="8.85546875" style="852" customWidth="1"/>
    <col min="3" max="3" width="12.5703125" style="852" bestFit="1" customWidth="1"/>
    <col min="4" max="4" width="11.28515625" style="852" customWidth="1"/>
    <col min="5" max="5" width="1" style="852" customWidth="1"/>
    <col min="6" max="6" width="12" style="936" hidden="1" customWidth="1"/>
    <col min="7" max="7" width="11.7109375" style="852" hidden="1" customWidth="1"/>
    <col min="8" max="8" width="1.140625" style="852" hidden="1" customWidth="1"/>
    <col min="9" max="9" width="11.7109375" style="852" hidden="1" customWidth="1"/>
    <col min="10" max="10" width="10.7109375" style="1028" hidden="1" customWidth="1"/>
    <col min="11" max="11" width="12" style="852" hidden="1" customWidth="1"/>
    <col min="12" max="12" width="10.85546875" style="1028" hidden="1" customWidth="1"/>
    <col min="13" max="13" width="12" style="852" hidden="1" customWidth="1"/>
    <col min="14" max="14" width="5.140625" style="852" hidden="1" customWidth="1"/>
    <col min="15" max="16" width="12.28515625" style="852" customWidth="1"/>
    <col min="17" max="17" width="12.28515625" style="852" bestFit="1" customWidth="1"/>
    <col min="18" max="18" width="12" style="852" bestFit="1" customWidth="1"/>
    <col min="19" max="19" width="11.28515625" style="852" customWidth="1"/>
    <col min="20" max="20" width="0.7109375" style="852" customWidth="1"/>
    <col min="21" max="21" width="12" style="936" hidden="1" customWidth="1"/>
    <col min="22" max="22" width="11.7109375" style="852" hidden="1" customWidth="1"/>
    <col min="23" max="23" width="1.28515625" style="852" hidden="1" customWidth="1"/>
    <col min="24" max="24" width="12" style="852" hidden="1" customWidth="1"/>
    <col min="25" max="25" width="10.7109375" style="1028" hidden="1" customWidth="1"/>
    <col min="26" max="26" width="12" style="852" hidden="1" customWidth="1"/>
    <col min="27" max="27" width="10.7109375" style="1028" hidden="1" customWidth="1"/>
    <col min="28" max="28" width="12" style="852" hidden="1" customWidth="1"/>
    <col min="29" max="29" width="8.140625" style="972" customWidth="1"/>
    <col min="30" max="1025" width="11.5703125" style="852"/>
    <col min="1026" max="16384" width="11.5703125" style="887"/>
  </cols>
  <sheetData>
    <row r="1" spans="1:36" s="852" customFormat="1" ht="12" customHeight="1">
      <c r="A1" s="967"/>
      <c r="B1" s="967" t="s">
        <v>626</v>
      </c>
      <c r="C1" s="967"/>
      <c r="D1" s="967"/>
      <c r="E1" s="967"/>
      <c r="G1" s="967"/>
      <c r="H1" s="967"/>
      <c r="I1" s="967"/>
      <c r="J1" s="968"/>
      <c r="K1" s="969"/>
      <c r="L1" s="968"/>
      <c r="M1" s="967"/>
      <c r="N1" s="969"/>
      <c r="O1" s="967"/>
      <c r="P1" s="967" t="s">
        <v>911</v>
      </c>
      <c r="Q1" s="967" t="s">
        <v>909</v>
      </c>
      <c r="R1" s="967"/>
      <c r="S1" s="967"/>
      <c r="T1" s="967"/>
      <c r="V1" s="967"/>
      <c r="W1" s="967"/>
      <c r="X1" s="967"/>
      <c r="Y1" s="968"/>
      <c r="Z1" s="970"/>
      <c r="AA1" s="968"/>
      <c r="AB1" s="971"/>
      <c r="AC1" s="972"/>
    </row>
    <row r="2" spans="1:36" ht="12" customHeight="1">
      <c r="A2" s="969" t="s">
        <v>627</v>
      </c>
      <c r="B2" s="973" t="s">
        <v>628</v>
      </c>
      <c r="C2" s="973">
        <v>2020</v>
      </c>
      <c r="D2" s="973"/>
      <c r="E2" s="973"/>
      <c r="F2" s="974">
        <v>2019</v>
      </c>
      <c r="G2" s="975"/>
      <c r="H2" s="975"/>
      <c r="I2" s="975">
        <v>2018</v>
      </c>
      <c r="J2" s="976"/>
      <c r="K2" s="970">
        <v>2017</v>
      </c>
      <c r="L2" s="976"/>
      <c r="M2" s="970">
        <v>2016</v>
      </c>
      <c r="N2" s="975"/>
      <c r="O2" s="1072" t="s">
        <v>908</v>
      </c>
      <c r="P2" s="1072" t="s">
        <v>912</v>
      </c>
      <c r="Q2" s="973" t="s">
        <v>910</v>
      </c>
      <c r="R2" s="973"/>
      <c r="S2" s="973"/>
      <c r="T2" s="973"/>
      <c r="U2" s="974">
        <v>2019</v>
      </c>
      <c r="V2" s="975"/>
      <c r="W2" s="975"/>
      <c r="X2" s="975">
        <v>2018</v>
      </c>
      <c r="Y2" s="977"/>
      <c r="Z2" s="978">
        <v>2017</v>
      </c>
      <c r="AA2" s="976"/>
      <c r="AB2" s="973">
        <v>2016</v>
      </c>
      <c r="AD2" s="979"/>
      <c r="AE2" s="980"/>
      <c r="AF2" s="980"/>
    </row>
    <row r="3" spans="1:36" ht="12" customHeight="1">
      <c r="A3" s="967"/>
      <c r="B3" s="967"/>
      <c r="C3" s="967"/>
      <c r="D3" s="981"/>
      <c r="E3" s="967"/>
      <c r="F3" s="982"/>
      <c r="G3" s="983"/>
      <c r="H3" s="983"/>
      <c r="I3" s="983"/>
      <c r="J3" s="968"/>
      <c r="K3" s="970"/>
      <c r="L3" s="968"/>
      <c r="M3" s="983"/>
      <c r="N3" s="970"/>
      <c r="O3" s="983"/>
      <c r="P3" s="983"/>
      <c r="Q3" s="983"/>
      <c r="R3" s="983"/>
      <c r="S3" s="983"/>
      <c r="T3" s="983"/>
      <c r="U3" s="982"/>
      <c r="V3" s="984"/>
      <c r="W3" s="984"/>
      <c r="X3" s="983"/>
      <c r="Y3" s="985"/>
      <c r="Z3" s="986"/>
      <c r="AA3" s="968"/>
      <c r="AB3" s="967"/>
    </row>
    <row r="4" spans="1:36" ht="12" customHeight="1">
      <c r="A4" s="987" t="s">
        <v>630</v>
      </c>
      <c r="B4" s="987"/>
      <c r="C4" s="987"/>
      <c r="D4" s="988"/>
      <c r="E4" s="987"/>
      <c r="F4" s="982"/>
      <c r="G4" s="989"/>
      <c r="H4" s="989"/>
      <c r="I4" s="989"/>
      <c r="J4" s="968"/>
      <c r="K4" s="970"/>
      <c r="L4" s="968"/>
      <c r="M4" s="989"/>
      <c r="N4" s="970"/>
      <c r="Q4" s="990"/>
      <c r="R4" s="990"/>
      <c r="S4" s="990"/>
      <c r="T4" s="990"/>
      <c r="U4" s="982"/>
      <c r="V4" s="991"/>
      <c r="W4" s="991"/>
      <c r="X4" s="990"/>
      <c r="Y4" s="985"/>
      <c r="Z4" s="992"/>
      <c r="AA4" s="968"/>
      <c r="AB4" s="993"/>
    </row>
    <row r="5" spans="1:36" ht="12" customHeight="1">
      <c r="A5" s="994" t="s">
        <v>636</v>
      </c>
      <c r="B5" s="995">
        <v>8</v>
      </c>
      <c r="C5" s="996">
        <f>'Planilla final'!Q8</f>
        <v>8663493.7400000002</v>
      </c>
      <c r="D5" s="988">
        <f t="shared" ref="D5:D11" si="0">F5-C5</f>
        <v>2423061.2599999998</v>
      </c>
      <c r="E5" s="995"/>
      <c r="F5" s="952">
        <v>11086555</v>
      </c>
      <c r="G5" s="997">
        <v>-1755023</v>
      </c>
      <c r="H5" s="997"/>
      <c r="I5" s="998">
        <v>9331532</v>
      </c>
      <c r="J5" s="997">
        <v>6231872</v>
      </c>
      <c r="K5" s="999">
        <v>15563404</v>
      </c>
      <c r="L5" s="997">
        <v>1100909</v>
      </c>
      <c r="M5" s="1000">
        <v>14462495</v>
      </c>
      <c r="N5" s="970"/>
      <c r="O5" s="1017">
        <v>-174624</v>
      </c>
      <c r="P5" s="1017">
        <v>11506413</v>
      </c>
      <c r="Q5" s="1017">
        <f>+D5+O5+P5</f>
        <v>13754850.26</v>
      </c>
      <c r="R5" s="1017"/>
      <c r="S5" s="1017"/>
      <c r="T5" s="970"/>
      <c r="U5" s="952">
        <v>22539999</v>
      </c>
      <c r="V5" s="997">
        <v>5790003</v>
      </c>
      <c r="W5" s="997"/>
      <c r="X5" s="1004">
        <v>16749996</v>
      </c>
      <c r="Y5" s="1005">
        <v>-3686049</v>
      </c>
      <c r="Z5" s="1011">
        <v>20436045</v>
      </c>
      <c r="AA5" s="997">
        <v>1910661</v>
      </c>
      <c r="AB5" s="993">
        <v>18525384</v>
      </c>
      <c r="AD5" s="1012"/>
      <c r="AE5" s="1010"/>
      <c r="AF5" s="1010"/>
    </row>
    <row r="6" spans="1:36" ht="12" customHeight="1">
      <c r="A6" s="994" t="s">
        <v>638</v>
      </c>
      <c r="B6" s="995">
        <v>21</v>
      </c>
      <c r="C6" s="996">
        <f>'Planilla final'!Q9</f>
        <v>32644377.149999999</v>
      </c>
      <c r="D6" s="988">
        <f t="shared" si="0"/>
        <v>-840634.14999999851</v>
      </c>
      <c r="E6" s="995"/>
      <c r="F6" s="952">
        <v>31803743</v>
      </c>
      <c r="G6" s="997">
        <v>2402819</v>
      </c>
      <c r="H6" s="997"/>
      <c r="I6" s="998">
        <v>34206562</v>
      </c>
      <c r="J6" s="997">
        <v>-9131565</v>
      </c>
      <c r="K6" s="999">
        <v>25074997</v>
      </c>
      <c r="L6" s="997">
        <v>11254398</v>
      </c>
      <c r="M6" s="1000">
        <v>13820599</v>
      </c>
      <c r="N6" s="970"/>
      <c r="O6" s="1017"/>
      <c r="P6" s="1017">
        <v>10122768</v>
      </c>
      <c r="Q6" s="1017">
        <f t="shared" ref="Q6:Q11" si="1">+D6+O6+P6</f>
        <v>9282133.8500000015</v>
      </c>
      <c r="R6" s="1017"/>
      <c r="S6" s="1017"/>
      <c r="T6" s="970"/>
      <c r="U6" s="952">
        <v>1744498</v>
      </c>
      <c r="V6" s="997">
        <v>-726210</v>
      </c>
      <c r="W6" s="997"/>
      <c r="X6" s="1004">
        <v>2470708</v>
      </c>
      <c r="Y6" s="1005">
        <v>557079</v>
      </c>
      <c r="Z6" s="1011">
        <v>1913629</v>
      </c>
      <c r="AA6" s="997">
        <v>1651239</v>
      </c>
      <c r="AB6" s="993">
        <v>262390</v>
      </c>
      <c r="AE6" s="1010"/>
      <c r="AF6" s="1010"/>
    </row>
    <row r="7" spans="1:36" ht="12" customHeight="1">
      <c r="A7" s="994" t="s">
        <v>43</v>
      </c>
      <c r="B7" s="995">
        <v>9</v>
      </c>
      <c r="C7" s="996">
        <f>'Planilla final'!Q11</f>
        <v>475895.76</v>
      </c>
      <c r="D7" s="988">
        <f t="shared" si="0"/>
        <v>46133.239999999991</v>
      </c>
      <c r="E7" s="995"/>
      <c r="F7" s="952">
        <v>522029</v>
      </c>
      <c r="G7" s="997">
        <v>228775</v>
      </c>
      <c r="H7" s="997"/>
      <c r="I7" s="998">
        <v>750804</v>
      </c>
      <c r="J7" s="997">
        <v>373975</v>
      </c>
      <c r="K7" s="999">
        <v>1124779</v>
      </c>
      <c r="L7" s="997">
        <v>-685042</v>
      </c>
      <c r="M7" s="1000">
        <v>1809821</v>
      </c>
      <c r="N7" s="970"/>
      <c r="O7" s="1017"/>
      <c r="P7" s="1017"/>
      <c r="Q7" s="1017">
        <f t="shared" si="1"/>
        <v>46133.239999999991</v>
      </c>
      <c r="R7" s="1017"/>
      <c r="S7" s="1017"/>
      <c r="T7" s="970"/>
      <c r="U7" s="952">
        <v>7833420</v>
      </c>
      <c r="V7" s="997">
        <v>1097769</v>
      </c>
      <c r="W7" s="997"/>
      <c r="X7" s="1004">
        <v>6735651</v>
      </c>
      <c r="Y7" s="1005">
        <v>2460744</v>
      </c>
      <c r="Z7" s="1011">
        <v>4274907</v>
      </c>
      <c r="AA7" s="997">
        <v>130512</v>
      </c>
      <c r="AB7" s="993">
        <v>4144395</v>
      </c>
      <c r="AE7" s="1010"/>
      <c r="AF7" s="1010"/>
    </row>
    <row r="8" spans="1:36" ht="12" customHeight="1">
      <c r="A8" s="994" t="s">
        <v>42</v>
      </c>
      <c r="B8" s="995">
        <v>10</v>
      </c>
      <c r="C8" s="996">
        <f>'Planilla final'!Q10</f>
        <v>16964605</v>
      </c>
      <c r="D8" s="988">
        <f t="shared" si="0"/>
        <v>733482</v>
      </c>
      <c r="E8" s="995"/>
      <c r="F8" s="952">
        <v>17698087</v>
      </c>
      <c r="G8" s="997">
        <v>-12823967</v>
      </c>
      <c r="H8" s="997"/>
      <c r="I8" s="998">
        <v>4874120</v>
      </c>
      <c r="J8" s="997">
        <v>664328</v>
      </c>
      <c r="K8" s="999">
        <v>5538448</v>
      </c>
      <c r="L8" s="997">
        <v>2963608</v>
      </c>
      <c r="M8" s="1000">
        <v>2574840</v>
      </c>
      <c r="N8" s="970"/>
      <c r="O8" s="1017"/>
      <c r="P8" s="1017"/>
      <c r="Q8" s="1017">
        <f t="shared" si="1"/>
        <v>733482</v>
      </c>
      <c r="R8" s="1017"/>
      <c r="S8" s="1017"/>
      <c r="T8" s="970"/>
      <c r="U8" s="952">
        <v>4181004</v>
      </c>
      <c r="V8" s="997">
        <v>-366719</v>
      </c>
      <c r="W8" s="997"/>
      <c r="X8" s="1004">
        <v>4547723</v>
      </c>
      <c r="Y8" s="1005">
        <v>859355</v>
      </c>
      <c r="Z8" s="1011">
        <v>3688368</v>
      </c>
      <c r="AA8" s="997">
        <v>-31613</v>
      </c>
      <c r="AB8" s="993">
        <v>3719981</v>
      </c>
      <c r="AE8" s="1010"/>
      <c r="AF8" s="1010"/>
    </row>
    <row r="9" spans="1:36" ht="12" customHeight="1">
      <c r="A9" s="994" t="s">
        <v>45</v>
      </c>
      <c r="B9" s="995"/>
      <c r="C9" s="996">
        <f>'Planilla final'!Q12</f>
        <v>2551702</v>
      </c>
      <c r="D9" s="988">
        <f t="shared" si="0"/>
        <v>-1798658</v>
      </c>
      <c r="E9" s="995"/>
      <c r="F9" s="952">
        <v>753044</v>
      </c>
      <c r="G9" s="997">
        <v>-233386</v>
      </c>
      <c r="H9" s="997"/>
      <c r="I9" s="998">
        <v>519658</v>
      </c>
      <c r="J9" s="997">
        <v>122526</v>
      </c>
      <c r="K9" s="999">
        <v>642184</v>
      </c>
      <c r="L9" s="997">
        <v>-1728719</v>
      </c>
      <c r="M9" s="1000">
        <v>2370903</v>
      </c>
      <c r="N9" s="983"/>
      <c r="O9" s="1017"/>
      <c r="P9" s="1017"/>
      <c r="Q9" s="1017">
        <f t="shared" si="1"/>
        <v>-1798658</v>
      </c>
      <c r="R9" s="1017"/>
      <c r="S9" s="1017"/>
      <c r="T9" s="970"/>
      <c r="U9" s="952">
        <v>7675934</v>
      </c>
      <c r="V9" s="997">
        <v>-1991980</v>
      </c>
      <c r="W9" s="997"/>
      <c r="X9" s="1004">
        <v>9667914</v>
      </c>
      <c r="Y9" s="1005">
        <v>3531359</v>
      </c>
      <c r="Z9" s="1011">
        <v>6136555</v>
      </c>
      <c r="AA9" s="997">
        <v>-2446877</v>
      </c>
      <c r="AB9" s="993">
        <v>8583432</v>
      </c>
      <c r="AE9" s="1010"/>
      <c r="AF9" s="1010"/>
    </row>
    <row r="10" spans="1:36" ht="12" customHeight="1">
      <c r="A10" s="994" t="s">
        <v>46</v>
      </c>
      <c r="B10" s="995">
        <v>11</v>
      </c>
      <c r="C10" s="996">
        <f>'Planilla final'!Q13</f>
        <v>28656854.379999999</v>
      </c>
      <c r="D10" s="988">
        <f t="shared" si="0"/>
        <v>259111.62000000104</v>
      </c>
      <c r="E10" s="995"/>
      <c r="F10" s="952">
        <v>28915966</v>
      </c>
      <c r="G10" s="997">
        <v>-4708564</v>
      </c>
      <c r="H10" s="997"/>
      <c r="I10" s="998">
        <v>24207402</v>
      </c>
      <c r="J10" s="997">
        <v>-9322375</v>
      </c>
      <c r="K10" s="999">
        <v>14885027</v>
      </c>
      <c r="L10" s="997">
        <v>-4055589</v>
      </c>
      <c r="M10" s="1000">
        <v>18940616</v>
      </c>
      <c r="N10" s="970"/>
      <c r="O10" s="1017"/>
      <c r="P10" s="1017"/>
      <c r="Q10" s="1017">
        <f t="shared" si="1"/>
        <v>259111.62000000104</v>
      </c>
      <c r="R10" s="1017"/>
      <c r="S10" s="1017"/>
      <c r="T10" s="1013"/>
      <c r="U10" s="952">
        <v>1519701</v>
      </c>
      <c r="V10" s="997">
        <v>1519701</v>
      </c>
      <c r="W10" s="997"/>
      <c r="X10" s="982">
        <v>0</v>
      </c>
      <c r="Y10" s="1015"/>
      <c r="Z10" s="810">
        <v>0</v>
      </c>
      <c r="AA10" s="997">
        <v>184123</v>
      </c>
      <c r="AB10" s="993">
        <v>4375344</v>
      </c>
      <c r="AE10" s="1010"/>
      <c r="AF10" s="1010"/>
    </row>
    <row r="11" spans="1:36" ht="12" customHeight="1">
      <c r="A11" s="852" t="s">
        <v>859</v>
      </c>
      <c r="B11" s="1016"/>
      <c r="C11" s="1017">
        <f>+'Planilla final'!Q14</f>
        <v>415625</v>
      </c>
      <c r="D11" s="988">
        <f t="shared" si="0"/>
        <v>-415625</v>
      </c>
      <c r="E11" s="1016"/>
      <c r="F11" s="1018"/>
      <c r="G11" s="982"/>
      <c r="H11" s="982"/>
      <c r="I11" s="982"/>
      <c r="J11" s="997"/>
      <c r="K11" s="1019">
        <v>67318476</v>
      </c>
      <c r="L11" s="997"/>
      <c r="M11" s="1019">
        <v>72756812</v>
      </c>
      <c r="N11" s="983"/>
      <c r="O11" s="1017"/>
      <c r="P11" s="1017"/>
      <c r="Q11" s="1017">
        <f t="shared" si="1"/>
        <v>-415625</v>
      </c>
      <c r="R11" s="1017"/>
      <c r="S11" s="1017"/>
      <c r="T11" s="970"/>
      <c r="U11" s="952">
        <v>7899793</v>
      </c>
      <c r="V11" s="997">
        <v>0</v>
      </c>
      <c r="W11" s="997"/>
      <c r="X11" s="982">
        <v>0</v>
      </c>
      <c r="Y11" s="1015"/>
      <c r="Z11" s="810">
        <v>0</v>
      </c>
      <c r="AA11" s="997"/>
      <c r="AB11" s="1020">
        <v>71135268</v>
      </c>
      <c r="AE11" s="1010"/>
      <c r="AF11" s="1010"/>
    </row>
    <row r="12" spans="1:36" ht="12" hidden="1" customHeight="1">
      <c r="A12" s="987" t="s">
        <v>640</v>
      </c>
      <c r="B12" s="995"/>
      <c r="C12" s="1021">
        <f>SUM(C5:C11)</f>
        <v>90372553.030000001</v>
      </c>
      <c r="D12" s="988"/>
      <c r="E12" s="995"/>
      <c r="F12" s="1022">
        <v>100036106</v>
      </c>
      <c r="G12" s="997"/>
      <c r="H12" s="997"/>
      <c r="I12" s="1023">
        <v>76994579</v>
      </c>
      <c r="J12" s="997"/>
      <c r="K12" s="1024"/>
      <c r="L12" s="997"/>
      <c r="M12" s="1025"/>
      <c r="N12" s="983"/>
      <c r="O12" s="1017"/>
      <c r="P12" s="1017"/>
      <c r="Q12" s="1017">
        <f>+D12+O12</f>
        <v>0</v>
      </c>
      <c r="R12" s="1017"/>
      <c r="S12" s="1017"/>
      <c r="T12" s="1027"/>
      <c r="U12" s="1022">
        <v>59338237</v>
      </c>
      <c r="V12" s="997">
        <v>1674396</v>
      </c>
      <c r="W12" s="997"/>
      <c r="X12" s="1004">
        <v>6225397</v>
      </c>
      <c r="Y12" s="1005">
        <v>1665930</v>
      </c>
      <c r="Z12" s="1011">
        <v>4559467</v>
      </c>
      <c r="AE12" s="1010"/>
      <c r="AF12" s="1010"/>
    </row>
    <row r="13" spans="1:36" ht="12" customHeight="1">
      <c r="A13" s="994"/>
      <c r="B13" s="995"/>
      <c r="C13" s="995"/>
      <c r="D13" s="988"/>
      <c r="E13" s="995"/>
      <c r="F13" s="982"/>
      <c r="G13" s="997"/>
      <c r="H13" s="997"/>
      <c r="I13" s="1029"/>
      <c r="J13" s="997">
        <v>687947</v>
      </c>
      <c r="K13" s="999">
        <v>3212434</v>
      </c>
      <c r="L13" s="997">
        <v>206140</v>
      </c>
      <c r="M13" s="1000">
        <v>3006294</v>
      </c>
      <c r="N13" s="983"/>
      <c r="O13" s="1017"/>
      <c r="P13" s="1017"/>
      <c r="Q13" s="1017"/>
      <c r="R13" s="1017"/>
      <c r="S13" s="1017"/>
      <c r="V13" s="1028"/>
      <c r="W13" s="1028"/>
      <c r="X13" s="982"/>
      <c r="Y13" s="1015"/>
      <c r="Z13" s="810"/>
      <c r="AA13" s="997">
        <v>251068</v>
      </c>
      <c r="AB13" s="993">
        <v>9423864</v>
      </c>
      <c r="AE13" s="1010"/>
      <c r="AF13" s="1010"/>
    </row>
    <row r="14" spans="1:36" ht="12" customHeight="1">
      <c r="A14" s="987" t="s">
        <v>642</v>
      </c>
      <c r="B14" s="995"/>
      <c r="C14" s="995"/>
      <c r="D14" s="988"/>
      <c r="E14" s="995"/>
      <c r="F14" s="982"/>
      <c r="G14" s="997"/>
      <c r="H14" s="997"/>
      <c r="I14" s="1029"/>
      <c r="J14" s="997">
        <v>1073025</v>
      </c>
      <c r="K14" s="982">
        <v>3150764</v>
      </c>
      <c r="L14" s="997">
        <v>3150764</v>
      </c>
      <c r="M14" s="1000">
        <v>0</v>
      </c>
      <c r="N14" s="970"/>
      <c r="O14" s="1017"/>
      <c r="P14" s="1017"/>
      <c r="Q14" s="1017"/>
      <c r="R14" s="1017"/>
      <c r="S14" s="1017"/>
      <c r="T14" s="1027"/>
      <c r="U14" s="952"/>
      <c r="V14" s="997"/>
      <c r="W14" s="997"/>
      <c r="X14" s="990"/>
      <c r="Y14" s="1005"/>
      <c r="Z14" s="810"/>
      <c r="AA14" s="997">
        <v>-6904650</v>
      </c>
      <c r="AB14" s="993">
        <v>13615166</v>
      </c>
      <c r="AE14" s="1010"/>
      <c r="AF14" s="1010"/>
    </row>
    <row r="15" spans="1:36" ht="12" customHeight="1">
      <c r="A15" s="994" t="s">
        <v>42</v>
      </c>
      <c r="B15" s="995"/>
      <c r="C15" s="996">
        <f>'Planilla final'!Q16</f>
        <v>0</v>
      </c>
      <c r="D15" s="988">
        <f t="shared" ref="D15:D47" si="2">F15-C15</f>
        <v>360864</v>
      </c>
      <c r="E15" s="995"/>
      <c r="F15" s="952">
        <v>360864</v>
      </c>
      <c r="G15" s="997">
        <v>2163623</v>
      </c>
      <c r="H15" s="997"/>
      <c r="I15" s="998">
        <v>2524487</v>
      </c>
      <c r="J15" s="997">
        <v>9280194</v>
      </c>
      <c r="K15" s="999">
        <v>112886401</v>
      </c>
      <c r="L15" s="997">
        <v>-2499431</v>
      </c>
      <c r="M15" s="1000">
        <v>115385832</v>
      </c>
      <c r="N15" s="970"/>
      <c r="O15" s="1017"/>
      <c r="P15" s="1017"/>
      <c r="Q15" s="1017">
        <f t="shared" ref="Q15:Q25" si="3">+D15+O15</f>
        <v>360864</v>
      </c>
      <c r="R15" s="1017"/>
      <c r="S15" s="1017"/>
      <c r="T15" s="1027"/>
      <c r="U15" s="952">
        <v>1654005</v>
      </c>
      <c r="V15" s="997">
        <v>-2724382</v>
      </c>
      <c r="W15" s="997"/>
      <c r="X15" s="1032">
        <v>4378387</v>
      </c>
      <c r="Y15" s="1005">
        <v>-5296545</v>
      </c>
      <c r="Z15" s="1033">
        <v>9674932</v>
      </c>
      <c r="AA15" s="997">
        <v>-3509537</v>
      </c>
      <c r="AB15" s="993">
        <v>5713210</v>
      </c>
      <c r="AE15" s="1010"/>
      <c r="AF15" s="1010"/>
    </row>
    <row r="16" spans="1:36" ht="12" customHeight="1">
      <c r="A16" s="994" t="s">
        <v>638</v>
      </c>
      <c r="B16" s="995">
        <v>21</v>
      </c>
      <c r="C16" s="996">
        <f>'Planilla final'!Q15</f>
        <v>6718699</v>
      </c>
      <c r="D16" s="988">
        <f t="shared" si="2"/>
        <v>-4640960</v>
      </c>
      <c r="E16" s="995"/>
      <c r="F16" s="952">
        <v>2077739</v>
      </c>
      <c r="G16" s="997">
        <v>0</v>
      </c>
      <c r="H16" s="997"/>
      <c r="I16" s="998">
        <v>2077739</v>
      </c>
      <c r="J16" s="997">
        <v>37744</v>
      </c>
      <c r="K16" s="999">
        <v>661755</v>
      </c>
      <c r="L16" s="997">
        <v>-39210</v>
      </c>
      <c r="M16" s="1000">
        <v>700965</v>
      </c>
      <c r="N16" s="970"/>
      <c r="O16" s="1017"/>
      <c r="P16" s="1017"/>
      <c r="Q16" s="1017">
        <f t="shared" si="3"/>
        <v>-4640960</v>
      </c>
      <c r="R16" s="1017"/>
      <c r="S16" s="1017"/>
      <c r="T16" s="1027"/>
      <c r="U16" s="952">
        <v>0</v>
      </c>
      <c r="V16" s="997">
        <v>-2447101</v>
      </c>
      <c r="W16" s="997"/>
      <c r="X16" s="1032">
        <v>2447101</v>
      </c>
      <c r="Y16" s="1005">
        <v>-4263415</v>
      </c>
      <c r="Z16" s="1033">
        <v>6710516</v>
      </c>
      <c r="AA16" s="997">
        <v>2</v>
      </c>
      <c r="AB16" s="993">
        <v>10628878</v>
      </c>
      <c r="AD16" s="1034"/>
      <c r="AE16" s="1010"/>
      <c r="AF16" s="1010"/>
      <c r="AH16" s="1035"/>
      <c r="AJ16" s="1035"/>
    </row>
    <row r="17" spans="1:36" ht="12" customHeight="1">
      <c r="A17" s="994" t="s">
        <v>61</v>
      </c>
      <c r="B17" s="995"/>
      <c r="C17" s="996">
        <f>'Planilla final'!Q25</f>
        <v>307940.18000000017</v>
      </c>
      <c r="D17" s="988">
        <f>F45-C17</f>
        <v>-306340.18000000017</v>
      </c>
      <c r="E17" s="995"/>
      <c r="F17" s="952"/>
      <c r="G17" s="997"/>
      <c r="H17" s="997"/>
      <c r="I17" s="998"/>
      <c r="J17" s="997"/>
      <c r="K17" s="999"/>
      <c r="L17" s="997"/>
      <c r="M17" s="1000"/>
      <c r="N17" s="970"/>
      <c r="O17" s="1069"/>
      <c r="P17" s="1069"/>
      <c r="Q17" s="1017">
        <f t="shared" si="3"/>
        <v>-306340.18000000017</v>
      </c>
      <c r="R17" s="1069"/>
      <c r="S17" s="1069"/>
      <c r="T17" s="1027"/>
      <c r="U17" s="952"/>
      <c r="V17" s="997"/>
      <c r="W17" s="997"/>
      <c r="X17" s="1032"/>
      <c r="Y17" s="1005"/>
      <c r="Z17" s="1033"/>
      <c r="AA17" s="997"/>
      <c r="AB17" s="993"/>
      <c r="AD17" s="1034"/>
      <c r="AE17" s="1010"/>
      <c r="AF17" s="1010"/>
      <c r="AH17" s="1035"/>
      <c r="AJ17" s="1035"/>
    </row>
    <row r="18" spans="1:36" ht="12" customHeight="1">
      <c r="A18" s="994"/>
      <c r="B18" s="995"/>
      <c r="C18" s="996"/>
      <c r="D18" s="988"/>
      <c r="E18" s="995"/>
      <c r="F18" s="952"/>
      <c r="G18" s="997"/>
      <c r="H18" s="997"/>
      <c r="I18" s="998"/>
      <c r="J18" s="997"/>
      <c r="K18" s="999"/>
      <c r="L18" s="997"/>
      <c r="M18" s="1000"/>
      <c r="N18" s="970"/>
      <c r="O18" s="1069"/>
      <c r="P18" s="1069"/>
      <c r="Q18" s="1017">
        <f t="shared" si="3"/>
        <v>0</v>
      </c>
      <c r="R18" s="1069"/>
      <c r="S18" s="1069"/>
      <c r="T18" s="1027"/>
      <c r="U18" s="952"/>
      <c r="V18" s="997"/>
      <c r="W18" s="997"/>
      <c r="X18" s="1032"/>
      <c r="Y18" s="1005"/>
      <c r="Z18" s="1033"/>
      <c r="AA18" s="997"/>
      <c r="AB18" s="993"/>
      <c r="AD18" s="1034"/>
      <c r="AE18" s="1010"/>
      <c r="AF18" s="1010"/>
      <c r="AH18" s="1035"/>
      <c r="AJ18" s="1035"/>
    </row>
    <row r="19" spans="1:36" ht="12" customHeight="1">
      <c r="A19" s="990" t="s">
        <v>631</v>
      </c>
      <c r="B19" s="995"/>
      <c r="C19" s="996"/>
      <c r="D19" s="988"/>
      <c r="E19" s="995"/>
      <c r="F19" s="952"/>
      <c r="G19" s="997"/>
      <c r="H19" s="997"/>
      <c r="I19" s="998"/>
      <c r="J19" s="997"/>
      <c r="K19" s="999"/>
      <c r="L19" s="997"/>
      <c r="M19" s="1000"/>
      <c r="N19" s="970"/>
      <c r="O19" s="1069"/>
      <c r="P19" s="1069"/>
      <c r="Q19" s="1017">
        <f t="shared" si="3"/>
        <v>0</v>
      </c>
      <c r="R19" s="1069"/>
      <c r="S19" s="1069"/>
      <c r="T19" s="1027"/>
      <c r="U19" s="952"/>
      <c r="V19" s="997"/>
      <c r="W19" s="997"/>
      <c r="X19" s="1032"/>
      <c r="Y19" s="1005"/>
      <c r="Z19" s="1033"/>
      <c r="AA19" s="997"/>
      <c r="AB19" s="993"/>
      <c r="AD19" s="1034"/>
      <c r="AE19" s="1010"/>
      <c r="AF19" s="1010"/>
      <c r="AH19" s="1035"/>
      <c r="AJ19" s="1035"/>
    </row>
    <row r="20" spans="1:36" ht="12" customHeight="1">
      <c r="A20" s="1001" t="s">
        <v>637</v>
      </c>
      <c r="B20" s="970">
        <v>20</v>
      </c>
      <c r="C20" s="1002">
        <f>'Planilla final'!Q30</f>
        <v>30113305</v>
      </c>
      <c r="D20" s="1003">
        <f t="shared" ref="D20:D26" si="4">+C20-U5</f>
        <v>7573306</v>
      </c>
      <c r="E20" s="995"/>
      <c r="F20" s="952"/>
      <c r="G20" s="997"/>
      <c r="H20" s="997"/>
      <c r="I20" s="998"/>
      <c r="J20" s="997"/>
      <c r="K20" s="999"/>
      <c r="L20" s="997"/>
      <c r="M20" s="1000"/>
      <c r="N20" s="970"/>
      <c r="O20" s="1069"/>
      <c r="P20" s="1069"/>
      <c r="Q20" s="1017">
        <f t="shared" si="3"/>
        <v>7573306</v>
      </c>
      <c r="R20" s="1069"/>
      <c r="S20" s="1069"/>
      <c r="T20" s="1027"/>
      <c r="U20" s="952"/>
      <c r="V20" s="997"/>
      <c r="W20" s="997"/>
      <c r="X20" s="1032"/>
      <c r="Y20" s="1005"/>
      <c r="Z20" s="1033"/>
      <c r="AA20" s="997"/>
      <c r="AB20" s="993"/>
      <c r="AD20" s="1034"/>
      <c r="AE20" s="1010"/>
      <c r="AF20" s="1010"/>
      <c r="AH20" s="1035"/>
      <c r="AJ20" s="1035"/>
    </row>
    <row r="21" spans="1:36" ht="12" customHeight="1">
      <c r="A21" s="1001" t="s">
        <v>638</v>
      </c>
      <c r="B21" s="970">
        <v>21</v>
      </c>
      <c r="C21" s="1002">
        <f>'Planilla final'!Q31</f>
        <v>711036.08999999985</v>
      </c>
      <c r="D21" s="1003">
        <f t="shared" si="4"/>
        <v>-1033461.9100000001</v>
      </c>
      <c r="E21" s="995"/>
      <c r="F21" s="952"/>
      <c r="G21" s="997"/>
      <c r="H21" s="997"/>
      <c r="I21" s="998"/>
      <c r="J21" s="997"/>
      <c r="K21" s="999"/>
      <c r="L21" s="997"/>
      <c r="M21" s="1000"/>
      <c r="N21" s="970"/>
      <c r="O21" s="1069"/>
      <c r="P21" s="1069"/>
      <c r="Q21" s="1017">
        <f t="shared" si="3"/>
        <v>-1033461.9100000001</v>
      </c>
      <c r="R21" s="1069"/>
      <c r="S21" s="1069"/>
      <c r="T21" s="1027"/>
      <c r="U21" s="952"/>
      <c r="V21" s="997"/>
      <c r="W21" s="997"/>
      <c r="X21" s="1032"/>
      <c r="Y21" s="1005"/>
      <c r="Z21" s="1033"/>
      <c r="AA21" s="997"/>
      <c r="AB21" s="993"/>
      <c r="AD21" s="1034"/>
      <c r="AE21" s="1010"/>
      <c r="AF21" s="1010"/>
      <c r="AH21" s="1035"/>
      <c r="AJ21" s="1035"/>
    </row>
    <row r="22" spans="1:36" ht="12" customHeight="1">
      <c r="A22" s="1001" t="s">
        <v>71</v>
      </c>
      <c r="B22" s="970">
        <v>23</v>
      </c>
      <c r="C22" s="1002">
        <f>'Planilla final'!Q32</f>
        <v>7351642</v>
      </c>
      <c r="D22" s="1003">
        <f t="shared" si="4"/>
        <v>-481778</v>
      </c>
      <c r="E22" s="995"/>
      <c r="F22" s="952"/>
      <c r="G22" s="997"/>
      <c r="H22" s="997"/>
      <c r="I22" s="998"/>
      <c r="J22" s="997"/>
      <c r="K22" s="999"/>
      <c r="L22" s="997"/>
      <c r="M22" s="1000"/>
      <c r="N22" s="970"/>
      <c r="O22" s="1069">
        <v>-12596429</v>
      </c>
      <c r="P22" s="1069"/>
      <c r="Q22" s="1017">
        <f t="shared" si="3"/>
        <v>-13078207</v>
      </c>
      <c r="R22" s="1069"/>
      <c r="S22" s="1069"/>
      <c r="T22" s="1027"/>
      <c r="U22" s="952"/>
      <c r="V22" s="997"/>
      <c r="W22" s="997"/>
      <c r="X22" s="1032"/>
      <c r="Y22" s="1005"/>
      <c r="Z22" s="1033"/>
      <c r="AA22" s="997"/>
      <c r="AB22" s="993"/>
      <c r="AD22" s="1034"/>
      <c r="AE22" s="1010"/>
      <c r="AF22" s="1010"/>
      <c r="AH22" s="1035"/>
      <c r="AJ22" s="1035"/>
    </row>
    <row r="23" spans="1:36" ht="12" customHeight="1">
      <c r="A23" s="1001" t="s">
        <v>72</v>
      </c>
      <c r="B23" s="970">
        <v>22</v>
      </c>
      <c r="C23" s="1002">
        <f>'Planilla final'!Q33</f>
        <v>1764627.53</v>
      </c>
      <c r="D23" s="1003">
        <f t="shared" si="4"/>
        <v>-2416376.4699999997</v>
      </c>
      <c r="E23" s="995"/>
      <c r="F23" s="952"/>
      <c r="G23" s="997"/>
      <c r="H23" s="997"/>
      <c r="I23" s="998"/>
      <c r="J23" s="997"/>
      <c r="K23" s="999"/>
      <c r="L23" s="997"/>
      <c r="M23" s="1000"/>
      <c r="N23" s="970"/>
      <c r="O23" s="1069"/>
      <c r="P23" s="1069"/>
      <c r="Q23" s="1017">
        <f t="shared" si="3"/>
        <v>-2416376.4699999997</v>
      </c>
      <c r="R23" s="1069"/>
      <c r="S23" s="1069"/>
      <c r="T23" s="1027"/>
      <c r="U23" s="952"/>
      <c r="V23" s="997"/>
      <c r="W23" s="997"/>
      <c r="X23" s="1032"/>
      <c r="Y23" s="1005"/>
      <c r="Z23" s="1033"/>
      <c r="AA23" s="997"/>
      <c r="AB23" s="993"/>
      <c r="AD23" s="1034"/>
      <c r="AE23" s="1010"/>
      <c r="AF23" s="1010"/>
      <c r="AH23" s="1035"/>
      <c r="AJ23" s="1035"/>
    </row>
    <row r="24" spans="1:36" ht="12" customHeight="1">
      <c r="A24" s="1001" t="s">
        <v>835</v>
      </c>
      <c r="B24" s="970">
        <v>26</v>
      </c>
      <c r="C24" s="1002">
        <f>'Planilla final'!Q34</f>
        <v>2479542</v>
      </c>
      <c r="D24" s="1003">
        <f t="shared" si="4"/>
        <v>-5196392</v>
      </c>
      <c r="E24" s="995"/>
      <c r="F24" s="952"/>
      <c r="G24" s="997"/>
      <c r="H24" s="997"/>
      <c r="I24" s="998"/>
      <c r="J24" s="997"/>
      <c r="K24" s="999"/>
      <c r="L24" s="997"/>
      <c r="M24" s="1000"/>
      <c r="N24" s="970"/>
      <c r="O24" s="1069"/>
      <c r="P24" s="1069"/>
      <c r="Q24" s="1017">
        <f t="shared" si="3"/>
        <v>-5196392</v>
      </c>
      <c r="R24" s="1069"/>
      <c r="S24" s="1069"/>
      <c r="T24" s="1027"/>
      <c r="U24" s="952"/>
      <c r="V24" s="997"/>
      <c r="W24" s="997"/>
      <c r="X24" s="1032"/>
      <c r="Y24" s="1005"/>
      <c r="Z24" s="1033"/>
      <c r="AA24" s="997"/>
      <c r="AB24" s="993"/>
      <c r="AD24" s="1034"/>
      <c r="AE24" s="1010"/>
      <c r="AF24" s="1010"/>
      <c r="AH24" s="1035"/>
      <c r="AJ24" s="1035"/>
    </row>
    <row r="25" spans="1:36" ht="12" customHeight="1">
      <c r="A25" s="982" t="s">
        <v>639</v>
      </c>
      <c r="B25" s="1013">
        <v>17</v>
      </c>
      <c r="C25" s="1014">
        <f>'Planilla final'!Q36</f>
        <v>1574195</v>
      </c>
      <c r="D25" s="1003">
        <f t="shared" si="4"/>
        <v>54494</v>
      </c>
      <c r="E25" s="995"/>
      <c r="F25" s="952"/>
      <c r="G25" s="997"/>
      <c r="H25" s="997"/>
      <c r="I25" s="998"/>
      <c r="J25" s="997"/>
      <c r="K25" s="999"/>
      <c r="L25" s="997"/>
      <c r="M25" s="1000"/>
      <c r="N25" s="970"/>
      <c r="O25" s="1069"/>
      <c r="P25" s="1069"/>
      <c r="Q25" s="1017">
        <f t="shared" si="3"/>
        <v>54494</v>
      </c>
      <c r="R25" s="1069"/>
      <c r="S25" s="1069"/>
      <c r="T25" s="1027"/>
      <c r="U25" s="952"/>
      <c r="V25" s="997"/>
      <c r="W25" s="997"/>
      <c r="X25" s="1032"/>
      <c r="Y25" s="1005"/>
      <c r="Z25" s="1033"/>
      <c r="AA25" s="997"/>
      <c r="AB25" s="993"/>
      <c r="AD25" s="1034"/>
      <c r="AE25" s="1010"/>
      <c r="AF25" s="1010"/>
      <c r="AH25" s="1035"/>
      <c r="AJ25" s="1035"/>
    </row>
    <row r="26" spans="1:36" ht="12" customHeight="1">
      <c r="A26" s="1001" t="s">
        <v>75</v>
      </c>
      <c r="B26" s="970">
        <v>24</v>
      </c>
      <c r="C26" s="1002">
        <f>'Planilla final'!Q35</f>
        <v>11651499.08</v>
      </c>
      <c r="D26" s="1003">
        <f t="shared" si="4"/>
        <v>3751706.08</v>
      </c>
      <c r="E26" s="995"/>
      <c r="F26" s="952"/>
      <c r="G26" s="997"/>
      <c r="H26" s="997"/>
      <c r="I26" s="998"/>
      <c r="J26" s="997"/>
      <c r="K26" s="999"/>
      <c r="L26" s="997"/>
      <c r="M26" s="1000"/>
      <c r="N26" s="970"/>
      <c r="O26" s="1017">
        <v>-4987338</v>
      </c>
      <c r="P26" s="1017"/>
      <c r="Q26" s="1017">
        <f>+D26+O26+P26</f>
        <v>-1235631.92</v>
      </c>
      <c r="R26" s="1017"/>
      <c r="S26" s="1017"/>
      <c r="T26" s="1027"/>
      <c r="U26" s="952"/>
      <c r="V26" s="997"/>
      <c r="W26" s="997"/>
      <c r="X26" s="1032"/>
      <c r="Y26" s="1005"/>
      <c r="Z26" s="1033"/>
      <c r="AA26" s="997"/>
      <c r="AB26" s="993"/>
      <c r="AD26" s="1034"/>
      <c r="AE26" s="1010"/>
      <c r="AF26" s="1010"/>
      <c r="AH26" s="1035"/>
      <c r="AJ26" s="1035"/>
    </row>
    <row r="27" spans="1:36" ht="12" customHeight="1">
      <c r="A27" s="1001"/>
      <c r="B27" s="970"/>
      <c r="C27" s="1002"/>
      <c r="D27" s="1003"/>
      <c r="E27" s="995"/>
      <c r="F27" s="952"/>
      <c r="G27" s="997"/>
      <c r="H27" s="997"/>
      <c r="I27" s="998"/>
      <c r="J27" s="997"/>
      <c r="K27" s="999"/>
      <c r="L27" s="997"/>
      <c r="M27" s="1000"/>
      <c r="N27" s="970"/>
      <c r="O27" s="1017"/>
      <c r="P27" s="1017"/>
      <c r="Q27" s="1017"/>
      <c r="R27" s="1017"/>
      <c r="S27" s="1017"/>
      <c r="T27" s="1027"/>
      <c r="U27" s="952"/>
      <c r="V27" s="997"/>
      <c r="W27" s="997"/>
      <c r="X27" s="1032"/>
      <c r="Y27" s="1005"/>
      <c r="Z27" s="1033"/>
      <c r="AA27" s="997"/>
      <c r="AB27" s="993"/>
      <c r="AD27" s="1034"/>
      <c r="AE27" s="1010"/>
      <c r="AF27" s="1010"/>
      <c r="AH27" s="1035"/>
      <c r="AJ27" s="1035"/>
    </row>
    <row r="28" spans="1:36" ht="12" customHeight="1">
      <c r="A28" s="990" t="s">
        <v>643</v>
      </c>
      <c r="B28" s="995"/>
      <c r="C28" s="996"/>
      <c r="D28" s="988"/>
      <c r="E28" s="995"/>
      <c r="F28" s="952"/>
      <c r="G28" s="997"/>
      <c r="H28" s="997"/>
      <c r="I28" s="998"/>
      <c r="J28" s="997"/>
      <c r="K28" s="999"/>
      <c r="L28" s="997"/>
      <c r="M28" s="1000"/>
      <c r="N28" s="970"/>
      <c r="O28" s="1017"/>
      <c r="P28" s="1017"/>
      <c r="Q28" s="1017"/>
      <c r="R28" s="1017"/>
      <c r="S28" s="1017"/>
      <c r="T28" s="1027"/>
      <c r="U28" s="952"/>
      <c r="V28" s="997"/>
      <c r="W28" s="997"/>
      <c r="X28" s="1032"/>
      <c r="Y28" s="1005"/>
      <c r="Z28" s="1033"/>
      <c r="AA28" s="997"/>
      <c r="AB28" s="993"/>
      <c r="AD28" s="1034"/>
      <c r="AE28" s="1010"/>
      <c r="AF28" s="1010"/>
      <c r="AH28" s="1035"/>
      <c r="AJ28" s="1035"/>
    </row>
    <row r="29" spans="1:36" ht="12" customHeight="1">
      <c r="A29" s="1001" t="s">
        <v>894</v>
      </c>
      <c r="B29" s="970">
        <v>20</v>
      </c>
      <c r="C29" s="1002">
        <f>'Planilla final'!Q40</f>
        <v>4608085</v>
      </c>
      <c r="D29" s="1003">
        <f>+C29-U40</f>
        <v>4608085</v>
      </c>
      <c r="E29" s="995"/>
      <c r="F29" s="952"/>
      <c r="G29" s="997"/>
      <c r="H29" s="997"/>
      <c r="I29" s="998"/>
      <c r="J29" s="997"/>
      <c r="K29" s="999"/>
      <c r="L29" s="997"/>
      <c r="M29" s="1000"/>
      <c r="N29" s="970"/>
      <c r="O29" s="1017"/>
      <c r="P29" s="1017"/>
      <c r="Q29" s="1017">
        <f>+D29+O29</f>
        <v>4608085</v>
      </c>
      <c r="R29" s="1017"/>
      <c r="S29" s="1017"/>
      <c r="T29" s="1027"/>
      <c r="U29" s="952"/>
      <c r="V29" s="997"/>
      <c r="W29" s="997"/>
      <c r="X29" s="1032"/>
      <c r="Y29" s="1005"/>
      <c r="Z29" s="1033"/>
      <c r="AA29" s="997"/>
      <c r="AB29" s="993"/>
      <c r="AD29" s="1034"/>
      <c r="AE29" s="1010"/>
      <c r="AF29" s="1010"/>
      <c r="AH29" s="1035"/>
      <c r="AJ29" s="1035"/>
    </row>
    <row r="30" spans="1:36" ht="12" customHeight="1">
      <c r="A30" s="1001" t="s">
        <v>638</v>
      </c>
      <c r="B30" s="970">
        <v>21</v>
      </c>
      <c r="C30" s="1002">
        <f>'Planilla final'!Q41</f>
        <v>693806.23000000045</v>
      </c>
      <c r="D30" s="1003">
        <f>+C30-U41</f>
        <v>187048.23000000045</v>
      </c>
      <c r="E30" s="995"/>
      <c r="F30" s="952"/>
      <c r="G30" s="997"/>
      <c r="H30" s="997"/>
      <c r="I30" s="998"/>
      <c r="J30" s="997"/>
      <c r="K30" s="999"/>
      <c r="L30" s="997"/>
      <c r="M30" s="1000"/>
      <c r="N30" s="970"/>
      <c r="O30" s="1017"/>
      <c r="P30" s="1017"/>
      <c r="Q30" s="1017">
        <f>+D30+O30</f>
        <v>187048.23000000045</v>
      </c>
      <c r="R30" s="1017"/>
      <c r="S30" s="1017"/>
      <c r="T30" s="1027"/>
      <c r="U30" s="952"/>
      <c r="V30" s="997"/>
      <c r="W30" s="997"/>
      <c r="X30" s="1032"/>
      <c r="Y30" s="1005"/>
      <c r="Z30" s="1033"/>
      <c r="AA30" s="997"/>
      <c r="AB30" s="993"/>
      <c r="AD30" s="1034"/>
      <c r="AE30" s="1010"/>
      <c r="AF30" s="1010"/>
      <c r="AH30" s="1035"/>
      <c r="AJ30" s="1035"/>
    </row>
    <row r="31" spans="1:36" ht="12" customHeight="1">
      <c r="A31" s="1001" t="s">
        <v>72</v>
      </c>
      <c r="B31" s="970">
        <v>22</v>
      </c>
      <c r="C31" s="1002">
        <f>'Planilla final'!Q42</f>
        <v>0</v>
      </c>
      <c r="D31" s="1003">
        <f>+C31-U42</f>
        <v>-13415188</v>
      </c>
      <c r="E31" s="995"/>
      <c r="F31" s="952"/>
      <c r="G31" s="997"/>
      <c r="H31" s="997"/>
      <c r="I31" s="998"/>
      <c r="J31" s="997"/>
      <c r="K31" s="999"/>
      <c r="L31" s="997"/>
      <c r="M31" s="1000"/>
      <c r="N31" s="970"/>
      <c r="O31" s="1017"/>
      <c r="P31" s="1017"/>
      <c r="Q31" s="1017">
        <f>+D31+O31</f>
        <v>-13415188</v>
      </c>
      <c r="R31" s="1017"/>
      <c r="S31" s="1017"/>
      <c r="T31" s="1027"/>
      <c r="U31" s="952"/>
      <c r="V31" s="997"/>
      <c r="W31" s="997"/>
      <c r="X31" s="1032"/>
      <c r="Y31" s="1005"/>
      <c r="Z31" s="1033"/>
      <c r="AA31" s="997"/>
      <c r="AB31" s="993"/>
      <c r="AD31" s="1034"/>
      <c r="AE31" s="1010"/>
      <c r="AF31" s="1010"/>
      <c r="AH31" s="1035"/>
      <c r="AJ31" s="1035"/>
    </row>
    <row r="32" spans="1:36" ht="12" customHeight="1">
      <c r="A32" s="1001"/>
      <c r="B32" s="970"/>
      <c r="C32" s="1002"/>
      <c r="D32" s="1003"/>
      <c r="E32" s="995"/>
      <c r="F32" s="952"/>
      <c r="G32" s="997"/>
      <c r="H32" s="997"/>
      <c r="I32" s="998"/>
      <c r="J32" s="997"/>
      <c r="K32" s="999"/>
      <c r="L32" s="997"/>
      <c r="M32" s="1000"/>
      <c r="N32" s="970"/>
      <c r="O32" s="1017"/>
      <c r="P32" s="1017"/>
      <c r="Q32" s="1017"/>
      <c r="R32" s="1017"/>
      <c r="S32" s="1017"/>
      <c r="T32" s="1027"/>
      <c r="U32" s="952"/>
      <c r="V32" s="997"/>
      <c r="W32" s="997"/>
      <c r="X32" s="1032"/>
      <c r="Y32" s="1005"/>
      <c r="Z32" s="1033"/>
      <c r="AA32" s="997"/>
      <c r="AB32" s="993"/>
      <c r="AD32" s="1034"/>
      <c r="AE32" s="1010"/>
      <c r="AF32" s="1010"/>
      <c r="AH32" s="1035"/>
      <c r="AJ32" s="1035"/>
    </row>
    <row r="33" spans="1:36" ht="12" customHeight="1">
      <c r="A33" s="1026" t="s">
        <v>651</v>
      </c>
      <c r="B33" s="1027"/>
      <c r="C33" s="952">
        <f>'Planilla final'!Q59</f>
        <v>86255949.839999989</v>
      </c>
      <c r="D33" s="1003">
        <f>+C33-U33</f>
        <v>-2244947.6300000101</v>
      </c>
      <c r="E33" s="1016"/>
      <c r="F33" s="952"/>
      <c r="G33" s="982"/>
      <c r="H33" s="982"/>
      <c r="I33" s="982"/>
      <c r="K33" s="982"/>
      <c r="M33" s="982"/>
      <c r="N33" s="982"/>
      <c r="O33" s="1017">
        <f>-O5+18081861+39210+1804437+2165288+468128+4987338+886890+8770737+1776850-1085440+12596429</f>
        <v>50666352</v>
      </c>
      <c r="P33" s="1017">
        <v>-21629185</v>
      </c>
      <c r="Q33" s="1017">
        <f>+D33+O33+P33</f>
        <v>26792219.36999999</v>
      </c>
      <c r="R33" s="1017">
        <v>1376685</v>
      </c>
      <c r="S33" s="1017">
        <f>+R33+Q33</f>
        <v>28168904.36999999</v>
      </c>
      <c r="T33" s="1027"/>
      <c r="U33" s="952">
        <v>88500897.469999999</v>
      </c>
      <c r="V33" s="1028">
        <v>5522747.4699999997</v>
      </c>
      <c r="W33" s="1028"/>
      <c r="X33" s="999">
        <v>82978150</v>
      </c>
      <c r="Y33" s="1015">
        <v>2652798</v>
      </c>
      <c r="Z33" s="1052">
        <v>80325352</v>
      </c>
      <c r="AA33" s="1028">
        <v>5629205</v>
      </c>
      <c r="AB33" s="1007">
        <v>74696147</v>
      </c>
      <c r="AD33" s="1012"/>
      <c r="AE33" s="1010"/>
      <c r="AF33" s="1010"/>
    </row>
    <row r="34" spans="1:36" ht="12" customHeight="1">
      <c r="A34" s="1026"/>
      <c r="B34" s="1027"/>
      <c r="C34" s="952"/>
      <c r="D34" s="1003"/>
      <c r="E34" s="1016"/>
      <c r="F34" s="952"/>
      <c r="G34" s="982"/>
      <c r="H34" s="982"/>
      <c r="I34" s="982"/>
      <c r="K34" s="982"/>
      <c r="M34" s="982"/>
      <c r="N34" s="982"/>
      <c r="O34" s="1017"/>
      <c r="P34" s="1017"/>
      <c r="Q34" s="1017"/>
      <c r="R34" s="1017"/>
      <c r="S34" s="1017"/>
      <c r="T34" s="1027"/>
      <c r="U34" s="952"/>
      <c r="V34" s="1028"/>
      <c r="W34" s="1028"/>
      <c r="X34" s="999"/>
      <c r="Y34" s="1015"/>
      <c r="Z34" s="1052"/>
      <c r="AB34" s="1007"/>
      <c r="AD34" s="1012"/>
      <c r="AE34" s="1010"/>
      <c r="AF34" s="1010"/>
    </row>
    <row r="35" spans="1:36" ht="12" customHeight="1">
      <c r="A35" s="1068" t="s">
        <v>906</v>
      </c>
      <c r="B35" s="995"/>
      <c r="C35" s="996"/>
      <c r="D35" s="1067">
        <f>SUM(D5:D33)</f>
        <v>-12793069.910000008</v>
      </c>
      <c r="E35" s="995"/>
      <c r="F35" s="952"/>
      <c r="G35" s="997"/>
      <c r="H35" s="997"/>
      <c r="I35" s="998"/>
      <c r="J35" s="997"/>
      <c r="K35" s="999"/>
      <c r="L35" s="997"/>
      <c r="M35" s="1000"/>
      <c r="N35" s="970"/>
      <c r="O35" s="1017"/>
      <c r="P35" s="1017"/>
      <c r="Q35" s="1067">
        <f>SUM(Q5:Q33)</f>
        <v>20114887.089999989</v>
      </c>
      <c r="R35" s="1017"/>
      <c r="S35" s="1017"/>
      <c r="T35" s="1027"/>
      <c r="U35" s="952"/>
      <c r="V35" s="997"/>
      <c r="W35" s="997"/>
      <c r="X35" s="1032"/>
      <c r="Y35" s="1005"/>
      <c r="Z35" s="1033"/>
      <c r="AA35" s="997"/>
      <c r="AB35" s="993"/>
      <c r="AD35" s="1034"/>
      <c r="AE35" s="1010"/>
      <c r="AF35" s="1010"/>
      <c r="AH35" s="1035"/>
      <c r="AJ35" s="1035"/>
    </row>
    <row r="36" spans="1:36" ht="12" customHeight="1">
      <c r="A36" s="994"/>
      <c r="B36" s="995"/>
      <c r="C36" s="996"/>
      <c r="D36" s="988"/>
      <c r="E36" s="995"/>
      <c r="F36" s="952"/>
      <c r="G36" s="997"/>
      <c r="H36" s="997"/>
      <c r="I36" s="998"/>
      <c r="J36" s="997"/>
      <c r="K36" s="999"/>
      <c r="L36" s="997"/>
      <c r="M36" s="1000"/>
      <c r="N36" s="970"/>
      <c r="O36" s="887"/>
      <c r="P36" s="887"/>
      <c r="Q36" s="1017">
        <f t="shared" ref="Q36:Q44" si="5">+D36+O36</f>
        <v>0</v>
      </c>
      <c r="R36" s="887"/>
      <c r="S36" s="887"/>
      <c r="T36" s="1027"/>
      <c r="U36" s="952"/>
      <c r="V36" s="997"/>
      <c r="W36" s="997"/>
      <c r="X36" s="1032"/>
      <c r="Y36" s="1005"/>
      <c r="Z36" s="1033"/>
      <c r="AA36" s="997"/>
      <c r="AB36" s="993"/>
      <c r="AD36" s="1034"/>
      <c r="AE36" s="1010"/>
      <c r="AF36" s="1010"/>
      <c r="AH36" s="1035"/>
      <c r="AJ36" s="1035"/>
    </row>
    <row r="37" spans="1:36" ht="12" customHeight="1">
      <c r="A37" s="994" t="s">
        <v>634</v>
      </c>
      <c r="B37" s="995"/>
      <c r="C37" s="996">
        <f>'Planilla final'!Q7</f>
        <v>3119911</v>
      </c>
      <c r="D37" s="988">
        <f>+'ESF20'!D6</f>
        <v>-3107992</v>
      </c>
      <c r="E37" s="995"/>
      <c r="F37" s="952"/>
      <c r="G37" s="997"/>
      <c r="H37" s="997"/>
      <c r="I37" s="998"/>
      <c r="J37" s="997"/>
      <c r="K37" s="999"/>
      <c r="L37" s="997"/>
      <c r="M37" s="1000"/>
      <c r="N37" s="970"/>
      <c r="O37" s="1017"/>
      <c r="P37" s="1017"/>
      <c r="Q37" s="1017">
        <f t="shared" si="5"/>
        <v>-3107992</v>
      </c>
      <c r="R37" s="1017"/>
      <c r="S37" s="1017"/>
      <c r="T37" s="1027"/>
      <c r="U37" s="952"/>
      <c r="V37" s="997"/>
      <c r="W37" s="997"/>
      <c r="X37" s="1032"/>
      <c r="Y37" s="1005"/>
      <c r="Z37" s="1033"/>
      <c r="AA37" s="997"/>
      <c r="AB37" s="993"/>
      <c r="AD37" s="1034"/>
      <c r="AE37" s="1010"/>
      <c r="AF37" s="1010"/>
      <c r="AH37" s="1035"/>
      <c r="AJ37" s="1035"/>
    </row>
    <row r="38" spans="1:36" ht="12" customHeight="1">
      <c r="A38" s="994" t="s">
        <v>36</v>
      </c>
      <c r="B38" s="995">
        <v>7</v>
      </c>
      <c r="C38" s="996">
        <f>'Planilla final'!Q6</f>
        <v>8650</v>
      </c>
      <c r="D38" s="988">
        <f>+'ESF20'!D7</f>
        <v>3350139</v>
      </c>
      <c r="E38" s="995"/>
      <c r="F38" s="952"/>
      <c r="G38" s="997"/>
      <c r="H38" s="997"/>
      <c r="I38" s="998"/>
      <c r="J38" s="997"/>
      <c r="K38" s="999"/>
      <c r="L38" s="997"/>
      <c r="M38" s="1000"/>
      <c r="N38" s="970"/>
      <c r="O38" s="1017"/>
      <c r="P38" s="1017"/>
      <c r="Q38" s="1017">
        <f t="shared" si="5"/>
        <v>3350139</v>
      </c>
      <c r="R38" s="1017"/>
      <c r="S38" s="1017"/>
      <c r="T38" s="1027"/>
      <c r="U38" s="952"/>
      <c r="V38" s="997"/>
      <c r="W38" s="997"/>
      <c r="X38" s="1032"/>
      <c r="Y38" s="1005"/>
      <c r="Z38" s="1033"/>
      <c r="AA38" s="997"/>
      <c r="AB38" s="993"/>
      <c r="AD38" s="1034"/>
      <c r="AE38" s="1010"/>
      <c r="AF38" s="1010"/>
      <c r="AH38" s="1035"/>
      <c r="AJ38" s="1035"/>
    </row>
    <row r="39" spans="1:36" ht="12" customHeight="1">
      <c r="A39" s="994"/>
      <c r="B39" s="995"/>
      <c r="C39" s="996"/>
      <c r="D39" s="988"/>
      <c r="E39" s="995"/>
      <c r="F39" s="952"/>
      <c r="G39" s="997"/>
      <c r="H39" s="997"/>
      <c r="I39" s="998"/>
      <c r="J39" s="997"/>
      <c r="K39" s="999"/>
      <c r="L39" s="997"/>
      <c r="M39" s="1000"/>
      <c r="N39" s="970"/>
      <c r="O39" s="1017"/>
      <c r="P39" s="1017"/>
      <c r="Q39" s="1017">
        <f t="shared" si="5"/>
        <v>0</v>
      </c>
      <c r="R39" s="1017"/>
      <c r="S39" s="1017"/>
      <c r="T39" s="1027"/>
      <c r="U39" s="952"/>
      <c r="V39" s="997"/>
      <c r="W39" s="997"/>
      <c r="X39" s="1032"/>
      <c r="Y39" s="1005"/>
      <c r="Z39" s="1033"/>
      <c r="AA39" s="997"/>
      <c r="AB39" s="993"/>
      <c r="AD39" s="1034"/>
      <c r="AE39" s="1010"/>
      <c r="AF39" s="1010"/>
      <c r="AH39" s="1035"/>
      <c r="AJ39" s="1035"/>
    </row>
    <row r="40" spans="1:36" ht="12" customHeight="1">
      <c r="A40" s="994" t="s">
        <v>645</v>
      </c>
      <c r="B40" s="995">
        <v>12</v>
      </c>
      <c r="C40" s="996">
        <f>'Planilla final'!Q17+'Planilla final'!Q18</f>
        <v>80527255.439999998</v>
      </c>
      <c r="D40" s="988">
        <f t="shared" si="2"/>
        <v>5405815.5600000024</v>
      </c>
      <c r="E40" s="995"/>
      <c r="F40" s="952">
        <v>85933071</v>
      </c>
      <c r="G40" s="997">
        <v>17673136</v>
      </c>
      <c r="H40" s="997"/>
      <c r="I40" s="998">
        <v>103606207</v>
      </c>
      <c r="J40" s="997">
        <v>-2676829</v>
      </c>
      <c r="K40" s="999">
        <v>11276112</v>
      </c>
      <c r="L40" s="997">
        <v>-841341</v>
      </c>
      <c r="M40" s="1000">
        <v>12117453</v>
      </c>
      <c r="N40" s="970"/>
      <c r="O40" s="1017">
        <f>-18081861-1776850</f>
        <v>-19858711</v>
      </c>
      <c r="P40" s="1017"/>
      <c r="Q40" s="1017">
        <f t="shared" si="5"/>
        <v>-14452895.439999998</v>
      </c>
      <c r="R40" s="1017"/>
      <c r="S40" s="1017"/>
      <c r="T40" s="970"/>
      <c r="U40" s="952">
        <v>0</v>
      </c>
      <c r="V40" s="997">
        <v>-2345800</v>
      </c>
      <c r="W40" s="997"/>
      <c r="X40" s="1036">
        <v>2345800</v>
      </c>
      <c r="Y40" s="1005">
        <v>142127</v>
      </c>
      <c r="Z40" s="1033">
        <v>2203673</v>
      </c>
      <c r="AA40" s="997">
        <v>-477887</v>
      </c>
      <c r="AB40" s="993">
        <v>2793866</v>
      </c>
      <c r="AE40" s="1010"/>
      <c r="AF40" s="1010"/>
      <c r="AG40" s="969"/>
      <c r="AH40" s="1035"/>
      <c r="AI40" s="969"/>
      <c r="AJ40" s="1035"/>
    </row>
    <row r="41" spans="1:36" ht="12" customHeight="1">
      <c r="A41" s="994" t="s">
        <v>646</v>
      </c>
      <c r="B41" s="995">
        <v>13</v>
      </c>
      <c r="C41" s="996">
        <f>'Planilla final'!Q19</f>
        <v>984912.65</v>
      </c>
      <c r="D41" s="988">
        <f t="shared" si="2"/>
        <v>-400111.65</v>
      </c>
      <c r="E41" s="995"/>
      <c r="F41" s="952">
        <v>584801</v>
      </c>
      <c r="G41" s="997">
        <v>39210</v>
      </c>
      <c r="H41" s="997"/>
      <c r="I41" s="998">
        <v>624011</v>
      </c>
      <c r="J41" s="997">
        <v>0</v>
      </c>
      <c r="K41" s="999">
        <v>1422229</v>
      </c>
      <c r="L41" s="997">
        <v>0</v>
      </c>
      <c r="M41" s="1000">
        <v>1422229</v>
      </c>
      <c r="N41" s="970"/>
      <c r="O41" s="1017">
        <v>-39210</v>
      </c>
      <c r="P41" s="1017"/>
      <c r="Q41" s="1017">
        <f t="shared" si="5"/>
        <v>-439321.65</v>
      </c>
      <c r="R41" s="1017"/>
      <c r="S41" s="1017"/>
      <c r="T41" s="970"/>
      <c r="U41" s="952">
        <v>506758</v>
      </c>
      <c r="V41" s="997">
        <v>-10525144</v>
      </c>
      <c r="W41" s="997"/>
      <c r="X41" s="1036">
        <v>11031902</v>
      </c>
      <c r="Y41" s="1005">
        <v>403022</v>
      </c>
      <c r="Z41" s="1033">
        <v>10628880</v>
      </c>
      <c r="AA41" s="997">
        <v>-610580</v>
      </c>
      <c r="AB41" s="993">
        <v>5796127</v>
      </c>
      <c r="AE41" s="1010"/>
      <c r="AF41" s="1010"/>
    </row>
    <row r="42" spans="1:36" ht="12" customHeight="1">
      <c r="A42" s="994" t="s">
        <v>647</v>
      </c>
      <c r="B42" s="995">
        <v>14</v>
      </c>
      <c r="C42" s="996">
        <f>'Planilla final'!Q20</f>
        <v>11569469</v>
      </c>
      <c r="D42" s="988">
        <f t="shared" si="2"/>
        <v>664615</v>
      </c>
      <c r="E42" s="995"/>
      <c r="F42" s="952">
        <v>12234084</v>
      </c>
      <c r="G42" s="997">
        <v>1718857</v>
      </c>
      <c r="H42" s="997"/>
      <c r="I42" s="998">
        <v>13952941</v>
      </c>
      <c r="J42" s="997">
        <v>0</v>
      </c>
      <c r="K42" s="999">
        <v>3318028</v>
      </c>
      <c r="L42" s="997">
        <v>-3227531</v>
      </c>
      <c r="M42" s="1000">
        <v>6545559</v>
      </c>
      <c r="N42" s="970"/>
      <c r="O42" s="1017">
        <f>-2165288+1085440</f>
        <v>-1079848</v>
      </c>
      <c r="P42" s="1017"/>
      <c r="Q42" s="1017">
        <f t="shared" si="5"/>
        <v>-415233</v>
      </c>
      <c r="R42" s="1017"/>
      <c r="S42" s="1017"/>
      <c r="T42" s="970"/>
      <c r="U42" s="952">
        <v>13415188</v>
      </c>
      <c r="V42" s="997">
        <v>12329117</v>
      </c>
      <c r="W42" s="997"/>
      <c r="X42" s="1036">
        <v>1086071</v>
      </c>
      <c r="Y42" s="1005">
        <v>-1229908</v>
      </c>
      <c r="Z42" s="1033">
        <v>2315979</v>
      </c>
      <c r="AA42" s="997">
        <v>3116879</v>
      </c>
      <c r="AB42" s="993">
        <v>17696327</v>
      </c>
      <c r="AE42" s="1010"/>
      <c r="AF42" s="1010"/>
    </row>
    <row r="43" spans="1:36" ht="12" customHeight="1">
      <c r="A43" s="994" t="s">
        <v>56</v>
      </c>
      <c r="B43" s="995">
        <v>15</v>
      </c>
      <c r="C43" s="996">
        <f>'Planilla final'!Q21</f>
        <v>1429486</v>
      </c>
      <c r="D43" s="988">
        <f t="shared" si="2"/>
        <v>244098</v>
      </c>
      <c r="E43" s="995"/>
      <c r="F43" s="952">
        <v>1673584</v>
      </c>
      <c r="G43" s="997">
        <v>-251355</v>
      </c>
      <c r="H43" s="997"/>
      <c r="I43" s="998">
        <v>1422229</v>
      </c>
      <c r="J43" s="997">
        <v>1257222</v>
      </c>
      <c r="K43" s="999">
        <v>4326687</v>
      </c>
      <c r="L43" s="997">
        <v>1190535</v>
      </c>
      <c r="M43" s="1000">
        <v>3136152</v>
      </c>
      <c r="N43" s="970"/>
      <c r="O43" s="1017"/>
      <c r="P43" s="1017"/>
      <c r="Q43" s="1017">
        <f t="shared" si="5"/>
        <v>244098</v>
      </c>
      <c r="R43" s="1017"/>
      <c r="S43" s="1017"/>
      <c r="T43" s="970"/>
      <c r="U43" s="952">
        <v>8243480</v>
      </c>
      <c r="V43" s="997">
        <v>2284473</v>
      </c>
      <c r="W43" s="997"/>
      <c r="X43" s="1036">
        <v>5959007</v>
      </c>
      <c r="Y43" s="1005">
        <v>773460</v>
      </c>
      <c r="Z43" s="1033">
        <v>5185547</v>
      </c>
      <c r="AA43" s="997">
        <v>0</v>
      </c>
      <c r="AB43" s="993">
        <v>3572443</v>
      </c>
      <c r="AE43" s="1010"/>
      <c r="AF43" s="1010"/>
    </row>
    <row r="44" spans="1:36" ht="12" customHeight="1">
      <c r="A44" s="994" t="s">
        <v>516</v>
      </c>
      <c r="B44" s="995">
        <v>16</v>
      </c>
      <c r="C44" s="996">
        <f>'Planilla final'!Q22</f>
        <v>3594280</v>
      </c>
      <c r="D44" s="988">
        <f t="shared" si="2"/>
        <v>-7878.5299999997951</v>
      </c>
      <c r="E44" s="995"/>
      <c r="F44" s="952">
        <v>3586401.47</v>
      </c>
      <c r="G44" s="997">
        <v>-268373.46999999898</v>
      </c>
      <c r="H44" s="997"/>
      <c r="I44" s="998">
        <v>3318028</v>
      </c>
      <c r="J44" s="997"/>
      <c r="K44" s="999">
        <v>0</v>
      </c>
      <c r="L44" s="997"/>
      <c r="M44" s="1000"/>
      <c r="N44" s="970"/>
      <c r="O44" s="1017">
        <v>-468128</v>
      </c>
      <c r="P44" s="1017"/>
      <c r="Q44" s="1017">
        <f t="shared" si="5"/>
        <v>-476006.5299999998</v>
      </c>
      <c r="R44" s="1017"/>
      <c r="S44" s="1017"/>
      <c r="T44" s="970"/>
      <c r="U44" s="952">
        <v>33856246</v>
      </c>
      <c r="V44" s="997">
        <v>9060189</v>
      </c>
      <c r="W44" s="997"/>
      <c r="X44" s="1036">
        <v>24796057</v>
      </c>
      <c r="Y44" s="1005">
        <v>3982851</v>
      </c>
      <c r="Z44" s="1033">
        <v>20813206</v>
      </c>
      <c r="AA44" s="997"/>
      <c r="AB44" s="993"/>
      <c r="AE44" s="1010"/>
      <c r="AF44" s="1010"/>
    </row>
    <row r="45" spans="1:36" ht="12" customHeight="1">
      <c r="A45" s="887"/>
      <c r="B45" s="887"/>
      <c r="C45" s="887"/>
      <c r="D45" s="887"/>
      <c r="E45" s="995"/>
      <c r="F45" s="952">
        <v>1600</v>
      </c>
      <c r="G45" s="997">
        <v>3067865</v>
      </c>
      <c r="H45" s="997"/>
      <c r="I45" s="998">
        <v>3069465</v>
      </c>
      <c r="J45" s="997">
        <v>-261500</v>
      </c>
      <c r="K45" s="999">
        <v>0</v>
      </c>
      <c r="L45" s="997">
        <v>0</v>
      </c>
      <c r="M45" s="1000">
        <v>0</v>
      </c>
      <c r="N45" s="982"/>
      <c r="O45" s="1017"/>
      <c r="P45" s="1017"/>
      <c r="Q45" s="1017"/>
      <c r="R45" s="1069"/>
      <c r="S45" s="1017"/>
      <c r="T45" s="970"/>
      <c r="U45" s="952">
        <v>2804159</v>
      </c>
      <c r="V45" s="997">
        <v>2804159</v>
      </c>
      <c r="W45" s="997"/>
      <c r="X45" s="1037">
        <v>0</v>
      </c>
      <c r="Y45" s="1005">
        <v>-3572443</v>
      </c>
      <c r="Z45" s="1033">
        <v>3572443</v>
      </c>
      <c r="AA45" s="997">
        <v>0</v>
      </c>
      <c r="AB45" s="1038">
        <v>0</v>
      </c>
      <c r="AE45" s="1010"/>
      <c r="AF45" s="1010"/>
    </row>
    <row r="46" spans="1:36" ht="12" customHeight="1">
      <c r="A46" s="994" t="s">
        <v>518</v>
      </c>
      <c r="B46" s="995">
        <v>17</v>
      </c>
      <c r="C46" s="996">
        <f>'Planilla final'!Q24</f>
        <v>3949574</v>
      </c>
      <c r="D46" s="988">
        <f t="shared" si="2"/>
        <v>197533</v>
      </c>
      <c r="E46" s="995"/>
      <c r="F46" s="952">
        <v>4147107</v>
      </c>
      <c r="G46" s="997">
        <v>-4147107</v>
      </c>
      <c r="H46" s="997"/>
      <c r="I46" s="998">
        <v>0</v>
      </c>
      <c r="K46" s="1019">
        <v>140254410</v>
      </c>
      <c r="M46" s="1019">
        <v>142314484</v>
      </c>
      <c r="N46" s="970"/>
      <c r="O46" s="1017">
        <v>-1804437</v>
      </c>
      <c r="P46" s="1017"/>
      <c r="Q46" s="1017">
        <f>+D46+O46</f>
        <v>-1606904</v>
      </c>
      <c r="R46" s="1069"/>
      <c r="S46" s="1017"/>
      <c r="T46" s="970"/>
      <c r="U46" s="952">
        <v>2580000</v>
      </c>
      <c r="V46" s="997">
        <v>0</v>
      </c>
      <c r="W46" s="997"/>
      <c r="X46" s="1036">
        <v>2580000</v>
      </c>
      <c r="Y46" s="1005">
        <v>2580000</v>
      </c>
      <c r="Z46" s="1039">
        <v>0</v>
      </c>
      <c r="AB46" s="1040">
        <v>69239881</v>
      </c>
      <c r="AE46" s="1010"/>
      <c r="AF46" s="1010"/>
    </row>
    <row r="47" spans="1:36" ht="12" customHeight="1">
      <c r="A47" s="994" t="s">
        <v>649</v>
      </c>
      <c r="B47" s="995"/>
      <c r="C47" s="996">
        <f>'Planilla final'!Q23</f>
        <v>263613</v>
      </c>
      <c r="D47" s="988">
        <f t="shared" si="2"/>
        <v>0</v>
      </c>
      <c r="E47" s="995"/>
      <c r="F47" s="952">
        <v>263613</v>
      </c>
      <c r="G47" s="997">
        <v>-2113</v>
      </c>
      <c r="H47" s="997"/>
      <c r="I47" s="998">
        <v>261500</v>
      </c>
      <c r="K47" s="982"/>
      <c r="M47" s="982"/>
      <c r="N47" s="982"/>
      <c r="O47" s="1069"/>
      <c r="P47" s="1069"/>
      <c r="Q47" s="1017">
        <f>+D47+O47</f>
        <v>0</v>
      </c>
      <c r="R47" s="1070"/>
      <c r="S47" s="1069"/>
      <c r="T47" s="1027"/>
      <c r="U47" s="1041">
        <v>63059836</v>
      </c>
      <c r="V47" s="1028"/>
      <c r="W47" s="1028"/>
      <c r="X47" s="1043">
        <v>54624325</v>
      </c>
      <c r="Y47" s="1015"/>
      <c r="Z47" s="1044">
        <v>61105176</v>
      </c>
      <c r="AB47" s="1045">
        <v>140375149</v>
      </c>
      <c r="AE47" s="1010"/>
      <c r="AF47" s="1010"/>
    </row>
    <row r="48" spans="1:36" ht="12" customHeight="1">
      <c r="A48" s="994"/>
      <c r="B48" s="995"/>
      <c r="C48" s="996"/>
      <c r="D48" s="988"/>
      <c r="E48" s="995"/>
      <c r="F48" s="952"/>
      <c r="G48" s="997"/>
      <c r="H48" s="997"/>
      <c r="I48" s="998"/>
      <c r="K48" s="982"/>
      <c r="M48" s="982"/>
      <c r="N48" s="982"/>
      <c r="O48" s="1069"/>
      <c r="P48" s="1069"/>
      <c r="Q48" s="1017"/>
      <c r="R48" s="1070"/>
      <c r="S48" s="1069"/>
      <c r="T48" s="1027"/>
      <c r="U48" s="952"/>
      <c r="V48" s="1028"/>
      <c r="W48" s="1028"/>
      <c r="X48" s="999"/>
      <c r="Y48" s="1015"/>
      <c r="Z48" s="1052"/>
      <c r="AB48" s="950"/>
      <c r="AE48" s="1010"/>
      <c r="AF48" s="1010"/>
    </row>
    <row r="49" spans="1:32" ht="12" customHeight="1">
      <c r="A49" s="1001" t="s">
        <v>633</v>
      </c>
      <c r="B49" s="970"/>
      <c r="C49" s="1002">
        <f>'Planilla final'!Q27</f>
        <v>0</v>
      </c>
      <c r="D49" s="1003">
        <f>+C49-U61</f>
        <v>-74044</v>
      </c>
      <c r="E49" s="995"/>
      <c r="F49" s="952"/>
      <c r="G49" s="997"/>
      <c r="H49" s="997"/>
      <c r="I49" s="998"/>
      <c r="K49" s="982"/>
      <c r="M49" s="982"/>
      <c r="N49" s="982"/>
      <c r="O49" s="1069"/>
      <c r="P49" s="1069"/>
      <c r="Q49" s="1017">
        <f>+D49+O49</f>
        <v>-74044</v>
      </c>
      <c r="R49" s="1070"/>
      <c r="S49" s="1069"/>
      <c r="T49" s="1027"/>
      <c r="U49" s="952"/>
      <c r="V49" s="1028"/>
      <c r="W49" s="1028"/>
      <c r="X49" s="999"/>
      <c r="Y49" s="1015"/>
      <c r="Z49" s="1052"/>
      <c r="AB49" s="950"/>
      <c r="AE49" s="1010"/>
      <c r="AF49" s="1010"/>
    </row>
    <row r="50" spans="1:32" ht="12" customHeight="1">
      <c r="A50" s="1001" t="s">
        <v>65</v>
      </c>
      <c r="B50" s="970">
        <v>18</v>
      </c>
      <c r="C50" s="1002">
        <f>'Planilla final'!Q28</f>
        <v>4080196</v>
      </c>
      <c r="D50" s="1003">
        <f>+'ESF20'!R6</f>
        <v>695083</v>
      </c>
      <c r="E50" s="995"/>
      <c r="F50" s="952"/>
      <c r="G50" s="997"/>
      <c r="H50" s="997"/>
      <c r="I50" s="998"/>
      <c r="K50" s="982"/>
      <c r="M50" s="982"/>
      <c r="N50" s="982"/>
      <c r="O50" s="1069"/>
      <c r="P50" s="1069"/>
      <c r="Q50" s="1017">
        <f>+D50+O50</f>
        <v>695083</v>
      </c>
      <c r="R50" s="1070"/>
      <c r="S50" s="1069"/>
      <c r="T50" s="1027"/>
      <c r="U50" s="952"/>
      <c r="V50" s="1028"/>
      <c r="W50" s="1028"/>
      <c r="X50" s="999"/>
      <c r="Y50" s="1015"/>
      <c r="Z50" s="1052"/>
      <c r="AB50" s="950"/>
      <c r="AE50" s="1010"/>
      <c r="AF50" s="1010"/>
    </row>
    <row r="51" spans="1:32" ht="12" customHeight="1">
      <c r="A51" s="1001" t="s">
        <v>635</v>
      </c>
      <c r="B51" s="970">
        <v>19</v>
      </c>
      <c r="C51" s="1002">
        <f>'Planilla final'!Q29</f>
        <v>7029609.0199999996</v>
      </c>
      <c r="D51" s="1003">
        <f>+'ESF20'!R7</f>
        <v>4544878.0199999996</v>
      </c>
      <c r="E51" s="995"/>
      <c r="F51" s="952"/>
      <c r="G51" s="997"/>
      <c r="H51" s="997"/>
      <c r="I51" s="998"/>
      <c r="K51" s="982"/>
      <c r="M51" s="982"/>
      <c r="N51" s="982"/>
      <c r="O51" s="1069"/>
      <c r="P51" s="1069"/>
      <c r="Q51" s="1017">
        <f>+D51+O51</f>
        <v>4544878.0199999996</v>
      </c>
      <c r="R51" s="1070"/>
      <c r="S51" s="1069"/>
      <c r="T51" s="1027"/>
      <c r="U51" s="952"/>
      <c r="V51" s="1028"/>
      <c r="W51" s="1028"/>
      <c r="X51" s="999"/>
      <c r="Y51" s="1015"/>
      <c r="Z51" s="1052"/>
      <c r="AB51" s="950"/>
      <c r="AE51" s="1010"/>
      <c r="AF51" s="1010"/>
    </row>
    <row r="52" spans="1:32" ht="12" customHeight="1">
      <c r="A52" s="1030" t="s">
        <v>644</v>
      </c>
      <c r="B52" s="1027">
        <v>18</v>
      </c>
      <c r="C52" s="1031">
        <f>'Planilla final'!Q38</f>
        <v>2731687</v>
      </c>
      <c r="D52" s="1003">
        <f>+C52-U15</f>
        <v>1077682</v>
      </c>
      <c r="E52" s="995"/>
      <c r="F52" s="952"/>
      <c r="G52" s="997"/>
      <c r="H52" s="997"/>
      <c r="I52" s="998"/>
      <c r="K52" s="982"/>
      <c r="M52" s="982"/>
      <c r="N52" s="982"/>
      <c r="O52" s="1069"/>
      <c r="P52" s="1069"/>
      <c r="Q52" s="1017">
        <f>+D52+O52</f>
        <v>1077682</v>
      </c>
      <c r="R52" s="1070"/>
      <c r="S52" s="1069"/>
      <c r="T52" s="1027"/>
      <c r="U52" s="952"/>
      <c r="V52" s="1028"/>
      <c r="W52" s="1028"/>
      <c r="X52" s="999"/>
      <c r="Y52" s="1015"/>
      <c r="Z52" s="1052"/>
      <c r="AB52" s="950"/>
      <c r="AE52" s="1010"/>
      <c r="AF52" s="1010"/>
    </row>
    <row r="53" spans="1:32" ht="12" customHeight="1">
      <c r="A53" s="1030" t="s">
        <v>78</v>
      </c>
      <c r="B53" s="1027">
        <v>19</v>
      </c>
      <c r="C53" s="1031">
        <f>'Planilla final'!Q39</f>
        <v>6657895</v>
      </c>
      <c r="D53" s="1003">
        <f>+C53-U16</f>
        <v>6657895</v>
      </c>
      <c r="E53" s="995"/>
      <c r="F53" s="952"/>
      <c r="G53" s="997"/>
      <c r="H53" s="997"/>
      <c r="I53" s="998"/>
      <c r="K53" s="982"/>
      <c r="M53" s="982"/>
      <c r="N53" s="982"/>
      <c r="O53" s="1069"/>
      <c r="P53" s="1069"/>
      <c r="Q53" s="1017">
        <f>+D53+O53</f>
        <v>6657895</v>
      </c>
      <c r="R53" s="1070"/>
      <c r="S53" s="1069"/>
      <c r="T53" s="1027"/>
      <c r="U53" s="952"/>
      <c r="V53" s="1028"/>
      <c r="W53" s="1028"/>
      <c r="X53" s="999"/>
      <c r="Y53" s="1015"/>
      <c r="Z53" s="1052"/>
      <c r="AB53" s="950"/>
      <c r="AE53" s="1010"/>
      <c r="AF53" s="1010"/>
    </row>
    <row r="54" spans="1:32" ht="12" customHeight="1">
      <c r="A54" s="887"/>
      <c r="B54" s="887"/>
      <c r="C54" s="887"/>
      <c r="D54" s="887"/>
      <c r="E54" s="995"/>
      <c r="F54" s="952"/>
      <c r="G54" s="997"/>
      <c r="H54" s="997"/>
      <c r="I54" s="998"/>
      <c r="K54" s="982"/>
      <c r="M54" s="982"/>
      <c r="N54" s="982"/>
      <c r="O54" s="1069"/>
      <c r="P54" s="1069"/>
      <c r="Q54" s="1017"/>
      <c r="R54" s="1070"/>
      <c r="S54" s="1069"/>
      <c r="T54" s="1027"/>
      <c r="U54" s="952"/>
      <c r="V54" s="1028"/>
      <c r="W54" s="1028"/>
      <c r="X54" s="999"/>
      <c r="Y54" s="1015"/>
      <c r="Z54" s="1052"/>
      <c r="AB54" s="950"/>
      <c r="AE54" s="1010"/>
      <c r="AF54" s="1010"/>
    </row>
    <row r="55" spans="1:32" ht="12" customHeight="1">
      <c r="A55" s="1001" t="s">
        <v>871</v>
      </c>
      <c r="B55" s="970">
        <v>28</v>
      </c>
      <c r="C55" s="1002">
        <f>'Planilla final'!Q43</f>
        <v>7329962</v>
      </c>
      <c r="D55" s="1003">
        <f>+C55-U43</f>
        <v>-913518</v>
      </c>
      <c r="E55" s="995"/>
      <c r="F55" s="952"/>
      <c r="G55" s="997"/>
      <c r="H55" s="997"/>
      <c r="I55" s="998"/>
      <c r="K55" s="982"/>
      <c r="M55" s="982"/>
      <c r="N55" s="982"/>
      <c r="O55" s="1069">
        <v>-886890</v>
      </c>
      <c r="P55" s="1069"/>
      <c r="Q55" s="1017">
        <f>+D55+O55</f>
        <v>-1800408</v>
      </c>
      <c r="R55" s="1070"/>
      <c r="S55" s="1069"/>
      <c r="T55" s="1027"/>
      <c r="U55" s="952"/>
      <c r="V55" s="1028"/>
      <c r="W55" s="1028"/>
      <c r="X55" s="999"/>
      <c r="Y55" s="1015"/>
      <c r="Z55" s="1052"/>
      <c r="AB55" s="950"/>
      <c r="AE55" s="1010"/>
      <c r="AF55" s="1010"/>
    </row>
    <row r="56" spans="1:32" ht="12" customHeight="1">
      <c r="A56" s="1001" t="s">
        <v>892</v>
      </c>
      <c r="B56" s="970">
        <v>26</v>
      </c>
      <c r="C56" s="1002">
        <f>+'Planilla final'!Q45</f>
        <v>42626983</v>
      </c>
      <c r="D56" s="1003">
        <f>+C56-U44</f>
        <v>8770737</v>
      </c>
      <c r="E56" s="995"/>
      <c r="F56" s="952"/>
      <c r="G56" s="997"/>
      <c r="H56" s="997"/>
      <c r="I56" s="998"/>
      <c r="K56" s="982"/>
      <c r="M56" s="982"/>
      <c r="N56" s="982"/>
      <c r="O56" s="1069">
        <v>-8770737</v>
      </c>
      <c r="P56" s="1069"/>
      <c r="Q56" s="1017">
        <f>+D56+O56</f>
        <v>0</v>
      </c>
      <c r="R56" s="1070"/>
      <c r="S56" s="1069"/>
      <c r="T56" s="1027"/>
      <c r="U56" s="952"/>
      <c r="V56" s="1028"/>
      <c r="W56" s="1028"/>
      <c r="X56" s="999"/>
      <c r="Y56" s="1015"/>
      <c r="Z56" s="1052"/>
      <c r="AB56" s="950"/>
      <c r="AE56" s="1010"/>
      <c r="AF56" s="1010"/>
    </row>
    <row r="57" spans="1:32" ht="12" customHeight="1">
      <c r="A57" s="1001" t="s">
        <v>648</v>
      </c>
      <c r="B57" s="970">
        <v>17</v>
      </c>
      <c r="C57" s="1002">
        <f>'Planilla final'!Q44</f>
        <v>2542451</v>
      </c>
      <c r="D57" s="1003">
        <f>+C57-U45</f>
        <v>-261708</v>
      </c>
      <c r="E57" s="995"/>
      <c r="F57" s="952"/>
      <c r="G57" s="997"/>
      <c r="H57" s="997"/>
      <c r="I57" s="998"/>
      <c r="K57" s="982"/>
      <c r="M57" s="982"/>
      <c r="N57" s="982"/>
      <c r="O57" s="1069"/>
      <c r="P57" s="1069"/>
      <c r="Q57" s="1017">
        <f>+D57+O57</f>
        <v>-261708</v>
      </c>
      <c r="R57" s="1070"/>
      <c r="S57" s="1069"/>
      <c r="T57" s="1027"/>
      <c r="U57" s="952"/>
      <c r="V57" s="1028"/>
      <c r="W57" s="1028"/>
      <c r="X57" s="999"/>
      <c r="Y57" s="1015"/>
      <c r="Z57" s="1052"/>
      <c r="AB57" s="950"/>
      <c r="AE57" s="1010"/>
      <c r="AF57" s="1010"/>
    </row>
    <row r="58" spans="1:32" ht="12" customHeight="1">
      <c r="A58" s="1001" t="s">
        <v>895</v>
      </c>
      <c r="B58" s="970">
        <v>29</v>
      </c>
      <c r="C58" s="1002">
        <f>'Planilla final'!Q46</f>
        <v>2580000</v>
      </c>
      <c r="D58" s="1003">
        <f>+C58-U46</f>
        <v>0</v>
      </c>
      <c r="E58" s="995"/>
      <c r="F58" s="952"/>
      <c r="G58" s="997"/>
      <c r="H58" s="997"/>
      <c r="I58" s="998"/>
      <c r="K58" s="982"/>
      <c r="M58" s="982"/>
      <c r="N58" s="982"/>
      <c r="O58" s="1069"/>
      <c r="P58" s="1069"/>
      <c r="Q58" s="1017">
        <f>+D58+O58</f>
        <v>0</v>
      </c>
      <c r="R58" s="1070"/>
      <c r="S58" s="1069"/>
      <c r="T58" s="1027"/>
      <c r="U58" s="952"/>
      <c r="V58" s="1028"/>
      <c r="W58" s="1028"/>
      <c r="X58" s="999"/>
      <c r="Y58" s="1015"/>
      <c r="Z58" s="1052"/>
      <c r="AB58" s="950"/>
      <c r="AE58" s="1010"/>
      <c r="AF58" s="1010"/>
    </row>
    <row r="59" spans="1:32" ht="12" customHeight="1">
      <c r="A59" s="1068" t="s">
        <v>907</v>
      </c>
      <c r="B59" s="995"/>
      <c r="C59" s="996"/>
      <c r="D59" s="1067">
        <f>SUM(D37:E58)</f>
        <v>26843223.400000002</v>
      </c>
      <c r="E59" s="995"/>
      <c r="F59" s="952"/>
      <c r="G59" s="997"/>
      <c r="H59" s="997"/>
      <c r="I59" s="998"/>
      <c r="K59" s="982"/>
      <c r="M59" s="982"/>
      <c r="N59" s="982"/>
      <c r="O59" s="1069"/>
      <c r="P59" s="1069"/>
      <c r="Q59" s="1067">
        <f>SUM(Q37:R58)</f>
        <v>-6064737.5999999978</v>
      </c>
      <c r="R59" s="1070"/>
      <c r="S59" s="1069"/>
      <c r="T59" s="1027"/>
      <c r="U59" s="952"/>
      <c r="V59" s="1028"/>
      <c r="W59" s="1028"/>
      <c r="X59" s="999"/>
      <c r="Y59" s="1015"/>
      <c r="Z59" s="1052"/>
      <c r="AB59" s="950"/>
      <c r="AE59" s="1010"/>
      <c r="AF59" s="1010"/>
    </row>
    <row r="60" spans="1:32" ht="12" customHeight="1">
      <c r="A60" s="994"/>
      <c r="B60" s="995"/>
      <c r="C60" s="996"/>
      <c r="D60" s="988"/>
      <c r="E60" s="995"/>
      <c r="F60" s="952"/>
      <c r="G60" s="997"/>
      <c r="H60" s="997"/>
      <c r="I60" s="998"/>
      <c r="K60" s="982"/>
      <c r="M60" s="982"/>
      <c r="N60" s="982"/>
      <c r="O60" s="1026"/>
      <c r="P60" s="1026"/>
      <c r="Q60" s="1017">
        <f>+D60+O60</f>
        <v>0</v>
      </c>
      <c r="R60" s="952"/>
      <c r="S60" s="1042"/>
      <c r="T60" s="1027"/>
      <c r="U60" s="952"/>
      <c r="V60" s="1028"/>
      <c r="W60" s="1028"/>
      <c r="X60" s="999"/>
      <c r="Y60" s="1015"/>
      <c r="Z60" s="1052"/>
      <c r="AB60" s="950"/>
      <c r="AE60" s="1010"/>
      <c r="AF60" s="1010"/>
    </row>
    <row r="61" spans="1:32" ht="12" customHeight="1">
      <c r="A61" s="994" t="s">
        <v>632</v>
      </c>
      <c r="B61" s="995"/>
      <c r="C61" s="996"/>
      <c r="D61" s="988">
        <f>+D59+D35</f>
        <v>14050153.489999995</v>
      </c>
      <c r="E61" s="995"/>
      <c r="F61" s="952">
        <v>5885974</v>
      </c>
      <c r="G61" s="997">
        <v>-5247728</v>
      </c>
      <c r="H61" s="997"/>
      <c r="I61" s="998">
        <v>638246</v>
      </c>
      <c r="J61" s="997">
        <v>1104316</v>
      </c>
      <c r="K61" s="999">
        <v>1742562</v>
      </c>
      <c r="L61" s="997">
        <v>-9053595</v>
      </c>
      <c r="M61" s="1000">
        <v>10796157</v>
      </c>
      <c r="N61" s="970"/>
      <c r="O61" s="1071">
        <f>SUM(O5:O60)</f>
        <v>0</v>
      </c>
      <c r="P61" s="1071">
        <f>SUM(P5:P60)</f>
        <v>-4</v>
      </c>
      <c r="Q61" s="1017">
        <f>+Q35+Q59</f>
        <v>14050149.489999991</v>
      </c>
      <c r="R61" s="887"/>
      <c r="S61" s="887"/>
      <c r="T61" s="970"/>
      <c r="U61" s="952">
        <v>74044</v>
      </c>
      <c r="V61" s="997">
        <v>-3719967</v>
      </c>
      <c r="W61" s="997"/>
      <c r="X61" s="1004">
        <v>3794011</v>
      </c>
      <c r="Y61" s="1005">
        <v>3533609</v>
      </c>
      <c r="Z61" s="1006">
        <v>260402</v>
      </c>
      <c r="AA61" s="997">
        <v>61512</v>
      </c>
      <c r="AB61" s="1007">
        <v>198890</v>
      </c>
      <c r="AC61" s="1008"/>
      <c r="AD61" s="1009"/>
      <c r="AE61" s="1010"/>
      <c r="AF61" s="1010"/>
    </row>
    <row r="62" spans="1:32" ht="12" customHeight="1">
      <c r="A62" s="994"/>
      <c r="B62" s="995"/>
      <c r="C62" s="996"/>
      <c r="D62" s="988"/>
      <c r="E62" s="995"/>
      <c r="F62" s="952"/>
      <c r="G62" s="997"/>
      <c r="H62" s="997"/>
      <c r="I62" s="998"/>
      <c r="K62" s="982"/>
      <c r="M62" s="982"/>
      <c r="N62" s="982"/>
      <c r="O62" s="1026"/>
      <c r="P62" s="1026"/>
      <c r="Q62" s="1027"/>
      <c r="R62" s="952"/>
      <c r="S62" s="1042"/>
      <c r="T62" s="1027"/>
      <c r="U62" s="952"/>
      <c r="V62" s="1028"/>
      <c r="W62" s="1028"/>
      <c r="X62" s="999"/>
      <c r="Y62" s="1015"/>
      <c r="Z62" s="1052"/>
      <c r="AB62" s="950"/>
      <c r="AE62" s="1010"/>
      <c r="AF62" s="1010"/>
    </row>
    <row r="63" spans="1:32" ht="12" customHeight="1">
      <c r="A63" s="994"/>
      <c r="B63" s="995"/>
      <c r="C63" s="996"/>
      <c r="D63" s="988"/>
      <c r="E63" s="995"/>
      <c r="F63" s="952"/>
      <c r="G63" s="997"/>
      <c r="H63" s="997"/>
      <c r="I63" s="998"/>
      <c r="K63" s="982"/>
      <c r="M63" s="982"/>
      <c r="N63" s="982"/>
      <c r="O63" s="1026"/>
      <c r="P63" s="1026"/>
      <c r="Q63" s="1027"/>
      <c r="R63" s="952"/>
      <c r="S63" s="1042"/>
      <c r="T63" s="1027"/>
      <c r="U63" s="952"/>
      <c r="V63" s="1028"/>
      <c r="W63" s="1028"/>
      <c r="X63" s="999"/>
      <c r="Y63" s="1015"/>
      <c r="Z63" s="1052"/>
      <c r="AB63" s="950"/>
      <c r="AE63" s="1010"/>
      <c r="AF63" s="1010"/>
    </row>
    <row r="64" spans="1:32" ht="12" customHeight="1">
      <c r="A64" s="994"/>
      <c r="B64" s="995"/>
      <c r="C64" s="996"/>
      <c r="D64" s="988"/>
      <c r="E64" s="995"/>
      <c r="F64" s="952"/>
      <c r="G64" s="997"/>
      <c r="H64" s="997"/>
      <c r="I64" s="998"/>
      <c r="K64" s="982"/>
      <c r="M64" s="982"/>
      <c r="N64" s="982"/>
      <c r="O64" s="1026"/>
      <c r="P64" s="1026"/>
      <c r="Q64" s="1027"/>
      <c r="R64" s="952"/>
      <c r="S64" s="1042"/>
      <c r="T64" s="1027"/>
      <c r="U64" s="952"/>
      <c r="V64" s="1028"/>
      <c r="W64" s="1028"/>
      <c r="X64" s="999"/>
      <c r="Y64" s="1015"/>
      <c r="Z64" s="1052"/>
      <c r="AB64" s="950"/>
      <c r="AE64" s="1010"/>
      <c r="AF64" s="1010"/>
    </row>
    <row r="65" spans="1:32" ht="12" customHeight="1">
      <c r="A65" s="994"/>
      <c r="B65" s="995"/>
      <c r="C65" s="996"/>
      <c r="D65" s="988"/>
      <c r="E65" s="995"/>
      <c r="F65" s="952"/>
      <c r="G65" s="997"/>
      <c r="H65" s="997"/>
      <c r="I65" s="998"/>
      <c r="K65" s="982"/>
      <c r="M65" s="982"/>
      <c r="N65" s="982"/>
      <c r="O65" s="1026"/>
      <c r="P65" s="1026"/>
      <c r="Q65" s="1027"/>
      <c r="R65" s="952"/>
      <c r="S65" s="1042"/>
      <c r="T65" s="1027"/>
      <c r="U65" s="952"/>
      <c r="V65" s="1028"/>
      <c r="W65" s="1028"/>
      <c r="X65" s="999"/>
      <c r="Y65" s="1015"/>
      <c r="Z65" s="1052"/>
      <c r="AB65" s="950"/>
      <c r="AE65" s="1010"/>
      <c r="AF65" s="1010"/>
    </row>
    <row r="66" spans="1:32" ht="12" customHeight="1">
      <c r="A66" s="994"/>
      <c r="B66" s="995"/>
      <c r="C66" s="996"/>
      <c r="D66" s="988"/>
      <c r="E66" s="995"/>
      <c r="F66" s="952"/>
      <c r="G66" s="997"/>
      <c r="H66" s="997"/>
      <c r="I66" s="998"/>
      <c r="K66" s="982"/>
      <c r="M66" s="982"/>
      <c r="N66" s="982"/>
      <c r="O66" s="1026"/>
      <c r="P66" s="1026"/>
      <c r="Q66" s="1027"/>
      <c r="R66" s="952"/>
      <c r="S66" s="1042"/>
      <c r="T66" s="1027"/>
      <c r="U66" s="952"/>
      <c r="V66" s="1028"/>
      <c r="W66" s="1028"/>
      <c r="X66" s="999"/>
      <c r="Y66" s="1015"/>
      <c r="Z66" s="1052"/>
      <c r="AB66" s="950"/>
      <c r="AE66" s="1010"/>
      <c r="AF66" s="1010"/>
    </row>
    <row r="67" spans="1:32" ht="12" customHeight="1">
      <c r="A67" s="994"/>
      <c r="B67" s="995"/>
      <c r="C67" s="996"/>
      <c r="D67" s="988"/>
      <c r="E67" s="995"/>
      <c r="F67" s="952"/>
      <c r="G67" s="997"/>
      <c r="H67" s="997"/>
      <c r="I67" s="998"/>
      <c r="K67" s="982"/>
      <c r="M67" s="982"/>
      <c r="N67" s="982"/>
      <c r="O67" s="1026"/>
      <c r="P67" s="1026"/>
      <c r="Q67" s="1027"/>
      <c r="R67" s="952"/>
      <c r="S67" s="1042"/>
      <c r="T67" s="1027"/>
      <c r="U67" s="952"/>
      <c r="V67" s="1028"/>
      <c r="W67" s="1028"/>
      <c r="X67" s="999"/>
      <c r="Y67" s="1015"/>
      <c r="Z67" s="1052"/>
      <c r="AB67" s="950"/>
      <c r="AE67" s="1010"/>
      <c r="AF67" s="1010"/>
    </row>
    <row r="68" spans="1:32" ht="12" customHeight="1">
      <c r="A68" s="994"/>
      <c r="B68" s="995"/>
      <c r="C68" s="996"/>
      <c r="D68" s="988"/>
      <c r="E68" s="995"/>
      <c r="F68" s="952"/>
      <c r="G68" s="997"/>
      <c r="H68" s="997"/>
      <c r="I68" s="998"/>
      <c r="K68" s="982"/>
      <c r="M68" s="982"/>
      <c r="N68" s="982"/>
      <c r="O68" s="1026"/>
      <c r="P68" s="1026"/>
      <c r="Q68" s="1027"/>
      <c r="R68" s="952"/>
      <c r="S68" s="1042"/>
      <c r="T68" s="1027"/>
      <c r="U68" s="952"/>
      <c r="V68" s="1028"/>
      <c r="W68" s="1028"/>
      <c r="X68" s="999"/>
      <c r="Y68" s="1015"/>
      <c r="Z68" s="1052"/>
      <c r="AB68" s="950"/>
      <c r="AE68" s="1010"/>
      <c r="AF68" s="1010"/>
    </row>
    <row r="69" spans="1:32" ht="12" customHeight="1">
      <c r="A69" s="994"/>
      <c r="B69" s="995"/>
      <c r="C69" s="996"/>
      <c r="D69" s="988"/>
      <c r="E69" s="995"/>
      <c r="F69" s="952"/>
      <c r="G69" s="997"/>
      <c r="H69" s="997"/>
      <c r="I69" s="998"/>
      <c r="K69" s="982"/>
      <c r="M69" s="982"/>
      <c r="N69" s="982"/>
      <c r="O69" s="1026"/>
      <c r="P69" s="1026"/>
      <c r="Q69" s="1027"/>
      <c r="R69" s="952"/>
      <c r="S69" s="1042"/>
      <c r="T69" s="1027"/>
      <c r="U69" s="952"/>
      <c r="V69" s="1028"/>
      <c r="W69" s="1028"/>
      <c r="X69" s="999"/>
      <c r="Y69" s="1015"/>
      <c r="Z69" s="1052"/>
      <c r="AB69" s="950"/>
      <c r="AE69" s="1010"/>
      <c r="AF69" s="1010"/>
    </row>
    <row r="70" spans="1:32" ht="12" customHeight="1">
      <c r="A70" s="994"/>
      <c r="B70" s="995"/>
      <c r="C70" s="996"/>
      <c r="D70" s="988"/>
      <c r="E70" s="995"/>
      <c r="F70" s="952"/>
      <c r="G70" s="997"/>
      <c r="H70" s="997"/>
      <c r="I70" s="998"/>
      <c r="K70" s="982"/>
      <c r="M70" s="982"/>
      <c r="N70" s="982"/>
      <c r="O70" s="1026"/>
      <c r="P70" s="1026"/>
      <c r="Q70" s="1027"/>
      <c r="R70" s="952"/>
      <c r="S70" s="1042"/>
      <c r="T70" s="1027"/>
      <c r="U70" s="952"/>
      <c r="V70" s="1028"/>
      <c r="W70" s="1028"/>
      <c r="X70" s="999"/>
      <c r="Y70" s="1015"/>
      <c r="Z70" s="1052"/>
      <c r="AB70" s="950"/>
      <c r="AE70" s="1010"/>
      <c r="AF70" s="1010"/>
    </row>
    <row r="71" spans="1:32" ht="12" customHeight="1">
      <c r="A71" s="994"/>
      <c r="B71" s="995"/>
      <c r="C71" s="996"/>
      <c r="D71" s="988"/>
      <c r="E71" s="995"/>
      <c r="F71" s="952"/>
      <c r="G71" s="997"/>
      <c r="H71" s="997"/>
      <c r="I71" s="998"/>
      <c r="K71" s="982"/>
      <c r="M71" s="982"/>
      <c r="N71" s="982"/>
      <c r="O71" s="1026"/>
      <c r="P71" s="1026"/>
      <c r="Q71" s="1027"/>
      <c r="R71" s="952"/>
      <c r="S71" s="1042"/>
      <c r="T71" s="1027"/>
      <c r="U71" s="952"/>
      <c r="V71" s="1028"/>
      <c r="W71" s="1028"/>
      <c r="X71" s="999"/>
      <c r="Y71" s="1015"/>
      <c r="Z71" s="1052"/>
      <c r="AB71" s="950"/>
      <c r="AE71" s="1010"/>
      <c r="AF71" s="1010"/>
    </row>
    <row r="72" spans="1:32" ht="12" customHeight="1">
      <c r="A72" s="994"/>
      <c r="B72" s="995"/>
      <c r="C72" s="996"/>
      <c r="D72" s="988"/>
      <c r="E72" s="995"/>
      <c r="F72" s="952"/>
      <c r="G72" s="997"/>
      <c r="H72" s="997"/>
      <c r="I72" s="998"/>
      <c r="K72" s="982"/>
      <c r="M72" s="982"/>
      <c r="N72" s="982"/>
      <c r="O72" s="1026"/>
      <c r="P72" s="1026"/>
      <c r="Q72" s="1027"/>
      <c r="R72" s="952"/>
      <c r="S72" s="1042"/>
      <c r="T72" s="1027"/>
      <c r="U72" s="952"/>
      <c r="V72" s="1028"/>
      <c r="W72" s="1028"/>
      <c r="X72" s="999"/>
      <c r="Y72" s="1015"/>
      <c r="Z72" s="1052"/>
      <c r="AB72" s="950"/>
      <c r="AE72" s="1010"/>
      <c r="AF72" s="1010"/>
    </row>
    <row r="73" spans="1:32" ht="12" customHeight="1">
      <c r="A73" s="994"/>
      <c r="B73" s="995"/>
      <c r="C73" s="996"/>
      <c r="D73" s="988"/>
      <c r="E73" s="995"/>
      <c r="F73" s="952"/>
      <c r="G73" s="997"/>
      <c r="H73" s="997"/>
      <c r="I73" s="998"/>
      <c r="K73" s="982"/>
      <c r="M73" s="982"/>
      <c r="N73" s="982"/>
      <c r="O73" s="1026"/>
      <c r="P73" s="1026"/>
      <c r="Q73" s="1027"/>
      <c r="R73" s="952"/>
      <c r="S73" s="1042"/>
      <c r="T73" s="1027"/>
      <c r="U73" s="952"/>
      <c r="V73" s="1028"/>
      <c r="W73" s="1028"/>
      <c r="X73" s="999"/>
      <c r="Y73" s="1015"/>
      <c r="Z73" s="1052"/>
      <c r="AB73" s="950"/>
      <c r="AE73" s="1010"/>
      <c r="AF73" s="1010"/>
    </row>
    <row r="74" spans="1:32" ht="12" customHeight="1">
      <c r="A74" s="994"/>
      <c r="B74" s="995"/>
      <c r="C74" s="996"/>
      <c r="D74" s="988"/>
      <c r="E74" s="995"/>
      <c r="F74" s="952"/>
      <c r="G74" s="997"/>
      <c r="H74" s="997"/>
      <c r="I74" s="998"/>
      <c r="K74" s="982"/>
      <c r="M74" s="982"/>
      <c r="N74" s="982"/>
      <c r="O74" s="1026"/>
      <c r="P74" s="1026"/>
      <c r="Q74" s="1027"/>
      <c r="R74" s="952"/>
      <c r="S74" s="1042"/>
      <c r="T74" s="1027"/>
      <c r="U74" s="952"/>
      <c r="V74" s="1028"/>
      <c r="W74" s="1028"/>
      <c r="X74" s="999"/>
      <c r="Y74" s="1015"/>
      <c r="Z74" s="1052"/>
      <c r="AB74" s="950"/>
      <c r="AE74" s="1010"/>
      <c r="AF74" s="1010"/>
    </row>
    <row r="75" spans="1:32" ht="12" customHeight="1">
      <c r="A75" s="994"/>
      <c r="B75" s="995"/>
      <c r="C75" s="996"/>
      <c r="D75" s="988"/>
      <c r="E75" s="995"/>
      <c r="F75" s="952"/>
      <c r="G75" s="997"/>
      <c r="H75" s="997"/>
      <c r="I75" s="998"/>
      <c r="K75" s="982"/>
      <c r="M75" s="982"/>
      <c r="N75" s="982"/>
      <c r="O75" s="1026"/>
      <c r="P75" s="1026"/>
      <c r="Q75" s="1027"/>
      <c r="R75" s="952"/>
      <c r="S75" s="1042"/>
      <c r="T75" s="1027"/>
      <c r="U75" s="952"/>
      <c r="V75" s="1028"/>
      <c r="W75" s="1028"/>
      <c r="X75" s="999"/>
      <c r="Y75" s="1015"/>
      <c r="Z75" s="1052"/>
      <c r="AB75" s="950"/>
      <c r="AE75" s="1010"/>
      <c r="AF75" s="1010"/>
    </row>
    <row r="76" spans="1:32" ht="12" customHeight="1">
      <c r="A76" s="994"/>
      <c r="B76" s="995"/>
      <c r="C76" s="996"/>
      <c r="D76" s="988"/>
      <c r="E76" s="995"/>
      <c r="F76" s="952"/>
      <c r="G76" s="997"/>
      <c r="H76" s="997"/>
      <c r="I76" s="998"/>
      <c r="K76" s="982"/>
      <c r="M76" s="982"/>
      <c r="N76" s="982"/>
      <c r="O76" s="1026"/>
      <c r="P76" s="1026"/>
      <c r="Q76" s="1027"/>
      <c r="R76" s="952"/>
      <c r="S76" s="1042"/>
      <c r="T76" s="1027"/>
      <c r="U76" s="952"/>
      <c r="V76" s="1028"/>
      <c r="W76" s="1028"/>
      <c r="X76" s="999"/>
      <c r="Y76" s="1015"/>
      <c r="Z76" s="1052"/>
      <c r="AB76" s="950"/>
      <c r="AE76" s="1010"/>
      <c r="AF76" s="1010"/>
    </row>
    <row r="77" spans="1:32" ht="12" customHeight="1">
      <c r="A77" s="994"/>
      <c r="B77" s="995"/>
      <c r="C77" s="996"/>
      <c r="D77" s="988"/>
      <c r="E77" s="995"/>
      <c r="F77" s="952"/>
      <c r="G77" s="997"/>
      <c r="H77" s="997"/>
      <c r="I77" s="998"/>
      <c r="K77" s="982"/>
      <c r="M77" s="982"/>
      <c r="N77" s="982"/>
      <c r="O77" s="1026"/>
      <c r="P77" s="1026"/>
      <c r="Q77" s="1027"/>
      <c r="R77" s="952"/>
      <c r="S77" s="1042"/>
      <c r="T77" s="1027"/>
      <c r="U77" s="952"/>
      <c r="V77" s="1028"/>
      <c r="W77" s="1028"/>
      <c r="X77" s="999"/>
      <c r="Y77" s="1015"/>
      <c r="Z77" s="1052"/>
      <c r="AB77" s="950"/>
      <c r="AE77" s="1010"/>
      <c r="AF77" s="1010"/>
    </row>
    <row r="78" spans="1:32" ht="12" customHeight="1">
      <c r="A78" s="994"/>
      <c r="B78" s="995"/>
      <c r="C78" s="996"/>
      <c r="D78" s="988"/>
      <c r="E78" s="995"/>
      <c r="F78" s="952"/>
      <c r="G78" s="997"/>
      <c r="H78" s="997"/>
      <c r="I78" s="998"/>
      <c r="K78" s="982"/>
      <c r="M78" s="982"/>
      <c r="N78" s="982"/>
      <c r="O78" s="1026"/>
      <c r="P78" s="1026"/>
      <c r="Q78" s="1027"/>
      <c r="R78" s="952"/>
      <c r="S78" s="1042"/>
      <c r="T78" s="1027"/>
      <c r="U78" s="952"/>
      <c r="V78" s="1028"/>
      <c r="W78" s="1028"/>
      <c r="X78" s="999"/>
      <c r="Y78" s="1015"/>
      <c r="Z78" s="1052"/>
      <c r="AB78" s="950"/>
      <c r="AE78" s="1010"/>
      <c r="AF78" s="1010"/>
    </row>
    <row r="79" spans="1:32" ht="12" customHeight="1">
      <c r="A79" s="994"/>
      <c r="B79" s="995"/>
      <c r="C79" s="996"/>
      <c r="D79" s="988"/>
      <c r="E79" s="995"/>
      <c r="F79" s="952"/>
      <c r="G79" s="997"/>
      <c r="H79" s="997"/>
      <c r="I79" s="998"/>
      <c r="K79" s="982"/>
      <c r="M79" s="982"/>
      <c r="N79" s="982"/>
      <c r="O79" s="1026"/>
      <c r="P79" s="1026"/>
      <c r="Q79" s="1027"/>
      <c r="R79" s="952"/>
      <c r="S79" s="1042"/>
      <c r="T79" s="1027"/>
      <c r="U79" s="952"/>
      <c r="V79" s="1028"/>
      <c r="W79" s="1028"/>
      <c r="X79" s="999"/>
      <c r="Y79" s="1015"/>
      <c r="Z79" s="1052"/>
      <c r="AB79" s="950"/>
      <c r="AE79" s="1010"/>
      <c r="AF79" s="1010"/>
    </row>
    <row r="80" spans="1:32" ht="12" customHeight="1">
      <c r="A80" s="994"/>
      <c r="B80" s="995"/>
      <c r="C80" s="996"/>
      <c r="D80" s="988"/>
      <c r="E80" s="995"/>
      <c r="F80" s="952"/>
      <c r="G80" s="997"/>
      <c r="H80" s="997"/>
      <c r="I80" s="998"/>
      <c r="K80" s="982"/>
      <c r="M80" s="982"/>
      <c r="N80" s="982"/>
      <c r="O80" s="1026"/>
      <c r="P80" s="1026"/>
      <c r="Q80" s="1027"/>
      <c r="R80" s="952"/>
      <c r="S80" s="1042"/>
      <c r="T80" s="1027"/>
      <c r="U80" s="952"/>
      <c r="V80" s="1028"/>
      <c r="W80" s="1028"/>
      <c r="X80" s="999"/>
      <c r="Y80" s="1015"/>
      <c r="Z80" s="1052"/>
      <c r="AB80" s="950"/>
      <c r="AE80" s="1010"/>
      <c r="AF80" s="1010"/>
    </row>
    <row r="81" spans="1:32" ht="12" customHeight="1">
      <c r="B81" s="1016"/>
      <c r="C81" s="1016"/>
      <c r="D81" s="1046"/>
      <c r="E81" s="1016"/>
      <c r="F81" s="952"/>
      <c r="G81" s="982"/>
      <c r="H81" s="982"/>
      <c r="I81" s="982"/>
      <c r="K81" s="982"/>
      <c r="M81" s="982"/>
      <c r="N81" s="970"/>
      <c r="O81" s="1026"/>
      <c r="P81" s="1026"/>
      <c r="Q81" s="1027"/>
      <c r="R81" s="952"/>
      <c r="S81" s="1042"/>
      <c r="T81" s="1027"/>
      <c r="U81" s="952"/>
      <c r="V81" s="1028"/>
      <c r="W81" s="1028"/>
      <c r="X81" s="1049"/>
      <c r="Y81" s="1015"/>
      <c r="Z81" s="1050"/>
      <c r="AB81" s="1051"/>
      <c r="AE81" s="1010"/>
      <c r="AF81" s="1010"/>
    </row>
    <row r="82" spans="1:32" ht="12" customHeight="1">
      <c r="B82" s="1016"/>
      <c r="C82" s="1016"/>
      <c r="D82" s="1046"/>
      <c r="E82" s="1016"/>
      <c r="F82" s="952"/>
      <c r="G82" s="982"/>
      <c r="H82" s="982"/>
      <c r="I82" s="982"/>
      <c r="K82" s="982"/>
      <c r="M82" s="982"/>
      <c r="N82" s="1053"/>
      <c r="O82" s="982"/>
      <c r="P82" s="982"/>
      <c r="Q82" s="1013"/>
      <c r="R82" s="982"/>
      <c r="S82" s="1054"/>
      <c r="T82" s="1013"/>
      <c r="U82" s="982"/>
      <c r="V82" s="982"/>
      <c r="W82" s="982"/>
      <c r="X82" s="982"/>
      <c r="Y82" s="1015"/>
      <c r="Z82" s="810"/>
      <c r="AE82" s="1010"/>
      <c r="AF82" s="1010"/>
    </row>
    <row r="83" spans="1:32" ht="12" customHeight="1" thickBot="1">
      <c r="A83" s="967" t="s">
        <v>652</v>
      </c>
      <c r="B83" s="995"/>
      <c r="C83" s="1055" t="e">
        <f>C12+#REF!</f>
        <v>#REF!</v>
      </c>
      <c r="D83" s="1056">
        <f>SUM(D5:D82)</f>
        <v>42150460.469999984</v>
      </c>
      <c r="E83" s="995"/>
      <c r="F83" s="1055">
        <v>210898970.47</v>
      </c>
      <c r="G83" s="1035"/>
      <c r="H83" s="1035"/>
      <c r="I83" s="1055">
        <v>207851186</v>
      </c>
      <c r="J83" s="968"/>
      <c r="K83" s="1035">
        <v>207572886</v>
      </c>
      <c r="L83" s="968"/>
      <c r="M83" s="1035">
        <v>215071296</v>
      </c>
      <c r="N83" s="970"/>
      <c r="O83" s="1057" t="s">
        <v>653</v>
      </c>
      <c r="P83" s="1057"/>
      <c r="Q83" s="1057"/>
      <c r="R83" s="1055" t="e">
        <f>#REF!+C33</f>
        <v>#REF!</v>
      </c>
      <c r="S83" s="1056">
        <f>SUM(S17:S82)</f>
        <v>28168904.36999999</v>
      </c>
      <c r="T83" s="1057"/>
      <c r="U83" s="1055">
        <v>210898970.47</v>
      </c>
      <c r="V83" s="1035"/>
      <c r="W83" s="1035"/>
      <c r="X83" s="1058">
        <v>207851186</v>
      </c>
      <c r="Y83" s="985"/>
      <c r="Z83" s="1059">
        <v>207572886</v>
      </c>
      <c r="AA83" s="968"/>
      <c r="AB83" s="1055">
        <v>215071296</v>
      </c>
      <c r="AE83" s="1010"/>
      <c r="AF83" s="1010"/>
    </row>
    <row r="84" spans="1:32" ht="5.0999999999999996" customHeight="1" thickTop="1">
      <c r="B84" s="1016"/>
      <c r="C84" s="1016"/>
      <c r="D84" s="1016"/>
      <c r="E84" s="1016"/>
      <c r="F84" s="982"/>
      <c r="G84" s="982"/>
      <c r="H84" s="982"/>
      <c r="I84" s="982"/>
      <c r="K84" s="1060"/>
      <c r="M84" s="982"/>
      <c r="N84" s="970"/>
      <c r="O84" s="1051"/>
      <c r="P84" s="1051"/>
      <c r="Q84" s="1051"/>
      <c r="R84" s="1051"/>
      <c r="S84" s="1051"/>
      <c r="T84" s="1051"/>
      <c r="U84" s="982"/>
      <c r="V84" s="1051"/>
      <c r="W84" s="1051"/>
      <c r="X84" s="1051"/>
      <c r="Y84" s="1061"/>
      <c r="Z84" s="1062"/>
      <c r="AE84" s="1051"/>
    </row>
    <row r="85" spans="1:32" ht="17.25" customHeight="1">
      <c r="A85" s="852" t="s">
        <v>654</v>
      </c>
      <c r="C85" s="887"/>
      <c r="F85" s="1012"/>
      <c r="I85" s="887"/>
      <c r="K85" s="1060"/>
      <c r="N85" s="970"/>
      <c r="O85" s="1051"/>
      <c r="P85" s="1051"/>
      <c r="Q85" s="1051"/>
      <c r="R85" s="1051"/>
      <c r="S85" s="1051"/>
      <c r="T85" s="1051"/>
      <c r="U85" s="852"/>
      <c r="AE85" s="1051"/>
    </row>
    <row r="86" spans="1:32" ht="11.85" customHeight="1">
      <c r="F86" s="1012"/>
      <c r="K86" s="1060"/>
      <c r="N86" s="970"/>
      <c r="O86" s="1051"/>
      <c r="P86" s="1051"/>
      <c r="Q86" s="1051"/>
      <c r="R86" s="1051" t="e">
        <f>C83-R83</f>
        <v>#REF!</v>
      </c>
      <c r="S86" s="1051"/>
      <c r="T86" s="1051"/>
      <c r="U86" s="1009">
        <v>0</v>
      </c>
      <c r="V86" s="1009">
        <v>0</v>
      </c>
      <c r="W86" s="1009"/>
      <c r="X86" s="1009">
        <v>0</v>
      </c>
      <c r="AE86" s="1051"/>
    </row>
    <row r="87" spans="1:32" ht="12" customHeight="1">
      <c r="F87" s="852"/>
      <c r="K87" s="1051"/>
      <c r="N87" s="970"/>
      <c r="O87" s="1051"/>
      <c r="P87" s="1051"/>
      <c r="Q87" s="1051"/>
      <c r="R87" s="1051"/>
      <c r="S87" s="1051"/>
      <c r="T87" s="1051"/>
      <c r="U87" s="852"/>
      <c r="V87" s="1051"/>
      <c r="W87" s="1051"/>
      <c r="X87" s="1051"/>
      <c r="Z87" s="1051"/>
      <c r="AB87" s="1051"/>
      <c r="AE87" s="1051"/>
    </row>
    <row r="88" spans="1:32" s="896" customFormat="1" ht="12" customHeight="1">
      <c r="A88" s="894" t="s">
        <v>655</v>
      </c>
      <c r="B88" s="894"/>
      <c r="C88" s="895"/>
      <c r="F88" s="897"/>
      <c r="G88" s="898"/>
      <c r="H88" s="899"/>
      <c r="I88" s="898"/>
      <c r="K88" s="900"/>
      <c r="L88" s="901" t="s">
        <v>860</v>
      </c>
      <c r="M88" s="901"/>
      <c r="O88" s="901" t="s">
        <v>860</v>
      </c>
      <c r="P88" s="901"/>
      <c r="Q88" s="901"/>
      <c r="R88" s="895"/>
      <c r="S88" s="898"/>
      <c r="U88" s="898"/>
      <c r="W88" s="902"/>
      <c r="Y88" s="899"/>
    </row>
    <row r="89" spans="1:32" s="896" customFormat="1" ht="12" customHeight="1">
      <c r="A89" s="903" t="s">
        <v>656</v>
      </c>
      <c r="B89" s="903"/>
      <c r="C89" s="904">
        <f>+'EFE20'!C15</f>
        <v>468128</v>
      </c>
      <c r="D89" s="905"/>
      <c r="E89" s="905"/>
      <c r="F89" s="905"/>
      <c r="G89" s="898"/>
      <c r="H89" s="899"/>
      <c r="I89" s="898"/>
      <c r="J89" s="899"/>
      <c r="K89" s="900"/>
      <c r="L89" s="903" t="s">
        <v>348</v>
      </c>
      <c r="M89" s="903"/>
      <c r="O89" s="903" t="s">
        <v>348</v>
      </c>
      <c r="P89" s="903"/>
      <c r="Q89" s="903"/>
      <c r="R89" s="904">
        <f>+R99</f>
        <v>18007368.178671967</v>
      </c>
      <c r="S89" s="898"/>
      <c r="U89" s="898"/>
      <c r="W89" s="902"/>
      <c r="Y89" s="899"/>
    </row>
    <row r="90" spans="1:32" s="896" customFormat="1" ht="12" customHeight="1">
      <c r="A90" s="906" t="s">
        <v>657</v>
      </c>
      <c r="B90" s="906"/>
      <c r="C90" s="907">
        <f>-C89+D44</f>
        <v>-476006.5299999998</v>
      </c>
      <c r="D90" s="908"/>
      <c r="E90" s="908"/>
      <c r="F90" s="908"/>
      <c r="G90" s="898"/>
      <c r="H90" s="899"/>
      <c r="I90" s="898"/>
      <c r="L90" s="909" t="s">
        <v>658</v>
      </c>
      <c r="M90" s="909"/>
      <c r="O90" s="909" t="s">
        <v>837</v>
      </c>
      <c r="P90" s="909"/>
      <c r="Q90" s="909"/>
      <c r="R90" s="904">
        <f>+'ECP20'!T76</f>
        <v>-21629181</v>
      </c>
      <c r="S90" s="947"/>
      <c r="U90" s="898"/>
      <c r="W90" s="902"/>
      <c r="Y90" s="899"/>
    </row>
    <row r="91" spans="1:32" s="896" customFormat="1" ht="12" customHeight="1">
      <c r="A91" s="911" t="s">
        <v>5</v>
      </c>
      <c r="B91" s="911"/>
      <c r="C91" s="907">
        <f>+C89+C90</f>
        <v>-7878.5299999997951</v>
      </c>
      <c r="D91" s="908"/>
      <c r="E91" s="908"/>
      <c r="F91" s="908"/>
      <c r="G91" s="898"/>
      <c r="H91" s="899"/>
      <c r="I91" s="898"/>
      <c r="K91" s="900"/>
      <c r="L91" s="909" t="s">
        <v>659</v>
      </c>
      <c r="M91" s="909"/>
      <c r="O91" s="909" t="s">
        <v>897</v>
      </c>
      <c r="P91" s="909"/>
      <c r="Q91" s="909"/>
      <c r="R91" s="904">
        <f>+'ECP20'!T74</f>
        <v>660505</v>
      </c>
      <c r="S91" s="898"/>
      <c r="U91" s="898"/>
      <c r="W91" s="902"/>
      <c r="Y91" s="899"/>
    </row>
    <row r="92" spans="1:32" s="896" customFormat="1" ht="12" customHeight="1">
      <c r="C92" s="912">
        <f>-C91+D44</f>
        <v>0</v>
      </c>
      <c r="G92" s="913"/>
      <c r="H92" s="899"/>
      <c r="I92" s="913"/>
      <c r="K92" s="900"/>
      <c r="L92" s="914" t="s">
        <v>660</v>
      </c>
      <c r="M92" s="914"/>
      <c r="O92" s="914" t="s">
        <v>898</v>
      </c>
      <c r="P92" s="914"/>
      <c r="Q92" s="914"/>
      <c r="R92" s="904">
        <f>+'ECP20'!T71</f>
        <v>1859768</v>
      </c>
      <c r="S92" s="913"/>
      <c r="T92" s="899"/>
      <c r="U92" s="913"/>
      <c r="V92" s="899"/>
      <c r="W92" s="902"/>
      <c r="Y92" s="899"/>
    </row>
    <row r="93" spans="1:32" s="896" customFormat="1" ht="12" customHeight="1">
      <c r="A93" s="894" t="s">
        <v>661</v>
      </c>
      <c r="B93" s="894"/>
      <c r="C93" s="895"/>
      <c r="G93" s="898"/>
      <c r="H93" s="899"/>
      <c r="I93" s="898"/>
      <c r="K93" s="900"/>
      <c r="L93" s="903" t="s">
        <v>747</v>
      </c>
      <c r="M93" s="903"/>
      <c r="O93" s="903" t="s">
        <v>747</v>
      </c>
      <c r="P93" s="903"/>
      <c r="Q93" s="903"/>
      <c r="R93" s="904">
        <v>0</v>
      </c>
      <c r="S93" s="898"/>
      <c r="U93" s="898"/>
      <c r="W93" s="902"/>
      <c r="Y93" s="899"/>
    </row>
    <row r="94" spans="1:32" s="896" customFormat="1" ht="12" customHeight="1">
      <c r="A94" s="903" t="s">
        <v>662</v>
      </c>
      <c r="B94" s="903"/>
      <c r="C94" s="904">
        <f>+'EFE20'!C10</f>
        <v>18186105</v>
      </c>
      <c r="D94" s="905"/>
      <c r="E94" s="905"/>
      <c r="F94" s="905"/>
      <c r="G94" s="898"/>
      <c r="H94" s="899"/>
      <c r="I94" s="898"/>
      <c r="J94" s="899"/>
      <c r="K94" s="900"/>
      <c r="L94" s="914" t="s">
        <v>663</v>
      </c>
      <c r="M94" s="914"/>
      <c r="O94" s="914" t="s">
        <v>873</v>
      </c>
      <c r="P94" s="914"/>
      <c r="Q94" s="914"/>
      <c r="R94" s="904">
        <f>+'ECP20'!T78+'ECP20'!T80+'ECP20'!T82-4</f>
        <v>-1143408</v>
      </c>
      <c r="S94" s="898"/>
      <c r="U94" s="898"/>
      <c r="W94" s="902"/>
      <c r="Y94" s="899"/>
    </row>
    <row r="95" spans="1:32" s="896" customFormat="1" ht="12" customHeight="1">
      <c r="A95" s="903" t="s">
        <v>899</v>
      </c>
      <c r="B95" s="903"/>
      <c r="C95" s="904">
        <v>-1766850</v>
      </c>
      <c r="D95" s="905"/>
      <c r="E95" s="905"/>
      <c r="F95" s="905"/>
      <c r="G95" s="898"/>
      <c r="H95" s="899"/>
      <c r="I95" s="898"/>
      <c r="J95" s="899"/>
      <c r="K95" s="900"/>
      <c r="L95" s="906"/>
      <c r="M95" s="906"/>
      <c r="O95" s="906"/>
      <c r="P95" s="906"/>
      <c r="Q95" s="906"/>
      <c r="R95" s="904"/>
      <c r="S95" s="898"/>
      <c r="U95" s="898"/>
      <c r="W95" s="902"/>
      <c r="Y95" s="899"/>
    </row>
    <row r="96" spans="1:32" s="896" customFormat="1" ht="12" customHeight="1">
      <c r="A96" s="906" t="s">
        <v>902</v>
      </c>
      <c r="B96" s="906"/>
      <c r="C96" s="907">
        <f>-C94+D40-C95</f>
        <v>-11013439.439999998</v>
      </c>
      <c r="D96" s="908"/>
      <c r="E96" s="908"/>
      <c r="F96" s="908"/>
      <c r="G96" s="898"/>
      <c r="H96" s="899"/>
      <c r="I96" s="898"/>
      <c r="L96" s="903" t="s">
        <v>664</v>
      </c>
      <c r="M96" s="903"/>
      <c r="O96" s="903" t="s">
        <v>664</v>
      </c>
      <c r="P96" s="903"/>
      <c r="Q96" s="903"/>
      <c r="R96" s="904">
        <v>0</v>
      </c>
      <c r="S96" s="898"/>
      <c r="U96" s="898"/>
      <c r="W96" s="902"/>
      <c r="Y96" s="899"/>
    </row>
    <row r="97" spans="1:25" s="896" customFormat="1" ht="12" customHeight="1">
      <c r="A97" s="911" t="s">
        <v>5</v>
      </c>
      <c r="B97" s="911"/>
      <c r="C97" s="907">
        <f>+C94+C96+C95</f>
        <v>5405815.5600000024</v>
      </c>
      <c r="D97" s="908"/>
      <c r="E97" s="908"/>
      <c r="F97" s="908"/>
      <c r="G97" s="898"/>
      <c r="H97" s="899"/>
      <c r="I97" s="898"/>
      <c r="K97" s="900"/>
      <c r="L97" s="915" t="s">
        <v>5</v>
      </c>
      <c r="M97" s="915"/>
      <c r="O97" s="915" t="s">
        <v>5</v>
      </c>
      <c r="P97" s="915"/>
      <c r="Q97" s="915"/>
      <c r="R97" s="916">
        <f>SUM(R89:R96)</f>
        <v>-2244947.8213280328</v>
      </c>
      <c r="S97" s="898"/>
      <c r="U97" s="898"/>
      <c r="W97" s="902"/>
      <c r="Y97" s="899"/>
    </row>
    <row r="98" spans="1:25" s="896" customFormat="1" ht="12" customHeight="1">
      <c r="C98" s="908">
        <f>+C97-D40</f>
        <v>0</v>
      </c>
      <c r="D98" s="908"/>
      <c r="E98" s="908"/>
      <c r="F98" s="908"/>
      <c r="G98" s="913"/>
      <c r="H98" s="917"/>
      <c r="I98" s="913"/>
      <c r="L98" s="910"/>
      <c r="M98" s="910"/>
      <c r="O98" s="910"/>
      <c r="P98" s="910"/>
      <c r="Q98" s="910"/>
      <c r="R98" s="908">
        <f>+R97-D33</f>
        <v>-0.1913280226290226</v>
      </c>
      <c r="S98" s="913"/>
      <c r="U98" s="913"/>
      <c r="W98" s="902"/>
      <c r="Y98" s="899"/>
    </row>
    <row r="99" spans="1:25" s="896" customFormat="1" ht="12" customHeight="1">
      <c r="A99" s="894" t="s">
        <v>665</v>
      </c>
      <c r="B99" s="894"/>
      <c r="C99" s="895"/>
      <c r="G99" s="898"/>
      <c r="H99" s="899"/>
      <c r="I99" s="898"/>
      <c r="K99" s="900"/>
      <c r="L99" s="918" t="s">
        <v>348</v>
      </c>
      <c r="M99" s="918"/>
      <c r="O99" s="918" t="s">
        <v>348</v>
      </c>
      <c r="P99" s="918"/>
      <c r="Q99" s="918"/>
      <c r="R99" s="919">
        <f>+'ECP20'!T84</f>
        <v>18007368.178671967</v>
      </c>
      <c r="S99" s="898"/>
      <c r="U99" s="898"/>
      <c r="W99" s="902"/>
      <c r="Y99" s="899"/>
    </row>
    <row r="100" spans="1:25" s="896" customFormat="1" ht="12" customHeight="1">
      <c r="A100" s="903" t="s">
        <v>662</v>
      </c>
      <c r="B100" s="903"/>
      <c r="C100" s="904">
        <f>+'EFE20'!C12</f>
        <v>1804437</v>
      </c>
      <c r="D100" s="905"/>
      <c r="E100" s="905"/>
      <c r="F100" s="905"/>
      <c r="G100" s="898"/>
      <c r="H100" s="899"/>
      <c r="I100" s="898"/>
      <c r="J100" s="899"/>
      <c r="K100" s="900"/>
      <c r="L100" s="920" t="s">
        <v>861</v>
      </c>
      <c r="M100" s="920"/>
      <c r="O100" s="920" t="s">
        <v>861</v>
      </c>
      <c r="P100" s="920"/>
      <c r="Q100" s="920"/>
      <c r="R100" s="907">
        <f>+C122</f>
        <v>8170072</v>
      </c>
      <c r="S100" s="898"/>
      <c r="U100" s="898"/>
      <c r="W100" s="902"/>
      <c r="Y100" s="899"/>
    </row>
    <row r="101" spans="1:25" s="896" customFormat="1" ht="12" customHeight="1">
      <c r="A101" s="906" t="s">
        <v>666</v>
      </c>
      <c r="B101" s="906"/>
      <c r="C101" s="904">
        <v>0</v>
      </c>
      <c r="D101" s="908"/>
      <c r="E101" s="908"/>
      <c r="F101" s="908"/>
      <c r="G101" s="898"/>
      <c r="H101" s="899"/>
      <c r="I101" s="898"/>
      <c r="L101" s="921" t="s">
        <v>109</v>
      </c>
      <c r="M101" s="921"/>
      <c r="O101" s="921" t="s">
        <v>109</v>
      </c>
      <c r="P101" s="921"/>
      <c r="Q101" s="921"/>
      <c r="R101" s="1063">
        <f>+R99+R100</f>
        <v>26177440.178671967</v>
      </c>
      <c r="S101" s="898"/>
      <c r="U101" s="898"/>
      <c r="W101" s="902"/>
      <c r="Y101" s="899"/>
    </row>
    <row r="102" spans="1:25" s="896" customFormat="1" ht="12" customHeight="1">
      <c r="A102" s="906" t="s">
        <v>902</v>
      </c>
      <c r="B102" s="906"/>
      <c r="C102" s="907">
        <f>+D46-C100-C101</f>
        <v>-1606904</v>
      </c>
      <c r="D102" s="922"/>
      <c r="E102" s="908"/>
      <c r="F102" s="908"/>
      <c r="G102" s="898"/>
      <c r="H102" s="899"/>
      <c r="I102" s="898"/>
      <c r="L102" s="910"/>
      <c r="M102" s="910"/>
      <c r="O102" s="910"/>
      <c r="P102" s="910"/>
      <c r="Q102" s="910"/>
      <c r="R102" s="910"/>
      <c r="S102" s="898"/>
      <c r="U102" s="898"/>
      <c r="W102" s="902"/>
      <c r="Y102" s="899"/>
    </row>
    <row r="103" spans="1:25" s="896" customFormat="1" ht="12" customHeight="1">
      <c r="A103" s="911" t="s">
        <v>5</v>
      </c>
      <c r="B103" s="911"/>
      <c r="C103" s="907">
        <f>SUM(C100:C102)</f>
        <v>197533</v>
      </c>
      <c r="D103" s="908"/>
      <c r="E103" s="908"/>
      <c r="F103" s="908"/>
      <c r="G103" s="898"/>
      <c r="H103" s="899"/>
      <c r="I103" s="898"/>
      <c r="K103" s="900"/>
      <c r="L103" s="910"/>
      <c r="M103" s="910"/>
      <c r="O103" s="910"/>
      <c r="P103" s="910"/>
      <c r="Q103" s="910"/>
      <c r="R103" s="910"/>
      <c r="S103" s="898"/>
      <c r="U103" s="898"/>
      <c r="W103" s="902"/>
      <c r="Y103" s="899"/>
    </row>
    <row r="104" spans="1:25" s="896" customFormat="1" ht="12" customHeight="1">
      <c r="C104" s="923">
        <f>+D46-C103</f>
        <v>0</v>
      </c>
      <c r="D104" s="923"/>
      <c r="E104" s="923"/>
      <c r="F104" s="908"/>
      <c r="G104" s="898"/>
      <c r="H104" s="899"/>
      <c r="I104" s="898"/>
      <c r="K104" s="900"/>
      <c r="L104" s="910"/>
      <c r="M104" s="910"/>
      <c r="O104" s="910"/>
      <c r="P104" s="910"/>
      <c r="Q104" s="910"/>
      <c r="R104" s="910"/>
      <c r="S104" s="898"/>
      <c r="U104" s="898"/>
      <c r="W104" s="902"/>
      <c r="Y104" s="899"/>
    </row>
    <row r="105" spans="1:25" s="896" customFormat="1" ht="12" customHeight="1">
      <c r="A105" s="894" t="s">
        <v>667</v>
      </c>
      <c r="B105" s="894"/>
      <c r="C105" s="895"/>
      <c r="D105" s="908"/>
      <c r="E105" s="908"/>
      <c r="F105" s="908"/>
      <c r="G105" s="898"/>
      <c r="H105" s="899"/>
      <c r="I105" s="898"/>
      <c r="K105" s="900"/>
      <c r="L105" s="910"/>
      <c r="M105" s="910"/>
      <c r="O105" s="910"/>
      <c r="P105" s="910"/>
      <c r="Q105" s="910"/>
      <c r="R105" s="910"/>
      <c r="S105" s="898"/>
      <c r="U105" s="898"/>
      <c r="W105" s="902"/>
      <c r="Y105" s="899"/>
    </row>
    <row r="106" spans="1:25" s="896" customFormat="1" ht="12" customHeight="1">
      <c r="A106" s="903" t="s">
        <v>668</v>
      </c>
      <c r="B106" s="903"/>
      <c r="C106" s="904">
        <f>+'EFE20'!Y17</f>
        <v>886890</v>
      </c>
      <c r="D106" s="908"/>
      <c r="E106" s="908"/>
      <c r="F106" s="908"/>
      <c r="G106" s="913"/>
      <c r="I106" s="913"/>
      <c r="K106" s="900"/>
      <c r="L106" s="910"/>
      <c r="M106" s="910"/>
      <c r="O106" s="910"/>
      <c r="P106" s="910"/>
      <c r="Q106" s="910"/>
      <c r="R106" s="910"/>
      <c r="S106" s="913"/>
      <c r="U106" s="913"/>
      <c r="W106" s="902"/>
      <c r="Y106" s="899"/>
    </row>
    <row r="107" spans="1:25" s="896" customFormat="1" ht="12" customHeight="1">
      <c r="A107" s="903" t="s">
        <v>905</v>
      </c>
      <c r="B107" s="903"/>
      <c r="C107" s="904">
        <v>-1800408</v>
      </c>
      <c r="D107" s="908"/>
      <c r="E107" s="908"/>
      <c r="F107" s="908"/>
      <c r="G107" s="913"/>
      <c r="I107" s="913"/>
      <c r="K107" s="900"/>
      <c r="L107" s="910"/>
      <c r="M107" s="910"/>
      <c r="O107" s="910"/>
      <c r="P107" s="910"/>
      <c r="Q107" s="910"/>
      <c r="R107" s="910"/>
      <c r="S107" s="913"/>
      <c r="U107" s="913"/>
      <c r="W107" s="902"/>
      <c r="Y107" s="899"/>
    </row>
    <row r="108" spans="1:25" s="896" customFormat="1" ht="12" customHeight="1">
      <c r="A108" s="911" t="s">
        <v>5</v>
      </c>
      <c r="B108" s="911"/>
      <c r="C108" s="916">
        <f>SUM(C106:C107)</f>
        <v>-913518</v>
      </c>
      <c r="D108" s="908"/>
      <c r="E108" s="908"/>
      <c r="F108" s="908"/>
      <c r="G108" s="898"/>
      <c r="H108" s="899"/>
      <c r="I108" s="898"/>
      <c r="K108" s="900"/>
      <c r="L108" s="910"/>
      <c r="M108" s="910"/>
      <c r="O108" s="910"/>
      <c r="P108" s="910"/>
      <c r="Q108" s="910"/>
      <c r="R108" s="910"/>
      <c r="S108" s="898"/>
      <c r="U108" s="898"/>
      <c r="W108" s="902"/>
      <c r="Y108" s="899"/>
    </row>
    <row r="109" spans="1:25" s="896" customFormat="1" ht="12" customHeight="1">
      <c r="C109" s="908">
        <f>+C108-D55</f>
        <v>0</v>
      </c>
      <c r="D109" s="908"/>
      <c r="E109" s="908"/>
      <c r="F109" s="908"/>
      <c r="G109" s="898"/>
      <c r="H109" s="899"/>
      <c r="I109" s="898"/>
      <c r="K109" s="900"/>
      <c r="L109" s="910"/>
      <c r="M109" s="910"/>
      <c r="O109" s="910"/>
      <c r="P109" s="910"/>
      <c r="Q109" s="910"/>
      <c r="R109" s="910"/>
      <c r="S109" s="898"/>
      <c r="U109" s="898"/>
      <c r="W109" s="902"/>
      <c r="Y109" s="899"/>
    </row>
    <row r="110" spans="1:25" s="896" customFormat="1" ht="12" customHeight="1">
      <c r="A110" s="894" t="s">
        <v>670</v>
      </c>
      <c r="B110" s="894"/>
      <c r="C110" s="895"/>
      <c r="D110" s="908"/>
      <c r="E110" s="908"/>
      <c r="F110" s="908"/>
      <c r="G110" s="898"/>
      <c r="H110" s="899"/>
      <c r="I110" s="898"/>
      <c r="K110" s="900"/>
      <c r="L110" s="910"/>
      <c r="M110" s="910"/>
      <c r="O110" s="910"/>
      <c r="P110" s="910"/>
      <c r="Q110" s="910"/>
      <c r="R110" s="910"/>
      <c r="S110" s="898"/>
      <c r="U110" s="898"/>
      <c r="W110" s="902"/>
      <c r="Y110" s="899"/>
    </row>
    <row r="111" spans="1:25" s="896" customFormat="1" ht="12" customHeight="1">
      <c r="A111" s="903" t="s">
        <v>862</v>
      </c>
      <c r="B111" s="903"/>
      <c r="C111" s="904">
        <f>+'EFE20'!C14</f>
        <v>2165288</v>
      </c>
      <c r="D111" s="908"/>
      <c r="E111" s="908"/>
      <c r="F111" s="908"/>
      <c r="G111" s="898"/>
      <c r="H111" s="899"/>
      <c r="I111" s="898"/>
      <c r="L111" s="910"/>
      <c r="M111" s="910"/>
      <c r="O111" s="910"/>
      <c r="P111" s="910"/>
      <c r="Q111" s="910"/>
      <c r="R111" s="910"/>
      <c r="S111" s="898"/>
      <c r="U111" s="898"/>
      <c r="W111" s="902"/>
      <c r="Y111" s="899"/>
    </row>
    <row r="112" spans="1:25" s="896" customFormat="1" ht="12" customHeight="1">
      <c r="A112" s="903" t="s">
        <v>900</v>
      </c>
      <c r="B112" s="903"/>
      <c r="C112" s="904">
        <v>1085440</v>
      </c>
      <c r="D112" s="908"/>
      <c r="E112" s="908"/>
      <c r="F112" s="908"/>
      <c r="G112" s="898"/>
      <c r="H112" s="899"/>
      <c r="I112" s="898"/>
      <c r="L112" s="910"/>
      <c r="M112" s="910"/>
      <c r="O112" s="910"/>
      <c r="P112" s="910"/>
      <c r="Q112" s="910"/>
      <c r="R112" s="910"/>
      <c r="S112" s="898"/>
      <c r="U112" s="898"/>
      <c r="W112" s="902"/>
      <c r="Y112" s="899"/>
    </row>
    <row r="113" spans="1:25" s="896" customFormat="1" ht="12" customHeight="1">
      <c r="A113" s="906" t="s">
        <v>657</v>
      </c>
      <c r="B113" s="906"/>
      <c r="C113" s="907">
        <f>-C111+D42-C112</f>
        <v>-2586113</v>
      </c>
      <c r="D113" s="908"/>
      <c r="E113" s="908"/>
      <c r="F113" s="908"/>
      <c r="G113" s="898"/>
      <c r="H113" s="899"/>
      <c r="I113" s="898"/>
      <c r="L113" s="910"/>
      <c r="M113" s="910"/>
      <c r="O113" s="910"/>
      <c r="P113" s="910"/>
      <c r="Q113" s="910"/>
      <c r="R113" s="910"/>
      <c r="S113" s="898"/>
      <c r="U113" s="898"/>
      <c r="W113" s="902"/>
      <c r="Y113" s="899"/>
    </row>
    <row r="114" spans="1:25" s="896" customFormat="1" ht="12" customHeight="1">
      <c r="A114" s="911" t="s">
        <v>5</v>
      </c>
      <c r="B114" s="911"/>
      <c r="C114" s="907">
        <f>+C111+C113+C112</f>
        <v>664615</v>
      </c>
      <c r="D114" s="908"/>
      <c r="E114" s="908"/>
      <c r="F114" s="908"/>
      <c r="G114" s="913"/>
      <c r="H114" s="910"/>
      <c r="I114" s="913"/>
      <c r="L114" s="910"/>
      <c r="M114" s="910"/>
      <c r="O114" s="910"/>
      <c r="P114" s="910"/>
      <c r="Q114" s="910"/>
      <c r="R114" s="910"/>
      <c r="S114" s="913"/>
      <c r="U114" s="913"/>
      <c r="W114" s="902"/>
      <c r="Y114" s="899"/>
    </row>
    <row r="115" spans="1:25" s="896" customFormat="1" ht="12" customHeight="1">
      <c r="C115" s="908">
        <f>+C114-D42</f>
        <v>0</v>
      </c>
      <c r="D115" s="908"/>
      <c r="E115" s="908"/>
      <c r="F115" s="908"/>
      <c r="G115" s="913"/>
      <c r="H115" s="910"/>
      <c r="I115" s="913"/>
      <c r="L115" s="910"/>
      <c r="M115" s="910"/>
      <c r="O115" s="910"/>
      <c r="P115" s="910"/>
      <c r="Q115" s="910"/>
      <c r="R115" s="910"/>
      <c r="S115" s="913"/>
      <c r="U115" s="913"/>
      <c r="W115" s="902"/>
      <c r="Y115" s="899"/>
    </row>
    <row r="116" spans="1:25" s="896" customFormat="1" ht="12" customHeight="1">
      <c r="A116" s="894" t="s">
        <v>863</v>
      </c>
      <c r="B116" s="894"/>
      <c r="C116" s="895"/>
      <c r="D116" s="908"/>
      <c r="E116" s="908"/>
      <c r="F116" s="908"/>
      <c r="G116" s="913"/>
      <c r="I116" s="913"/>
      <c r="L116" s="910"/>
      <c r="M116" s="910"/>
      <c r="O116" s="910"/>
      <c r="P116" s="910"/>
      <c r="Q116" s="910"/>
      <c r="R116" s="910"/>
      <c r="S116" s="913"/>
      <c r="U116" s="913"/>
      <c r="W116" s="902"/>
      <c r="Y116" s="899"/>
    </row>
    <row r="117" spans="1:25" s="896" customFormat="1" ht="12" customHeight="1">
      <c r="A117" s="903" t="s">
        <v>864</v>
      </c>
      <c r="B117" s="903"/>
      <c r="C117" s="904">
        <f>+'EFE20'!C11</f>
        <v>39210</v>
      </c>
      <c r="D117" s="908"/>
      <c r="E117" s="908"/>
      <c r="F117" s="908"/>
      <c r="G117" s="913"/>
      <c r="I117" s="913"/>
      <c r="L117" s="910"/>
      <c r="M117" s="910"/>
      <c r="O117" s="910"/>
      <c r="P117" s="910"/>
      <c r="Q117" s="910"/>
      <c r="R117" s="910"/>
      <c r="S117" s="913"/>
      <c r="U117" s="913"/>
      <c r="W117" s="902"/>
      <c r="Y117" s="899"/>
    </row>
    <row r="118" spans="1:25" s="896" customFormat="1" ht="12" customHeight="1">
      <c r="A118" s="906" t="s">
        <v>657</v>
      </c>
      <c r="B118" s="906"/>
      <c r="C118" s="907">
        <f>-C117+D41</f>
        <v>-439321.65</v>
      </c>
      <c r="D118" s="908"/>
      <c r="E118" s="908"/>
      <c r="F118" s="908"/>
      <c r="G118" s="913"/>
      <c r="I118" s="913"/>
      <c r="S118" s="913"/>
      <c r="U118" s="913"/>
      <c r="W118" s="902"/>
      <c r="Y118" s="899"/>
    </row>
    <row r="119" spans="1:25" s="896" customFormat="1" ht="12" customHeight="1">
      <c r="A119" s="911" t="s">
        <v>865</v>
      </c>
      <c r="B119" s="911"/>
      <c r="C119" s="907">
        <f>+C117+C118</f>
        <v>-400111.65</v>
      </c>
      <c r="D119" s="908"/>
      <c r="E119" s="908"/>
      <c r="F119" s="908"/>
      <c r="G119" s="913"/>
      <c r="I119" s="913"/>
      <c r="S119" s="913"/>
      <c r="U119" s="913"/>
      <c r="W119" s="902"/>
      <c r="Y119" s="899"/>
    </row>
    <row r="120" spans="1:25" s="896" customFormat="1" ht="12" customHeight="1">
      <c r="C120" s="908">
        <f>+C119-D41</f>
        <v>0</v>
      </c>
      <c r="D120" s="908"/>
      <c r="E120" s="908"/>
      <c r="F120" s="908"/>
      <c r="G120" s="913"/>
      <c r="I120" s="913"/>
      <c r="S120" s="913"/>
      <c r="U120" s="913"/>
      <c r="W120" s="902"/>
      <c r="Y120" s="899"/>
    </row>
    <row r="121" spans="1:25" s="896" customFormat="1" ht="12" customHeight="1">
      <c r="A121" s="894" t="s">
        <v>671</v>
      </c>
      <c r="B121" s="894"/>
      <c r="C121" s="919"/>
      <c r="D121" s="908"/>
      <c r="E121" s="908"/>
      <c r="F121" s="908"/>
      <c r="G121" s="913"/>
      <c r="I121" s="913"/>
      <c r="S121" s="913"/>
      <c r="U121" s="913"/>
      <c r="W121" s="902"/>
      <c r="Y121" s="899"/>
    </row>
    <row r="122" spans="1:25" s="896" customFormat="1" ht="12" customHeight="1">
      <c r="A122" s="906" t="s">
        <v>866</v>
      </c>
      <c r="B122" s="906"/>
      <c r="C122" s="904">
        <f>-'ERI20'!D20</f>
        <v>8170072</v>
      </c>
      <c r="G122" s="913"/>
      <c r="I122" s="913"/>
      <c r="S122" s="913"/>
      <c r="U122" s="913"/>
      <c r="W122" s="902"/>
      <c r="Y122" s="899"/>
    </row>
    <row r="123" spans="1:25" s="896" customFormat="1" ht="12" customHeight="1">
      <c r="A123" s="906" t="s">
        <v>672</v>
      </c>
      <c r="B123" s="906"/>
      <c r="C123" s="904">
        <f>+'EFE20'!C46</f>
        <v>-9630357</v>
      </c>
      <c r="G123" s="913"/>
      <c r="I123" s="913"/>
      <c r="S123" s="913"/>
      <c r="U123" s="913"/>
      <c r="W123" s="902"/>
      <c r="Y123" s="899"/>
    </row>
    <row r="124" spans="1:25" s="896" customFormat="1" ht="12" customHeight="1">
      <c r="A124" s="906" t="s">
        <v>669</v>
      </c>
      <c r="B124" s="906"/>
      <c r="C124" s="924">
        <f>-C122-C123+D22</f>
        <v>978507</v>
      </c>
      <c r="G124" s="913"/>
      <c r="I124" s="913"/>
      <c r="S124" s="913"/>
      <c r="U124" s="913"/>
      <c r="W124" s="902"/>
      <c r="Y124" s="899"/>
    </row>
    <row r="125" spans="1:25" s="896" customFormat="1" ht="12" customHeight="1">
      <c r="A125" s="911" t="s">
        <v>865</v>
      </c>
      <c r="B125" s="911"/>
      <c r="C125" s="924">
        <f>SUM(C122:C124)</f>
        <v>-481778</v>
      </c>
      <c r="G125" s="913"/>
      <c r="I125" s="913"/>
      <c r="S125" s="913"/>
      <c r="U125" s="913"/>
      <c r="W125" s="902"/>
      <c r="Y125" s="899"/>
    </row>
    <row r="126" spans="1:25" s="896" customFormat="1" ht="12" customHeight="1">
      <c r="C126" s="939">
        <f>+C125-D22</f>
        <v>0</v>
      </c>
      <c r="G126" s="913"/>
      <c r="I126" s="913"/>
      <c r="S126" s="913"/>
      <c r="U126" s="913"/>
      <c r="W126" s="902"/>
      <c r="Y126" s="899"/>
    </row>
    <row r="127" spans="1:25" s="896" customFormat="1" ht="12" customHeight="1">
      <c r="A127" s="894" t="s">
        <v>673</v>
      </c>
      <c r="B127" s="894"/>
      <c r="C127" s="919"/>
      <c r="G127" s="913"/>
      <c r="I127" s="913"/>
      <c r="S127" s="913"/>
      <c r="U127" s="913"/>
      <c r="W127" s="902"/>
      <c r="Y127" s="899"/>
    </row>
    <row r="128" spans="1:25" s="896" customFormat="1" ht="12" customHeight="1">
      <c r="A128" s="906" t="s">
        <v>867</v>
      </c>
      <c r="B128" s="906"/>
      <c r="C128" s="904">
        <f>-'ERI20'!D18</f>
        <v>4993438</v>
      </c>
      <c r="G128" s="913"/>
      <c r="I128" s="913"/>
      <c r="S128" s="913"/>
      <c r="U128" s="913"/>
      <c r="W128" s="902"/>
      <c r="Y128" s="899"/>
    </row>
    <row r="129" spans="1:25" s="896" customFormat="1" ht="12" customHeight="1">
      <c r="A129" s="906" t="s">
        <v>674</v>
      </c>
      <c r="B129" s="906"/>
      <c r="C129" s="966">
        <f>+'EFE20'!C40</f>
        <v>-4453394</v>
      </c>
      <c r="G129" s="913"/>
      <c r="I129" s="913"/>
      <c r="S129" s="913"/>
      <c r="U129" s="913"/>
      <c r="W129" s="902"/>
      <c r="Y129" s="899"/>
    </row>
    <row r="130" spans="1:25" s="896" customFormat="1" ht="12" customHeight="1">
      <c r="A130" s="906" t="s">
        <v>669</v>
      </c>
      <c r="B130" s="906"/>
      <c r="C130" s="924">
        <f>-C128-C129+D26</f>
        <v>3211662.08</v>
      </c>
      <c r="G130" s="913"/>
      <c r="I130" s="913"/>
      <c r="S130" s="913"/>
      <c r="U130" s="913"/>
      <c r="W130" s="902"/>
      <c r="Y130" s="899"/>
    </row>
    <row r="131" spans="1:25" s="896" customFormat="1" ht="12" customHeight="1">
      <c r="A131" s="911" t="s">
        <v>865</v>
      </c>
      <c r="B131" s="911"/>
      <c r="C131" s="924">
        <f>SUM(C128:C130)</f>
        <v>3751706.08</v>
      </c>
      <c r="G131" s="913"/>
      <c r="I131" s="913"/>
      <c r="S131" s="913"/>
      <c r="U131" s="913"/>
      <c r="W131" s="902"/>
      <c r="Y131" s="899"/>
    </row>
    <row r="132" spans="1:25" s="896" customFormat="1" ht="12" customHeight="1">
      <c r="C132" s="939">
        <f>+C131-D26</f>
        <v>0</v>
      </c>
      <c r="G132" s="913"/>
      <c r="I132" s="913"/>
      <c r="S132" s="913"/>
      <c r="U132" s="913"/>
      <c r="W132" s="902"/>
      <c r="Y132" s="899"/>
    </row>
    <row r="133" spans="1:25" s="896" customFormat="1" ht="12" customHeight="1">
      <c r="A133" s="894" t="s">
        <v>675</v>
      </c>
      <c r="B133" s="894"/>
      <c r="C133" s="895"/>
      <c r="G133" s="913"/>
      <c r="I133" s="913"/>
      <c r="S133" s="913"/>
      <c r="U133" s="913"/>
      <c r="W133" s="902"/>
      <c r="Y133" s="899"/>
    </row>
    <row r="134" spans="1:25" s="896" customFormat="1" ht="12" customHeight="1">
      <c r="A134" s="903" t="s">
        <v>868</v>
      </c>
      <c r="B134" s="903"/>
      <c r="C134" s="904">
        <f>+'EFE20'!C8</f>
        <v>-174624</v>
      </c>
      <c r="G134" s="913"/>
      <c r="I134" s="913"/>
      <c r="S134" s="913"/>
      <c r="U134" s="913"/>
      <c r="W134" s="902"/>
      <c r="Y134" s="899"/>
    </row>
    <row r="135" spans="1:25" s="896" customFormat="1" ht="12" customHeight="1">
      <c r="A135" s="903" t="s">
        <v>837</v>
      </c>
      <c r="B135" s="903"/>
      <c r="C135" s="904">
        <v>11506413</v>
      </c>
      <c r="G135" s="913"/>
      <c r="I135" s="913"/>
      <c r="S135" s="913"/>
      <c r="U135" s="913"/>
      <c r="W135" s="902"/>
      <c r="Y135" s="899"/>
    </row>
    <row r="136" spans="1:25" s="896" customFormat="1" ht="12" customHeight="1">
      <c r="A136" s="906" t="s">
        <v>869</v>
      </c>
      <c r="B136" s="906"/>
      <c r="C136" s="907">
        <f>-C134+D5-C135</f>
        <v>-8908727.7400000002</v>
      </c>
      <c r="G136" s="913"/>
      <c r="I136" s="913"/>
      <c r="S136" s="913"/>
      <c r="U136" s="913"/>
      <c r="W136" s="902"/>
      <c r="Y136" s="899"/>
    </row>
    <row r="137" spans="1:25" s="896" customFormat="1" ht="12" customHeight="1">
      <c r="A137" s="911" t="s">
        <v>865</v>
      </c>
      <c r="B137" s="911"/>
      <c r="C137" s="907">
        <f>+C134+C136+C135</f>
        <v>2423061.2599999998</v>
      </c>
      <c r="G137" s="913"/>
      <c r="I137" s="913"/>
      <c r="S137" s="913"/>
      <c r="U137" s="913"/>
      <c r="W137" s="902"/>
      <c r="Y137" s="899"/>
    </row>
    <row r="138" spans="1:25" s="896" customFormat="1" ht="12" customHeight="1">
      <c r="C138" s="908">
        <f>+C137-D5</f>
        <v>0</v>
      </c>
      <c r="G138" s="913"/>
      <c r="I138" s="913"/>
      <c r="S138" s="913"/>
      <c r="U138" s="913"/>
      <c r="W138" s="902"/>
      <c r="Y138" s="899"/>
    </row>
    <row r="139" spans="1:25" s="896" customFormat="1" ht="12" customHeight="1">
      <c r="A139" s="894" t="s">
        <v>676</v>
      </c>
      <c r="B139" s="894"/>
      <c r="C139" s="895"/>
      <c r="G139" s="913"/>
      <c r="I139" s="913"/>
      <c r="S139" s="913"/>
      <c r="U139" s="913"/>
      <c r="W139" s="902"/>
      <c r="Y139" s="899"/>
    </row>
    <row r="140" spans="1:25" s="896" customFormat="1" ht="12" customHeight="1">
      <c r="A140" s="903" t="s">
        <v>868</v>
      </c>
      <c r="B140" s="903"/>
      <c r="C140" s="904">
        <v>0</v>
      </c>
      <c r="G140" s="913"/>
      <c r="I140" s="913"/>
      <c r="S140" s="913"/>
      <c r="U140" s="913"/>
      <c r="W140" s="902"/>
      <c r="Y140" s="899"/>
    </row>
    <row r="141" spans="1:25" s="896" customFormat="1" ht="12" customHeight="1">
      <c r="A141" s="906" t="s">
        <v>870</v>
      </c>
      <c r="B141" s="906"/>
      <c r="C141" s="907">
        <f>-C140+D8+D15</f>
        <v>1094346</v>
      </c>
      <c r="G141" s="913"/>
      <c r="I141" s="913"/>
      <c r="S141" s="913"/>
      <c r="U141" s="913"/>
      <c r="W141" s="902"/>
      <c r="Y141" s="899"/>
    </row>
    <row r="142" spans="1:25" s="896" customFormat="1" ht="12" customHeight="1">
      <c r="A142" s="911" t="s">
        <v>865</v>
      </c>
      <c r="B142" s="911"/>
      <c r="C142" s="907">
        <f>+C140+C141</f>
        <v>1094346</v>
      </c>
      <c r="G142" s="913"/>
      <c r="I142" s="913"/>
      <c r="S142" s="913"/>
      <c r="U142" s="913"/>
      <c r="W142" s="902"/>
      <c r="Y142" s="899"/>
    </row>
    <row r="143" spans="1:25" s="896" customFormat="1" ht="12" customHeight="1">
      <c r="C143" s="923">
        <f>+D8+D15-C142</f>
        <v>0</v>
      </c>
      <c r="G143" s="913"/>
      <c r="I143" s="913"/>
      <c r="S143" s="913"/>
      <c r="U143" s="913"/>
      <c r="W143" s="902"/>
      <c r="Y143" s="899"/>
    </row>
    <row r="144" spans="1:25" s="896" customFormat="1" ht="12" customHeight="1">
      <c r="A144" s="894" t="s">
        <v>677</v>
      </c>
      <c r="B144" s="894"/>
      <c r="C144" s="895"/>
      <c r="G144" s="913"/>
      <c r="I144" s="913"/>
      <c r="S144" s="913"/>
      <c r="U144" s="913"/>
      <c r="W144" s="902"/>
      <c r="Y144" s="899"/>
    </row>
    <row r="145" spans="1:25" s="896" customFormat="1" ht="12" customHeight="1">
      <c r="A145" s="903" t="s">
        <v>678</v>
      </c>
      <c r="B145" s="903"/>
      <c r="C145" s="904">
        <v>0</v>
      </c>
      <c r="G145" s="913"/>
      <c r="I145" s="913"/>
      <c r="S145" s="913"/>
      <c r="U145" s="913"/>
      <c r="W145" s="902"/>
      <c r="Y145" s="899"/>
    </row>
    <row r="146" spans="1:25" s="896" customFormat="1" ht="12" customHeight="1">
      <c r="A146" s="906" t="s">
        <v>669</v>
      </c>
      <c r="B146" s="906"/>
      <c r="C146" s="907">
        <f>-C145+D47</f>
        <v>0</v>
      </c>
      <c r="G146" s="913"/>
      <c r="I146" s="913"/>
      <c r="N146" s="887"/>
      <c r="S146" s="913"/>
      <c r="U146" s="913"/>
      <c r="W146" s="902"/>
    </row>
    <row r="147" spans="1:25" s="896" customFormat="1" ht="12" customHeight="1">
      <c r="A147" s="911" t="s">
        <v>865</v>
      </c>
      <c r="B147" s="911"/>
      <c r="C147" s="907">
        <f>+C145+C146</f>
        <v>0</v>
      </c>
      <c r="G147" s="913"/>
      <c r="I147" s="913"/>
      <c r="N147" s="887"/>
      <c r="S147" s="913"/>
      <c r="U147" s="913"/>
      <c r="W147" s="902"/>
    </row>
    <row r="148" spans="1:25" s="896" customFormat="1" ht="12" customHeight="1">
      <c r="C148" s="925">
        <f>+C147-D47</f>
        <v>0</v>
      </c>
      <c r="G148" s="913"/>
      <c r="I148" s="913"/>
      <c r="N148" s="887"/>
      <c r="S148" s="913"/>
      <c r="U148" s="913"/>
      <c r="W148" s="902"/>
    </row>
    <row r="149" spans="1:25" s="896" customFormat="1" ht="12" customHeight="1">
      <c r="A149" s="894" t="s">
        <v>679</v>
      </c>
      <c r="B149" s="894"/>
      <c r="C149" s="895"/>
      <c r="G149" s="913"/>
      <c r="I149" s="913"/>
      <c r="N149" s="887"/>
      <c r="S149" s="913"/>
      <c r="U149" s="913"/>
      <c r="W149" s="902"/>
    </row>
    <row r="150" spans="1:25" s="896" customFormat="1" ht="12" customHeight="1">
      <c r="A150" s="903" t="s">
        <v>680</v>
      </c>
      <c r="B150" s="903"/>
      <c r="C150" s="904">
        <f>+'EFE20'!C63</f>
        <v>-1307540</v>
      </c>
      <c r="G150" s="913"/>
      <c r="I150" s="913"/>
      <c r="N150" s="887"/>
      <c r="S150" s="913"/>
      <c r="U150" s="913"/>
      <c r="W150" s="902"/>
    </row>
    <row r="151" spans="1:25" s="896" customFormat="1" ht="12" customHeight="1">
      <c r="A151" s="903" t="s">
        <v>681</v>
      </c>
      <c r="B151" s="903"/>
      <c r="C151" s="904">
        <v>0</v>
      </c>
      <c r="G151" s="913"/>
      <c r="I151" s="913"/>
      <c r="N151" s="887"/>
      <c r="S151" s="913"/>
      <c r="U151" s="913"/>
      <c r="W151" s="902"/>
    </row>
    <row r="152" spans="1:25" s="896" customFormat="1" ht="12" customHeight="1">
      <c r="A152" s="906" t="s">
        <v>669</v>
      </c>
      <c r="B152" s="906"/>
      <c r="C152" s="924">
        <f>-C150-C151+D25+D57</f>
        <v>1100326</v>
      </c>
      <c r="G152" s="913"/>
      <c r="I152" s="913"/>
      <c r="N152" s="887"/>
      <c r="S152" s="913"/>
      <c r="U152" s="913"/>
      <c r="W152" s="902"/>
    </row>
    <row r="153" spans="1:25" s="896" customFormat="1" ht="12" customHeight="1">
      <c r="A153" s="911" t="s">
        <v>865</v>
      </c>
      <c r="B153" s="911"/>
      <c r="C153" s="907">
        <f>SUM(C150:C152)</f>
        <v>-207214</v>
      </c>
      <c r="G153" s="913"/>
      <c r="I153" s="913"/>
      <c r="N153" s="887"/>
      <c r="S153" s="913"/>
      <c r="U153" s="913"/>
      <c r="W153" s="902"/>
    </row>
    <row r="154" spans="1:25" s="896" customFormat="1" ht="12" customHeight="1">
      <c r="C154" s="925">
        <f>+C153-D25-D57</f>
        <v>0</v>
      </c>
      <c r="G154" s="913"/>
      <c r="I154" s="913"/>
      <c r="N154" s="887"/>
      <c r="S154" s="913"/>
      <c r="U154" s="913"/>
      <c r="W154" s="902"/>
    </row>
    <row r="155" spans="1:25" s="896" customFormat="1" ht="12" customHeight="1">
      <c r="A155" s="894" t="s">
        <v>903</v>
      </c>
      <c r="B155" s="894"/>
      <c r="C155" s="895"/>
      <c r="G155" s="913"/>
      <c r="I155" s="913"/>
      <c r="N155" s="887"/>
      <c r="S155" s="913"/>
      <c r="U155" s="913"/>
      <c r="W155" s="902"/>
    </row>
    <row r="156" spans="1:25" s="896" customFormat="1" ht="12" customHeight="1">
      <c r="A156" s="903" t="s">
        <v>76</v>
      </c>
      <c r="B156" s="903"/>
      <c r="C156" s="904">
        <f>'EFE20'!C18</f>
        <v>8770737</v>
      </c>
      <c r="G156" s="913"/>
      <c r="I156" s="913"/>
      <c r="N156" s="887"/>
      <c r="S156" s="913"/>
      <c r="U156" s="913"/>
      <c r="W156" s="902"/>
    </row>
    <row r="157" spans="1:25" s="896" customFormat="1" ht="12" customHeight="1">
      <c r="A157" s="906" t="s">
        <v>669</v>
      </c>
      <c r="B157" s="906"/>
      <c r="C157" s="907">
        <f>+C156-D56</f>
        <v>0</v>
      </c>
      <c r="G157" s="913"/>
      <c r="I157" s="913"/>
      <c r="N157" s="887"/>
      <c r="S157" s="913"/>
      <c r="U157" s="913"/>
      <c r="W157" s="902"/>
    </row>
    <row r="158" spans="1:25" s="896" customFormat="1" ht="12" customHeight="1">
      <c r="A158" s="911" t="s">
        <v>865</v>
      </c>
      <c r="B158" s="911"/>
      <c r="C158" s="907">
        <f>SUM(C156:C157)</f>
        <v>8770737</v>
      </c>
      <c r="G158" s="913"/>
      <c r="I158" s="913"/>
      <c r="N158" s="887"/>
      <c r="S158" s="913"/>
      <c r="U158" s="913"/>
      <c r="W158" s="902"/>
    </row>
    <row r="159" spans="1:25" ht="12" customHeight="1">
      <c r="C159" s="1064">
        <f>+C158-D56</f>
        <v>0</v>
      </c>
      <c r="F159" s="868">
        <v>0</v>
      </c>
    </row>
    <row r="160" spans="1:25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08" customWidth="1"/>
    <col min="2" max="2" width="17.28515625" style="708" customWidth="1"/>
    <col min="3" max="3" width="17.140625" style="708" customWidth="1"/>
    <col min="4" max="4" width="19.140625" style="708" customWidth="1"/>
    <col min="5" max="5" width="14.140625" style="708" customWidth="1"/>
    <col min="6" max="6" width="14.7109375" style="708" customWidth="1"/>
    <col min="7" max="7" width="13.7109375" style="708" customWidth="1"/>
    <col min="8" max="8" width="16.28515625" style="708" customWidth="1"/>
    <col min="9" max="9" width="14.85546875" style="708" customWidth="1"/>
    <col min="10" max="10" width="15.85546875" style="708" customWidth="1"/>
    <col min="11" max="11" width="14.85546875" style="708" customWidth="1"/>
    <col min="12" max="12" width="14.42578125" style="708" customWidth="1"/>
    <col min="13" max="13" width="15.85546875" style="708" customWidth="1"/>
    <col min="14" max="14" width="18" style="708" customWidth="1"/>
    <col min="15" max="15" width="8.28515625" style="708" customWidth="1"/>
    <col min="16" max="17" width="16.28515625" style="708" customWidth="1"/>
    <col min="18" max="18" width="17.42578125" style="708" customWidth="1"/>
    <col min="19" max="19" width="14.28515625" style="708" customWidth="1"/>
    <col min="20" max="20" width="14.42578125" style="708" customWidth="1"/>
    <col min="21" max="21" width="11.42578125" style="708"/>
    <col min="22" max="22" width="14" style="708" customWidth="1"/>
    <col min="23" max="23" width="13.28515625" style="708" customWidth="1"/>
    <col min="24" max="1024" width="11.42578125" style="708"/>
  </cols>
  <sheetData>
    <row r="1" spans="1:22">
      <c r="A1" s="709" t="s">
        <v>0</v>
      </c>
      <c r="C1" s="710"/>
    </row>
    <row r="2" spans="1:22">
      <c r="A2" s="711" t="s">
        <v>1</v>
      </c>
      <c r="C2" s="712"/>
    </row>
    <row r="3" spans="1:22" ht="15" customHeight="1">
      <c r="A3" s="713"/>
      <c r="E3" s="710"/>
      <c r="P3" s="1087" t="s">
        <v>2</v>
      </c>
      <c r="Q3" s="1087"/>
    </row>
    <row r="4" spans="1:22" ht="38.25">
      <c r="A4" s="714" t="s">
        <v>3</v>
      </c>
      <c r="B4" s="715" t="s">
        <v>800</v>
      </c>
      <c r="C4" s="715" t="s">
        <v>801</v>
      </c>
      <c r="D4" s="715" t="s">
        <v>802</v>
      </c>
      <c r="E4" s="715" t="s">
        <v>803</v>
      </c>
      <c r="F4" s="715" t="s">
        <v>804</v>
      </c>
      <c r="G4" s="715" t="s">
        <v>805</v>
      </c>
      <c r="H4" s="715" t="s">
        <v>806</v>
      </c>
      <c r="I4" s="715" t="s">
        <v>807</v>
      </c>
      <c r="J4" s="715" t="s">
        <v>808</v>
      </c>
      <c r="K4" s="715" t="s">
        <v>809</v>
      </c>
      <c r="L4" s="715" t="s">
        <v>810</v>
      </c>
      <c r="M4" s="715" t="s">
        <v>811</v>
      </c>
      <c r="N4" s="715" t="s">
        <v>259</v>
      </c>
      <c r="O4" s="715" t="s">
        <v>17</v>
      </c>
      <c r="P4" s="715" t="s">
        <v>18</v>
      </c>
      <c r="Q4" s="715" t="s">
        <v>19</v>
      </c>
      <c r="R4" s="715" t="s">
        <v>33</v>
      </c>
    </row>
    <row r="5" spans="1:22" ht="15.75" customHeight="1">
      <c r="A5" s="716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717">
        <f t="shared" ref="N5:N22" si="0">SUM(B5:M5)</f>
        <v>1742562</v>
      </c>
      <c r="O5" s="718"/>
      <c r="P5" s="327"/>
      <c r="Q5" s="327"/>
      <c r="R5" s="328">
        <f t="shared" ref="R5:R22" si="1">N5+P5-Q5</f>
        <v>1742562</v>
      </c>
    </row>
    <row r="6" spans="1:22" ht="27.75" customHeight="1">
      <c r="A6" s="716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717">
        <f t="shared" si="0"/>
        <v>2644455</v>
      </c>
      <c r="O6" s="718"/>
      <c r="P6" s="327"/>
      <c r="Q6" s="327"/>
      <c r="R6" s="328">
        <f t="shared" si="1"/>
        <v>2644455</v>
      </c>
    </row>
    <row r="7" spans="1:22" ht="26.25" customHeight="1">
      <c r="A7" s="716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717">
        <f t="shared" si="0"/>
        <v>102620</v>
      </c>
      <c r="O7" s="718"/>
      <c r="P7" s="327"/>
      <c r="Q7" s="327"/>
      <c r="R7" s="328">
        <f t="shared" si="1"/>
        <v>102620</v>
      </c>
    </row>
    <row r="8" spans="1:22" ht="15.75" customHeight="1">
      <c r="A8" s="716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717">
        <f t="shared" si="0"/>
        <v>15563404</v>
      </c>
      <c r="O8" s="718" t="s">
        <v>39</v>
      </c>
      <c r="P8" s="327"/>
      <c r="Q8" s="327">
        <f>+'Diarios Cxc Cxp relac (c)'!E36</f>
        <v>0</v>
      </c>
      <c r="R8" s="328">
        <f t="shared" si="1"/>
        <v>15563404</v>
      </c>
      <c r="T8" s="710"/>
    </row>
    <row r="9" spans="1:22">
      <c r="A9" s="716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717">
        <f t="shared" si="0"/>
        <v>36670349</v>
      </c>
      <c r="O9" s="718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716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717">
        <f t="shared" si="0"/>
        <v>5538448</v>
      </c>
      <c r="O10" s="718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716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717">
        <f t="shared" si="0"/>
        <v>1124779</v>
      </c>
      <c r="O11" s="718"/>
      <c r="P11" s="327"/>
      <c r="Q11" s="327"/>
      <c r="R11" s="328">
        <f t="shared" si="1"/>
        <v>1124779</v>
      </c>
    </row>
    <row r="12" spans="1:22" ht="15.75" customHeight="1">
      <c r="A12" s="716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717">
        <f t="shared" si="0"/>
        <v>642184</v>
      </c>
      <c r="O12" s="718"/>
      <c r="P12" s="327"/>
      <c r="Q12" s="327"/>
      <c r="R12" s="328">
        <f t="shared" si="1"/>
        <v>642184</v>
      </c>
    </row>
    <row r="13" spans="1:22" ht="15.75" customHeight="1">
      <c r="A13" s="716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717">
        <f t="shared" si="0"/>
        <v>14896333</v>
      </c>
      <c r="O13" s="718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716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717">
        <f t="shared" si="0"/>
        <v>40694</v>
      </c>
      <c r="O14" s="718" t="s">
        <v>39</v>
      </c>
      <c r="P14" s="327">
        <v>3150764</v>
      </c>
      <c r="Q14" s="327">
        <f>'Diarios Cxc Cxp relac (c)'!E34</f>
        <v>40694</v>
      </c>
      <c r="R14" s="719">
        <f t="shared" si="1"/>
        <v>3150764</v>
      </c>
    </row>
    <row r="15" spans="1:22" ht="15.75" customHeight="1">
      <c r="A15" s="716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717">
        <f t="shared" si="0"/>
        <v>3212434</v>
      </c>
      <c r="O15" s="718"/>
      <c r="P15" s="327"/>
      <c r="Q15" s="327"/>
      <c r="R15" s="328">
        <f t="shared" si="1"/>
        <v>3212434</v>
      </c>
      <c r="V15" s="710">
        <f>B15-R15</f>
        <v>0</v>
      </c>
    </row>
    <row r="16" spans="1:22" ht="14.25" customHeight="1">
      <c r="A16" s="716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717">
        <f t="shared" si="0"/>
        <v>117397304</v>
      </c>
      <c r="O16" s="718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10"/>
    </row>
    <row r="17" spans="1:20" ht="15.75" customHeight="1">
      <c r="A17" s="716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717">
        <f t="shared" si="0"/>
        <v>661755</v>
      </c>
      <c r="O17" s="718"/>
      <c r="P17" s="327"/>
      <c r="Q17" s="327"/>
      <c r="R17" s="328">
        <f t="shared" si="1"/>
        <v>661755</v>
      </c>
    </row>
    <row r="18" spans="1:20" ht="15.75" customHeight="1">
      <c r="A18" s="716" t="s">
        <v>54</v>
      </c>
      <c r="B18" s="327">
        <v>11586243</v>
      </c>
      <c r="C18" s="720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717">
        <f t="shared" si="0"/>
        <v>11704214</v>
      </c>
      <c r="O18" s="718" t="s">
        <v>51</v>
      </c>
      <c r="P18" s="327">
        <v>394335</v>
      </c>
      <c r="Q18" s="327">
        <v>822437</v>
      </c>
      <c r="R18" s="328">
        <f t="shared" si="1"/>
        <v>11276112</v>
      </c>
      <c r="T18" s="710"/>
    </row>
    <row r="19" spans="1:20">
      <c r="A19" s="716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717">
        <f t="shared" si="0"/>
        <v>1422229</v>
      </c>
      <c r="O19" s="718"/>
      <c r="P19" s="327"/>
      <c r="Q19" s="327"/>
      <c r="R19" s="328">
        <f t="shared" si="1"/>
        <v>1422229</v>
      </c>
    </row>
    <row r="20" spans="1:20">
      <c r="A20" s="716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717">
        <f t="shared" si="0"/>
        <v>44513538</v>
      </c>
      <c r="O20" s="718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716" t="s">
        <v>60</v>
      </c>
      <c r="B21" s="721">
        <v>0</v>
      </c>
      <c r="C21" s="721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717">
        <f t="shared" si="0"/>
        <v>883849</v>
      </c>
      <c r="O21" s="718"/>
      <c r="P21" s="327"/>
      <c r="Q21" s="327"/>
      <c r="R21" s="328">
        <f t="shared" si="1"/>
        <v>883849</v>
      </c>
    </row>
    <row r="22" spans="1:20">
      <c r="A22" s="716" t="s">
        <v>61</v>
      </c>
      <c r="B22" s="721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717">
        <f t="shared" si="0"/>
        <v>3442838</v>
      </c>
      <c r="O22" s="718"/>
      <c r="P22" s="327"/>
      <c r="Q22" s="327"/>
      <c r="R22" s="328">
        <f t="shared" si="1"/>
        <v>3442838</v>
      </c>
    </row>
    <row r="23" spans="1:20">
      <c r="A23" s="722" t="s">
        <v>63</v>
      </c>
      <c r="B23" s="723">
        <f t="shared" ref="B23:N23" si="2">SUM(B5:B22)</f>
        <v>197414677</v>
      </c>
      <c r="C23" s="723">
        <f t="shared" si="2"/>
        <v>52108957</v>
      </c>
      <c r="D23" s="723">
        <f t="shared" si="2"/>
        <v>4668021</v>
      </c>
      <c r="E23" s="723">
        <f t="shared" si="2"/>
        <v>1160766</v>
      </c>
      <c r="F23" s="723">
        <f t="shared" si="2"/>
        <v>364945</v>
      </c>
      <c r="G23" s="723">
        <f t="shared" si="2"/>
        <v>373713</v>
      </c>
      <c r="H23" s="723">
        <f t="shared" si="2"/>
        <v>7989</v>
      </c>
      <c r="I23" s="723">
        <f t="shared" si="2"/>
        <v>10000</v>
      </c>
      <c r="J23" s="723">
        <f t="shared" si="2"/>
        <v>1140</v>
      </c>
      <c r="K23" s="723">
        <f t="shared" si="2"/>
        <v>5000055</v>
      </c>
      <c r="L23" s="723">
        <f t="shared" si="2"/>
        <v>649029</v>
      </c>
      <c r="M23" s="723">
        <f t="shared" si="2"/>
        <v>444697</v>
      </c>
      <c r="N23" s="723">
        <f t="shared" si="2"/>
        <v>262203989</v>
      </c>
      <c r="O23" s="724"/>
      <c r="P23" s="723">
        <f>+SUM(P5:P22)</f>
        <v>5708925.0000000056</v>
      </c>
      <c r="Q23" s="723">
        <f>+SUM(Q5:Q22)</f>
        <v>60340028</v>
      </c>
      <c r="R23" s="723">
        <f>SUM(R5:R22)</f>
        <v>207572886</v>
      </c>
    </row>
    <row r="24" spans="1:20">
      <c r="A24" s="716" t="s">
        <v>64</v>
      </c>
      <c r="B24" s="327">
        <v>260402</v>
      </c>
      <c r="C24" s="725"/>
      <c r="D24" s="725"/>
      <c r="E24" s="725"/>
      <c r="F24" s="725"/>
      <c r="G24" s="725"/>
      <c r="H24" s="725"/>
      <c r="I24" s="725"/>
      <c r="J24" s="725"/>
      <c r="K24" s="725"/>
      <c r="L24" s="725"/>
      <c r="M24" s="725"/>
      <c r="N24" s="717">
        <f t="shared" ref="N24:N41" si="3">SUM(B24:M24)</f>
        <v>260402</v>
      </c>
      <c r="O24" s="718"/>
      <c r="P24" s="725">
        <v>0</v>
      </c>
      <c r="Q24" s="725">
        <v>0</v>
      </c>
      <c r="R24" s="726">
        <f t="shared" ref="R24:R41" si="4">N24-P24+Q24</f>
        <v>260402</v>
      </c>
    </row>
    <row r="25" spans="1:20">
      <c r="A25" s="716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717">
        <f t="shared" si="3"/>
        <v>13413675</v>
      </c>
      <c r="O25" s="718"/>
      <c r="P25" s="327"/>
      <c r="Q25" s="327"/>
      <c r="R25" s="726">
        <f t="shared" si="4"/>
        <v>13413675</v>
      </c>
    </row>
    <row r="26" spans="1:20">
      <c r="A26" s="716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717">
        <f t="shared" si="3"/>
        <v>11459310</v>
      </c>
      <c r="O26" s="718"/>
      <c r="P26" s="327"/>
      <c r="Q26" s="327"/>
      <c r="R26" s="726">
        <f t="shared" si="4"/>
        <v>11459310</v>
      </c>
    </row>
    <row r="27" spans="1:20" ht="15.75" customHeight="1">
      <c r="A27" s="716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717">
        <f t="shared" si="3"/>
        <v>20611963</v>
      </c>
      <c r="O27" s="718" t="s">
        <v>39</v>
      </c>
      <c r="P27" s="327">
        <v>175918</v>
      </c>
      <c r="Q27" s="327"/>
      <c r="R27" s="726">
        <f t="shared" si="4"/>
        <v>20436045</v>
      </c>
    </row>
    <row r="28" spans="1:20" ht="15.75" customHeight="1">
      <c r="A28" s="716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717">
        <f t="shared" si="3"/>
        <v>10364386</v>
      </c>
      <c r="O28" s="718" t="s">
        <v>69</v>
      </c>
      <c r="P28" s="327">
        <f>8450783-26</f>
        <v>8450757</v>
      </c>
      <c r="Q28" s="327"/>
      <c r="R28" s="726">
        <f t="shared" si="4"/>
        <v>1913629</v>
      </c>
    </row>
    <row r="29" spans="1:20" ht="15.75" customHeight="1">
      <c r="A29" s="716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717">
        <f t="shared" si="3"/>
        <v>4274907</v>
      </c>
      <c r="O29" s="718"/>
      <c r="P29" s="327"/>
      <c r="Q29" s="327"/>
      <c r="R29" s="726">
        <f t="shared" si="4"/>
        <v>4274907</v>
      </c>
    </row>
    <row r="30" spans="1:20" ht="15.75" customHeight="1">
      <c r="A30" s="716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717">
        <f t="shared" si="3"/>
        <v>4955954</v>
      </c>
      <c r="O30" s="718" t="s">
        <v>73</v>
      </c>
      <c r="P30" s="327">
        <f>1380360+25</f>
        <v>1380385</v>
      </c>
      <c r="Q30" s="327" t="e">
        <f>+#REF!</f>
        <v>#REF!</v>
      </c>
      <c r="R30" s="726" t="e">
        <f t="shared" si="4"/>
        <v>#REF!</v>
      </c>
    </row>
    <row r="31" spans="1:20" ht="15.75" customHeight="1">
      <c r="A31" s="716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717">
        <f t="shared" si="3"/>
        <v>1953502</v>
      </c>
      <c r="O31" s="718"/>
      <c r="P31" s="327"/>
      <c r="Q31" s="327"/>
      <c r="R31" s="726">
        <f t="shared" si="4"/>
        <v>1953502</v>
      </c>
    </row>
    <row r="32" spans="1:20" ht="15.75" customHeight="1">
      <c r="A32" s="716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717">
        <f t="shared" si="3"/>
        <v>4559467</v>
      </c>
      <c r="O32" s="718"/>
      <c r="P32" s="327"/>
      <c r="Q32" s="327"/>
      <c r="R32" s="726">
        <f t="shared" si="4"/>
        <v>4559467</v>
      </c>
    </row>
    <row r="33" spans="1:23" ht="15.75" customHeight="1">
      <c r="A33" s="716" t="s">
        <v>76</v>
      </c>
      <c r="B33" s="721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717">
        <f t="shared" si="3"/>
        <v>4183053</v>
      </c>
      <c r="O33" s="718"/>
      <c r="P33" s="327"/>
      <c r="Q33" s="327"/>
      <c r="R33" s="726">
        <f t="shared" si="4"/>
        <v>4183053</v>
      </c>
    </row>
    <row r="34" spans="1:23" ht="15.75" customHeight="1">
      <c r="A34" s="716" t="s">
        <v>77</v>
      </c>
      <c r="B34" s="721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717">
        <f t="shared" si="3"/>
        <v>9674932</v>
      </c>
      <c r="O34" s="718"/>
      <c r="P34" s="327"/>
      <c r="Q34" s="327"/>
      <c r="R34" s="726">
        <f t="shared" si="4"/>
        <v>9674932</v>
      </c>
    </row>
    <row r="35" spans="1:23" ht="15.75" customHeight="1">
      <c r="A35" s="716" t="s">
        <v>78</v>
      </c>
      <c r="B35" s="721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717">
        <f t="shared" si="3"/>
        <v>6710516</v>
      </c>
      <c r="O35" s="718"/>
      <c r="P35" s="327"/>
      <c r="Q35" s="327"/>
      <c r="R35" s="726">
        <f t="shared" si="4"/>
        <v>6710516</v>
      </c>
    </row>
    <row r="36" spans="1:23" ht="15.75" customHeight="1">
      <c r="A36" s="716" t="s">
        <v>79</v>
      </c>
      <c r="B36" s="721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717">
        <f t="shared" si="3"/>
        <v>2203673</v>
      </c>
      <c r="O36" s="718"/>
      <c r="P36" s="327"/>
      <c r="Q36" s="327"/>
      <c r="R36" s="726">
        <f t="shared" si="4"/>
        <v>2203673</v>
      </c>
    </row>
    <row r="37" spans="1:23" ht="15.75" customHeight="1">
      <c r="A37" s="716" t="s">
        <v>80</v>
      </c>
      <c r="B37" s="721">
        <v>10628880</v>
      </c>
      <c r="C37" s="327">
        <v>0</v>
      </c>
      <c r="D37" s="721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721">
        <v>3477854</v>
      </c>
      <c r="L37" s="327">
        <v>507600</v>
      </c>
      <c r="M37" s="327">
        <v>0</v>
      </c>
      <c r="N37" s="717">
        <f t="shared" si="3"/>
        <v>17181269</v>
      </c>
      <c r="O37" s="718" t="s">
        <v>39</v>
      </c>
      <c r="P37" s="327">
        <v>6552389</v>
      </c>
      <c r="Q37" s="327"/>
      <c r="R37" s="726">
        <f t="shared" si="4"/>
        <v>10628880</v>
      </c>
    </row>
    <row r="38" spans="1:23" ht="15.75" customHeight="1">
      <c r="A38" s="716" t="s">
        <v>81</v>
      </c>
      <c r="B38" s="721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717">
        <f t="shared" si="3"/>
        <v>3198504</v>
      </c>
      <c r="O38" s="718" t="s">
        <v>39</v>
      </c>
      <c r="P38" s="327">
        <v>882525</v>
      </c>
      <c r="Q38" s="327"/>
      <c r="R38" s="726">
        <f t="shared" si="4"/>
        <v>2315979</v>
      </c>
    </row>
    <row r="39" spans="1:23" ht="15.75" customHeight="1">
      <c r="A39" s="716" t="s">
        <v>83</v>
      </c>
      <c r="B39" s="721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721">
        <v>0</v>
      </c>
      <c r="L39" s="721">
        <v>45037</v>
      </c>
      <c r="M39" s="327">
        <v>0</v>
      </c>
      <c r="N39" s="717">
        <f t="shared" si="3"/>
        <v>5185547</v>
      </c>
      <c r="O39" s="718"/>
      <c r="P39" s="327"/>
      <c r="Q39" s="327"/>
      <c r="R39" s="726">
        <f t="shared" si="4"/>
        <v>5185547</v>
      </c>
    </row>
    <row r="40" spans="1:23" ht="15.75" customHeight="1">
      <c r="A40" s="716" t="s">
        <v>84</v>
      </c>
      <c r="B40" s="721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721">
        <v>0</v>
      </c>
      <c r="L40" s="327">
        <v>0</v>
      </c>
      <c r="M40" s="327">
        <v>0</v>
      </c>
      <c r="N40" s="717">
        <f t="shared" si="3"/>
        <v>20813206</v>
      </c>
      <c r="O40" s="718"/>
      <c r="P40" s="327"/>
      <c r="Q40" s="327"/>
      <c r="R40" s="726">
        <f t="shared" si="4"/>
        <v>20813206</v>
      </c>
    </row>
    <row r="41" spans="1:23" ht="15.75" customHeight="1">
      <c r="A41" s="716" t="s">
        <v>85</v>
      </c>
      <c r="B41" s="727">
        <v>3572443</v>
      </c>
      <c r="C41" s="727">
        <v>0</v>
      </c>
      <c r="D41" s="727">
        <v>0</v>
      </c>
      <c r="E41" s="727">
        <v>0</v>
      </c>
      <c r="F41" s="727">
        <v>0</v>
      </c>
      <c r="G41" s="727">
        <v>0</v>
      </c>
      <c r="H41" s="727">
        <v>0</v>
      </c>
      <c r="I41" s="727">
        <v>0</v>
      </c>
      <c r="J41" s="727">
        <v>0</v>
      </c>
      <c r="K41" s="727">
        <v>0</v>
      </c>
      <c r="L41" s="727">
        <v>0</v>
      </c>
      <c r="M41" s="727">
        <v>0</v>
      </c>
      <c r="N41" s="728">
        <f t="shared" si="3"/>
        <v>3572443</v>
      </c>
      <c r="O41" s="718"/>
      <c r="P41" s="327"/>
      <c r="Q41" s="327"/>
      <c r="R41" s="729">
        <f t="shared" si="4"/>
        <v>3572443</v>
      </c>
    </row>
    <row r="42" spans="1:23">
      <c r="A42" s="722" t="s">
        <v>86</v>
      </c>
      <c r="B42" s="723">
        <f>SUM(B24:B41)</f>
        <v>126573375</v>
      </c>
      <c r="C42" s="723">
        <f t="shared" ref="C42:M42" si="5">SUM(C25:C41)</f>
        <v>8586796</v>
      </c>
      <c r="D42" s="723">
        <f t="shared" si="5"/>
        <v>2683308</v>
      </c>
      <c r="E42" s="723">
        <f t="shared" si="5"/>
        <v>180603</v>
      </c>
      <c r="F42" s="723">
        <f t="shared" si="5"/>
        <v>1296079</v>
      </c>
      <c r="G42" s="723">
        <f t="shared" si="5"/>
        <v>0</v>
      </c>
      <c r="H42" s="723">
        <f t="shared" si="5"/>
        <v>0</v>
      </c>
      <c r="I42" s="723">
        <f t="shared" si="5"/>
        <v>0</v>
      </c>
      <c r="J42" s="723">
        <f t="shared" si="5"/>
        <v>0</v>
      </c>
      <c r="K42" s="723">
        <f t="shared" si="5"/>
        <v>3525403</v>
      </c>
      <c r="L42" s="723">
        <f t="shared" si="5"/>
        <v>751998</v>
      </c>
      <c r="M42" s="723">
        <f t="shared" si="5"/>
        <v>979147</v>
      </c>
      <c r="N42" s="723">
        <f>SUM(N24:N41)</f>
        <v>144576709</v>
      </c>
      <c r="O42" s="724"/>
      <c r="P42" s="723"/>
      <c r="Q42" s="723"/>
      <c r="R42" s="723" t="e">
        <f>SUM(R24:R41)</f>
        <v>#REF!</v>
      </c>
    </row>
    <row r="43" spans="1:23" ht="15.75" customHeight="1">
      <c r="A43" s="716" t="s">
        <v>87</v>
      </c>
      <c r="B43" s="327">
        <v>30006697</v>
      </c>
      <c r="C43" s="730">
        <v>5000</v>
      </c>
      <c r="D43" s="730">
        <v>1105000</v>
      </c>
      <c r="E43" s="730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717">
        <f t="shared" ref="N43:N50" si="6">SUM(B43:M43)</f>
        <v>34816697</v>
      </c>
      <c r="O43" s="718" t="s">
        <v>59</v>
      </c>
      <c r="P43" s="327">
        <f>-(-1104950-800-6800-500-750-4640-740-3751-6000-3624786-10000)</f>
        <v>4763717</v>
      </c>
      <c r="Q43" s="327"/>
      <c r="R43" s="726">
        <f t="shared" ref="R43:R50" si="7">N43-P43+Q43</f>
        <v>30052980</v>
      </c>
      <c r="S43" s="710"/>
    </row>
    <row r="44" spans="1:23" ht="15.75" customHeight="1">
      <c r="A44" s="716" t="s">
        <v>88</v>
      </c>
      <c r="B44" s="327">
        <v>920</v>
      </c>
      <c r="C44" s="730">
        <v>42340052</v>
      </c>
      <c r="D44" s="730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717">
        <f t="shared" si="6"/>
        <v>45837967</v>
      </c>
      <c r="O44" s="718" t="s">
        <v>59</v>
      </c>
      <c r="P44" s="327">
        <f>-(-877313-49015-330450-1833417-31546825-292500)</f>
        <v>34929520</v>
      </c>
      <c r="Q44" s="327"/>
      <c r="R44" s="726">
        <f t="shared" si="7"/>
        <v>10908447</v>
      </c>
      <c r="S44" s="710"/>
      <c r="V44" s="731"/>
    </row>
    <row r="45" spans="1:23" ht="15.75" customHeight="1">
      <c r="A45" s="716" t="s">
        <v>90</v>
      </c>
      <c r="B45" s="327">
        <v>4662954</v>
      </c>
      <c r="C45" s="327">
        <v>0</v>
      </c>
      <c r="D45" s="327">
        <v>0</v>
      </c>
      <c r="E45" s="730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717">
        <f t="shared" si="6"/>
        <v>4663794</v>
      </c>
      <c r="O45" s="718" t="s">
        <v>52</v>
      </c>
      <c r="P45" s="327">
        <f>-(-500-340)</f>
        <v>840</v>
      </c>
      <c r="Q45" s="327"/>
      <c r="R45" s="726">
        <f t="shared" si="7"/>
        <v>4662954</v>
      </c>
      <c r="S45" s="710"/>
    </row>
    <row r="46" spans="1:23" ht="15.75" customHeight="1">
      <c r="A46" s="716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717">
        <f t="shared" si="6"/>
        <v>34797</v>
      </c>
      <c r="O46" s="718"/>
      <c r="P46" s="327"/>
      <c r="Q46" s="327"/>
      <c r="R46" s="726">
        <f t="shared" si="7"/>
        <v>34797</v>
      </c>
      <c r="S46" s="710"/>
    </row>
    <row r="47" spans="1:23" ht="15.75" customHeight="1">
      <c r="A47" s="716" t="s">
        <v>92</v>
      </c>
      <c r="B47" s="327">
        <v>227072</v>
      </c>
      <c r="C47" s="327">
        <v>0</v>
      </c>
      <c r="D47" s="327">
        <v>0</v>
      </c>
      <c r="E47" s="730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717">
        <f t="shared" si="6"/>
        <v>687047</v>
      </c>
      <c r="O47" s="718" t="s">
        <v>52</v>
      </c>
      <c r="P47" s="327">
        <f>-(-74426-109633-1226-274690)</f>
        <v>459975</v>
      </c>
      <c r="Q47" s="327"/>
      <c r="R47" s="726">
        <f t="shared" si="7"/>
        <v>227072</v>
      </c>
      <c r="S47" s="710"/>
      <c r="V47" s="710"/>
    </row>
    <row r="48" spans="1:23" ht="15.75" customHeight="1">
      <c r="A48" s="716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717">
        <f t="shared" si="6"/>
        <v>-3259363</v>
      </c>
      <c r="O48" s="718" t="s">
        <v>59</v>
      </c>
      <c r="P48" s="327"/>
      <c r="Q48" s="327">
        <v>56932</v>
      </c>
      <c r="R48" s="726">
        <f t="shared" si="7"/>
        <v>-3202431</v>
      </c>
      <c r="S48" s="710"/>
      <c r="W48" s="712"/>
    </row>
    <row r="49" spans="1:23" ht="15.75" customHeight="1">
      <c r="A49" s="716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717">
        <f t="shared" si="6"/>
        <v>1353857</v>
      </c>
      <c r="O49" s="718"/>
      <c r="P49" s="327"/>
      <c r="Q49" s="327"/>
      <c r="R49" s="726">
        <f t="shared" si="7"/>
        <v>1353857</v>
      </c>
      <c r="S49" s="710"/>
      <c r="W49" s="712"/>
    </row>
    <row r="50" spans="1:23" ht="15.75" customHeight="1">
      <c r="A50" s="716" t="s">
        <v>95</v>
      </c>
      <c r="B50" s="327">
        <f>31666289+495802-200+5595545</f>
        <v>37757436</v>
      </c>
      <c r="C50" s="730">
        <f>2254833-1077724</f>
        <v>1177109</v>
      </c>
      <c r="D50" s="730">
        <f>-16937+19337</f>
        <v>2400</v>
      </c>
      <c r="E50" s="730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717">
        <f t="shared" si="6"/>
        <v>33492484</v>
      </c>
      <c r="O50" s="718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10"/>
      <c r="T50" s="710"/>
      <c r="V50" s="710"/>
      <c r="W50" s="712"/>
    </row>
    <row r="51" spans="1:23">
      <c r="A51" s="722" t="s">
        <v>100</v>
      </c>
      <c r="B51" s="723">
        <f t="shared" ref="B51:N51" si="8">SUM(B43:B50)</f>
        <v>70841302</v>
      </c>
      <c r="C51" s="723">
        <f t="shared" si="8"/>
        <v>43522161</v>
      </c>
      <c r="D51" s="723">
        <f t="shared" si="8"/>
        <v>1984713</v>
      </c>
      <c r="E51" s="723">
        <f t="shared" si="8"/>
        <v>980163</v>
      </c>
      <c r="F51" s="723">
        <f t="shared" si="8"/>
        <v>-931134</v>
      </c>
      <c r="G51" s="723">
        <f t="shared" si="8"/>
        <v>373713</v>
      </c>
      <c r="H51" s="723">
        <f t="shared" si="8"/>
        <v>7989</v>
      </c>
      <c r="I51" s="723">
        <f t="shared" si="8"/>
        <v>10000</v>
      </c>
      <c r="J51" s="723">
        <f t="shared" si="8"/>
        <v>1140</v>
      </c>
      <c r="K51" s="723">
        <f t="shared" si="8"/>
        <v>1474652</v>
      </c>
      <c r="L51" s="723">
        <f t="shared" si="8"/>
        <v>-102969</v>
      </c>
      <c r="M51" s="723">
        <f t="shared" si="8"/>
        <v>-534450</v>
      </c>
      <c r="N51" s="723">
        <f t="shared" si="8"/>
        <v>117627280</v>
      </c>
      <c r="O51" s="724"/>
      <c r="P51" s="723">
        <f>+SUM(P24:P50)</f>
        <v>59893525</v>
      </c>
      <c r="Q51" s="723" t="e">
        <f>+SUM(Q24:Q50)</f>
        <v>#REF!</v>
      </c>
      <c r="R51" s="723">
        <f>SUM(R43:R50)</f>
        <v>80325352</v>
      </c>
    </row>
    <row r="52" spans="1:23" s="736" customFormat="1" ht="15.75" customHeight="1">
      <c r="A52" s="732"/>
      <c r="B52" s="733">
        <f t="shared" ref="B52:N52" si="9">B23-B42-B51</f>
        <v>0</v>
      </c>
      <c r="C52" s="733">
        <f t="shared" si="9"/>
        <v>0</v>
      </c>
      <c r="D52" s="733">
        <f t="shared" si="9"/>
        <v>0</v>
      </c>
      <c r="E52" s="733">
        <f t="shared" si="9"/>
        <v>0</v>
      </c>
      <c r="F52" s="733">
        <f t="shared" si="9"/>
        <v>0</v>
      </c>
      <c r="G52" s="733">
        <f t="shared" si="9"/>
        <v>0</v>
      </c>
      <c r="H52" s="733">
        <f t="shared" si="9"/>
        <v>0</v>
      </c>
      <c r="I52" s="733">
        <f t="shared" si="9"/>
        <v>0</v>
      </c>
      <c r="J52" s="733">
        <f t="shared" si="9"/>
        <v>0</v>
      </c>
      <c r="K52" s="733">
        <f t="shared" si="9"/>
        <v>0</v>
      </c>
      <c r="L52" s="733">
        <f t="shared" si="9"/>
        <v>0</v>
      </c>
      <c r="M52" s="733">
        <f t="shared" si="9"/>
        <v>0</v>
      </c>
      <c r="N52" s="733">
        <f t="shared" si="9"/>
        <v>0</v>
      </c>
      <c r="O52" s="734"/>
      <c r="P52" s="733">
        <f>P23-P42-P51</f>
        <v>-54184599.999999993</v>
      </c>
      <c r="Q52" s="733" t="e">
        <f>Q23-Q42-Q51</f>
        <v>#REF!</v>
      </c>
      <c r="R52" s="733" t="e">
        <f>R23-R42-R51</f>
        <v>#REF!</v>
      </c>
      <c r="S52" s="735" t="e">
        <f>+R51+R42</f>
        <v>#REF!</v>
      </c>
      <c r="T52" s="735" t="e">
        <f>+S52-R23</f>
        <v>#REF!</v>
      </c>
    </row>
    <row r="53" spans="1:23" s="736" customFormat="1" ht="15.75" customHeight="1">
      <c r="A53" s="732"/>
      <c r="B53" s="733"/>
      <c r="C53" s="733"/>
      <c r="D53" s="733"/>
      <c r="E53" s="733"/>
      <c r="F53" s="733"/>
      <c r="G53" s="733"/>
      <c r="H53" s="733"/>
      <c r="I53" s="733"/>
      <c r="J53" s="733"/>
      <c r="K53" s="733"/>
      <c r="L53" s="733"/>
      <c r="M53" s="733"/>
      <c r="N53" s="733"/>
      <c r="O53" s="734"/>
      <c r="P53" s="733">
        <f>+Q23-P23</f>
        <v>54631102.999999993</v>
      </c>
      <c r="Q53" s="737" t="e">
        <f>+P51-Q51</f>
        <v>#REF!</v>
      </c>
      <c r="R53" s="733"/>
      <c r="S53" s="735"/>
      <c r="T53" s="735"/>
    </row>
    <row r="54" spans="1:23" ht="78" customHeight="1">
      <c r="A54" s="714" t="s">
        <v>3</v>
      </c>
      <c r="B54" s="715" t="s">
        <v>800</v>
      </c>
      <c r="C54" s="715" t="s">
        <v>801</v>
      </c>
      <c r="D54" s="715" t="s">
        <v>802</v>
      </c>
      <c r="E54" s="715" t="s">
        <v>803</v>
      </c>
      <c r="F54" s="715" t="s">
        <v>804</v>
      </c>
      <c r="G54" s="715" t="s">
        <v>805</v>
      </c>
      <c r="H54" s="715" t="s">
        <v>806</v>
      </c>
      <c r="I54" s="715" t="s">
        <v>807</v>
      </c>
      <c r="J54" s="715" t="s">
        <v>808</v>
      </c>
      <c r="K54" s="715" t="s">
        <v>809</v>
      </c>
      <c r="L54" s="715" t="s">
        <v>810</v>
      </c>
      <c r="M54" s="715" t="s">
        <v>811</v>
      </c>
      <c r="N54" s="715" t="s">
        <v>259</v>
      </c>
      <c r="O54" s="715" t="s">
        <v>17</v>
      </c>
      <c r="P54" s="715" t="s">
        <v>18</v>
      </c>
      <c r="Q54" s="715" t="s">
        <v>19</v>
      </c>
      <c r="R54" s="715" t="s">
        <v>33</v>
      </c>
    </row>
    <row r="55" spans="1:23" ht="15.75" customHeight="1">
      <c r="A55" s="738" t="s">
        <v>101</v>
      </c>
      <c r="B55" s="739">
        <v>152924768</v>
      </c>
      <c r="C55" s="739">
        <v>1907995</v>
      </c>
      <c r="D55" s="739">
        <v>636407</v>
      </c>
      <c r="E55" s="739">
        <v>0</v>
      </c>
      <c r="F55" s="739">
        <v>0</v>
      </c>
      <c r="G55" s="739">
        <v>0</v>
      </c>
      <c r="H55" s="739">
        <v>0</v>
      </c>
      <c r="I55" s="739">
        <v>0</v>
      </c>
      <c r="J55" s="739">
        <v>0</v>
      </c>
      <c r="K55" s="739">
        <v>120923</v>
      </c>
      <c r="L55" s="739">
        <v>280002</v>
      </c>
      <c r="M55" s="739">
        <v>162445</v>
      </c>
      <c r="N55" s="740">
        <f>SUM(B55:M55)</f>
        <v>156032540</v>
      </c>
      <c r="O55" s="741" t="s">
        <v>41</v>
      </c>
      <c r="P55" s="739">
        <f>'Ventas-Compras (d)'!D26</f>
        <v>376468.58</v>
      </c>
      <c r="Q55" s="739"/>
      <c r="R55" s="742">
        <f>N55-P55+Q55</f>
        <v>155656071.41999999</v>
      </c>
    </row>
    <row r="56" spans="1:23" ht="15.75" customHeight="1">
      <c r="A56" s="716" t="s">
        <v>102</v>
      </c>
      <c r="B56" s="743">
        <v>-100189814</v>
      </c>
      <c r="C56" s="743">
        <v>-2677882</v>
      </c>
      <c r="D56" s="743">
        <v>-187557</v>
      </c>
      <c r="E56" s="743">
        <v>0</v>
      </c>
      <c r="F56" s="743">
        <v>0</v>
      </c>
      <c r="G56" s="743">
        <v>0</v>
      </c>
      <c r="H56" s="743">
        <v>0</v>
      </c>
      <c r="I56" s="743">
        <v>0</v>
      </c>
      <c r="J56" s="743">
        <v>0</v>
      </c>
      <c r="K56" s="743">
        <v>-299751</v>
      </c>
      <c r="L56" s="743">
        <v>-199020</v>
      </c>
      <c r="M56" s="743">
        <v>-118573</v>
      </c>
      <c r="N56" s="728">
        <f>SUM(B56:M56)</f>
        <v>-103672597</v>
      </c>
      <c r="O56" s="744" t="s">
        <v>41</v>
      </c>
      <c r="P56" s="743"/>
      <c r="Q56" s="743">
        <f>'Ventas-Compras (d)'!E27</f>
        <v>357344</v>
      </c>
      <c r="R56" s="727">
        <f>N56-P56+Q56</f>
        <v>-103315253</v>
      </c>
    </row>
    <row r="57" spans="1:23" ht="15.75" customHeight="1">
      <c r="A57" s="716" t="s">
        <v>103</v>
      </c>
      <c r="B57" s="745">
        <f t="shared" ref="B57:N57" si="10">SUM(B55:B56)</f>
        <v>52734954</v>
      </c>
      <c r="C57" s="745">
        <f t="shared" si="10"/>
        <v>-769887</v>
      </c>
      <c r="D57" s="745">
        <f t="shared" si="10"/>
        <v>448850</v>
      </c>
      <c r="E57" s="745">
        <f t="shared" si="10"/>
        <v>0</v>
      </c>
      <c r="F57" s="745">
        <f t="shared" si="10"/>
        <v>0</v>
      </c>
      <c r="G57" s="745">
        <f t="shared" si="10"/>
        <v>0</v>
      </c>
      <c r="H57" s="745">
        <f t="shared" si="10"/>
        <v>0</v>
      </c>
      <c r="I57" s="745">
        <f t="shared" si="10"/>
        <v>0</v>
      </c>
      <c r="J57" s="745">
        <f t="shared" si="10"/>
        <v>0</v>
      </c>
      <c r="K57" s="745">
        <f t="shared" si="10"/>
        <v>-178828</v>
      </c>
      <c r="L57" s="745">
        <f t="shared" si="10"/>
        <v>80982</v>
      </c>
      <c r="M57" s="745">
        <f t="shared" si="10"/>
        <v>43872</v>
      </c>
      <c r="N57" s="745">
        <f t="shared" si="10"/>
        <v>52359943</v>
      </c>
      <c r="O57" s="744"/>
      <c r="P57" s="745">
        <f>SUM(P55:P56)</f>
        <v>376468.58</v>
      </c>
      <c r="Q57" s="745">
        <f>SUM(Q55:Q56)</f>
        <v>357344</v>
      </c>
      <c r="R57" s="745">
        <f>SUM(R55:R56)</f>
        <v>52340818.419999987</v>
      </c>
    </row>
    <row r="58" spans="1:23" ht="15.75" customHeight="1">
      <c r="A58" s="746"/>
      <c r="B58" s="747"/>
      <c r="C58" s="747"/>
      <c r="D58" s="747"/>
      <c r="E58" s="747"/>
      <c r="F58" s="747"/>
      <c r="G58" s="747"/>
      <c r="H58" s="747"/>
      <c r="I58" s="747"/>
      <c r="J58" s="747"/>
      <c r="K58" s="747"/>
      <c r="L58" s="747"/>
      <c r="M58" s="747"/>
      <c r="N58" s="717"/>
      <c r="O58" s="744"/>
      <c r="P58" s="747"/>
      <c r="Q58" s="747"/>
      <c r="R58" s="327"/>
    </row>
    <row r="59" spans="1:23" ht="15.75" customHeight="1">
      <c r="A59" s="716" t="s">
        <v>104</v>
      </c>
      <c r="B59" s="747">
        <v>-33320786</v>
      </c>
      <c r="C59" s="747">
        <v>-306890</v>
      </c>
      <c r="D59" s="747">
        <f>-429513+54059</f>
        <v>-375454</v>
      </c>
      <c r="E59" s="747">
        <v>-15891</v>
      </c>
      <c r="F59" s="747">
        <v>-493384</v>
      </c>
      <c r="G59" s="747">
        <v>-13474</v>
      </c>
      <c r="H59" s="747">
        <v>0</v>
      </c>
      <c r="I59" s="747">
        <v>0</v>
      </c>
      <c r="J59" s="747">
        <v>0</v>
      </c>
      <c r="K59" s="747">
        <f>-165338+23</f>
        <v>-165315</v>
      </c>
      <c r="L59" s="747">
        <v>-586188</v>
      </c>
      <c r="M59" s="747">
        <v>-444288</v>
      </c>
      <c r="N59" s="717">
        <f>SUM(B59:M59)</f>
        <v>-35721670</v>
      </c>
      <c r="O59" s="744"/>
      <c r="P59" s="747"/>
      <c r="Q59" s="747">
        <f>'Ventas-Compras (d)'!E28</f>
        <v>7818.58</v>
      </c>
      <c r="R59" s="327">
        <f>N59-P59+Q59</f>
        <v>-35713851.420000002</v>
      </c>
    </row>
    <row r="60" spans="1:23" ht="15.75" customHeight="1">
      <c r="A60" s="748" t="s">
        <v>105</v>
      </c>
      <c r="B60" s="743">
        <v>-3618624</v>
      </c>
      <c r="C60" s="743">
        <v>-947</v>
      </c>
      <c r="D60" s="743">
        <v>0</v>
      </c>
      <c r="E60" s="743">
        <v>0</v>
      </c>
      <c r="F60" s="743">
        <v>0</v>
      </c>
      <c r="G60" s="743">
        <v>0</v>
      </c>
      <c r="H60" s="743">
        <v>0</v>
      </c>
      <c r="I60" s="743">
        <v>0</v>
      </c>
      <c r="J60" s="743">
        <v>0</v>
      </c>
      <c r="K60" s="743">
        <v>0</v>
      </c>
      <c r="L60" s="743">
        <v>17690</v>
      </c>
      <c r="M60" s="743">
        <v>4857</v>
      </c>
      <c r="N60" s="728">
        <f>SUM(B60:M60)</f>
        <v>-3597024</v>
      </c>
      <c r="O60" s="744" t="s">
        <v>51</v>
      </c>
      <c r="P60" s="743" t="e">
        <f>#REF!</f>
        <v>#REF!</v>
      </c>
      <c r="Q60" s="743" t="e">
        <f>#REF!</f>
        <v>#REF!</v>
      </c>
      <c r="R60" s="727" t="e">
        <f>N60-P60+Q60</f>
        <v>#REF!</v>
      </c>
    </row>
    <row r="61" spans="1:23" ht="15.75" customHeight="1">
      <c r="A61" s="748" t="s">
        <v>107</v>
      </c>
      <c r="B61" s="745">
        <f t="shared" ref="B61:N61" si="11">SUM(B57:B60)</f>
        <v>15795544</v>
      </c>
      <c r="C61" s="745">
        <f t="shared" si="11"/>
        <v>-1077724</v>
      </c>
      <c r="D61" s="745">
        <f t="shared" si="11"/>
        <v>73396</v>
      </c>
      <c r="E61" s="745">
        <f t="shared" si="11"/>
        <v>-15891</v>
      </c>
      <c r="F61" s="745">
        <f t="shared" si="11"/>
        <v>-493384</v>
      </c>
      <c r="G61" s="745">
        <f t="shared" si="11"/>
        <v>-13474</v>
      </c>
      <c r="H61" s="745">
        <f t="shared" si="11"/>
        <v>0</v>
      </c>
      <c r="I61" s="745">
        <f t="shared" si="11"/>
        <v>0</v>
      </c>
      <c r="J61" s="745">
        <f t="shared" si="11"/>
        <v>0</v>
      </c>
      <c r="K61" s="745">
        <f t="shared" si="11"/>
        <v>-344143</v>
      </c>
      <c r="L61" s="745">
        <f t="shared" si="11"/>
        <v>-487516</v>
      </c>
      <c r="M61" s="745">
        <f t="shared" si="11"/>
        <v>-395559</v>
      </c>
      <c r="N61" s="745">
        <f t="shared" si="11"/>
        <v>13041249</v>
      </c>
      <c r="O61" s="744"/>
      <c r="P61" s="745" t="e">
        <f>SUM(P57:P60)</f>
        <v>#REF!</v>
      </c>
      <c r="Q61" s="745" t="e">
        <f>SUM(Q57:Q60)</f>
        <v>#REF!</v>
      </c>
      <c r="R61" s="745" t="e">
        <f>SUM(R57:R60)</f>
        <v>#REF!</v>
      </c>
    </row>
    <row r="62" spans="1:23" ht="15.75" customHeight="1">
      <c r="A62" s="748"/>
      <c r="B62" s="747"/>
      <c r="C62" s="747"/>
      <c r="D62" s="747"/>
      <c r="E62" s="747"/>
      <c r="F62" s="747"/>
      <c r="G62" s="747"/>
      <c r="H62" s="747"/>
      <c r="I62" s="747"/>
      <c r="J62" s="747"/>
      <c r="K62" s="747"/>
      <c r="L62" s="747"/>
      <c r="M62" s="747"/>
      <c r="N62" s="717"/>
      <c r="O62" s="744"/>
      <c r="P62" s="747"/>
      <c r="Q62" s="747"/>
      <c r="R62" s="327"/>
      <c r="S62" s="710" t="e">
        <f>Q60+Q59+Q56</f>
        <v>#REF!</v>
      </c>
    </row>
    <row r="63" spans="1:23" ht="15.75" customHeight="1">
      <c r="A63" s="748" t="s">
        <v>108</v>
      </c>
      <c r="B63" s="743">
        <f>-5186848</f>
        <v>-5186848</v>
      </c>
      <c r="C63" s="743">
        <v>0</v>
      </c>
      <c r="D63" s="743">
        <v>0</v>
      </c>
      <c r="E63" s="743">
        <v>0</v>
      </c>
      <c r="F63" s="743">
        <v>0</v>
      </c>
      <c r="G63" s="743">
        <v>0</v>
      </c>
      <c r="H63" s="743">
        <v>0</v>
      </c>
      <c r="I63" s="743">
        <v>0</v>
      </c>
      <c r="J63" s="743">
        <v>0</v>
      </c>
      <c r="K63" s="743">
        <v>0</v>
      </c>
      <c r="L63" s="743">
        <v>-14885</v>
      </c>
      <c r="M63" s="743">
        <v>0</v>
      </c>
      <c r="N63" s="728">
        <f>SUM(B63:M63)</f>
        <v>-5201733</v>
      </c>
      <c r="O63" s="744"/>
      <c r="P63" s="743"/>
      <c r="Q63" s="743"/>
      <c r="R63" s="727">
        <f>N63-P63+Q63</f>
        <v>-5201733</v>
      </c>
      <c r="S63" s="710">
        <f>P55</f>
        <v>376468.58</v>
      </c>
    </row>
    <row r="64" spans="1:23" ht="15.75" customHeight="1">
      <c r="A64" s="748" t="s">
        <v>109</v>
      </c>
      <c r="B64" s="745">
        <f t="shared" ref="B64:N64" si="12">+B61+B63</f>
        <v>10608696</v>
      </c>
      <c r="C64" s="745">
        <f t="shared" si="12"/>
        <v>-1077724</v>
      </c>
      <c r="D64" s="745">
        <f t="shared" si="12"/>
        <v>73396</v>
      </c>
      <c r="E64" s="745">
        <f t="shared" si="12"/>
        <v>-15891</v>
      </c>
      <c r="F64" s="745">
        <f t="shared" si="12"/>
        <v>-493384</v>
      </c>
      <c r="G64" s="745">
        <f t="shared" si="12"/>
        <v>-13474</v>
      </c>
      <c r="H64" s="745">
        <f t="shared" si="12"/>
        <v>0</v>
      </c>
      <c r="I64" s="745">
        <f t="shared" si="12"/>
        <v>0</v>
      </c>
      <c r="J64" s="745">
        <f t="shared" si="12"/>
        <v>0</v>
      </c>
      <c r="K64" s="745">
        <f t="shared" si="12"/>
        <v>-344143</v>
      </c>
      <c r="L64" s="745">
        <f t="shared" si="12"/>
        <v>-502401</v>
      </c>
      <c r="M64" s="745">
        <f t="shared" si="12"/>
        <v>-395559</v>
      </c>
      <c r="N64" s="745">
        <f t="shared" si="12"/>
        <v>7839516</v>
      </c>
      <c r="O64" s="744"/>
      <c r="P64" s="745" t="e">
        <f>+P61+P63</f>
        <v>#REF!</v>
      </c>
      <c r="Q64" s="745" t="e">
        <f>+Q61+Q63</f>
        <v>#REF!</v>
      </c>
      <c r="R64" s="745" t="e">
        <f>+R61+R63</f>
        <v>#REF!</v>
      </c>
      <c r="S64" s="710" t="e">
        <f>S63-S62</f>
        <v>#REF!</v>
      </c>
    </row>
    <row r="65" spans="1:22" ht="15.75" customHeight="1">
      <c r="A65" s="748"/>
      <c r="B65" s="745"/>
      <c r="C65" s="745"/>
      <c r="D65" s="745"/>
      <c r="E65" s="745"/>
      <c r="F65" s="745"/>
      <c r="G65" s="745"/>
      <c r="H65" s="745"/>
      <c r="I65" s="745"/>
      <c r="J65" s="745"/>
      <c r="K65" s="745"/>
      <c r="L65" s="745"/>
      <c r="M65" s="745"/>
      <c r="N65" s="745"/>
      <c r="O65" s="744"/>
      <c r="P65" s="747"/>
      <c r="Q65" s="747"/>
      <c r="R65" s="745"/>
    </row>
    <row r="66" spans="1:22" ht="15.75" customHeight="1">
      <c r="A66" s="748" t="s">
        <v>110</v>
      </c>
      <c r="B66" s="747">
        <v>-1591304</v>
      </c>
      <c r="C66" s="747"/>
      <c r="D66" s="747"/>
      <c r="E66" s="747"/>
      <c r="F66" s="747"/>
      <c r="G66" s="747"/>
      <c r="H66" s="747"/>
      <c r="I66" s="747"/>
      <c r="J66" s="747"/>
      <c r="K66" s="747"/>
      <c r="L66" s="747"/>
      <c r="M66" s="747"/>
      <c r="N66" s="717">
        <f>SUM(B66:M66)</f>
        <v>-1591304</v>
      </c>
      <c r="O66" s="744"/>
      <c r="P66" s="747"/>
      <c r="Q66" s="747"/>
      <c r="R66" s="327">
        <f>N66-P66+Q66</f>
        <v>-1591304</v>
      </c>
    </row>
    <row r="67" spans="1:22" ht="15.75" customHeight="1">
      <c r="A67" s="716" t="s">
        <v>111</v>
      </c>
      <c r="B67" s="327">
        <v>-3421847</v>
      </c>
      <c r="C67" s="327">
        <v>0</v>
      </c>
      <c r="D67" s="327">
        <v>-54059</v>
      </c>
      <c r="E67" s="327"/>
      <c r="F67" s="727">
        <v>0</v>
      </c>
      <c r="G67" s="727">
        <v>0</v>
      </c>
      <c r="H67" s="727">
        <v>0</v>
      </c>
      <c r="I67" s="727">
        <v>0</v>
      </c>
      <c r="J67" s="727">
        <v>0</v>
      </c>
      <c r="K67" s="727">
        <v>0</v>
      </c>
      <c r="L67" s="727">
        <v>0</v>
      </c>
      <c r="M67" s="727">
        <v>0</v>
      </c>
      <c r="N67" s="728">
        <f>SUM(B67:M67)</f>
        <v>-3475906</v>
      </c>
      <c r="O67" s="718"/>
      <c r="P67" s="727"/>
      <c r="Q67" s="743"/>
      <c r="R67" s="727">
        <f>N67-P67+Q67</f>
        <v>-3475906</v>
      </c>
    </row>
    <row r="68" spans="1:22">
      <c r="A68" s="716" t="s">
        <v>112</v>
      </c>
      <c r="B68" s="725">
        <f t="shared" ref="B68:G68" si="13">+B64+B66+B67</f>
        <v>5595545</v>
      </c>
      <c r="C68" s="725">
        <f t="shared" si="13"/>
        <v>-1077724</v>
      </c>
      <c r="D68" s="725">
        <f t="shared" si="13"/>
        <v>19337</v>
      </c>
      <c r="E68" s="725">
        <f t="shared" si="13"/>
        <v>-15891</v>
      </c>
      <c r="F68" s="749">
        <f t="shared" si="13"/>
        <v>-493384</v>
      </c>
      <c r="G68" s="749">
        <f t="shared" si="13"/>
        <v>-13474</v>
      </c>
      <c r="H68" s="749">
        <f>+H64+H67</f>
        <v>0</v>
      </c>
      <c r="I68" s="749">
        <f>+I64+I67</f>
        <v>0</v>
      </c>
      <c r="J68" s="749">
        <f>+J64+J67</f>
        <v>0</v>
      </c>
      <c r="K68" s="749">
        <f>+K64+K66+K67</f>
        <v>-344143</v>
      </c>
      <c r="L68" s="749">
        <f>+L64+L66+L67</f>
        <v>-502401</v>
      </c>
      <c r="M68" s="749">
        <f>+M64+M66+M67</f>
        <v>-395559</v>
      </c>
      <c r="N68" s="749">
        <f>+N64+N66+N67</f>
        <v>2772306</v>
      </c>
      <c r="O68" s="718"/>
      <c r="P68" s="749" t="e">
        <f>+P64+P66+P67</f>
        <v>#REF!</v>
      </c>
      <c r="Q68" s="749" t="e">
        <f>+Q64+Q66+Q67</f>
        <v>#REF!</v>
      </c>
      <c r="R68" s="749" t="e">
        <f>+R64+R66+R67</f>
        <v>#REF!</v>
      </c>
    </row>
    <row r="69" spans="1:22">
      <c r="A69" s="716"/>
      <c r="B69" s="725"/>
      <c r="C69" s="725"/>
      <c r="D69" s="725"/>
      <c r="E69" s="725"/>
      <c r="F69" s="725"/>
      <c r="G69" s="725"/>
      <c r="H69" s="725"/>
      <c r="I69" s="725"/>
      <c r="J69" s="725"/>
      <c r="K69" s="725"/>
      <c r="L69" s="725"/>
      <c r="M69" s="725"/>
      <c r="N69" s="725"/>
      <c r="O69" s="718"/>
      <c r="P69" s="725"/>
      <c r="Q69" s="725"/>
      <c r="R69" s="725"/>
    </row>
    <row r="70" spans="1:22">
      <c r="A70" s="716" t="s">
        <v>113</v>
      </c>
      <c r="B70" s="327">
        <f>'ECP20'!J29</f>
        <v>1849659</v>
      </c>
      <c r="C70" s="725"/>
      <c r="D70" s="725"/>
      <c r="E70" s="725"/>
      <c r="F70" s="725"/>
      <c r="G70" s="725"/>
      <c r="H70" s="725"/>
      <c r="I70" s="725"/>
      <c r="J70" s="725"/>
      <c r="K70" s="725"/>
      <c r="L70" s="725"/>
      <c r="M70" s="725"/>
      <c r="N70" s="717">
        <f>SUM(B70:M70)</f>
        <v>1849659</v>
      </c>
      <c r="O70" s="718"/>
      <c r="P70" s="725"/>
      <c r="Q70" s="725"/>
      <c r="R70" s="327">
        <f>N70-P70+Q70</f>
        <v>1849659</v>
      </c>
    </row>
    <row r="71" spans="1:22">
      <c r="A71" s="722" t="s">
        <v>98</v>
      </c>
      <c r="B71" s="723">
        <f t="shared" ref="B71:N71" si="14">B68+B70</f>
        <v>7445204</v>
      </c>
      <c r="C71" s="723">
        <f t="shared" si="14"/>
        <v>-1077724</v>
      </c>
      <c r="D71" s="723">
        <f t="shared" si="14"/>
        <v>19337</v>
      </c>
      <c r="E71" s="723">
        <f t="shared" si="14"/>
        <v>-15891</v>
      </c>
      <c r="F71" s="723">
        <f t="shared" si="14"/>
        <v>-493384</v>
      </c>
      <c r="G71" s="723">
        <f t="shared" si="14"/>
        <v>-13474</v>
      </c>
      <c r="H71" s="723">
        <f t="shared" si="14"/>
        <v>0</v>
      </c>
      <c r="I71" s="723">
        <f t="shared" si="14"/>
        <v>0</v>
      </c>
      <c r="J71" s="723">
        <f t="shared" si="14"/>
        <v>0</v>
      </c>
      <c r="K71" s="723">
        <f t="shared" si="14"/>
        <v>-344143</v>
      </c>
      <c r="L71" s="723">
        <f t="shared" si="14"/>
        <v>-502401</v>
      </c>
      <c r="M71" s="723">
        <f t="shared" si="14"/>
        <v>-395559</v>
      </c>
      <c r="N71" s="723">
        <f t="shared" si="14"/>
        <v>4621965</v>
      </c>
      <c r="O71" s="724"/>
      <c r="P71" s="723" t="e">
        <f>P68+P70</f>
        <v>#REF!</v>
      </c>
      <c r="Q71" s="723" t="e">
        <f>Q68+Q70</f>
        <v>#REF!</v>
      </c>
      <c r="R71" s="723" t="e">
        <f>R68+R70</f>
        <v>#REF!</v>
      </c>
    </row>
    <row r="72" spans="1:22">
      <c r="A72" s="732"/>
      <c r="B72" s="750"/>
      <c r="C72" s="750"/>
      <c r="D72" s="750"/>
      <c r="E72" s="751"/>
      <c r="F72" s="750"/>
      <c r="G72" s="750"/>
      <c r="H72" s="750"/>
      <c r="I72" s="750"/>
      <c r="J72" s="750"/>
      <c r="K72" s="750"/>
      <c r="L72" s="750"/>
      <c r="M72" s="750"/>
      <c r="N72" s="750"/>
      <c r="O72" s="752"/>
      <c r="P72" s="750"/>
      <c r="Q72" s="750"/>
      <c r="R72" s="750"/>
    </row>
    <row r="73" spans="1:22" ht="21.75" customHeight="1">
      <c r="A73" s="753"/>
      <c r="B73" s="710"/>
    </row>
    <row r="74" spans="1:22" ht="21.75" customHeight="1">
      <c r="A74" s="754"/>
      <c r="B74" s="755">
        <f t="shared" ref="B74:N74" si="15">+B51+B42-B23</f>
        <v>0</v>
      </c>
      <c r="C74" s="755">
        <f t="shared" si="15"/>
        <v>0</v>
      </c>
      <c r="D74" s="755">
        <f t="shared" si="15"/>
        <v>0</v>
      </c>
      <c r="E74" s="755">
        <f t="shared" si="15"/>
        <v>0</v>
      </c>
      <c r="F74" s="755">
        <f t="shared" si="15"/>
        <v>0</v>
      </c>
      <c r="G74" s="755">
        <f t="shared" si="15"/>
        <v>0</v>
      </c>
      <c r="H74" s="755">
        <f t="shared" si="15"/>
        <v>0</v>
      </c>
      <c r="I74" s="755">
        <f t="shared" si="15"/>
        <v>0</v>
      </c>
      <c r="J74" s="755">
        <f t="shared" si="15"/>
        <v>0</v>
      </c>
      <c r="K74" s="755">
        <f t="shared" si="15"/>
        <v>0</v>
      </c>
      <c r="L74" s="755">
        <f t="shared" si="15"/>
        <v>0</v>
      </c>
      <c r="M74" s="755">
        <f t="shared" si="15"/>
        <v>0</v>
      </c>
      <c r="N74" s="755">
        <f t="shared" si="15"/>
        <v>0</v>
      </c>
      <c r="P74" s="710" t="e">
        <f>SUM(P5:P73)</f>
        <v>#REF!</v>
      </c>
      <c r="Q74" s="710" t="e">
        <f>SUM(Q5:Q73)</f>
        <v>#REF!</v>
      </c>
      <c r="R74" s="755" t="e">
        <f>+R51+R42-R23</f>
        <v>#REF!</v>
      </c>
    </row>
    <row r="75" spans="1:22">
      <c r="B75" s="710"/>
      <c r="C75" s="710"/>
      <c r="D75" s="710"/>
      <c r="E75" s="710"/>
      <c r="F75" s="710"/>
      <c r="G75" s="710"/>
      <c r="H75" s="710"/>
      <c r="I75" s="710"/>
      <c r="J75" s="710"/>
      <c r="K75" s="710"/>
      <c r="L75" s="710"/>
      <c r="M75" s="710"/>
      <c r="Q75" s="710"/>
      <c r="T75" s="710"/>
    </row>
    <row r="76" spans="1:22">
      <c r="A76" s="756" t="s">
        <v>115</v>
      </c>
      <c r="B76" s="712">
        <f>+B71*100%</f>
        <v>7445204</v>
      </c>
      <c r="C76" s="712">
        <f>+C71*'Variación Patrimonio 2017-2016'!L4</f>
        <v>-808508.54480000003</v>
      </c>
      <c r="D76" s="712">
        <f>+D71*'Variación Patrimonio 2017-2016'!L21</f>
        <v>19336.125022624434</v>
      </c>
      <c r="E76" s="710">
        <f>+E71*'Variación Patrimonio 2017-2016'!L40</f>
        <v>-10805.880000000001</v>
      </c>
      <c r="F76" s="710">
        <f>+F71*'Variación Patrimonio 2017-2016'!L56</f>
        <v>-246692</v>
      </c>
      <c r="G76" s="710">
        <f>+G71*'Variación Patrimonio 2017-2016'!L74</f>
        <v>-10105.5</v>
      </c>
      <c r="H76" s="712">
        <v>0</v>
      </c>
      <c r="I76" s="712">
        <v>0</v>
      </c>
      <c r="J76" s="712">
        <v>0</v>
      </c>
      <c r="K76" s="712">
        <f>+K71*'Variación Patrimonio 2017-2016'!L143</f>
        <v>-318332.27500000002</v>
      </c>
      <c r="L76" s="712">
        <f>+L71*'Variación Patrimonio 2017-2016'!L160</f>
        <v>-492352.98</v>
      </c>
      <c r="M76" s="712">
        <f>+M71*'Variación Patrimonio 2017-2016'!L185</f>
        <v>-395559</v>
      </c>
      <c r="N76" s="757">
        <f>SUM(B76:M76)</f>
        <v>5182183.9452226236</v>
      </c>
      <c r="P76" s="710" t="e">
        <f>+P60+P55</f>
        <v>#REF!</v>
      </c>
      <c r="Q76" s="757" t="e">
        <f>Q56+Q60+Q59</f>
        <v>#REF!</v>
      </c>
      <c r="R76" s="757" t="e">
        <f>+N76-P76+Q76</f>
        <v>#REF!</v>
      </c>
      <c r="S76" s="758"/>
    </row>
    <row r="77" spans="1:22">
      <c r="A77" s="756" t="s">
        <v>117</v>
      </c>
      <c r="B77" s="712">
        <f t="shared" ref="B77:M77" si="16">+B71-B76</f>
        <v>0</v>
      </c>
      <c r="C77" s="731">
        <f t="shared" si="16"/>
        <v>-269215.45519999997</v>
      </c>
      <c r="D77" s="731">
        <f t="shared" si="16"/>
        <v>0.87497737556623179</v>
      </c>
      <c r="E77" s="712">
        <f t="shared" si="16"/>
        <v>-5085.119999999999</v>
      </c>
      <c r="F77" s="712">
        <f t="shared" si="16"/>
        <v>-246692</v>
      </c>
      <c r="G77" s="712">
        <f t="shared" si="16"/>
        <v>-3368.5</v>
      </c>
      <c r="H77" s="712">
        <f t="shared" si="16"/>
        <v>0</v>
      </c>
      <c r="I77" s="712">
        <f t="shared" si="16"/>
        <v>0</v>
      </c>
      <c r="J77" s="712">
        <f t="shared" si="16"/>
        <v>0</v>
      </c>
      <c r="K77" s="731">
        <f t="shared" si="16"/>
        <v>-25810.724999999977</v>
      </c>
      <c r="L77" s="731">
        <f t="shared" si="16"/>
        <v>-10048.020000000019</v>
      </c>
      <c r="M77" s="712">
        <f t="shared" si="16"/>
        <v>0</v>
      </c>
      <c r="N77" s="757">
        <f>SUM(B77:M77)</f>
        <v>-560218.94522262446</v>
      </c>
      <c r="Q77" s="757"/>
      <c r="R77" s="757">
        <f>+N77-P77+Q77</f>
        <v>-560218.94522262446</v>
      </c>
      <c r="U77" s="712"/>
      <c r="V77" s="757"/>
    </row>
    <row r="78" spans="1:22">
      <c r="C78" s="758">
        <f>+C76+C77</f>
        <v>-1077724</v>
      </c>
      <c r="D78" s="758">
        <f>+D76+D77</f>
        <v>19337</v>
      </c>
      <c r="E78" s="758">
        <f>+E76+E77</f>
        <v>-15891</v>
      </c>
      <c r="F78" s="758">
        <f>+F76+F77</f>
        <v>-493384</v>
      </c>
      <c r="G78" s="758">
        <f>+G76+G77</f>
        <v>-13474</v>
      </c>
      <c r="K78" s="758">
        <f>+K76+K77</f>
        <v>-344143</v>
      </c>
      <c r="L78" s="758">
        <f>+L76+L77</f>
        <v>-502401</v>
      </c>
      <c r="M78" s="758">
        <f>+M76+M77</f>
        <v>-395559</v>
      </c>
    </row>
    <row r="80" spans="1:22">
      <c r="Q80" s="731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812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813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812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812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759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1079" t="s">
        <v>148</v>
      </c>
      <c r="G2" s="1079"/>
      <c r="H2" s="1079"/>
      <c r="J2" s="1079" t="s">
        <v>149</v>
      </c>
      <c r="K2" s="1079"/>
      <c r="L2" s="1079"/>
      <c r="M2" s="1079"/>
      <c r="N2" s="1079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1080" t="s">
        <v>299</v>
      </c>
      <c r="E8" s="1080"/>
      <c r="F8" s="1080"/>
      <c r="G8" s="1080"/>
      <c r="H8" s="1080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1081" t="s">
        <v>301</v>
      </c>
      <c r="F9" s="1081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1080" t="s">
        <v>299</v>
      </c>
      <c r="E13" s="1080"/>
      <c r="F13" s="1080"/>
      <c r="G13" s="1080"/>
      <c r="H13" s="1080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1081" t="s">
        <v>301</v>
      </c>
      <c r="F31" s="1081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1080" t="s">
        <v>299</v>
      </c>
      <c r="E35" s="1080"/>
      <c r="F35" s="1080"/>
      <c r="G35" s="1080"/>
      <c r="H35" s="1080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1083" t="s">
        <v>301</v>
      </c>
      <c r="F42" s="1083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1080" t="s">
        <v>299</v>
      </c>
      <c r="E46" s="1080"/>
      <c r="F46" s="1080"/>
      <c r="G46" s="1080"/>
      <c r="H46" s="1080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1083" t="s">
        <v>301</v>
      </c>
      <c r="F64" s="1083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1080" t="s">
        <v>328</v>
      </c>
      <c r="E79" s="1080"/>
      <c r="F79" s="1080"/>
      <c r="G79" s="1080"/>
      <c r="H79" s="1080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1082" t="s">
        <v>337</v>
      </c>
      <c r="E101" s="1082"/>
      <c r="F101" s="1082"/>
      <c r="G101" s="1082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1082" t="s">
        <v>209</v>
      </c>
      <c r="E102" s="1082"/>
      <c r="F102" s="1082"/>
      <c r="G102" s="1082"/>
      <c r="H102" s="1082"/>
    </row>
    <row r="103" spans="2:9" ht="15" customHeight="1">
      <c r="B103" s="293" t="s">
        <v>339</v>
      </c>
      <c r="C103" s="294">
        <f>+C86+C53+C20</f>
        <v>394335.36694421433</v>
      </c>
      <c r="D103" s="1082" t="s">
        <v>62</v>
      </c>
      <c r="E103" s="1082"/>
      <c r="F103" s="1082"/>
      <c r="G103" s="1082"/>
    </row>
    <row r="105" spans="2:9">
      <c r="E105" s="268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</vt:i4>
      </vt:variant>
    </vt:vector>
  </HeadingPairs>
  <TitlesOfParts>
    <vt:vector size="31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AD ESF</vt:lpstr>
      <vt:lpstr>AD ERI</vt:lpstr>
      <vt:lpstr>Planilla final</vt:lpstr>
      <vt:lpstr>ESF20</vt:lpstr>
      <vt:lpstr>ERI20</vt:lpstr>
      <vt:lpstr>ECP20</vt:lpstr>
      <vt:lpstr>EFE20</vt:lpstr>
      <vt:lpstr>Hoja de trabajo</vt:lpstr>
      <vt:lpstr>Sheet1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2021-06-26T03:19:21Z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