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Carlos Almeida\Documents\GitHub\consolidados\Combinado 2020\"/>
    </mc:Choice>
  </mc:AlternateContent>
  <xr:revisionPtr revIDLastSave="0" documentId="13_ncr:1_{5EAA1601-8C3E-43B3-B1DC-3247DCF40232}" xr6:coauthVersionLast="47" xr6:coauthVersionMax="47" xr10:uidLastSave="{00000000-0000-0000-0000-000000000000}"/>
  <bookViews>
    <workbookView xWindow="-120" yWindow="-120" windowWidth="20730" windowHeight="11160" tabRatio="752" activeTab="3" xr2:uid="{00000000-000D-0000-FFFF-FFFF00000000}"/>
  </bookViews>
  <sheets>
    <sheet name="Indice" sheetId="1" r:id="rId1"/>
    <sheet name="BG " sheetId="2" r:id="rId2"/>
    <sheet name="ER" sheetId="3" r:id="rId3"/>
    <sheet name="EFE" sheetId="4" r:id="rId4"/>
    <sheet name="Hoja de trabajo" sheetId="5" r:id="rId5"/>
    <sheet name="PAT" sheetId="6" r:id="rId6"/>
    <sheet name="AD" sheetId="7" r:id="rId7"/>
    <sheet name="Impuesto diferido" sheetId="8" r:id="rId8"/>
    <sheet name="Ratios" sheetId="9" r:id="rId9"/>
    <sheet name="PP&amp;E" sheetId="10" state="hidden" r:id="rId10"/>
    <sheet name="Impto diferido" sheetId="11" state="hidden" r:id="rId11"/>
  </sheets>
  <externalReferences>
    <externalReference r:id="rId12"/>
    <externalReference r:id="rId13"/>
  </externalReferences>
  <definedNames>
    <definedName name="_xlnm.Print_Area" localSheetId="6">AD!$A$1:$U$64</definedName>
    <definedName name="_xlnm.Print_Area" localSheetId="1">'BG '!$A$6:$U$76</definedName>
    <definedName name="_xlnm.Print_Area" localSheetId="3">EFE!$B$1:$AH$76</definedName>
    <definedName name="_xlnm.Print_Area" localSheetId="2">ER!$A$1:$Y$40</definedName>
    <definedName name="_xlnm.Print_Area" localSheetId="5">PAT!$A$1:$J$171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I75" i="4" l="1"/>
  <c r="B92" i="5"/>
  <c r="B44" i="5" l="1"/>
  <c r="K21" i="5"/>
  <c r="H81" i="4" l="1"/>
  <c r="G64" i="2" l="1"/>
  <c r="I64" i="2" s="1"/>
  <c r="E47" i="2"/>
  <c r="M70" i="4"/>
  <c r="O70" i="4" s="1"/>
  <c r="M71" i="4"/>
  <c r="M74" i="4" s="1"/>
  <c r="M72" i="4"/>
  <c r="O72" i="4" s="1"/>
  <c r="M69" i="4"/>
  <c r="O69" i="4" s="1"/>
  <c r="M57" i="4"/>
  <c r="M58" i="4"/>
  <c r="O58" i="4" s="1"/>
  <c r="M59" i="4"/>
  <c r="M60" i="4"/>
  <c r="M61" i="4"/>
  <c r="O61" i="4" s="1"/>
  <c r="M62" i="4"/>
  <c r="O62" i="4" s="1"/>
  <c r="M56" i="4"/>
  <c r="M55" i="4"/>
  <c r="O55" i="4" s="1"/>
  <c r="H74" i="4"/>
  <c r="N74" i="4"/>
  <c r="L74" i="4"/>
  <c r="H80" i="4"/>
  <c r="M78" i="4"/>
  <c r="N59" i="4"/>
  <c r="N47" i="4" s="1"/>
  <c r="N52" i="4" s="1"/>
  <c r="H59" i="4"/>
  <c r="H47" i="4" s="1"/>
  <c r="H52" i="4" s="1"/>
  <c r="M48" i="4"/>
  <c r="O48" i="4" s="1"/>
  <c r="M49" i="4"/>
  <c r="O49" i="4" s="1"/>
  <c r="M50" i="4"/>
  <c r="O50" i="4" s="1"/>
  <c r="M51" i="4"/>
  <c r="O51" i="4" s="1"/>
  <c r="M47" i="4"/>
  <c r="O56" i="4"/>
  <c r="O57" i="4"/>
  <c r="O59" i="4"/>
  <c r="O60" i="4"/>
  <c r="L63" i="4"/>
  <c r="N63" i="4"/>
  <c r="K63" i="4"/>
  <c r="K74" i="4"/>
  <c r="L49" i="4"/>
  <c r="L52" i="4" s="1"/>
  <c r="L75" i="4" s="1"/>
  <c r="L77" i="4" s="1"/>
  <c r="L79" i="4" s="1"/>
  <c r="L80" i="4" s="1"/>
  <c r="K52" i="4"/>
  <c r="F48" i="4"/>
  <c r="H63" i="4" l="1"/>
  <c r="K75" i="4"/>
  <c r="K77" i="4" s="1"/>
  <c r="K79" i="4" s="1"/>
  <c r="O47" i="4"/>
  <c r="O52" i="4" s="1"/>
  <c r="O71" i="4"/>
  <c r="O74" i="4" s="1"/>
  <c r="N75" i="4"/>
  <c r="N77" i="4" s="1"/>
  <c r="N79" i="4" s="1"/>
  <c r="N80" i="4" s="1"/>
  <c r="M52" i="4"/>
  <c r="O63" i="4"/>
  <c r="M63" i="4"/>
  <c r="E74" i="4"/>
  <c r="F74" i="4"/>
  <c r="E63" i="4"/>
  <c r="F63" i="4"/>
  <c r="G48" i="4"/>
  <c r="I48" i="4" s="1"/>
  <c r="G49" i="4"/>
  <c r="I49" i="4" s="1"/>
  <c r="G50" i="4"/>
  <c r="I50" i="4" s="1"/>
  <c r="G51" i="4"/>
  <c r="G47" i="4"/>
  <c r="I47" i="4" s="1"/>
  <c r="F52" i="4"/>
  <c r="F49" i="4"/>
  <c r="E52" i="4"/>
  <c r="O75" i="4" l="1"/>
  <c r="O77" i="4" s="1"/>
  <c r="O79" i="4" s="1"/>
  <c r="I78" i="4" s="1"/>
  <c r="M75" i="4"/>
  <c r="M77" i="4" s="1"/>
  <c r="M79" i="4"/>
  <c r="K80" i="4"/>
  <c r="F75" i="4"/>
  <c r="E75" i="4"/>
  <c r="E79" i="4"/>
  <c r="G52" i="4"/>
  <c r="I51" i="4"/>
  <c r="I52" i="4" s="1"/>
  <c r="F79" i="4"/>
  <c r="K40" i="5"/>
  <c r="F15" i="4"/>
  <c r="F17" i="4"/>
  <c r="G20" i="4"/>
  <c r="G21" i="4"/>
  <c r="H19" i="4"/>
  <c r="H12" i="4"/>
  <c r="F18" i="4"/>
  <c r="F42" i="4"/>
  <c r="F80" i="4" l="1"/>
  <c r="E80" i="4"/>
  <c r="H8" i="4" l="1"/>
  <c r="H22" i="4" s="1"/>
  <c r="H41" i="4" s="1"/>
  <c r="H45" i="4" s="1"/>
  <c r="H75" i="4" s="1"/>
  <c r="F8" i="4"/>
  <c r="F22" i="4" s="1"/>
  <c r="I20" i="4"/>
  <c r="K39" i="5"/>
  <c r="G70" i="4"/>
  <c r="I70" i="4" s="1"/>
  <c r="I60" i="4"/>
  <c r="I61" i="4"/>
  <c r="G43" i="4"/>
  <c r="I43" i="4" s="1"/>
  <c r="G42" i="4"/>
  <c r="I42" i="4" s="1"/>
  <c r="G40" i="4"/>
  <c r="I40" i="4" s="1"/>
  <c r="G39" i="4"/>
  <c r="I39" i="4" s="1"/>
  <c r="G38" i="4"/>
  <c r="I38" i="4" s="1"/>
  <c r="G37" i="4"/>
  <c r="G36" i="4"/>
  <c r="G35" i="4"/>
  <c r="G34" i="4"/>
  <c r="G33" i="4"/>
  <c r="G32" i="4"/>
  <c r="G31" i="4"/>
  <c r="G30" i="4"/>
  <c r="G29" i="4"/>
  <c r="G28" i="4"/>
  <c r="G27" i="4"/>
  <c r="G26" i="4"/>
  <c r="G25" i="4"/>
  <c r="G24" i="4"/>
  <c r="B96" i="5"/>
  <c r="G18" i="4"/>
  <c r="I18" i="4" s="1"/>
  <c r="G17" i="4"/>
  <c r="I17" i="4" s="1"/>
  <c r="G16" i="4"/>
  <c r="I16" i="4" s="1"/>
  <c r="G15" i="4"/>
  <c r="I15" i="4" s="1"/>
  <c r="G14" i="4"/>
  <c r="I14" i="4" s="1"/>
  <c r="G13" i="4"/>
  <c r="I13" i="4" s="1"/>
  <c r="G12" i="4"/>
  <c r="I12" i="4" s="1"/>
  <c r="G10" i="4"/>
  <c r="Z79" i="4"/>
  <c r="X79" i="4"/>
  <c r="T79" i="4"/>
  <c r="Y78" i="4"/>
  <c r="AA78" i="4" s="1"/>
  <c r="S78" i="4"/>
  <c r="U78" i="4" s="1"/>
  <c r="Z74" i="4"/>
  <c r="X74" i="4"/>
  <c r="W74" i="4"/>
  <c r="T74" i="4"/>
  <c r="R74" i="4"/>
  <c r="Q74" i="4"/>
  <c r="Y73" i="4"/>
  <c r="AA73" i="4" s="1"/>
  <c r="S73" i="4"/>
  <c r="U73" i="4" s="1"/>
  <c r="Y72" i="4"/>
  <c r="AA72" i="4" s="1"/>
  <c r="S72" i="4"/>
  <c r="U72" i="4" s="1"/>
  <c r="Y69" i="4"/>
  <c r="AA69" i="4" s="1"/>
  <c r="S69" i="4"/>
  <c r="U69" i="4" s="1"/>
  <c r="Y68" i="4"/>
  <c r="AA68" i="4" s="1"/>
  <c r="S68" i="4"/>
  <c r="U68" i="4" s="1"/>
  <c r="Y67" i="4"/>
  <c r="AA67" i="4" s="1"/>
  <c r="S67" i="4"/>
  <c r="U67" i="4" s="1"/>
  <c r="Y66" i="4"/>
  <c r="AA66" i="4" s="1"/>
  <c r="S66" i="4"/>
  <c r="S65" i="4"/>
  <c r="X63" i="4"/>
  <c r="W63" i="4"/>
  <c r="R63" i="4"/>
  <c r="Q63" i="4"/>
  <c r="Y62" i="4"/>
  <c r="AA62" i="4" s="1"/>
  <c r="S62" i="4"/>
  <c r="U62" i="4" s="1"/>
  <c r="AA61" i="4"/>
  <c r="U61" i="4"/>
  <c r="Y60" i="4"/>
  <c r="AA60" i="4" s="1"/>
  <c r="S60" i="4"/>
  <c r="U60" i="4" s="1"/>
  <c r="Z59" i="4"/>
  <c r="Z63" i="4" s="1"/>
  <c r="Y59" i="4"/>
  <c r="T59" i="4"/>
  <c r="T63" i="4" s="1"/>
  <c r="S59" i="4"/>
  <c r="Y58" i="4"/>
  <c r="S58" i="4"/>
  <c r="Y56" i="4"/>
  <c r="AA56" i="4" s="1"/>
  <c r="S56" i="4"/>
  <c r="U56" i="4" s="1"/>
  <c r="Y55" i="4"/>
  <c r="AA55" i="4" s="1"/>
  <c r="S55" i="4"/>
  <c r="U55" i="4" s="1"/>
  <c r="Y44" i="4"/>
  <c r="AA44" i="4" s="1"/>
  <c r="S44" i="4"/>
  <c r="U44" i="4" s="1"/>
  <c r="Y43" i="4"/>
  <c r="AA43" i="4" s="1"/>
  <c r="S43" i="4"/>
  <c r="U43" i="4" s="1"/>
  <c r="Y42" i="4"/>
  <c r="AA42" i="4" s="1"/>
  <c r="S42" i="4"/>
  <c r="U42" i="4" s="1"/>
  <c r="Y40" i="4"/>
  <c r="AA40" i="4" s="1"/>
  <c r="S40" i="4"/>
  <c r="U40" i="4" s="1"/>
  <c r="Y39" i="4"/>
  <c r="AA39" i="4" s="1"/>
  <c r="S39" i="4"/>
  <c r="U39" i="4" s="1"/>
  <c r="Y38" i="4"/>
  <c r="AA38" i="4" s="1"/>
  <c r="S38" i="4"/>
  <c r="U38" i="4" s="1"/>
  <c r="Y37" i="4"/>
  <c r="AA37" i="4" s="1"/>
  <c r="S37" i="4"/>
  <c r="U37" i="4" s="1"/>
  <c r="Y36" i="4"/>
  <c r="AA36" i="4" s="1"/>
  <c r="S36" i="4"/>
  <c r="U36" i="4" s="1"/>
  <c r="S35" i="4"/>
  <c r="U35" i="4" s="1"/>
  <c r="Y34" i="4"/>
  <c r="AA34" i="4" s="1"/>
  <c r="R34" i="4"/>
  <c r="S34" i="4" s="1"/>
  <c r="U34" i="4" s="1"/>
  <c r="Y33" i="4"/>
  <c r="AA33" i="4" s="1"/>
  <c r="S33" i="4"/>
  <c r="U33" i="4" s="1"/>
  <c r="Y32" i="4"/>
  <c r="AA32" i="4" s="1"/>
  <c r="S32" i="4"/>
  <c r="U32" i="4" s="1"/>
  <c r="Y31" i="4"/>
  <c r="AA31" i="4" s="1"/>
  <c r="S31" i="4"/>
  <c r="U31" i="4" s="1"/>
  <c r="Y30" i="4"/>
  <c r="AA30" i="4" s="1"/>
  <c r="S30" i="4"/>
  <c r="U30" i="4" s="1"/>
  <c r="Y29" i="4"/>
  <c r="AA29" i="4" s="1"/>
  <c r="S29" i="4"/>
  <c r="U29" i="4" s="1"/>
  <c r="Y28" i="4"/>
  <c r="AA28" i="4" s="1"/>
  <c r="S28" i="4"/>
  <c r="U28" i="4" s="1"/>
  <c r="Y27" i="4"/>
  <c r="AA27" i="4" s="1"/>
  <c r="S27" i="4"/>
  <c r="U27" i="4" s="1"/>
  <c r="Y26" i="4"/>
  <c r="AA26" i="4" s="1"/>
  <c r="R26" i="4"/>
  <c r="S26" i="4" s="1"/>
  <c r="U26" i="4" s="1"/>
  <c r="Y25" i="4"/>
  <c r="AA25" i="4" s="1"/>
  <c r="S25" i="4"/>
  <c r="U25" i="4" s="1"/>
  <c r="Y24" i="4"/>
  <c r="AA24" i="4" s="1"/>
  <c r="S24" i="4"/>
  <c r="U24" i="4" s="1"/>
  <c r="X22" i="4"/>
  <c r="X41" i="4" s="1"/>
  <c r="X45" i="4" s="1"/>
  <c r="R22" i="4"/>
  <c r="T21" i="4"/>
  <c r="S21" i="4"/>
  <c r="Y20" i="4"/>
  <c r="AA20" i="4" s="1"/>
  <c r="S20" i="4"/>
  <c r="U20" i="4" s="1"/>
  <c r="W19" i="4"/>
  <c r="Y19" i="4" s="1"/>
  <c r="AA19" i="4" s="1"/>
  <c r="S19" i="4"/>
  <c r="U19" i="4" s="1"/>
  <c r="Y18" i="4"/>
  <c r="AA18" i="4" s="1"/>
  <c r="S18" i="4"/>
  <c r="U18" i="4" s="1"/>
  <c r="Y17" i="4"/>
  <c r="AA17" i="4" s="1"/>
  <c r="S17" i="4"/>
  <c r="U17" i="4" s="1"/>
  <c r="Y16" i="4"/>
  <c r="AA16" i="4" s="1"/>
  <c r="S16" i="4"/>
  <c r="U16" i="4" s="1"/>
  <c r="Y15" i="4"/>
  <c r="AA15" i="4" s="1"/>
  <c r="S15" i="4"/>
  <c r="U15" i="4" s="1"/>
  <c r="Y14" i="4"/>
  <c r="AA14" i="4" s="1"/>
  <c r="S14" i="4"/>
  <c r="U14" i="4" s="1"/>
  <c r="Y13" i="4"/>
  <c r="AA13" i="4" s="1"/>
  <c r="S13" i="4"/>
  <c r="U13" i="4" s="1"/>
  <c r="Z12" i="4"/>
  <c r="Y12" i="4"/>
  <c r="T12" i="4"/>
  <c r="S12" i="4"/>
  <c r="Y11" i="4"/>
  <c r="AA11" i="4" s="1"/>
  <c r="S11" i="4"/>
  <c r="U11" i="4" s="1"/>
  <c r="Y10" i="4"/>
  <c r="AA10" i="4" s="1"/>
  <c r="S10" i="4"/>
  <c r="U10" i="4" s="1"/>
  <c r="Z8" i="4"/>
  <c r="Z22" i="4" s="1"/>
  <c r="Z41" i="4" s="1"/>
  <c r="Z45" i="4" s="1"/>
  <c r="W8" i="4"/>
  <c r="T8" i="4"/>
  <c r="Q8" i="4"/>
  <c r="S8" i="4" s="1"/>
  <c r="B72" i="5" l="1"/>
  <c r="B78" i="5"/>
  <c r="B66" i="5"/>
  <c r="B43" i="5"/>
  <c r="B49" i="5"/>
  <c r="B60" i="5"/>
  <c r="B55" i="5"/>
  <c r="G79" i="4"/>
  <c r="U21" i="4"/>
  <c r="U59" i="4"/>
  <c r="U63" i="4" s="1"/>
  <c r="I10" i="4"/>
  <c r="W22" i="4"/>
  <c r="W41" i="4" s="1"/>
  <c r="W45" i="4" s="1"/>
  <c r="W75" i="4" s="1"/>
  <c r="W77" i="4" s="1"/>
  <c r="AA12" i="4"/>
  <c r="AA74" i="4"/>
  <c r="X75" i="4"/>
  <c r="Y8" i="4"/>
  <c r="Y22" i="4" s="1"/>
  <c r="Y41" i="4" s="1"/>
  <c r="Y45" i="4" s="1"/>
  <c r="T22" i="4"/>
  <c r="T41" i="4" s="1"/>
  <c r="T45" i="4" s="1"/>
  <c r="T75" i="4" s="1"/>
  <c r="U12" i="4"/>
  <c r="AA59" i="4"/>
  <c r="AA63" i="4" s="1"/>
  <c r="Y74" i="4"/>
  <c r="U8" i="4"/>
  <c r="S22" i="4"/>
  <c r="S41" i="4" s="1"/>
  <c r="S45" i="4" s="1"/>
  <c r="Q22" i="4"/>
  <c r="Q41" i="4" s="1"/>
  <c r="Q45" i="4" s="1"/>
  <c r="Q75" i="4" s="1"/>
  <c r="Q77" i="4" s="1"/>
  <c r="R41" i="4"/>
  <c r="R45" i="4" s="1"/>
  <c r="R75" i="4" s="1"/>
  <c r="Z75" i="4"/>
  <c r="Y63" i="4"/>
  <c r="S63" i="4"/>
  <c r="S74" i="4"/>
  <c r="U66" i="4"/>
  <c r="U74" i="4" s="1"/>
  <c r="U22" i="4" l="1"/>
  <c r="U41" i="4" s="1"/>
  <c r="U45" i="4" s="1"/>
  <c r="U75" i="4" s="1"/>
  <c r="B83" i="5"/>
  <c r="S75" i="4"/>
  <c r="S76" i="4" s="1"/>
  <c r="Y75" i="4"/>
  <c r="AA8" i="4"/>
  <c r="AA22" i="4" s="1"/>
  <c r="AA41" i="4" s="1"/>
  <c r="AA45" i="4" s="1"/>
  <c r="AA75" i="4" s="1"/>
  <c r="R77" i="4"/>
  <c r="R79" i="4" s="1"/>
  <c r="Q79" i="4"/>
  <c r="W79" i="4"/>
  <c r="Y77" i="4"/>
  <c r="S77" i="4" l="1"/>
  <c r="S79" i="4" s="1"/>
  <c r="AA77" i="4"/>
  <c r="AA79" i="4" s="1"/>
  <c r="Y79" i="4"/>
  <c r="U77" i="4" l="1"/>
  <c r="U79" i="4" s="1"/>
  <c r="F24" i="9"/>
  <c r="F11" i="9"/>
  <c r="E11" i="3" l="1"/>
  <c r="G20" i="7"/>
  <c r="H59" i="2"/>
  <c r="H44" i="2"/>
  <c r="E23" i="8"/>
  <c r="G23" i="8" s="1"/>
  <c r="I9" i="8"/>
  <c r="H10" i="8" l="1"/>
  <c r="H9" i="8"/>
  <c r="H28" i="8" s="1"/>
  <c r="J186" i="6"/>
  <c r="F72" i="2"/>
  <c r="F73" i="2" s="1"/>
  <c r="J72" i="6"/>
  <c r="H72" i="6"/>
  <c r="G72" i="6"/>
  <c r="F72" i="6"/>
  <c r="F193" i="6"/>
  <c r="H193" i="6" s="1"/>
  <c r="H192" i="6"/>
  <c r="G191" i="6"/>
  <c r="I186" i="6"/>
  <c r="G8" i="3"/>
  <c r="H13" i="2"/>
  <c r="G35" i="3"/>
  <c r="H60" i="7"/>
  <c r="G59" i="7"/>
  <c r="H7" i="8"/>
  <c r="E28" i="8" s="1"/>
  <c r="F32" i="8" s="1"/>
  <c r="H8" i="8"/>
  <c r="F28" i="8" s="1"/>
  <c r="G28" i="8" l="1"/>
  <c r="J28" i="8" s="1"/>
  <c r="H11" i="8"/>
  <c r="F151" i="6" l="1"/>
  <c r="F191" i="6" s="1"/>
  <c r="G7" i="3"/>
  <c r="J59" i="7"/>
  <c r="G44" i="7" l="1"/>
  <c r="H151" i="6"/>
  <c r="J151" i="6" s="1"/>
  <c r="H152" i="6"/>
  <c r="J152" i="6" s="1"/>
  <c r="G63" i="7"/>
  <c r="H63" i="7"/>
  <c r="I63" i="7"/>
  <c r="G16" i="7"/>
  <c r="G28" i="3" s="1"/>
  <c r="G40" i="7"/>
  <c r="H40" i="7"/>
  <c r="H35" i="7"/>
  <c r="G31" i="7"/>
  <c r="H24" i="7"/>
  <c r="H27" i="7" s="1"/>
  <c r="G27" i="7"/>
  <c r="G11" i="7"/>
  <c r="H9" i="7"/>
  <c r="H11" i="7" s="1"/>
  <c r="E5" i="11"/>
  <c r="E4" i="11"/>
  <c r="E3" i="11"/>
  <c r="N21" i="10"/>
  <c r="M21" i="10"/>
  <c r="L21" i="10"/>
  <c r="K21" i="10"/>
  <c r="J21" i="10"/>
  <c r="I21" i="10"/>
  <c r="H21" i="10"/>
  <c r="G21" i="10"/>
  <c r="F21" i="10"/>
  <c r="E21" i="10"/>
  <c r="D21" i="10"/>
  <c r="O21" i="10" s="1"/>
  <c r="G6" i="10" s="1"/>
  <c r="I18" i="10"/>
  <c r="H18" i="10"/>
  <c r="G18" i="10"/>
  <c r="J18" i="10" s="1"/>
  <c r="O37" i="7" s="1"/>
  <c r="G17" i="10"/>
  <c r="G16" i="10"/>
  <c r="G15" i="10"/>
  <c r="G14" i="10"/>
  <c r="G13" i="10"/>
  <c r="G12" i="10"/>
  <c r="G11" i="10"/>
  <c r="G10" i="10"/>
  <c r="G9" i="10"/>
  <c r="G8" i="10"/>
  <c r="G7" i="10"/>
  <c r="L33" i="9"/>
  <c r="J33" i="9"/>
  <c r="L25" i="9"/>
  <c r="J25" i="9"/>
  <c r="J27" i="9" s="1"/>
  <c r="L12" i="9"/>
  <c r="L16" i="9" s="1"/>
  <c r="J12" i="9"/>
  <c r="J16" i="9" s="1"/>
  <c r="H11" i="9"/>
  <c r="L17" i="8"/>
  <c r="K17" i="8"/>
  <c r="K15" i="8"/>
  <c r="K8" i="8"/>
  <c r="I8" i="8"/>
  <c r="L7" i="8"/>
  <c r="E24" i="8" s="1"/>
  <c r="K7" i="8"/>
  <c r="E25" i="8" s="1"/>
  <c r="J7" i="8"/>
  <c r="I7" i="8"/>
  <c r="E27" i="8" s="1"/>
  <c r="F31" i="8" s="1"/>
  <c r="O67" i="7"/>
  <c r="O59" i="7"/>
  <c r="P60" i="7" s="1"/>
  <c r="L9" i="8" s="1"/>
  <c r="H24" i="8" s="1"/>
  <c r="I60" i="7"/>
  <c r="M35" i="3" s="1"/>
  <c r="L55" i="7"/>
  <c r="O54" i="7"/>
  <c r="P55" i="7" s="1"/>
  <c r="U52" i="7"/>
  <c r="T52" i="7"/>
  <c r="R50" i="7"/>
  <c r="R48" i="7"/>
  <c r="I44" i="7"/>
  <c r="O40" i="7"/>
  <c r="N40" i="7"/>
  <c r="K40" i="7"/>
  <c r="J40" i="7"/>
  <c r="I40" i="7"/>
  <c r="L38" i="7"/>
  <c r="K59" i="7" s="1"/>
  <c r="M37" i="7"/>
  <c r="M40" i="7" s="1"/>
  <c r="T35" i="7"/>
  <c r="R35" i="7"/>
  <c r="N35" i="7"/>
  <c r="M35" i="7"/>
  <c r="L35" i="7"/>
  <c r="J35" i="7"/>
  <c r="P33" i="7"/>
  <c r="P35" i="7" s="1"/>
  <c r="O32" i="7"/>
  <c r="O35" i="7" s="1"/>
  <c r="U35" i="7"/>
  <c r="Q35" i="7"/>
  <c r="K29" i="7"/>
  <c r="K32" i="7" s="1"/>
  <c r="I29" i="7"/>
  <c r="I35" i="7" s="1"/>
  <c r="T27" i="7"/>
  <c r="Q27" i="7"/>
  <c r="O27" i="7"/>
  <c r="M27" i="7"/>
  <c r="K27" i="7"/>
  <c r="U24" i="7"/>
  <c r="U27" i="7" s="1"/>
  <c r="R24" i="7"/>
  <c r="R27" i="7" s="1"/>
  <c r="P24" i="7"/>
  <c r="L18" i="8" s="1"/>
  <c r="N24" i="7"/>
  <c r="L24" i="7"/>
  <c r="L27" i="7" s="1"/>
  <c r="J24" i="7"/>
  <c r="J27" i="7" s="1"/>
  <c r="O22" i="7"/>
  <c r="U20" i="7"/>
  <c r="T20" i="7"/>
  <c r="R20" i="7"/>
  <c r="Q20" i="7"/>
  <c r="P20" i="7"/>
  <c r="N20" i="7"/>
  <c r="K20" i="7"/>
  <c r="J20" i="7"/>
  <c r="I20" i="7"/>
  <c r="O17" i="7"/>
  <c r="O20" i="7" s="1"/>
  <c r="M16" i="7"/>
  <c r="M20" i="7" s="1"/>
  <c r="L16" i="7"/>
  <c r="L20" i="7" s="1"/>
  <c r="T11" i="7"/>
  <c r="R11" i="7"/>
  <c r="O11" i="7"/>
  <c r="M11" i="7"/>
  <c r="L11" i="7"/>
  <c r="K11" i="7"/>
  <c r="I11" i="7"/>
  <c r="P9" i="7"/>
  <c r="P11" i="7" s="1"/>
  <c r="N9" i="7"/>
  <c r="N11" i="7" s="1"/>
  <c r="L9" i="7"/>
  <c r="J9" i="7"/>
  <c r="J11" i="7" s="1"/>
  <c r="U8" i="7"/>
  <c r="Q8" i="7"/>
  <c r="J193" i="6"/>
  <c r="J192" i="6"/>
  <c r="G189" i="6"/>
  <c r="F189" i="6"/>
  <c r="H189" i="6" s="1"/>
  <c r="H188" i="6"/>
  <c r="J188" i="6" s="1"/>
  <c r="G188" i="6"/>
  <c r="F188" i="6"/>
  <c r="G187" i="6"/>
  <c r="G185" i="6"/>
  <c r="F185" i="6"/>
  <c r="H184" i="6"/>
  <c r="J184" i="6" s="1"/>
  <c r="H183" i="6"/>
  <c r="J183" i="6" s="1"/>
  <c r="H182" i="6"/>
  <c r="J182" i="6" s="1"/>
  <c r="H181" i="6"/>
  <c r="J181" i="6" s="1"/>
  <c r="H179" i="6"/>
  <c r="H178" i="6"/>
  <c r="J178" i="6" s="1"/>
  <c r="H177" i="6"/>
  <c r="J177" i="6" s="1"/>
  <c r="F177" i="6"/>
  <c r="I175" i="6"/>
  <c r="H175" i="6"/>
  <c r="J175" i="6" s="1"/>
  <c r="G175" i="6"/>
  <c r="H174" i="6"/>
  <c r="J174" i="6" s="1"/>
  <c r="H172" i="6"/>
  <c r="J172" i="6" s="1"/>
  <c r="G170" i="6"/>
  <c r="F170" i="6"/>
  <c r="H169" i="6"/>
  <c r="J169" i="6" s="1"/>
  <c r="J168" i="6"/>
  <c r="H168" i="6"/>
  <c r="H167" i="6"/>
  <c r="J167" i="6" s="1"/>
  <c r="J166" i="6"/>
  <c r="H166" i="6"/>
  <c r="H165" i="6"/>
  <c r="J165" i="6" s="1"/>
  <c r="F164" i="6"/>
  <c r="H164" i="6" s="1"/>
  <c r="J164" i="6" s="1"/>
  <c r="B164" i="6"/>
  <c r="I162" i="6"/>
  <c r="G162" i="6"/>
  <c r="F162" i="6"/>
  <c r="F160" i="6"/>
  <c r="H160" i="6" s="1"/>
  <c r="J160" i="6" s="1"/>
  <c r="G158" i="6"/>
  <c r="G161" i="6" s="1"/>
  <c r="G163" i="6" s="1"/>
  <c r="G171" i="6" s="1"/>
  <c r="G173" i="6" s="1"/>
  <c r="G176" i="6" s="1"/>
  <c r="G180" i="6" s="1"/>
  <c r="F158" i="6"/>
  <c r="H150" i="6"/>
  <c r="J150" i="6" s="1"/>
  <c r="H148" i="6"/>
  <c r="H147" i="6"/>
  <c r="J147" i="6" s="1"/>
  <c r="H146" i="6"/>
  <c r="J146" i="6" s="1"/>
  <c r="H145" i="6"/>
  <c r="J145" i="6" s="1"/>
  <c r="F144" i="6"/>
  <c r="H142" i="6"/>
  <c r="H185" i="6" s="1"/>
  <c r="H141" i="6"/>
  <c r="J141" i="6" s="1"/>
  <c r="H140" i="6"/>
  <c r="J140" i="6" s="1"/>
  <c r="H139" i="6"/>
  <c r="J139" i="6" s="1"/>
  <c r="H138" i="6"/>
  <c r="J138" i="6" s="1"/>
  <c r="H137" i="6"/>
  <c r="J137" i="6" s="1"/>
  <c r="H135" i="6"/>
  <c r="J135" i="6" s="1"/>
  <c r="K134" i="6"/>
  <c r="H134" i="6"/>
  <c r="F133" i="6"/>
  <c r="H133" i="6" s="1"/>
  <c r="J133" i="6" s="1"/>
  <c r="H132" i="6"/>
  <c r="J132" i="6" s="1"/>
  <c r="G132" i="6"/>
  <c r="H131" i="6"/>
  <c r="J131" i="6" s="1"/>
  <c r="H129" i="6"/>
  <c r="J129" i="6" s="1"/>
  <c r="H128" i="6"/>
  <c r="J128" i="6" s="1"/>
  <c r="H127" i="6"/>
  <c r="J127" i="6" s="1"/>
  <c r="F126" i="6"/>
  <c r="F130" i="6" s="1"/>
  <c r="F136" i="6" s="1"/>
  <c r="F143" i="6" s="1"/>
  <c r="H125" i="6"/>
  <c r="J125" i="6" s="1"/>
  <c r="H123" i="6"/>
  <c r="H170" i="6" s="1"/>
  <c r="F122" i="6"/>
  <c r="H122" i="6" s="1"/>
  <c r="J122" i="6" s="1"/>
  <c r="B122" i="6"/>
  <c r="H121" i="6"/>
  <c r="J121" i="6" s="1"/>
  <c r="H120" i="6"/>
  <c r="J120" i="6" s="1"/>
  <c r="H119" i="6"/>
  <c r="J119" i="6" s="1"/>
  <c r="H117" i="6"/>
  <c r="H116" i="6"/>
  <c r="J116" i="6" s="1"/>
  <c r="H114" i="6"/>
  <c r="J114" i="6" s="1"/>
  <c r="H113" i="6"/>
  <c r="J113" i="6" s="1"/>
  <c r="I112" i="6"/>
  <c r="G112" i="6"/>
  <c r="G115" i="6" s="1"/>
  <c r="G118" i="6" s="1"/>
  <c r="G124" i="6" s="1"/>
  <c r="G126" i="6" s="1"/>
  <c r="G130" i="6" s="1"/>
  <c r="F112" i="6"/>
  <c r="F115" i="6" s="1"/>
  <c r="J111" i="6"/>
  <c r="H111" i="6"/>
  <c r="H110" i="6"/>
  <c r="H109" i="6"/>
  <c r="I107" i="6"/>
  <c r="H106" i="6"/>
  <c r="J106" i="6" s="1"/>
  <c r="I105" i="6"/>
  <c r="H104" i="6"/>
  <c r="J104" i="6" s="1"/>
  <c r="H102" i="6"/>
  <c r="J102" i="6" s="1"/>
  <c r="F101" i="6"/>
  <c r="H100" i="6"/>
  <c r="J100" i="6" s="1"/>
  <c r="J98" i="6"/>
  <c r="G97" i="6"/>
  <c r="G99" i="6" s="1"/>
  <c r="G101" i="6" s="1"/>
  <c r="G103" i="6" s="1"/>
  <c r="G105" i="6" s="1"/>
  <c r="G107" i="6" s="1"/>
  <c r="J96" i="6"/>
  <c r="H96" i="6"/>
  <c r="H95" i="6"/>
  <c r="J95" i="6" s="1"/>
  <c r="H94" i="6"/>
  <c r="H92" i="6"/>
  <c r="H91" i="6"/>
  <c r="I89" i="6"/>
  <c r="I90" i="6" s="1"/>
  <c r="G85" i="6"/>
  <c r="G86" i="6" s="1"/>
  <c r="G87" i="6" s="1"/>
  <c r="G88" i="6" s="1"/>
  <c r="G89" i="6" s="1"/>
  <c r="G90" i="6" s="1"/>
  <c r="F85" i="6"/>
  <c r="F86" i="6" s="1"/>
  <c r="H84" i="6"/>
  <c r="J84" i="6" s="1"/>
  <c r="H83" i="6"/>
  <c r="I81" i="6"/>
  <c r="G76" i="6"/>
  <c r="G77" i="6" s="1"/>
  <c r="G78" i="6" s="1"/>
  <c r="G79" i="6" s="1"/>
  <c r="G80" i="6" s="1"/>
  <c r="G81" i="6" s="1"/>
  <c r="F76" i="6"/>
  <c r="F77" i="6" s="1"/>
  <c r="H75" i="6"/>
  <c r="J75" i="6" s="1"/>
  <c r="H74" i="6"/>
  <c r="H73" i="6"/>
  <c r="I71" i="6"/>
  <c r="F68" i="6"/>
  <c r="F69" i="6" s="1"/>
  <c r="G66" i="6"/>
  <c r="G67" i="6" s="1"/>
  <c r="G68" i="6" s="1"/>
  <c r="G69" i="6" s="1"/>
  <c r="G70" i="6" s="1"/>
  <c r="G71" i="6" s="1"/>
  <c r="F66" i="6"/>
  <c r="F67" i="6" s="1"/>
  <c r="H67" i="6" s="1"/>
  <c r="J67" i="6" s="1"/>
  <c r="H65" i="6"/>
  <c r="J65" i="6" s="1"/>
  <c r="H64" i="6"/>
  <c r="H61" i="6"/>
  <c r="J61" i="6" s="1"/>
  <c r="H59" i="6"/>
  <c r="J59" i="6" s="1"/>
  <c r="I58" i="6"/>
  <c r="I60" i="6" s="1"/>
  <c r="I62" i="6" s="1"/>
  <c r="F58" i="6"/>
  <c r="F60" i="6" s="1"/>
  <c r="F62" i="6" s="1"/>
  <c r="H57" i="6"/>
  <c r="J57" i="6" s="1"/>
  <c r="H55" i="6"/>
  <c r="J55" i="6" s="1"/>
  <c r="I54" i="6"/>
  <c r="H53" i="6"/>
  <c r="J53" i="6" s="1"/>
  <c r="H52" i="6"/>
  <c r="J52" i="6" s="1"/>
  <c r="I51" i="6"/>
  <c r="H49" i="6"/>
  <c r="J49" i="6" s="1"/>
  <c r="G48" i="6"/>
  <c r="G50" i="6" s="1"/>
  <c r="G51" i="6" s="1"/>
  <c r="G54" i="6" s="1"/>
  <c r="G56" i="6" s="1"/>
  <c r="G58" i="6" s="1"/>
  <c r="G60" i="6" s="1"/>
  <c r="F48" i="6"/>
  <c r="F50" i="6" s="1"/>
  <c r="H47" i="6"/>
  <c r="J47" i="6" s="1"/>
  <c r="H46" i="6"/>
  <c r="J46" i="6" s="1"/>
  <c r="H42" i="6"/>
  <c r="J42" i="6" s="1"/>
  <c r="H40" i="6"/>
  <c r="J40" i="6" s="1"/>
  <c r="I39" i="6"/>
  <c r="I41" i="6" s="1"/>
  <c r="I43" i="6" s="1"/>
  <c r="G39" i="6"/>
  <c r="G41" i="6" s="1"/>
  <c r="G43" i="6" s="1"/>
  <c r="H37" i="6"/>
  <c r="J37" i="6" s="1"/>
  <c r="H34" i="6"/>
  <c r="J34" i="6" s="1"/>
  <c r="H33" i="6"/>
  <c r="J33" i="6" s="1"/>
  <c r="F32" i="6"/>
  <c r="F35" i="6" s="1"/>
  <c r="H31" i="6"/>
  <c r="J31" i="6" s="1"/>
  <c r="H30" i="6"/>
  <c r="J30" i="6" s="1"/>
  <c r="H26" i="6"/>
  <c r="J26" i="6" s="1"/>
  <c r="H25" i="6"/>
  <c r="J25" i="6" s="1"/>
  <c r="H23" i="6"/>
  <c r="J23" i="6" s="1"/>
  <c r="H22" i="6"/>
  <c r="J22" i="6" s="1"/>
  <c r="I21" i="6"/>
  <c r="I24" i="6" s="1"/>
  <c r="I27" i="6" s="1"/>
  <c r="H20" i="6"/>
  <c r="J20" i="6" s="1"/>
  <c r="H18" i="6"/>
  <c r="J18" i="6" s="1"/>
  <c r="H17" i="6"/>
  <c r="J17" i="6" s="1"/>
  <c r="I16" i="6"/>
  <c r="F16" i="6"/>
  <c r="F19" i="6" s="1"/>
  <c r="H15" i="6"/>
  <c r="J15" i="6" s="1"/>
  <c r="H13" i="6"/>
  <c r="J13" i="6" s="1"/>
  <c r="H12" i="6"/>
  <c r="J12" i="6" s="1"/>
  <c r="H11" i="6"/>
  <c r="J11" i="6" s="1"/>
  <c r="H10" i="6"/>
  <c r="J10" i="6" s="1"/>
  <c r="G9" i="6"/>
  <c r="G14" i="6" s="1"/>
  <c r="F9" i="6"/>
  <c r="H9" i="6" s="1"/>
  <c r="J9" i="6" s="1"/>
  <c r="H8" i="6"/>
  <c r="J8" i="6" s="1"/>
  <c r="L35" i="5"/>
  <c r="Q31" i="5"/>
  <c r="O31" i="5"/>
  <c r="P26" i="5"/>
  <c r="O26" i="5"/>
  <c r="P24" i="5" s="1"/>
  <c r="G26" i="5"/>
  <c r="O25" i="5"/>
  <c r="P23" i="5" s="1"/>
  <c r="O24" i="5"/>
  <c r="H24" i="5"/>
  <c r="H27" i="5" s="1"/>
  <c r="H33" i="5" s="1"/>
  <c r="F24" i="5"/>
  <c r="O23" i="5"/>
  <c r="F23" i="5"/>
  <c r="P22" i="5"/>
  <c r="O22" i="5"/>
  <c r="P20" i="5" s="1"/>
  <c r="F22" i="5"/>
  <c r="G22" i="5" s="1"/>
  <c r="Q21" i="5"/>
  <c r="O21" i="5"/>
  <c r="P19" i="5" s="1"/>
  <c r="F21" i="5"/>
  <c r="O20" i="5"/>
  <c r="P18" i="5" s="1"/>
  <c r="F20" i="5"/>
  <c r="O19" i="5"/>
  <c r="F19" i="5"/>
  <c r="F18" i="5"/>
  <c r="G18" i="5" s="1"/>
  <c r="Q17" i="5"/>
  <c r="F17" i="5"/>
  <c r="G17" i="5" s="1"/>
  <c r="C15" i="5"/>
  <c r="O14" i="5"/>
  <c r="P13" i="5" s="1"/>
  <c r="D14" i="5"/>
  <c r="F13" i="5"/>
  <c r="G13" i="5" s="1"/>
  <c r="Q12" i="5"/>
  <c r="O12" i="5"/>
  <c r="F12" i="5"/>
  <c r="G12" i="5" s="1"/>
  <c r="Q11" i="5"/>
  <c r="O11" i="5"/>
  <c r="F11" i="5"/>
  <c r="G11" i="5" s="1"/>
  <c r="O10" i="5"/>
  <c r="P10" i="5" s="1"/>
  <c r="F10" i="5"/>
  <c r="G10" i="5" s="1"/>
  <c r="O9" i="5"/>
  <c r="P9" i="5" s="1"/>
  <c r="F9" i="5"/>
  <c r="G9" i="5" s="1"/>
  <c r="O8" i="5"/>
  <c r="P8" i="5" s="1"/>
  <c r="F8" i="5"/>
  <c r="O7" i="5"/>
  <c r="P7" i="5" s="1"/>
  <c r="F7" i="5"/>
  <c r="G7" i="5" s="1"/>
  <c r="Q6" i="5"/>
  <c r="O6" i="5"/>
  <c r="F6" i="5"/>
  <c r="G6" i="5" s="1"/>
  <c r="O5" i="5"/>
  <c r="P5" i="5" s="1"/>
  <c r="F5" i="5"/>
  <c r="G5" i="5" s="1"/>
  <c r="U40" i="3"/>
  <c r="T39" i="3"/>
  <c r="R39" i="3"/>
  <c r="N39" i="3"/>
  <c r="L39" i="3"/>
  <c r="H39" i="3"/>
  <c r="F39" i="3"/>
  <c r="R35" i="3"/>
  <c r="H26" i="8"/>
  <c r="L35" i="3"/>
  <c r="F35" i="3"/>
  <c r="H35" i="3" s="1"/>
  <c r="K46" i="5" s="1"/>
  <c r="L34" i="3"/>
  <c r="N34" i="3" s="1"/>
  <c r="F34" i="3"/>
  <c r="T31" i="3"/>
  <c r="I14" i="9" s="1"/>
  <c r="R31" i="3"/>
  <c r="L31" i="3"/>
  <c r="N31" i="3" s="1"/>
  <c r="H14" i="9" s="1"/>
  <c r="F31" i="3"/>
  <c r="H31" i="3" s="1"/>
  <c r="Q28" i="3"/>
  <c r="R28" i="3" s="1"/>
  <c r="L28" i="3"/>
  <c r="F28" i="3"/>
  <c r="R27" i="3"/>
  <c r="T27" i="3" s="1"/>
  <c r="N27" i="3"/>
  <c r="L27" i="3"/>
  <c r="F27" i="3"/>
  <c r="H27" i="3" s="1"/>
  <c r="T26" i="3"/>
  <c r="N26" i="3"/>
  <c r="H26" i="3"/>
  <c r="S25" i="3"/>
  <c r="Q25" i="3"/>
  <c r="P25" i="3"/>
  <c r="K25" i="3"/>
  <c r="J25" i="3"/>
  <c r="L25" i="3" s="1"/>
  <c r="N25" i="3" s="1"/>
  <c r="G25" i="3"/>
  <c r="E25" i="3"/>
  <c r="D25" i="3"/>
  <c r="R24" i="3"/>
  <c r="T24" i="3" s="1"/>
  <c r="N24" i="3"/>
  <c r="H24" i="3"/>
  <c r="F24" i="3"/>
  <c r="R23" i="3"/>
  <c r="T23" i="3" s="1"/>
  <c r="N23" i="3"/>
  <c r="F23" i="3"/>
  <c r="H23" i="3" s="1"/>
  <c r="R22" i="3"/>
  <c r="T22" i="3" s="1"/>
  <c r="N22" i="3"/>
  <c r="F22" i="3"/>
  <c r="H22" i="3" s="1"/>
  <c r="T21" i="3"/>
  <c r="R21" i="3"/>
  <c r="N21" i="3"/>
  <c r="F21" i="3"/>
  <c r="H21" i="3" s="1"/>
  <c r="R20" i="3"/>
  <c r="T20" i="3" s="1"/>
  <c r="N20" i="3"/>
  <c r="H20" i="3"/>
  <c r="F20" i="3"/>
  <c r="T19" i="3"/>
  <c r="R19" i="3"/>
  <c r="N19" i="3"/>
  <c r="F19" i="3"/>
  <c r="H19" i="3" s="1"/>
  <c r="T18" i="3"/>
  <c r="R18" i="3"/>
  <c r="N18" i="3"/>
  <c r="F18" i="3"/>
  <c r="H18" i="3" s="1"/>
  <c r="T17" i="3"/>
  <c r="R17" i="3"/>
  <c r="N17" i="3"/>
  <c r="H17" i="3"/>
  <c r="F17" i="3"/>
  <c r="R16" i="3"/>
  <c r="T16" i="3" s="1"/>
  <c r="N16" i="3"/>
  <c r="H16" i="3"/>
  <c r="F16" i="3"/>
  <c r="R15" i="3"/>
  <c r="T15" i="3" s="1"/>
  <c r="N15" i="3"/>
  <c r="F15" i="3"/>
  <c r="H15" i="3" s="1"/>
  <c r="R14" i="3"/>
  <c r="T14" i="3" s="1"/>
  <c r="N14" i="3"/>
  <c r="H14" i="3"/>
  <c r="F14" i="3"/>
  <c r="T13" i="3"/>
  <c r="R13" i="3"/>
  <c r="N13" i="3"/>
  <c r="F13" i="3"/>
  <c r="H13" i="3" s="1"/>
  <c r="R12" i="3"/>
  <c r="T12" i="3" s="1"/>
  <c r="N12" i="3"/>
  <c r="H12" i="3"/>
  <c r="F12" i="3"/>
  <c r="T11" i="3"/>
  <c r="R11" i="3"/>
  <c r="N11" i="3"/>
  <c r="L11" i="3"/>
  <c r="F11" i="3"/>
  <c r="H11" i="3" s="1"/>
  <c r="R9" i="3"/>
  <c r="Q9" i="3"/>
  <c r="Q29" i="3" s="1"/>
  <c r="Q32" i="3" s="1"/>
  <c r="Q36" i="3" s="1"/>
  <c r="Q40" i="3" s="1"/>
  <c r="P9" i="3"/>
  <c r="P29" i="3" s="1"/>
  <c r="P32" i="3" s="1"/>
  <c r="P36" i="3" s="1"/>
  <c r="P40" i="3" s="1"/>
  <c r="K9" i="3"/>
  <c r="K29" i="3" s="1"/>
  <c r="K32" i="3" s="1"/>
  <c r="K36" i="3" s="1"/>
  <c r="K40" i="3" s="1"/>
  <c r="J9" i="3"/>
  <c r="G9" i="3"/>
  <c r="E9" i="3"/>
  <c r="D9" i="3"/>
  <c r="D29" i="3" s="1"/>
  <c r="D32" i="3" s="1"/>
  <c r="S8" i="3"/>
  <c r="T8" i="3" s="1"/>
  <c r="R8" i="3"/>
  <c r="L8" i="3"/>
  <c r="F8" i="3"/>
  <c r="H8" i="3" s="1"/>
  <c r="S7" i="3"/>
  <c r="R7" i="3"/>
  <c r="M7" i="3"/>
  <c r="L7" i="3"/>
  <c r="F7" i="3"/>
  <c r="H7" i="3" s="1"/>
  <c r="N74" i="2"/>
  <c r="L74" i="2"/>
  <c r="K74" i="2"/>
  <c r="M73" i="2"/>
  <c r="O73" i="2" s="1"/>
  <c r="G73" i="2"/>
  <c r="M72" i="2"/>
  <c r="F74" i="2"/>
  <c r="G72" i="2"/>
  <c r="I72" i="2" s="1"/>
  <c r="R71" i="2"/>
  <c r="M71" i="2"/>
  <c r="O71" i="2" s="1"/>
  <c r="G71" i="2"/>
  <c r="I71" i="2" s="1"/>
  <c r="M70" i="2"/>
  <c r="O70" i="2" s="1"/>
  <c r="G70" i="2"/>
  <c r="I70" i="2" s="1"/>
  <c r="R66" i="2"/>
  <c r="L66" i="2"/>
  <c r="K66" i="2"/>
  <c r="H66" i="2"/>
  <c r="F66" i="2"/>
  <c r="E66" i="2"/>
  <c r="S65" i="2"/>
  <c r="U65" i="2" s="1"/>
  <c r="M65" i="2"/>
  <c r="O65" i="2" s="1"/>
  <c r="M26" i="5" s="1"/>
  <c r="G65" i="2"/>
  <c r="I65" i="2" s="1"/>
  <c r="K26" i="5" s="1"/>
  <c r="S63" i="2"/>
  <c r="U63" i="2" s="1"/>
  <c r="M63" i="2"/>
  <c r="O63" i="2" s="1"/>
  <c r="M27" i="5" s="1"/>
  <c r="N27" i="5" s="1"/>
  <c r="G63" i="2"/>
  <c r="I63" i="2" s="1"/>
  <c r="K27" i="5" s="1"/>
  <c r="Q62" i="2"/>
  <c r="S62" i="2" s="1"/>
  <c r="U62" i="2" s="1"/>
  <c r="M62" i="2"/>
  <c r="O62" i="2" s="1"/>
  <c r="M24" i="5" s="1"/>
  <c r="N24" i="5" s="1"/>
  <c r="G62" i="2"/>
  <c r="I62" i="2" s="1"/>
  <c r="K24" i="5" s="1"/>
  <c r="N66" i="2"/>
  <c r="M61" i="2"/>
  <c r="G61" i="2"/>
  <c r="I61" i="2" s="1"/>
  <c r="K25" i="5" s="1"/>
  <c r="T60" i="2"/>
  <c r="Q60" i="2"/>
  <c r="Q66" i="2" s="1"/>
  <c r="M60" i="2"/>
  <c r="O60" i="2" s="1"/>
  <c r="M23" i="5" s="1"/>
  <c r="N23" i="5" s="1"/>
  <c r="G60" i="2"/>
  <c r="I60" i="2" s="1"/>
  <c r="K23" i="5" s="1"/>
  <c r="T59" i="2"/>
  <c r="S59" i="2"/>
  <c r="Q59" i="2"/>
  <c r="M59" i="2"/>
  <c r="O59" i="2" s="1"/>
  <c r="M22" i="5" s="1"/>
  <c r="G59" i="2"/>
  <c r="I59" i="2" s="1"/>
  <c r="K22" i="5" s="1"/>
  <c r="S58" i="2"/>
  <c r="U58" i="2" s="1"/>
  <c r="M58" i="2"/>
  <c r="O58" i="2" s="1"/>
  <c r="M21" i="5" s="1"/>
  <c r="G58" i="2"/>
  <c r="I58" i="2" s="1"/>
  <c r="O57" i="2"/>
  <c r="M56" i="2"/>
  <c r="O56" i="2" s="1"/>
  <c r="M20" i="5" s="1"/>
  <c r="G56" i="2"/>
  <c r="I56" i="2" s="1"/>
  <c r="K20" i="5" s="1"/>
  <c r="L20" i="5" s="1"/>
  <c r="S55" i="2"/>
  <c r="U55" i="2" s="1"/>
  <c r="M55" i="2"/>
  <c r="G55" i="2"/>
  <c r="I55" i="2" s="1"/>
  <c r="R52" i="2"/>
  <c r="L52" i="2"/>
  <c r="K52" i="2"/>
  <c r="F52" i="2"/>
  <c r="E52" i="2"/>
  <c r="T51" i="2"/>
  <c r="S51" i="2"/>
  <c r="M51" i="2"/>
  <c r="G51" i="2"/>
  <c r="I51" i="2" s="1"/>
  <c r="K15" i="5" s="1"/>
  <c r="O50" i="2"/>
  <c r="M13" i="5" s="1"/>
  <c r="M50" i="2"/>
  <c r="G50" i="2"/>
  <c r="I50" i="2" s="1"/>
  <c r="K13" i="5" s="1"/>
  <c r="U49" i="2"/>
  <c r="S49" i="2"/>
  <c r="M49" i="2"/>
  <c r="O49" i="2" s="1"/>
  <c r="M14" i="5" s="1"/>
  <c r="G49" i="2"/>
  <c r="I49" i="2" s="1"/>
  <c r="K14" i="5" s="1"/>
  <c r="T48" i="2"/>
  <c r="S48" i="2"/>
  <c r="M48" i="2"/>
  <c r="O48" i="2" s="1"/>
  <c r="M12" i="5" s="1"/>
  <c r="G48" i="2"/>
  <c r="I48" i="2" s="1"/>
  <c r="K12" i="5" s="1"/>
  <c r="S47" i="2"/>
  <c r="U47" i="2" s="1"/>
  <c r="O47" i="2"/>
  <c r="M11" i="5" s="1"/>
  <c r="M47" i="2"/>
  <c r="G47" i="2"/>
  <c r="I47" i="2" s="1"/>
  <c r="K11" i="5" s="1"/>
  <c r="S46" i="2"/>
  <c r="U46" i="2" s="1"/>
  <c r="Q46" i="2"/>
  <c r="M46" i="2"/>
  <c r="O46" i="2" s="1"/>
  <c r="M10" i="5" s="1"/>
  <c r="G46" i="2"/>
  <c r="I46" i="2" s="1"/>
  <c r="K10" i="5" s="1"/>
  <c r="S45" i="2"/>
  <c r="U45" i="2" s="1"/>
  <c r="O45" i="2"/>
  <c r="I45" i="2"/>
  <c r="T44" i="2"/>
  <c r="Q44" i="2"/>
  <c r="S44" i="2" s="1"/>
  <c r="M44" i="2"/>
  <c r="G44" i="2"/>
  <c r="S43" i="2"/>
  <c r="U43" i="2" s="1"/>
  <c r="Q43" i="2"/>
  <c r="M43" i="2"/>
  <c r="O43" i="2" s="1"/>
  <c r="M8" i="5" s="1"/>
  <c r="G43" i="2"/>
  <c r="I43" i="2" s="1"/>
  <c r="K8" i="5" s="1"/>
  <c r="O42" i="2"/>
  <c r="S41" i="2"/>
  <c r="U41" i="2" s="1"/>
  <c r="M41" i="2"/>
  <c r="O41" i="2" s="1"/>
  <c r="M7" i="5" s="1"/>
  <c r="G41" i="2"/>
  <c r="S40" i="2"/>
  <c r="U40" i="2" s="1"/>
  <c r="I23" i="9" s="1"/>
  <c r="M40" i="2"/>
  <c r="O40" i="2" s="1"/>
  <c r="G40" i="2"/>
  <c r="I40" i="2" s="1"/>
  <c r="M39" i="2"/>
  <c r="G39" i="2"/>
  <c r="I39" i="2" s="1"/>
  <c r="R34" i="2"/>
  <c r="Q34" i="2"/>
  <c r="L34" i="2"/>
  <c r="K34" i="2"/>
  <c r="F34" i="2"/>
  <c r="S33" i="2"/>
  <c r="U33" i="2" s="1"/>
  <c r="M33" i="2"/>
  <c r="O33" i="2" s="1"/>
  <c r="D26" i="5" s="1"/>
  <c r="G33" i="2"/>
  <c r="I33" i="2" s="1"/>
  <c r="B26" i="5" s="1"/>
  <c r="S32" i="2"/>
  <c r="M32" i="2"/>
  <c r="G32" i="2"/>
  <c r="S31" i="2"/>
  <c r="U31" i="2" s="1"/>
  <c r="M31" i="2"/>
  <c r="O31" i="2" s="1"/>
  <c r="D25" i="5" s="1"/>
  <c r="G31" i="2"/>
  <c r="I31" i="2" s="1"/>
  <c r="B25" i="5" s="1"/>
  <c r="S30" i="2"/>
  <c r="U30" i="2" s="1"/>
  <c r="O30" i="2"/>
  <c r="D24" i="5" s="1"/>
  <c r="M30" i="2"/>
  <c r="G30" i="2"/>
  <c r="I30" i="2" s="1"/>
  <c r="B24" i="5" s="1"/>
  <c r="U29" i="2"/>
  <c r="S29" i="2"/>
  <c r="M29" i="2"/>
  <c r="O29" i="2" s="1"/>
  <c r="D27" i="5" s="1"/>
  <c r="I29" i="2"/>
  <c r="B27" i="5" s="1"/>
  <c r="G29" i="2"/>
  <c r="S28" i="2"/>
  <c r="U28" i="2" s="1"/>
  <c r="O28" i="2"/>
  <c r="D23" i="5" s="1"/>
  <c r="M28" i="2"/>
  <c r="G28" i="2"/>
  <c r="I28" i="2" s="1"/>
  <c r="B23" i="5" s="1"/>
  <c r="S27" i="2"/>
  <c r="U27" i="2" s="1"/>
  <c r="M27" i="2"/>
  <c r="O27" i="2" s="1"/>
  <c r="D22" i="5" s="1"/>
  <c r="G27" i="2"/>
  <c r="I27" i="2" s="1"/>
  <c r="B22" i="5" s="1"/>
  <c r="S26" i="2"/>
  <c r="M26" i="2"/>
  <c r="G26" i="2"/>
  <c r="E34" i="2"/>
  <c r="S25" i="2"/>
  <c r="U25" i="2" s="1"/>
  <c r="M25" i="2"/>
  <c r="O25" i="2" s="1"/>
  <c r="D19" i="5" s="1"/>
  <c r="G25" i="2"/>
  <c r="I25" i="2" s="1"/>
  <c r="B19" i="5" s="1"/>
  <c r="S24" i="2"/>
  <c r="M24" i="2"/>
  <c r="O24" i="2" s="1"/>
  <c r="D20" i="5" s="1"/>
  <c r="G24" i="2"/>
  <c r="U21" i="2"/>
  <c r="R19" i="2"/>
  <c r="R35" i="2" s="1"/>
  <c r="Q19" i="2"/>
  <c r="Q35" i="2" s="1"/>
  <c r="S35" i="2" s="1"/>
  <c r="L19" i="2"/>
  <c r="L35" i="2" s="1"/>
  <c r="K19" i="2"/>
  <c r="H19" i="2"/>
  <c r="F19" i="2"/>
  <c r="F35" i="2" s="1"/>
  <c r="E19" i="2"/>
  <c r="G18" i="2"/>
  <c r="I18" i="2" s="1"/>
  <c r="B14" i="5" s="1"/>
  <c r="S17" i="2"/>
  <c r="U17" i="2" s="1"/>
  <c r="M17" i="2"/>
  <c r="O17" i="2" s="1"/>
  <c r="D13" i="5" s="1"/>
  <c r="G17" i="2"/>
  <c r="I17" i="2" s="1"/>
  <c r="B13" i="5" s="1"/>
  <c r="T16" i="2"/>
  <c r="S16" i="2"/>
  <c r="M16" i="2"/>
  <c r="O16" i="2" s="1"/>
  <c r="D12" i="5" s="1"/>
  <c r="G16" i="2"/>
  <c r="I16" i="2" s="1"/>
  <c r="B12" i="5" s="1"/>
  <c r="S15" i="2"/>
  <c r="U15" i="2" s="1"/>
  <c r="M15" i="2"/>
  <c r="O15" i="2" s="1"/>
  <c r="D10" i="5" s="1"/>
  <c r="G15" i="2"/>
  <c r="I15" i="2" s="1"/>
  <c r="B10" i="5" s="1"/>
  <c r="S14" i="2"/>
  <c r="U14" i="2" s="1"/>
  <c r="M14" i="2"/>
  <c r="O14" i="2" s="1"/>
  <c r="D11" i="5" s="1"/>
  <c r="G14" i="2"/>
  <c r="I14" i="2" s="1"/>
  <c r="B11" i="5" s="1"/>
  <c r="T13" i="2"/>
  <c r="S13" i="2"/>
  <c r="N19" i="2"/>
  <c r="M13" i="2"/>
  <c r="G13" i="2"/>
  <c r="I13" i="2" s="1"/>
  <c r="B9" i="5" s="1"/>
  <c r="S12" i="2"/>
  <c r="U12" i="2" s="1"/>
  <c r="O12" i="2"/>
  <c r="D8" i="5" s="1"/>
  <c r="M12" i="2"/>
  <c r="G12" i="2"/>
  <c r="S11" i="2"/>
  <c r="O11" i="2"/>
  <c r="I11" i="2"/>
  <c r="S10" i="2"/>
  <c r="U10" i="2" s="1"/>
  <c r="M10" i="2"/>
  <c r="O10" i="2" s="1"/>
  <c r="D7" i="5" s="1"/>
  <c r="G10" i="2"/>
  <c r="I10" i="2" s="1"/>
  <c r="B7" i="5" s="1"/>
  <c r="S9" i="2"/>
  <c r="U9" i="2" s="1"/>
  <c r="O9" i="2"/>
  <c r="D6" i="5" s="1"/>
  <c r="M9" i="2"/>
  <c r="G9" i="2"/>
  <c r="I9" i="2" s="1"/>
  <c r="B6" i="5" s="1"/>
  <c r="S8" i="2"/>
  <c r="U8" i="2" s="1"/>
  <c r="M8" i="2"/>
  <c r="M80" i="4" s="1"/>
  <c r="G8" i="2"/>
  <c r="E22" i="5" l="1"/>
  <c r="L10" i="5"/>
  <c r="N20" i="5"/>
  <c r="L24" i="5"/>
  <c r="B56" i="5" s="1"/>
  <c r="P21" i="5"/>
  <c r="L8" i="5"/>
  <c r="I31" i="4" s="1"/>
  <c r="N8" i="5"/>
  <c r="N11" i="5"/>
  <c r="N7" i="5"/>
  <c r="G24" i="5"/>
  <c r="P31" i="5"/>
  <c r="F14" i="9"/>
  <c r="F10" i="9"/>
  <c r="F25" i="3"/>
  <c r="H25" i="3" s="1"/>
  <c r="D36" i="3"/>
  <c r="D40" i="3" s="1"/>
  <c r="F153" i="6" s="1"/>
  <c r="F194" i="6" s="1"/>
  <c r="E8" i="4"/>
  <c r="D42" i="3"/>
  <c r="S66" i="2"/>
  <c r="K35" i="2"/>
  <c r="L13" i="5"/>
  <c r="G80" i="4"/>
  <c r="Q52" i="2"/>
  <c r="L21" i="5"/>
  <c r="I36" i="4" s="1"/>
  <c r="E8" i="5"/>
  <c r="I8" i="2"/>
  <c r="B5" i="5" s="1"/>
  <c r="S60" i="2"/>
  <c r="M74" i="2"/>
  <c r="S34" i="2"/>
  <c r="U60" i="2"/>
  <c r="E21" i="5"/>
  <c r="M66" i="2"/>
  <c r="E67" i="2"/>
  <c r="G19" i="2"/>
  <c r="P12" i="5"/>
  <c r="N12" i="5"/>
  <c r="N26" i="5"/>
  <c r="C12" i="5"/>
  <c r="G8" i="5"/>
  <c r="C7" i="5"/>
  <c r="G55" i="4" s="1"/>
  <c r="I55" i="4" s="1"/>
  <c r="N14" i="5"/>
  <c r="N22" i="5"/>
  <c r="L26" i="5"/>
  <c r="O28" i="5"/>
  <c r="C25" i="5"/>
  <c r="N10" i="5"/>
  <c r="N21" i="5"/>
  <c r="P6" i="5"/>
  <c r="P11" i="5"/>
  <c r="H34" i="3"/>
  <c r="B77" i="5" s="1"/>
  <c r="R67" i="2"/>
  <c r="F67" i="2"/>
  <c r="F75" i="2" s="1"/>
  <c r="F76" i="2" s="1"/>
  <c r="M52" i="2"/>
  <c r="S52" i="2"/>
  <c r="L67" i="2"/>
  <c r="L75" i="2" s="1"/>
  <c r="L76" i="2" s="1"/>
  <c r="G52" i="2"/>
  <c r="C11" i="5"/>
  <c r="E35" i="2"/>
  <c r="K67" i="2"/>
  <c r="K75" i="2" s="1"/>
  <c r="K76" i="2" s="1"/>
  <c r="S28" i="3"/>
  <c r="F27" i="8"/>
  <c r="G27" i="8" s="1"/>
  <c r="I20" i="8"/>
  <c r="F25" i="8"/>
  <c r="G25" i="8" s="1"/>
  <c r="K20" i="8"/>
  <c r="G29" i="3"/>
  <c r="N35" i="3"/>
  <c r="G74" i="2"/>
  <c r="H85" i="6"/>
  <c r="J85" i="6" s="1"/>
  <c r="H97" i="6"/>
  <c r="J97" i="6" s="1"/>
  <c r="H130" i="6"/>
  <c r="H76" i="6"/>
  <c r="J76" i="6" s="1"/>
  <c r="R72" i="2"/>
  <c r="G136" i="6"/>
  <c r="H136" i="6" s="1"/>
  <c r="U13" i="2"/>
  <c r="H28" i="3"/>
  <c r="I21" i="7"/>
  <c r="I27" i="7" s="1"/>
  <c r="H20" i="7"/>
  <c r="G35" i="7"/>
  <c r="B71" i="5"/>
  <c r="I11" i="9"/>
  <c r="H9" i="3"/>
  <c r="H27" i="8"/>
  <c r="J63" i="7"/>
  <c r="N52" i="2"/>
  <c r="N67" i="2" s="1"/>
  <c r="N75" i="2" s="1"/>
  <c r="K63" i="7"/>
  <c r="L60" i="7"/>
  <c r="L63" i="7" s="1"/>
  <c r="M8" i="3"/>
  <c r="M9" i="3" s="1"/>
  <c r="M43" i="7"/>
  <c r="O61" i="2"/>
  <c r="M25" i="5" s="1"/>
  <c r="N25" i="5" s="1"/>
  <c r="T28" i="3"/>
  <c r="L19" i="8"/>
  <c r="O13" i="2"/>
  <c r="D9" i="5" s="1"/>
  <c r="C9" i="5" s="1"/>
  <c r="U51" i="2"/>
  <c r="T66" i="2"/>
  <c r="F21" i="6"/>
  <c r="F24" i="6" s="1"/>
  <c r="F27" i="6" s="1"/>
  <c r="Q70" i="2"/>
  <c r="H32" i="6"/>
  <c r="J32" i="6" s="1"/>
  <c r="T19" i="2"/>
  <c r="U44" i="2"/>
  <c r="N7" i="3"/>
  <c r="T52" i="2"/>
  <c r="L12" i="5"/>
  <c r="U48" i="2"/>
  <c r="H23" i="9"/>
  <c r="M6" i="5"/>
  <c r="N6" i="5" s="1"/>
  <c r="G186" i="6"/>
  <c r="G190" i="6" s="1"/>
  <c r="F70" i="6"/>
  <c r="H69" i="6"/>
  <c r="J69" i="6" s="1"/>
  <c r="C10" i="5"/>
  <c r="C26" i="5"/>
  <c r="E24" i="5"/>
  <c r="L23" i="5"/>
  <c r="E29" i="3"/>
  <c r="E32" i="3" s="1"/>
  <c r="H35" i="6"/>
  <c r="J35" i="6" s="1"/>
  <c r="F36" i="6"/>
  <c r="H99" i="6"/>
  <c r="J99" i="6" s="1"/>
  <c r="I12" i="2"/>
  <c r="B8" i="5" s="1"/>
  <c r="C8" i="5" s="1"/>
  <c r="B85" i="5" s="1"/>
  <c r="I24" i="4" s="1"/>
  <c r="S19" i="2"/>
  <c r="G34" i="2"/>
  <c r="G35" i="2" s="1"/>
  <c r="U24" i="2"/>
  <c r="C22" i="5"/>
  <c r="B67" i="5" s="1"/>
  <c r="B68" i="5" s="1"/>
  <c r="B69" i="5" s="1"/>
  <c r="C27" i="5"/>
  <c r="O39" i="2"/>
  <c r="I41" i="2"/>
  <c r="K7" i="5" s="1"/>
  <c r="L7" i="5" s="1"/>
  <c r="G72" i="4" s="1"/>
  <c r="I72" i="4" s="1"/>
  <c r="U59" i="2"/>
  <c r="L27" i="5"/>
  <c r="O72" i="2"/>
  <c r="O74" i="2" s="1"/>
  <c r="E74" i="2"/>
  <c r="S9" i="3"/>
  <c r="S29" i="3" s="1"/>
  <c r="S32" i="3" s="1"/>
  <c r="L9" i="3"/>
  <c r="L29" i="3" s="1"/>
  <c r="L32" i="3" s="1"/>
  <c r="L36" i="3" s="1"/>
  <c r="L40" i="3" s="1"/>
  <c r="G21" i="5"/>
  <c r="T66" i="7"/>
  <c r="U11" i="7"/>
  <c r="U64" i="7" s="1"/>
  <c r="C6" i="5"/>
  <c r="G56" i="4" s="1"/>
  <c r="I56" i="4" s="1"/>
  <c r="C19" i="5"/>
  <c r="L14" i="5"/>
  <c r="E6" i="5"/>
  <c r="E20" i="5"/>
  <c r="G20" i="5"/>
  <c r="M19" i="2"/>
  <c r="O8" i="2"/>
  <c r="O80" i="4" s="1"/>
  <c r="U16" i="2"/>
  <c r="U19" i="2" s="1"/>
  <c r="C13" i="5"/>
  <c r="I24" i="2"/>
  <c r="L11" i="5"/>
  <c r="O55" i="2"/>
  <c r="G66" i="2"/>
  <c r="R73" i="2"/>
  <c r="T7" i="3"/>
  <c r="T9" i="3" s="1"/>
  <c r="O16" i="5"/>
  <c r="E13" i="5"/>
  <c r="C14" i="5"/>
  <c r="B104" i="5"/>
  <c r="G71" i="4" s="1"/>
  <c r="I71" i="4" s="1"/>
  <c r="G62" i="6"/>
  <c r="H50" i="6"/>
  <c r="F51" i="6"/>
  <c r="F54" i="6"/>
  <c r="F161" i="6"/>
  <c r="F118" i="6"/>
  <c r="G143" i="6"/>
  <c r="G149" i="6" s="1"/>
  <c r="K19" i="5"/>
  <c r="I66" i="2"/>
  <c r="F9" i="3"/>
  <c r="F29" i="3" s="1"/>
  <c r="F32" i="3" s="1"/>
  <c r="F36" i="3" s="1"/>
  <c r="F40" i="3" s="1"/>
  <c r="E17" i="5"/>
  <c r="F27" i="5"/>
  <c r="F33" i="5" s="1"/>
  <c r="H68" i="6"/>
  <c r="J68" i="6" s="1"/>
  <c r="Q72" i="2"/>
  <c r="S72" i="2" s="1"/>
  <c r="U72" i="2" s="1"/>
  <c r="C23" i="5"/>
  <c r="B62" i="5" s="1"/>
  <c r="C24" i="5"/>
  <c r="G57" i="4" s="1"/>
  <c r="I57" i="4" s="1"/>
  <c r="M34" i="2"/>
  <c r="M35" i="2" s="1"/>
  <c r="K5" i="5"/>
  <c r="K6" i="5"/>
  <c r="I25" i="9"/>
  <c r="I31" i="9"/>
  <c r="O44" i="2"/>
  <c r="M9" i="5" s="1"/>
  <c r="N9" i="5" s="1"/>
  <c r="O51" i="2"/>
  <c r="M15" i="5" s="1"/>
  <c r="L22" i="5"/>
  <c r="Q67" i="2"/>
  <c r="S67" i="2" s="1"/>
  <c r="R25" i="3"/>
  <c r="J29" i="3"/>
  <c r="J32" i="3" s="1"/>
  <c r="J36" i="3" s="1"/>
  <c r="J40" i="3" s="1"/>
  <c r="B73" i="5"/>
  <c r="E18" i="5"/>
  <c r="G19" i="5"/>
  <c r="G16" i="6"/>
  <c r="G19" i="6" s="1"/>
  <c r="H14" i="6"/>
  <c r="H48" i="6"/>
  <c r="J48" i="6" s="1"/>
  <c r="E10" i="5"/>
  <c r="G23" i="5"/>
  <c r="E23" i="5"/>
  <c r="I72" i="6"/>
  <c r="F78" i="6"/>
  <c r="H77" i="6"/>
  <c r="J77" i="6" s="1"/>
  <c r="H86" i="6"/>
  <c r="J86" i="6" s="1"/>
  <c r="F87" i="6"/>
  <c r="H112" i="6"/>
  <c r="H115" i="6" s="1"/>
  <c r="J110" i="6"/>
  <c r="J112" i="6" s="1"/>
  <c r="H66" i="6"/>
  <c r="J66" i="6" s="1"/>
  <c r="J45" i="7"/>
  <c r="K35" i="7"/>
  <c r="E7" i="5"/>
  <c r="E11" i="5"/>
  <c r="E12" i="5"/>
  <c r="Q27" i="5"/>
  <c r="Q28" i="5" s="1"/>
  <c r="Q33" i="5" s="1"/>
  <c r="H101" i="6"/>
  <c r="J101" i="6" s="1"/>
  <c r="F103" i="6"/>
  <c r="H162" i="6"/>
  <c r="J117" i="6"/>
  <c r="J162" i="6" s="1"/>
  <c r="F149" i="6"/>
  <c r="P17" i="5"/>
  <c r="H158" i="6"/>
  <c r="J158" i="6" s="1"/>
  <c r="F187" i="6"/>
  <c r="H187" i="6" s="1"/>
  <c r="J187" i="6" s="1"/>
  <c r="H144" i="6"/>
  <c r="J144" i="6" s="1"/>
  <c r="T64" i="7"/>
  <c r="N27" i="7"/>
  <c r="K18" i="8"/>
  <c r="J8" i="8"/>
  <c r="L40" i="7"/>
  <c r="I11" i="8"/>
  <c r="H191" i="6"/>
  <c r="J191" i="6" s="1"/>
  <c r="Q11" i="7"/>
  <c r="Q67" i="7"/>
  <c r="P50" i="7"/>
  <c r="M45" i="7"/>
  <c r="P38" i="7"/>
  <c r="P27" i="7"/>
  <c r="E26" i="8"/>
  <c r="F30" i="8" s="1"/>
  <c r="B39" i="5" l="1"/>
  <c r="G62" i="4"/>
  <c r="I62" i="4" s="1"/>
  <c r="B63" i="5"/>
  <c r="I28" i="4"/>
  <c r="B86" i="5"/>
  <c r="B87" i="5" s="1"/>
  <c r="I27" i="4"/>
  <c r="I29" i="4"/>
  <c r="E22" i="4"/>
  <c r="G8" i="4"/>
  <c r="M67" i="2"/>
  <c r="M75" i="2" s="1"/>
  <c r="I34" i="4"/>
  <c r="U66" i="2"/>
  <c r="B105" i="5"/>
  <c r="L6" i="5"/>
  <c r="G69" i="4" s="1"/>
  <c r="I30" i="4"/>
  <c r="E75" i="2"/>
  <c r="E76" i="2" s="1"/>
  <c r="F23" i="9"/>
  <c r="B57" i="5"/>
  <c r="B58" i="5" s="1"/>
  <c r="I44" i="4"/>
  <c r="I26" i="4"/>
  <c r="O29" i="5"/>
  <c r="O33" i="5" s="1"/>
  <c r="B74" i="5"/>
  <c r="B75" i="5" s="1"/>
  <c r="I33" i="4"/>
  <c r="F42" i="3"/>
  <c r="E36" i="3"/>
  <c r="E40" i="3" s="1"/>
  <c r="E42" i="3"/>
  <c r="B79" i="5"/>
  <c r="N8" i="3"/>
  <c r="G67" i="2"/>
  <c r="G75" i="2" s="1"/>
  <c r="G76" i="2" s="1"/>
  <c r="I19" i="2"/>
  <c r="F26" i="8"/>
  <c r="G26" i="8" s="1"/>
  <c r="J26" i="8" s="1"/>
  <c r="J20" i="8"/>
  <c r="G32" i="3"/>
  <c r="J27" i="8"/>
  <c r="H29" i="3"/>
  <c r="H52" i="2"/>
  <c r="H67" i="2" s="1"/>
  <c r="I44" i="2"/>
  <c r="U52" i="2"/>
  <c r="U67" i="2" s="1"/>
  <c r="E9" i="5"/>
  <c r="L25" i="5"/>
  <c r="N9" i="3"/>
  <c r="T67" i="2"/>
  <c r="H143" i="6"/>
  <c r="M28" i="3"/>
  <c r="D5" i="5"/>
  <c r="O19" i="2"/>
  <c r="M31" i="5"/>
  <c r="E29" i="8"/>
  <c r="P52" i="7"/>
  <c r="P64" i="7" s="1"/>
  <c r="N50" i="7"/>
  <c r="T26" i="2" s="1"/>
  <c r="O42" i="7"/>
  <c r="H149" i="6"/>
  <c r="B51" i="5"/>
  <c r="G58" i="4" s="1"/>
  <c r="F38" i="6"/>
  <c r="H36" i="6"/>
  <c r="J36" i="6" s="1"/>
  <c r="B16" i="5"/>
  <c r="F154" i="6"/>
  <c r="H87" i="6"/>
  <c r="J87" i="6" s="1"/>
  <c r="F88" i="6"/>
  <c r="T68" i="7"/>
  <c r="R47" i="7"/>
  <c r="P40" i="7"/>
  <c r="L8" i="8"/>
  <c r="L20" i="8" s="1"/>
  <c r="J14" i="6"/>
  <c r="J16" i="6" s="1"/>
  <c r="J19" i="6" s="1"/>
  <c r="J21" i="6" s="1"/>
  <c r="J24" i="6" s="1"/>
  <c r="J27" i="6" s="1"/>
  <c r="H16" i="6"/>
  <c r="H19" i="6" s="1"/>
  <c r="H21" i="6" s="1"/>
  <c r="H24" i="6" s="1"/>
  <c r="H27" i="6" s="1"/>
  <c r="H51" i="6"/>
  <c r="H54" i="6" s="1"/>
  <c r="H56" i="6" s="1"/>
  <c r="H58" i="6" s="1"/>
  <c r="H60" i="6" s="1"/>
  <c r="J50" i="6"/>
  <c r="J51" i="6" s="1"/>
  <c r="J54" i="6" s="1"/>
  <c r="J56" i="6" s="1"/>
  <c r="J58" i="6" s="1"/>
  <c r="J60" i="6" s="1"/>
  <c r="F71" i="6"/>
  <c r="H70" i="6"/>
  <c r="H103" i="6"/>
  <c r="F105" i="6"/>
  <c r="F107" i="6" s="1"/>
  <c r="K28" i="5"/>
  <c r="B20" i="5"/>
  <c r="H118" i="6"/>
  <c r="H124" i="6" s="1"/>
  <c r="H126" i="6" s="1"/>
  <c r="H78" i="6"/>
  <c r="J78" i="6" s="1"/>
  <c r="F79" i="6"/>
  <c r="Q73" i="2"/>
  <c r="S73" i="2" s="1"/>
  <c r="G21" i="6"/>
  <c r="G24" i="6" s="1"/>
  <c r="G27" i="6" s="1"/>
  <c r="R70" i="2"/>
  <c r="T25" i="3"/>
  <c r="T29" i="3" s="1"/>
  <c r="R29" i="3"/>
  <c r="R32" i="3" s="1"/>
  <c r="R36" i="3" s="1"/>
  <c r="R40" i="3" s="1"/>
  <c r="G31" i="9"/>
  <c r="G25" i="9"/>
  <c r="F163" i="6"/>
  <c r="F171" i="6" s="1"/>
  <c r="H161" i="6"/>
  <c r="M19" i="5"/>
  <c r="L19" i="5" s="1"/>
  <c r="O66" i="2"/>
  <c r="O52" i="2"/>
  <c r="M5" i="5"/>
  <c r="L5" i="5" s="1"/>
  <c r="J11" i="8"/>
  <c r="M76" i="2"/>
  <c r="H31" i="9"/>
  <c r="H25" i="9"/>
  <c r="G11" i="4" l="1"/>
  <c r="I11" i="4" s="1"/>
  <c r="B40" i="5"/>
  <c r="B41" i="5" s="1"/>
  <c r="I69" i="4"/>
  <c r="I74" i="4" s="1"/>
  <c r="G74" i="4"/>
  <c r="I58" i="4"/>
  <c r="I35" i="4"/>
  <c r="H32" i="3"/>
  <c r="H36" i="3" s="1"/>
  <c r="F20" i="9"/>
  <c r="I8" i="4"/>
  <c r="F31" i="9"/>
  <c r="F25" i="9"/>
  <c r="B64" i="5"/>
  <c r="B80" i="5"/>
  <c r="B81" i="5" s="1"/>
  <c r="I37" i="4"/>
  <c r="B52" i="5"/>
  <c r="B53" i="5" s="1"/>
  <c r="G153" i="6"/>
  <c r="H153" i="6" s="1"/>
  <c r="H154" i="6" s="1"/>
  <c r="G27" i="9"/>
  <c r="G36" i="3"/>
  <c r="G40" i="3" s="1"/>
  <c r="I153" i="6" s="1"/>
  <c r="I194" i="6" s="1"/>
  <c r="K9" i="5"/>
  <c r="I52" i="2"/>
  <c r="I67" i="2" s="1"/>
  <c r="I20" i="9"/>
  <c r="I27" i="9" s="1"/>
  <c r="L20" i="9"/>
  <c r="L27" i="9" s="1"/>
  <c r="T32" i="3"/>
  <c r="H163" i="6"/>
  <c r="H171" i="6"/>
  <c r="F173" i="6"/>
  <c r="F176" i="6" s="1"/>
  <c r="F180" i="6" s="1"/>
  <c r="H79" i="6"/>
  <c r="J79" i="6" s="1"/>
  <c r="F80" i="6"/>
  <c r="M59" i="7"/>
  <c r="U26" i="2"/>
  <c r="G12" i="9"/>
  <c r="O52" i="7"/>
  <c r="O64" i="7" s="1"/>
  <c r="O66" i="7"/>
  <c r="N28" i="3"/>
  <c r="N29" i="3" s="1"/>
  <c r="M29" i="3"/>
  <c r="M32" i="3" s="1"/>
  <c r="M36" i="3" s="1"/>
  <c r="H105" i="6"/>
  <c r="H107" i="6" s="1"/>
  <c r="J103" i="6"/>
  <c r="J105" i="6" s="1"/>
  <c r="J107" i="6" s="1"/>
  <c r="R52" i="7"/>
  <c r="R64" i="7" s="1"/>
  <c r="Q42" i="7"/>
  <c r="H38" i="6"/>
  <c r="F39" i="6"/>
  <c r="F41" i="6" s="1"/>
  <c r="F43" i="6" s="1"/>
  <c r="Q71" i="2"/>
  <c r="R74" i="2"/>
  <c r="R75" i="2" s="1"/>
  <c r="R76" i="2" s="1"/>
  <c r="S70" i="2"/>
  <c r="U70" i="2" s="1"/>
  <c r="J70" i="6"/>
  <c r="J71" i="6" s="1"/>
  <c r="H71" i="6"/>
  <c r="J62" i="6"/>
  <c r="L11" i="8"/>
  <c r="F24" i="8"/>
  <c r="F89" i="6"/>
  <c r="F90" i="6" s="1"/>
  <c r="H88" i="6"/>
  <c r="M42" i="7"/>
  <c r="N52" i="7"/>
  <c r="N31" i="5"/>
  <c r="D16" i="5"/>
  <c r="C5" i="5"/>
  <c r="R5" i="5"/>
  <c r="E5" i="5"/>
  <c r="N5" i="5"/>
  <c r="M16" i="5"/>
  <c r="O67" i="2"/>
  <c r="O75" i="2" s="1"/>
  <c r="M28" i="5"/>
  <c r="N19" i="5"/>
  <c r="C20" i="5"/>
  <c r="B93" i="5" s="1"/>
  <c r="H62" i="6"/>
  <c r="I25" i="4" l="1"/>
  <c r="F27" i="9"/>
  <c r="H40" i="3"/>
  <c r="K45" i="5"/>
  <c r="K38" i="5" s="1"/>
  <c r="K42" i="5" s="1"/>
  <c r="H42" i="3"/>
  <c r="F9" i="9"/>
  <c r="F12" i="9" s="1"/>
  <c r="F16" i="9" s="1"/>
  <c r="G194" i="6"/>
  <c r="H194" i="6" s="1"/>
  <c r="J194" i="6" s="1"/>
  <c r="G154" i="6"/>
  <c r="G155" i="6" s="1"/>
  <c r="J153" i="6"/>
  <c r="F29" i="8"/>
  <c r="G24" i="8"/>
  <c r="K16" i="5"/>
  <c r="K29" i="5" s="1"/>
  <c r="L9" i="5"/>
  <c r="M52" i="7"/>
  <c r="M64" i="7" s="1"/>
  <c r="I124" i="6"/>
  <c r="K42" i="7"/>
  <c r="J38" i="6"/>
  <c r="J39" i="6" s="1"/>
  <c r="J41" i="6" s="1"/>
  <c r="J43" i="6" s="1"/>
  <c r="H39" i="6"/>
  <c r="H41" i="6" s="1"/>
  <c r="H43" i="6" s="1"/>
  <c r="M29" i="5"/>
  <c r="M33" i="5" s="1"/>
  <c r="E33" i="8"/>
  <c r="Q52" i="7"/>
  <c r="Q64" i="7" s="1"/>
  <c r="Q66" i="7"/>
  <c r="I123" i="6" s="1"/>
  <c r="I142" i="6"/>
  <c r="M40" i="3"/>
  <c r="I148" i="6" s="1"/>
  <c r="J148" i="6" s="1"/>
  <c r="I9" i="9"/>
  <c r="I12" i="9" s="1"/>
  <c r="J24" i="8"/>
  <c r="J23" i="8"/>
  <c r="J88" i="6"/>
  <c r="J89" i="6" s="1"/>
  <c r="J90" i="6" s="1"/>
  <c r="H89" i="6"/>
  <c r="S71" i="2"/>
  <c r="U71" i="2" s="1"/>
  <c r="Q74" i="2"/>
  <c r="H20" i="9"/>
  <c r="H27" i="9" s="1"/>
  <c r="N32" i="3"/>
  <c r="F186" i="6"/>
  <c r="F190" i="6" s="1"/>
  <c r="K180" i="6"/>
  <c r="H180" i="6"/>
  <c r="F81" i="6"/>
  <c r="F155" i="6" s="1"/>
  <c r="H80" i="6"/>
  <c r="O68" i="7"/>
  <c r="G32" i="9"/>
  <c r="G33" i="9" s="1"/>
  <c r="G16" i="9"/>
  <c r="N60" i="7"/>
  <c r="T32" i="2"/>
  <c r="K43" i="7"/>
  <c r="I43" i="7" s="1"/>
  <c r="G43" i="7" s="1"/>
  <c r="H173" i="6"/>
  <c r="I32" i="4" l="1"/>
  <c r="F32" i="9"/>
  <c r="F33" i="9" s="1"/>
  <c r="K47" i="5"/>
  <c r="G195" i="6"/>
  <c r="G196" i="6" s="1"/>
  <c r="G29" i="8"/>
  <c r="H32" i="2"/>
  <c r="I32" i="2" s="1"/>
  <c r="B28" i="5" s="1"/>
  <c r="I189" i="6"/>
  <c r="J189" i="6" s="1"/>
  <c r="G30" i="8"/>
  <c r="Q68" i="7"/>
  <c r="I115" i="6"/>
  <c r="L50" i="7"/>
  <c r="K52" i="7"/>
  <c r="K64" i="7" s="1"/>
  <c r="I170" i="6"/>
  <c r="J123" i="6"/>
  <c r="J170" i="6" s="1"/>
  <c r="F195" i="6"/>
  <c r="F196" i="6" s="1"/>
  <c r="H90" i="6"/>
  <c r="I32" i="9"/>
  <c r="I33" i="9" s="1"/>
  <c r="I16" i="9"/>
  <c r="I171" i="6"/>
  <c r="I126" i="6"/>
  <c r="I130" i="6" s="1"/>
  <c r="U32" i="2"/>
  <c r="U34" i="2" s="1"/>
  <c r="U35" i="2" s="1"/>
  <c r="T34" i="2"/>
  <c r="T35" i="2" s="1"/>
  <c r="J80" i="6"/>
  <c r="J81" i="6" s="1"/>
  <c r="H81" i="6"/>
  <c r="J142" i="6"/>
  <c r="J185" i="6" s="1"/>
  <c r="I185" i="6"/>
  <c r="H176" i="6"/>
  <c r="K9" i="8"/>
  <c r="S35" i="3"/>
  <c r="S74" i="2"/>
  <c r="Q75" i="2"/>
  <c r="H186" i="6"/>
  <c r="H190" i="6" s="1"/>
  <c r="H195" i="6" s="1"/>
  <c r="H196" i="6" s="1"/>
  <c r="I52" i="7"/>
  <c r="O32" i="2"/>
  <c r="D28" i="5" s="1"/>
  <c r="N64" i="7"/>
  <c r="H9" i="9"/>
  <c r="H12" i="9" s="1"/>
  <c r="N36" i="3"/>
  <c r="N40" i="3" s="1"/>
  <c r="AC8" i="4" l="1"/>
  <c r="J50" i="7"/>
  <c r="H50" i="7" s="1"/>
  <c r="L52" i="7"/>
  <c r="L64" i="7" s="1"/>
  <c r="H30" i="8"/>
  <c r="J30" i="8" s="1"/>
  <c r="C28" i="5"/>
  <c r="B97" i="5" s="1"/>
  <c r="E26" i="5"/>
  <c r="G31" i="8"/>
  <c r="G32" i="8"/>
  <c r="I64" i="7"/>
  <c r="H32" i="9"/>
  <c r="H33" i="9" s="1"/>
  <c r="H16" i="9"/>
  <c r="T35" i="3"/>
  <c r="T36" i="3" s="1"/>
  <c r="T40" i="3" s="1"/>
  <c r="S36" i="3"/>
  <c r="S40" i="3" s="1"/>
  <c r="I134" i="6" s="1"/>
  <c r="I136" i="6" s="1"/>
  <c r="I173" i="6"/>
  <c r="J171" i="6"/>
  <c r="H155" i="6"/>
  <c r="I118" i="6"/>
  <c r="I161" i="6"/>
  <c r="J115" i="6"/>
  <c r="J118" i="6" s="1"/>
  <c r="J124" i="6" s="1"/>
  <c r="J126" i="6" s="1"/>
  <c r="J130" i="6" s="1"/>
  <c r="S75" i="2"/>
  <c r="S76" i="2" s="1"/>
  <c r="Q76" i="2"/>
  <c r="H25" i="8"/>
  <c r="H29" i="8" s="1"/>
  <c r="K11" i="8"/>
  <c r="B98" i="5" l="1"/>
  <c r="H26" i="2"/>
  <c r="G42" i="7"/>
  <c r="H52" i="7"/>
  <c r="H64" i="7" s="1"/>
  <c r="F33" i="8"/>
  <c r="G33" i="8"/>
  <c r="J25" i="8"/>
  <c r="J29" i="8" s="1"/>
  <c r="H32" i="8"/>
  <c r="J32" i="8" s="1"/>
  <c r="T73" i="2"/>
  <c r="J136" i="6"/>
  <c r="I163" i="6"/>
  <c r="J161" i="6"/>
  <c r="J163" i="6" s="1"/>
  <c r="I176" i="6"/>
  <c r="J173" i="6"/>
  <c r="H31" i="8"/>
  <c r="J31" i="8" s="1"/>
  <c r="I179" i="6"/>
  <c r="J179" i="6" s="1"/>
  <c r="J134" i="6"/>
  <c r="J52" i="7"/>
  <c r="B99" i="5" l="1"/>
  <c r="G19" i="4"/>
  <c r="I19" i="4" s="1"/>
  <c r="I149" i="6"/>
  <c r="K149" i="6" s="1"/>
  <c r="G52" i="7"/>
  <c r="G64" i="7" s="1"/>
  <c r="H65" i="7" s="1"/>
  <c r="H34" i="2"/>
  <c r="H35" i="2" s="1"/>
  <c r="I26" i="2"/>
  <c r="O26" i="2"/>
  <c r="N34" i="2"/>
  <c r="N35" i="2" s="1"/>
  <c r="N76" i="2" s="1"/>
  <c r="T74" i="2"/>
  <c r="T75" i="2" s="1"/>
  <c r="T76" i="2" s="1"/>
  <c r="U73" i="2"/>
  <c r="U74" i="2" s="1"/>
  <c r="U75" i="2" s="1"/>
  <c r="U76" i="2" s="1"/>
  <c r="J33" i="8"/>
  <c r="I180" i="6"/>
  <c r="J176" i="6"/>
  <c r="J64" i="7"/>
  <c r="J143" i="6"/>
  <c r="J149" i="6" s="1"/>
  <c r="H33" i="8"/>
  <c r="I22" i="4" l="1"/>
  <c r="I41" i="4" s="1"/>
  <c r="I45" i="4" s="1"/>
  <c r="G22" i="4"/>
  <c r="B21" i="5"/>
  <c r="B29" i="5" s="1"/>
  <c r="B33" i="5" s="1"/>
  <c r="I34" i="2"/>
  <c r="I35" i="2" s="1"/>
  <c r="I190" i="6"/>
  <c r="I195" i="6" s="1"/>
  <c r="J180" i="6"/>
  <c r="J190" i="6" s="1"/>
  <c r="J195" i="6" s="1"/>
  <c r="J154" i="6"/>
  <c r="I154" i="6"/>
  <c r="I155" i="6" s="1"/>
  <c r="H73" i="2" s="1"/>
  <c r="D21" i="5"/>
  <c r="O34" i="2"/>
  <c r="O35" i="2" s="1"/>
  <c r="O76" i="2" s="1"/>
  <c r="J155" i="6" l="1"/>
  <c r="J196" i="6"/>
  <c r="H74" i="2"/>
  <c r="H75" i="2" s="1"/>
  <c r="H76" i="2" s="1"/>
  <c r="I73" i="2"/>
  <c r="I74" i="2" s="1"/>
  <c r="I196" i="6"/>
  <c r="C21" i="5"/>
  <c r="B45" i="5" s="1"/>
  <c r="G59" i="4" s="1"/>
  <c r="E19" i="5"/>
  <c r="D29" i="5"/>
  <c r="D33" i="5" s="1"/>
  <c r="M35" i="5" s="1"/>
  <c r="I59" i="4" l="1"/>
  <c r="I63" i="4" s="1"/>
  <c r="G63" i="4"/>
  <c r="G75" i="4" s="1"/>
  <c r="B46" i="5"/>
  <c r="B47" i="5" s="1"/>
  <c r="K31" i="5"/>
  <c r="I75" i="2"/>
  <c r="I76" i="2" s="1"/>
  <c r="I77" i="4" l="1"/>
  <c r="I79" i="4" s="1"/>
  <c r="I81" i="4" s="1"/>
  <c r="L31" i="5"/>
  <c r="K43" i="5" s="1"/>
  <c r="K33" i="5"/>
  <c r="K35" i="5" s="1"/>
  <c r="I80" i="4" l="1"/>
  <c r="I82" i="4"/>
</calcChain>
</file>

<file path=xl/sharedStrings.xml><?xml version="1.0" encoding="utf-8"?>
<sst xmlns="http://schemas.openxmlformats.org/spreadsheetml/2006/main" count="758" uniqueCount="459">
  <si>
    <t>1.</t>
  </si>
  <si>
    <t>ESTADOS DE SITUACION FINANCIERA COMBINADOS</t>
  </si>
  <si>
    <t>2.</t>
  </si>
  <si>
    <t>ESTADOS DE RESULTADOS COMBINADOS</t>
  </si>
  <si>
    <t>3.</t>
  </si>
  <si>
    <t>FLUJOS DE EFECTIVO COMBINADOS</t>
  </si>
  <si>
    <t>4.</t>
  </si>
  <si>
    <t>MOVIMIENTO DEL PATRIMONIO DE ACCIONISTAS COMIBINADOS</t>
  </si>
  <si>
    <t>5.</t>
  </si>
  <si>
    <t>ASIENTOS CONTABLES DE COMBINACION</t>
  </si>
  <si>
    <t>6.</t>
  </si>
  <si>
    <t>RATIOS FINANCIEROS</t>
  </si>
  <si>
    <t>TELCONET Y COMPAÑÍA RELACIONADA</t>
  </si>
  <si>
    <t>Al 31 de diciembre del 2020 y 2019</t>
  </si>
  <si>
    <t>(Expresado en dolares estadounidenses)</t>
  </si>
  <si>
    <t>Ajustes de</t>
  </si>
  <si>
    <t>Telconet</t>
  </si>
  <si>
    <t>Megadatos</t>
  </si>
  <si>
    <t>Suman</t>
  </si>
  <si>
    <t>Combinacion</t>
  </si>
  <si>
    <t>Combinado</t>
  </si>
  <si>
    <t>ACTIVOS</t>
  </si>
  <si>
    <t>Activos Corrientes:</t>
  </si>
  <si>
    <t>Efectivo y equivalentes de efectivo</t>
  </si>
  <si>
    <t>Activos financieros a valor razonable</t>
  </si>
  <si>
    <t>Inversiones mantenidas hasta el vencimiento</t>
  </si>
  <si>
    <t>Cuentas por cobrar:</t>
  </si>
  <si>
    <t>…Comerciales</t>
  </si>
  <si>
    <t>…Compañias relacionadas</t>
  </si>
  <si>
    <t>…Otras cuentas por cobrar</t>
  </si>
  <si>
    <t>Impuestos por recuperar</t>
  </si>
  <si>
    <t>Anticipos a proveedores</t>
  </si>
  <si>
    <t>Inventarios</t>
  </si>
  <si>
    <t>Otros Activos corrientes</t>
  </si>
  <si>
    <t>Total Activos Corrientes</t>
  </si>
  <si>
    <t>Activos de grupo enajenable clasificados como mantenidos para la venta</t>
  </si>
  <si>
    <t>Activos no Corrientes:</t>
  </si>
  <si>
    <t>Cuentas por cobrar a compañías relacionadas</t>
  </si>
  <si>
    <t>Otras cuentas por cobrar</t>
  </si>
  <si>
    <t>Propiedades y equipos</t>
  </si>
  <si>
    <t>Propiedades de inversion</t>
  </si>
  <si>
    <t>Activos intangibles</t>
  </si>
  <si>
    <t>Activos por derechos de uso</t>
  </si>
  <si>
    <t>Inversiones en derechos fiduciarios</t>
  </si>
  <si>
    <t>Inversiones en subsidiarias y asociadas</t>
  </si>
  <si>
    <t>Activo por impuesto diferido</t>
  </si>
  <si>
    <t>Otros activos</t>
  </si>
  <si>
    <t>Total Activos no Corrientes</t>
  </si>
  <si>
    <t xml:space="preserve">TOTAL ACTIVOS  </t>
  </si>
  <si>
    <t>PASIVOS Y PATRIMONIO</t>
  </si>
  <si>
    <t>Pasivos Corrientes:</t>
  </si>
  <si>
    <t>Sobregiros bancarios</t>
  </si>
  <si>
    <t>Porción corriente de obligaciones financieras</t>
  </si>
  <si>
    <t>Porcion corriente de valores emitidos</t>
  </si>
  <si>
    <t>Cuentas por pagar:</t>
  </si>
  <si>
    <t>…Proveedores</t>
  </si>
  <si>
    <t>…Impuesto a la renta por pagar</t>
  </si>
  <si>
    <t>…Impuestos por pagar</t>
  </si>
  <si>
    <t>…Otras cuentas por pagar</t>
  </si>
  <si>
    <t>Pasivos del contrato</t>
  </si>
  <si>
    <t>Beneficios sociales</t>
  </si>
  <si>
    <t>Pasivos por arrendamiento</t>
  </si>
  <si>
    <t>Pasivo contingente</t>
  </si>
  <si>
    <t>Total Pasivos Corrientes</t>
  </si>
  <si>
    <t>Pasivos no Corrientes:</t>
  </si>
  <si>
    <t>Prestamos y obligaciones financieras</t>
  </si>
  <si>
    <t xml:space="preserve">Valores emitidos </t>
  </si>
  <si>
    <t>…Relacionadas</t>
  </si>
  <si>
    <t>Jubilacion patronal y desahucio</t>
  </si>
  <si>
    <t>Total Pasivos no Corrientes</t>
  </si>
  <si>
    <t xml:space="preserve">TOTAL PASIVOS  </t>
  </si>
  <si>
    <t>Patrimonio:</t>
  </si>
  <si>
    <t>Capital</t>
  </si>
  <si>
    <t>Aportes para futuras capitalizaciones</t>
  </si>
  <si>
    <t>Reservas</t>
  </si>
  <si>
    <t>Resultados acumulados</t>
  </si>
  <si>
    <t>Total Patrimonio</t>
  </si>
  <si>
    <t>TOTAL PASIVOS Y PATRIMONIO</t>
  </si>
  <si>
    <t>ING. MARIO ALMEIDA REDROVAN</t>
  </si>
  <si>
    <t xml:space="preserve">                  AUDITOR INTERNO</t>
  </si>
  <si>
    <t>ESTADOS DE RESULTADOS INTEGRALES COMBINADOS</t>
  </si>
  <si>
    <t>combinacion</t>
  </si>
  <si>
    <t>Ingresos por ventas</t>
  </si>
  <si>
    <t>Costo de ventas</t>
  </si>
  <si>
    <t>Utilidad bruta</t>
  </si>
  <si>
    <t>Gastos de administracion y ventas</t>
  </si>
  <si>
    <t>…Remuneraciones  y beneficios a empleados</t>
  </si>
  <si>
    <t>…Mantenimientos y reparaciones</t>
  </si>
  <si>
    <t>…15% participacion a trabajadores</t>
  </si>
  <si>
    <t>…Depreciaciones y amortizaciones</t>
  </si>
  <si>
    <t>…Servicio Cash Management</t>
  </si>
  <si>
    <t>…Honorarios profesionales</t>
  </si>
  <si>
    <t>…Otros impuestos y contribuciones</t>
  </si>
  <si>
    <t>…Gastos de viaje y gestion</t>
  </si>
  <si>
    <t>…Servicios de publicidad</t>
  </si>
  <si>
    <t>…Servicios basicos</t>
  </si>
  <si>
    <t>…Suministros de oficina</t>
  </si>
  <si>
    <t>…Seguros</t>
  </si>
  <si>
    <t>…Otros gastos de administracion y ventas</t>
  </si>
  <si>
    <t>Total gastos de administracion y ventas</t>
  </si>
  <si>
    <t>Otros ingresos operacionales</t>
  </si>
  <si>
    <t>Otros ingresos (gastos), neto</t>
  </si>
  <si>
    <t>Utilidad operacional</t>
  </si>
  <si>
    <t>Gastos financieros, neto</t>
  </si>
  <si>
    <t>Utilidad antes de impuesto a la renta</t>
  </si>
  <si>
    <t>Participación a trabajadores</t>
  </si>
  <si>
    <t xml:space="preserve">Impuesto a la renta </t>
  </si>
  <si>
    <t>Utilidad neta y resultado integral del año</t>
  </si>
  <si>
    <t>Otros resultados integrales:</t>
  </si>
  <si>
    <t>Nuevas mediciones de los planes de beneficio definido - Ganancias (perdidas) actuariales</t>
  </si>
  <si>
    <t>ESTADOS DE FLUJOS DE EFECTIVO COMBINADOS</t>
  </si>
  <si>
    <t>Flujo de efectivo de las actividades de operación:</t>
  </si>
  <si>
    <t>Utilidad antes de Impuesto a la Renta</t>
  </si>
  <si>
    <t>Más cargos (menos créditos) a resultados que no representan movimiento de efectivo:</t>
  </si>
  <si>
    <t>Provisión por deterioro de cuentas por cobrar</t>
  </si>
  <si>
    <t>Depreciación de propiedades y equipos</t>
  </si>
  <si>
    <t>Depreciación de propiedades de inversión</t>
  </si>
  <si>
    <t>Depreciación de activos por derechos de uso</t>
  </si>
  <si>
    <t>Amortización de activos intangibles</t>
  </si>
  <si>
    <t>Participación de los trabajadores en las utilidades</t>
  </si>
  <si>
    <t>Provisión para jubilación patronal y desahucio</t>
  </si>
  <si>
    <t>Variación de impuestos diferidos</t>
  </si>
  <si>
    <t>Otros movimientos menores en el patrimonio</t>
  </si>
  <si>
    <t>Impuesto diferido</t>
  </si>
  <si>
    <t>Cambios en activos y pasivos:</t>
  </si>
  <si>
    <t>Cuentas por cobrar comerciales</t>
  </si>
  <si>
    <t>Cuentas por pagar a proveedores</t>
  </si>
  <si>
    <t>Cuentas por pagar a compañías relacionadas</t>
  </si>
  <si>
    <t>Impuestos por pagar</t>
  </si>
  <si>
    <t>Otras cuentas por pagar</t>
  </si>
  <si>
    <t>Beneficios sociales de largo plazo</t>
  </si>
  <si>
    <t>Ingresos diferidos</t>
  </si>
  <si>
    <t>Provisiones</t>
  </si>
  <si>
    <t>Efectivo generado por las actividades de operación</t>
  </si>
  <si>
    <t>Impuesto a la renta pagado</t>
  </si>
  <si>
    <t>Pago de participación de trabajadores en las utilidades</t>
  </si>
  <si>
    <t>Pagos de jubilación patronal y desahucio</t>
  </si>
  <si>
    <t>Efectivo neto (utilizado en) provisto por las actividades de operación</t>
  </si>
  <si>
    <t>Flujo de efectivo de las actividades de inversión:</t>
  </si>
  <si>
    <t>Disminución (aumento) de inversiones mantenidas hasta el vencimiento</t>
  </si>
  <si>
    <t>Disminución (aumento) de activos financieros a valor razonable</t>
  </si>
  <si>
    <t>Aumento de inversiones en derechos fiduciarios</t>
  </si>
  <si>
    <t>Activos por derechos de uso (pagos)</t>
  </si>
  <si>
    <t>Adiciones de propiedades y equipos</t>
  </si>
  <si>
    <t>Ventas de propiedades de inversión</t>
  </si>
  <si>
    <t>Ventas de activos de grupo enajenable clasificados como mantenidos para la venta</t>
  </si>
  <si>
    <t>Adiciones de activos intangibles</t>
  </si>
  <si>
    <t>Efectivo neto provisto por (utilizado en) las actividades de inversión</t>
  </si>
  <si>
    <t>Flujo de efectivo de las actividades de financiamiento:</t>
  </si>
  <si>
    <t>Obligaciones financieras, neto</t>
  </si>
  <si>
    <t>Pago capital de pasivo por arrendamiento</t>
  </si>
  <si>
    <t>Emisión de obligaciones, neto</t>
  </si>
  <si>
    <t>Pagos de emisión de obligaciones</t>
  </si>
  <si>
    <t>Efectivo neto (utilizado en) provisto por las actividades de financiamiento</t>
  </si>
  <si>
    <t>FlUJOS DE EFECTIVO NETOS</t>
  </si>
  <si>
    <t>(Disminución) incremento neto de efectivo</t>
  </si>
  <si>
    <t>Efectivo y equivalentes de efectivo al inicio del año</t>
  </si>
  <si>
    <t>Efectivo y equivalentes de efectivo al final del año</t>
  </si>
  <si>
    <r>
      <rPr>
        <sz val="9"/>
        <rFont val="Arial"/>
        <family val="2"/>
        <charset val="1"/>
      </rPr>
      <t xml:space="preserve">        </t>
    </r>
    <r>
      <rPr>
        <u/>
        <sz val="9"/>
        <rFont val="Arial"/>
        <family val="2"/>
        <charset val="1"/>
      </rPr>
      <t>Activo</t>
    </r>
  </si>
  <si>
    <r>
      <rPr>
        <sz val="9"/>
        <rFont val="Arial"/>
        <family val="2"/>
        <charset val="1"/>
      </rPr>
      <t xml:space="preserve">        </t>
    </r>
    <r>
      <rPr>
        <u/>
        <sz val="9"/>
        <rFont val="Arial"/>
        <family val="2"/>
        <charset val="1"/>
      </rPr>
      <t>Pasivo y patrimonio</t>
    </r>
  </si>
  <si>
    <t>ACTIVO CORRIENTE</t>
  </si>
  <si>
    <t>PASIVO CORRIENTE</t>
  </si>
  <si>
    <t>Efectivo y Equivalentes de efectivo</t>
  </si>
  <si>
    <t>Sobregiros Bancarios</t>
  </si>
  <si>
    <t>Activos Financieros a valor razonable</t>
  </si>
  <si>
    <t>Porción corriente de las obligaciones financieras</t>
  </si>
  <si>
    <t>Porción corriente de valores emitidos</t>
  </si>
  <si>
    <t>Clientes</t>
  </si>
  <si>
    <t>Proveedores</t>
  </si>
  <si>
    <t>Compañías relacionadas</t>
  </si>
  <si>
    <t>Compañias relacionadas</t>
  </si>
  <si>
    <t>Otros impuestos por pagar</t>
  </si>
  <si>
    <t xml:space="preserve"> Pasivos por arrendamientos</t>
  </si>
  <si>
    <t>Otros Activos Corrientes</t>
  </si>
  <si>
    <t>Beneficios Sociales</t>
  </si>
  <si>
    <t>Pasivos Contingentes</t>
  </si>
  <si>
    <t>Total del activo corriente</t>
  </si>
  <si>
    <t>Total pasivos corrientes</t>
  </si>
  <si>
    <t>ACTIVO NO CORRIENTE</t>
  </si>
  <si>
    <t>PASIVO NO CORRIENTE</t>
  </si>
  <si>
    <t>Obligaciones Financieras</t>
  </si>
  <si>
    <t>Valores emitidos</t>
  </si>
  <si>
    <t>Propiedad y equipos, neto</t>
  </si>
  <si>
    <t>Propiedades de Inversión</t>
  </si>
  <si>
    <t>Activos Intangibles</t>
  </si>
  <si>
    <t>Jubilación Patronal y Bonifcación por desahucio</t>
  </si>
  <si>
    <t>Inversiones en asociadas</t>
  </si>
  <si>
    <t>Pasivos por arrendamientos L/P</t>
  </si>
  <si>
    <t>Total pasivos no corrientes</t>
  </si>
  <si>
    <t>Total del activo no corriente</t>
  </si>
  <si>
    <t>Total pasivos</t>
  </si>
  <si>
    <t>PATRIMONIO (según estado adjunto)</t>
  </si>
  <si>
    <t xml:space="preserve">      Total del activo</t>
  </si>
  <si>
    <t xml:space="preserve">    Total del pasivo y patrimonio</t>
  </si>
  <si>
    <t>INVERSIONES EN ASOCIADAS</t>
  </si>
  <si>
    <t>VARIACION DE PATRIMONIO</t>
  </si>
  <si>
    <t>VPP</t>
  </si>
  <si>
    <t>Utilidad neta</t>
  </si>
  <si>
    <t>Adiciones netas</t>
  </si>
  <si>
    <t>Variación</t>
  </si>
  <si>
    <t>Otras variaciones netas</t>
  </si>
  <si>
    <t>ACTIVOS FIJOS</t>
  </si>
  <si>
    <t>Gasto de depreciación</t>
  </si>
  <si>
    <t>Más Provision de impuesto a la renta</t>
  </si>
  <si>
    <t>Utilidad antes de IR</t>
  </si>
  <si>
    <t>ACTIVOS POR DERECHOS DE USO</t>
  </si>
  <si>
    <t>Registro contra pasivos por arrendamiento</t>
  </si>
  <si>
    <t>Pagos netos</t>
  </si>
  <si>
    <t>JUBILACION Y DESAHUCIO</t>
  </si>
  <si>
    <t>Provision del periodo</t>
  </si>
  <si>
    <t>Pagos, neto</t>
  </si>
  <si>
    <t>ACTIVOS INTANGIBLES</t>
  </si>
  <si>
    <t>Amortizacion del periodo</t>
  </si>
  <si>
    <t>PROPIEDADES DE INVERSION</t>
  </si>
  <si>
    <t>Variacion</t>
  </si>
  <si>
    <t xml:space="preserve">IMPUESTOS POR PAGAR </t>
  </si>
  <si>
    <t>Provision de impuesto a la renta</t>
  </si>
  <si>
    <t>Pago de impuesto a la renta</t>
  </si>
  <si>
    <t>Otros movimientos netos</t>
  </si>
  <si>
    <t>BENEFICIOS SOCIALES POR PAGAR</t>
  </si>
  <si>
    <t>Provision 15% PT</t>
  </si>
  <si>
    <t>Pago de 15% PT</t>
  </si>
  <si>
    <t>CUENTAS POR COBRAR COMERCIALES</t>
  </si>
  <si>
    <t>Provision para incobrables</t>
  </si>
  <si>
    <t>Variacion en cuentas por cobrar comerciales</t>
  </si>
  <si>
    <t>IMPUESTO DIFERIDO</t>
  </si>
  <si>
    <t>Cargo (abono) a resultados</t>
  </si>
  <si>
    <t>PASIVOS POR ARRENDAMIENTO</t>
  </si>
  <si>
    <t>Registro contra derechos de uso</t>
  </si>
  <si>
    <t>ESTADO DE CAMBIOS EN EL PATRIMONIO DE ACCIONISTAS COMBINADO</t>
  </si>
  <si>
    <t>POR LOS AÑOS TERMINADOS EL 31 DE DICIEMBRE DEL 2020 y 2019</t>
  </si>
  <si>
    <t>CAPITAL SOCIAL</t>
  </si>
  <si>
    <t>Saldos previamente reportados al 1o. de enero 2015</t>
  </si>
  <si>
    <t>Saldos reestructurados al 1o. de enero 2015</t>
  </si>
  <si>
    <t>Aumento de capital 30/03/2015</t>
  </si>
  <si>
    <t>Aumento de capital 10/07/2015</t>
  </si>
  <si>
    <t>Aumento de capital 23/09/2015</t>
  </si>
  <si>
    <t xml:space="preserve">Aumento de capital 17/12/2015 </t>
  </si>
  <si>
    <t>Saldo al 1o. de enero del 2016</t>
  </si>
  <si>
    <t>Capitalización de utilidades</t>
  </si>
  <si>
    <t>Saldo al 1o. de enero del 2017 (reexpresado)</t>
  </si>
  <si>
    <t>Aumento de capital 14/07/2017</t>
  </si>
  <si>
    <t>Saldo al 31 de diciembre del 2017</t>
  </si>
  <si>
    <t>Saldo al 31 de diciembre del 2018</t>
  </si>
  <si>
    <t>Aumento de capital según Acta de Accionistas</t>
  </si>
  <si>
    <t>Baja de Capital</t>
  </si>
  <si>
    <t>Saldo al 31 de diciembre del 2019</t>
  </si>
  <si>
    <t>Apropiación reserva legal</t>
  </si>
  <si>
    <t>Saldo al 31 de diciembre del 2020</t>
  </si>
  <si>
    <t>APORTES PARA FUTURAS CAPITALIZACIONES</t>
  </si>
  <si>
    <t>Saldos previamente reportados al 1o. de enero 2014</t>
  </si>
  <si>
    <t>Aporte para futuras capitalizaciones</t>
  </si>
  <si>
    <t>Devolución de aporte de accionistas 13 enero 2015</t>
  </si>
  <si>
    <t>Aplicación de aporte de accionistas a cuentas por cobrar según Acta de Junta de Accionistas del 29 de diciembre de 2017</t>
  </si>
  <si>
    <t>Baja de capital</t>
  </si>
  <si>
    <t>RESERVA LEGAL</t>
  </si>
  <si>
    <t>Transf a . Reserva Legal</t>
  </si>
  <si>
    <t>Apropiacion de reserva legal</t>
  </si>
  <si>
    <t>Saldo al 1o. de enero del 2016 (reexpresado)</t>
  </si>
  <si>
    <t>Incremento a la Reserva Legal Ajuste en 2018</t>
  </si>
  <si>
    <t>Saldos al 31 de diciembre del 2016</t>
  </si>
  <si>
    <t>Saldos al 31 de diciembre del 2017</t>
  </si>
  <si>
    <t>Incremento de la Reserva legal</t>
  </si>
  <si>
    <t>RESERVA FACULTATIVA</t>
  </si>
  <si>
    <t>Saldos al 1o. de enero del 2016</t>
  </si>
  <si>
    <t>Saldos al 1o. de enero del 2016 (reexpresado)</t>
  </si>
  <si>
    <t>Reservas totales</t>
  </si>
  <si>
    <t>RESULTADOS ACUMULADOS - RESERVA DE CAPITAL</t>
  </si>
  <si>
    <t>Saldos al 31 de diciembre del 2018</t>
  </si>
  <si>
    <t>Saldos al 31 de diciembre del 2019</t>
  </si>
  <si>
    <t xml:space="preserve">RESULTADOS ACUMULADOS - POR APLICACIÓN NIIF </t>
  </si>
  <si>
    <t>Saldos reestructurados al 31 de diciembre del 2015</t>
  </si>
  <si>
    <t>OTROS RESULTADOS INTEGRALES</t>
  </si>
  <si>
    <t>Adopción cambios NIC 19</t>
  </si>
  <si>
    <t>Saldos reestructurados al 1o. Enero 2015</t>
  </si>
  <si>
    <t xml:space="preserve">Utilidad neta y resultado integral del año </t>
  </si>
  <si>
    <t>RESULTADOS ACUMULADOS</t>
  </si>
  <si>
    <t>Corrección de errores</t>
  </si>
  <si>
    <t>Saldos reestructurados al 1 de enero del 2015</t>
  </si>
  <si>
    <t>Transferencia a Reserva Legal</t>
  </si>
  <si>
    <t>Adopcion NIC 19</t>
  </si>
  <si>
    <t>Reestructuración de saldos iniciales</t>
  </si>
  <si>
    <t>Saldos reestructurados al 1o. de enero del 2015</t>
  </si>
  <si>
    <t>Incremento de capital</t>
  </si>
  <si>
    <t>Utilidad neta reestructurada y resultado integral del año</t>
  </si>
  <si>
    <t>Correccion de pasivos con Accionistas</t>
  </si>
  <si>
    <t>Saldo al 1o. de enero del 2016, reexpresado</t>
  </si>
  <si>
    <t>Capitalizacion de utilidades</t>
  </si>
  <si>
    <t>Aumento de capital según Acta de Junta de Accionistas del 14 de julio de 2017</t>
  </si>
  <si>
    <t>Otros ajustes menores</t>
  </si>
  <si>
    <t>Eefecto de implantación de la NIIF 9</t>
  </si>
  <si>
    <t xml:space="preserve">Pago de dividendos </t>
  </si>
  <si>
    <t xml:space="preserve">Resultado del ejercicio </t>
  </si>
  <si>
    <t>Efecto de implantacion de la NIIF 16</t>
  </si>
  <si>
    <t>Aumento de capital</t>
  </si>
  <si>
    <t>Resultados acumulados totales</t>
  </si>
  <si>
    <t>TOTAL DEL PATRIMONIO</t>
  </si>
  <si>
    <t>Otros resultados integrales reestructurados</t>
  </si>
  <si>
    <t>Saldos al 31 de diciembre del 2015</t>
  </si>
  <si>
    <t xml:space="preserve">Otros resultados integrales </t>
  </si>
  <si>
    <t>Resultado del ejercicio y otros resultados integrales</t>
  </si>
  <si>
    <t>Saldos al 31 de diciembre del 2020</t>
  </si>
  <si>
    <t>ASIENTOS DE COMBINACION</t>
  </si>
  <si>
    <t>DEBITO</t>
  </si>
  <si>
    <t>CREDITO</t>
  </si>
  <si>
    <t>-1-</t>
  </si>
  <si>
    <r>
      <rPr>
        <u/>
        <sz val="11"/>
        <color rgb="FF000000"/>
        <rFont val="Calibri"/>
        <family val="2"/>
        <charset val="1"/>
      </rPr>
      <t>Ingresos Megadatos</t>
    </r>
    <r>
      <rPr>
        <sz val="11"/>
        <color rgb="FF000000"/>
        <rFont val="Calibri"/>
        <family val="2"/>
        <charset val="1"/>
      </rPr>
      <t>.-</t>
    </r>
  </si>
  <si>
    <t>Utilidades Retenidas del Ejercicio.-</t>
  </si>
  <si>
    <r>
      <rPr>
        <u/>
        <sz val="11"/>
        <color rgb="FF000000"/>
        <rFont val="Calibri"/>
        <family val="2"/>
        <charset val="1"/>
      </rPr>
      <t>à Costo de Ventas Telconet</t>
    </r>
    <r>
      <rPr>
        <sz val="11"/>
        <color rgb="FF000000"/>
        <rFont val="Calibri"/>
        <family val="2"/>
        <charset val="1"/>
      </rPr>
      <t xml:space="preserve">.- </t>
    </r>
  </si>
  <si>
    <t>Eliminacion de ventas de servicios de Megadatos a Telconet</t>
  </si>
  <si>
    <t>SUMAN</t>
  </si>
  <si>
    <t>-2-</t>
  </si>
  <si>
    <r>
      <rPr>
        <u/>
        <sz val="11"/>
        <color rgb="FF000000"/>
        <rFont val="Calibri"/>
        <family val="2"/>
        <charset val="1"/>
      </rPr>
      <t>Cuenta por Pagar relacionadas C/P (Telconet)</t>
    </r>
    <r>
      <rPr>
        <sz val="11"/>
        <color rgb="FF000000"/>
        <rFont val="Calibri"/>
        <family val="2"/>
        <charset val="1"/>
      </rPr>
      <t>.-</t>
    </r>
  </si>
  <si>
    <t>Otros ingresos (gastos), neto .-</t>
  </si>
  <si>
    <t>Utilidades Retenidas al Principio del Periodo.-</t>
  </si>
  <si>
    <r>
      <rPr>
        <u/>
        <sz val="11"/>
        <color rgb="FF000000"/>
        <rFont val="Calibri"/>
        <family val="2"/>
        <charset val="1"/>
      </rPr>
      <t>à Cuenta por Cobrar relacionadas, C/P</t>
    </r>
    <r>
      <rPr>
        <sz val="11"/>
        <color rgb="FF000000"/>
        <rFont val="Calibri"/>
        <family val="2"/>
        <charset val="1"/>
      </rPr>
      <t xml:space="preserve">.- </t>
    </r>
  </si>
  <si>
    <t>-3-</t>
  </si>
  <si>
    <r>
      <rPr>
        <u/>
        <sz val="11"/>
        <color rgb="FF000000"/>
        <rFont val="Calibri"/>
        <family val="2"/>
        <charset val="1"/>
      </rPr>
      <t>Ingresos por Ventas, Telconet</t>
    </r>
    <r>
      <rPr>
        <sz val="11"/>
        <color rgb="FF000000"/>
        <rFont val="Calibri"/>
        <family val="2"/>
        <charset val="1"/>
      </rPr>
      <t>.-</t>
    </r>
  </si>
  <si>
    <t>à Propiedades y Equipos, Megadatos (Equipos para prestación de servicios).-</t>
  </si>
  <si>
    <r>
      <rPr>
        <u/>
        <sz val="11"/>
        <color rgb="FF000000"/>
        <rFont val="Calibri"/>
        <family val="2"/>
        <charset val="1"/>
      </rPr>
      <t>à Costo de Ventas Megadatos</t>
    </r>
    <r>
      <rPr>
        <sz val="11"/>
        <color rgb="FF000000"/>
        <rFont val="Calibri"/>
        <family val="2"/>
        <charset val="1"/>
      </rPr>
      <t xml:space="preserve">.- </t>
    </r>
  </si>
  <si>
    <r>
      <rPr>
        <u/>
        <sz val="11"/>
        <color rgb="FF000000"/>
        <rFont val="Calibri"/>
        <family val="2"/>
        <charset val="1"/>
      </rPr>
      <t>à Anticipos Proveedores Relacionados (ACTIVO)</t>
    </r>
    <r>
      <rPr>
        <sz val="11"/>
        <color rgb="FF000000"/>
        <rFont val="Calibri"/>
        <family val="2"/>
        <charset val="1"/>
      </rPr>
      <t xml:space="preserve">.- </t>
    </r>
  </si>
  <si>
    <t>Eliminacion de ventas de servicios deTelconet a Megadatos</t>
  </si>
  <si>
    <t>-4-</t>
  </si>
  <si>
    <t>Pasivos del contrato C/P (telconet).-</t>
  </si>
  <si>
    <t>Pasivos del contrato L/P (Telconet).-</t>
  </si>
  <si>
    <t>Otros Egresos.-</t>
  </si>
  <si>
    <r>
      <rPr>
        <u/>
        <sz val="11"/>
        <color rgb="FF000000"/>
        <rFont val="Calibri"/>
        <family val="2"/>
        <charset val="1"/>
      </rPr>
      <t xml:space="preserve">à Cuentas por cobrar relacionadas C/P </t>
    </r>
    <r>
      <rPr>
        <sz val="11"/>
        <color rgb="FF000000"/>
        <rFont val="Calibri"/>
        <family val="2"/>
        <charset val="1"/>
      </rPr>
      <t xml:space="preserve">.- </t>
    </r>
  </si>
  <si>
    <t>-5-</t>
  </si>
  <si>
    <r>
      <rPr>
        <u/>
        <sz val="11"/>
        <color rgb="FF000000"/>
        <rFont val="Calibri"/>
        <family val="2"/>
        <charset val="1"/>
      </rPr>
      <t>Depreciación Acumulada</t>
    </r>
    <r>
      <rPr>
        <sz val="11"/>
        <color rgb="FF000000"/>
        <rFont val="Calibri"/>
        <family val="2"/>
        <charset val="1"/>
      </rPr>
      <t>.-</t>
    </r>
  </si>
  <si>
    <r>
      <rPr>
        <u/>
        <sz val="11"/>
        <color rgb="FF000000"/>
        <rFont val="Calibri"/>
        <family val="2"/>
        <charset val="1"/>
      </rPr>
      <t>á Costo de Ventas (Gasto depreciación)</t>
    </r>
    <r>
      <rPr>
        <sz val="11"/>
        <color rgb="FF000000"/>
        <rFont val="Calibri"/>
        <family val="2"/>
        <charset val="1"/>
      </rPr>
      <t xml:space="preserve">.- </t>
    </r>
  </si>
  <si>
    <t>Eliminación gasto de depreciación de activos fijos en Megadatos; Equipos para la prestación de los servicios</t>
  </si>
  <si>
    <t>-6-</t>
  </si>
  <si>
    <t xml:space="preserve">Utilidades Retenidas al Inicio del Periodo.- </t>
  </si>
  <si>
    <r>
      <rPr>
        <u/>
        <sz val="11"/>
        <color rgb="FF000000"/>
        <rFont val="Calibri"/>
        <family val="2"/>
        <charset val="1"/>
      </rPr>
      <t>Impuesto diferido</t>
    </r>
    <r>
      <rPr>
        <sz val="11"/>
        <color rgb="FF000000"/>
        <rFont val="Calibri"/>
        <family val="2"/>
        <charset val="1"/>
      </rPr>
      <t>.-</t>
    </r>
  </si>
  <si>
    <r>
      <rPr>
        <u/>
        <sz val="11"/>
        <color rgb="FF000000"/>
        <rFont val="Calibri"/>
        <family val="2"/>
        <charset val="1"/>
      </rPr>
      <t>Depreciación acumulada</t>
    </r>
    <r>
      <rPr>
        <sz val="11"/>
        <color rgb="FF000000"/>
        <rFont val="Calibri"/>
        <family val="2"/>
        <charset val="1"/>
      </rPr>
      <t>. -</t>
    </r>
  </si>
  <si>
    <r>
      <rPr>
        <u/>
        <sz val="11"/>
        <color rgb="FF000000"/>
        <rFont val="Calibri"/>
        <family val="2"/>
        <charset val="1"/>
      </rPr>
      <t>Otros ingresos, neto</t>
    </r>
    <r>
      <rPr>
        <sz val="11"/>
        <color rgb="FF000000"/>
        <rFont val="Calibri"/>
        <family val="2"/>
        <charset val="1"/>
      </rPr>
      <t>.-</t>
    </r>
  </si>
  <si>
    <r>
      <rPr>
        <u/>
        <sz val="11"/>
        <color rgb="FF000000"/>
        <rFont val="Calibri"/>
        <family val="2"/>
        <charset val="1"/>
      </rPr>
      <t>à Otros Egresos</t>
    </r>
    <r>
      <rPr>
        <sz val="11"/>
        <color rgb="FF000000"/>
        <rFont val="Calibri"/>
        <family val="2"/>
        <charset val="1"/>
      </rPr>
      <t xml:space="preserve">.- </t>
    </r>
  </si>
  <si>
    <t>à Ingresos por Ventas, Telconet</t>
  </si>
  <si>
    <r>
      <rPr>
        <u/>
        <sz val="11"/>
        <color rgb="FF000000"/>
        <rFont val="Calibri"/>
        <family val="2"/>
        <charset val="1"/>
      </rPr>
      <t>à Costo de Ventas</t>
    </r>
    <r>
      <rPr>
        <sz val="11"/>
        <color rgb="FF000000"/>
        <rFont val="Calibri"/>
        <family val="2"/>
        <charset val="1"/>
      </rPr>
      <t xml:space="preserve">.- </t>
    </r>
  </si>
  <si>
    <r>
      <rPr>
        <u/>
        <sz val="11"/>
        <color rgb="FF000000"/>
        <rFont val="Calibri"/>
        <family val="2"/>
        <charset val="1"/>
      </rPr>
      <t>á Anticipos a Proveedores Relacionados</t>
    </r>
    <r>
      <rPr>
        <sz val="11"/>
        <color rgb="FF000000"/>
        <rFont val="Calibri"/>
        <family val="2"/>
        <charset val="1"/>
      </rPr>
      <t>.-</t>
    </r>
  </si>
  <si>
    <r>
      <rPr>
        <u/>
        <sz val="11"/>
        <color rgb="FF000000"/>
        <rFont val="Calibri"/>
        <family val="2"/>
        <charset val="1"/>
      </rPr>
      <t>à Propiedades y Equipos, Megadatos</t>
    </r>
    <r>
      <rPr>
        <sz val="11"/>
        <color rgb="FF000000"/>
        <rFont val="Calibri"/>
        <family val="2"/>
        <charset val="1"/>
      </rPr>
      <t>.-</t>
    </r>
  </si>
  <si>
    <t>Restauracion de utilidades retenidas al inicio del ejercicio</t>
  </si>
  <si>
    <t>-7-</t>
  </si>
  <si>
    <r>
      <rPr>
        <u/>
        <sz val="11"/>
        <color rgb="FF000000"/>
        <rFont val="Calibri"/>
        <family val="2"/>
        <charset val="1"/>
      </rPr>
      <t>á Impuesto a la renta (GASTO)</t>
    </r>
    <r>
      <rPr>
        <sz val="11"/>
        <color rgb="FF000000"/>
        <rFont val="Calibri"/>
        <family val="2"/>
        <charset val="1"/>
      </rPr>
      <t>.-</t>
    </r>
  </si>
  <si>
    <t>Ajuste del impuesto diferido por cambio en la tasa de 22% a</t>
  </si>
  <si>
    <t>25%</t>
  </si>
  <si>
    <t>Impuesto diferido originado por la venta de activos fijos del anio</t>
  </si>
  <si>
    <t>y ajuste del gasto de depreciación</t>
  </si>
  <si>
    <t>TOTAL</t>
  </si>
  <si>
    <t>Utilidades retenidas al inicio del periodo</t>
  </si>
  <si>
    <t>Utilidades retenidas del ejercicio</t>
  </si>
  <si>
    <t>Total de ajustes a utilidades retenidas</t>
  </si>
  <si>
    <t>TELCONET S.A. Y COMPANIA RELACIONADA</t>
  </si>
  <si>
    <t>ANALISIS DEL IMPUESTO DIFERIDO</t>
  </si>
  <si>
    <t>Al 31 de diciembre del 2019</t>
  </si>
  <si>
    <t>COMENTARIOS</t>
  </si>
  <si>
    <t>EFECTO DE LOS AJUSTES EN RESULTADOS</t>
  </si>
  <si>
    <t>1) Eliminacion de ventas de activos fijos de Telconet a Megadatos</t>
  </si>
  <si>
    <t>Valor de acuerdo con el informe de auditoria de Megadatos</t>
  </si>
  <si>
    <t>2) Eliminación del gasto de depreciación de los activos fijos comprados</t>
  </si>
  <si>
    <t>Gasto total de depreciación de equipos para prestación de servicios (Megadatos)</t>
  </si>
  <si>
    <t>3) Impuesto diferido</t>
  </si>
  <si>
    <t>Otros</t>
  </si>
  <si>
    <t>DETALLE DE TRANSACCIONES ENTRE TELCONET Y MEGADATOS</t>
  </si>
  <si>
    <t>Según informe de Telconet:</t>
  </si>
  <si>
    <t>Ventas de Telconet a Megadatos</t>
  </si>
  <si>
    <t>Sin embargo el ajuste se hizo únicamente por US$42,5 millones</t>
  </si>
  <si>
    <t>Según informe de Megadatos:</t>
  </si>
  <si>
    <t>a) Compras de activos fijos</t>
  </si>
  <si>
    <t>Valores corroborados con el informe de Megadatos</t>
  </si>
  <si>
    <t>b) Cargos al costo de ventas</t>
  </si>
  <si>
    <t>c) Valor registrado como Anticipos a Proveedores Relacionados según la nota 22 b) del informe de Megadatos</t>
  </si>
  <si>
    <t>Por este valor no se registró ajuste adicional pues se asume se está registrado dentro de los saldos de cuentas intercompany ya eliminados. Si no fuera asi, habria que hacer un ajuste adicional por US$6.3 M disminuyendo las utilidades del 2016 en dicho importe más el efecto en el impuesto diferido US$1,4 M daría un ajuste total de US$7.7 (PERDIDA)</t>
  </si>
  <si>
    <t>SI LOS AJUSTES ESTUVIERAN BIEN Y SUPONIENDO QUE NO HAYA MAS VENTAS DE ACTIVOS FIJOS EN EL FUTURO:</t>
  </si>
  <si>
    <t>ANIOS</t>
  </si>
  <si>
    <t>Eliminación de activos fijos</t>
  </si>
  <si>
    <t>Eliminación depreciación</t>
  </si>
  <si>
    <t>Efecto en resultados acumulados</t>
  </si>
  <si>
    <t>Impuesto diferido por combinacion</t>
  </si>
  <si>
    <t>Efecto en resultados</t>
  </si>
  <si>
    <t>Si no se dan más ventas de activos fijos de Telconet a Megadatos, entonces</t>
  </si>
  <si>
    <t>únicamente se eliminará la depreciación en los próximos tres anios (período de</t>
  </si>
  <si>
    <t>depreciación de los equipos), con lo cual en los anios futuros se reversa el efecto</t>
  </si>
  <si>
    <t>del impuesto diferido que surge de la combinación</t>
  </si>
  <si>
    <t>Subtotal</t>
  </si>
  <si>
    <t>INDICADORES FINANCIEROS</t>
  </si>
  <si>
    <t>EBITDA to Net Financial Expenses Ratio</t>
  </si>
  <si>
    <t>EBITDA = Earnings before interests, taxes, depreciation &amp; amortization</t>
  </si>
  <si>
    <t>Earnings before taxes</t>
  </si>
  <si>
    <t>(+) Interests</t>
  </si>
  <si>
    <t>(+) Depreciation &amp; Amortization</t>
  </si>
  <si>
    <t>EBITDA</t>
  </si>
  <si>
    <t>Net Financial Expenses</t>
  </si>
  <si>
    <t>DEBT SERVICE COVERAGE RATIO (DSCR)</t>
  </si>
  <si>
    <t>Net Operation Income</t>
  </si>
  <si>
    <t>Debt Service:</t>
  </si>
  <si>
    <t>…Prestamos y obligaciones financieras (corrientes)</t>
  </si>
  <si>
    <t>…Intereses por pagar</t>
  </si>
  <si>
    <t>Total Debt Service</t>
  </si>
  <si>
    <t>DEBT Service Coverage Ratio (DSCR)</t>
  </si>
  <si>
    <t>FINANCIAL DEBT TO EBITDA RATIO</t>
  </si>
  <si>
    <t>Financial Debt</t>
  </si>
  <si>
    <t>Financial Debt to EBITDA Ratio</t>
  </si>
  <si>
    <t>COMPRAS DE ACTIVOS FIJOS A TELCONET Y DEPRECIACION EN MEGADATOS:</t>
  </si>
  <si>
    <t>COMPRAS</t>
  </si>
  <si>
    <t>% depreciac.</t>
  </si>
  <si>
    <t>GASTO 2016</t>
  </si>
  <si>
    <t>Compras 2016</t>
  </si>
  <si>
    <t>Compras 2015</t>
  </si>
  <si>
    <t>Compras 2014</t>
  </si>
  <si>
    <t>Enero</t>
  </si>
  <si>
    <t>Febrero</t>
  </si>
  <si>
    <t>Marzo</t>
  </si>
  <si>
    <t>Abril</t>
  </si>
  <si>
    <t>Mayo</t>
  </si>
  <si>
    <t>Junio</t>
  </si>
  <si>
    <t>Julio</t>
  </si>
  <si>
    <t>Agosto</t>
  </si>
  <si>
    <t>Septiembre</t>
  </si>
  <si>
    <t>Octubre</t>
  </si>
  <si>
    <t>Noviembre</t>
  </si>
  <si>
    <t>Diciembre</t>
  </si>
  <si>
    <t>Activos fijos cargados a gastos en 2014</t>
  </si>
  <si>
    <t>Activos fijos cargados a gastos en 2015</t>
  </si>
  <si>
    <t>Activos fijos cargados a gastos en 2016</t>
  </si>
  <si>
    <t>Cuentas por pagar relacionadas C/P</t>
  </si>
  <si>
    <t>Eliminacion de cuenta por cobrar de Telconet a Megadatos</t>
  </si>
  <si>
    <t>Eliminacion de cuenta por pagar de Telconet a Megadatos</t>
  </si>
  <si>
    <t>Acciones en tesoreria</t>
  </si>
  <si>
    <t xml:space="preserve">Aumento de capital </t>
  </si>
  <si>
    <t>Capitalizacion</t>
  </si>
  <si>
    <t xml:space="preserve">Otros ajustes   </t>
  </si>
  <si>
    <t>Tasa efectiva de IR</t>
  </si>
  <si>
    <r>
      <t>á Gasto de impuesto a la renta</t>
    </r>
    <r>
      <rPr>
        <sz val="11"/>
        <color rgb="FF000000"/>
        <rFont val="Calibri"/>
        <family val="2"/>
        <charset val="1"/>
      </rPr>
      <t>.-</t>
    </r>
  </si>
  <si>
    <t>Valor calculado como el 25% de los efectos de ajustes por ventas de activos fijos y</t>
  </si>
  <si>
    <t>depreciacion</t>
  </si>
  <si>
    <t>Saldo de US$1,7 millones se origina principalmente por no haber calculado impuesto</t>
  </si>
  <si>
    <t xml:space="preserve">en el primer anio (2015) </t>
  </si>
  <si>
    <r>
      <t>Cuenta por Pagar relacionadas L/P</t>
    </r>
    <r>
      <rPr>
        <sz val="11"/>
        <color rgb="FF000000"/>
        <rFont val="Calibri"/>
        <family val="2"/>
        <charset val="1"/>
      </rPr>
      <t>.-</t>
    </r>
  </si>
  <si>
    <t>Devoluciones de aportes de accionistas</t>
  </si>
  <si>
    <t>Préstamos con entidades financieras</t>
  </si>
  <si>
    <t xml:space="preserve"> Acciones en tesoreria</t>
  </si>
  <si>
    <t>Pagos de capital</t>
  </si>
  <si>
    <t>Bajas</t>
  </si>
  <si>
    <t>Otros resultados integrales</t>
  </si>
  <si>
    <t>Flujos de efectivo de las operaciones:</t>
  </si>
  <si>
    <t>Recibido de clientes, relacionadas y terceros</t>
  </si>
  <si>
    <t>Intereses y comisiones bancarias pagadas</t>
  </si>
  <si>
    <t>Flujo neto proveniente de las operaciones</t>
  </si>
  <si>
    <t>Otros ingresos, neto</t>
  </si>
  <si>
    <t>Adiciones o pagos de capital de pasivo por arrendamientos</t>
  </si>
  <si>
    <t>Pagado a proveedores, relacionadas, trabajadores y otros</t>
  </si>
  <si>
    <t>Otros pasivos no corrientes</t>
  </si>
  <si>
    <t>Bajas y otros, principalmente activos fijos</t>
  </si>
  <si>
    <t>Ajustes</t>
  </si>
  <si>
    <t>Depreciacion</t>
  </si>
  <si>
    <t>Otros ajustes</t>
  </si>
  <si>
    <t>Otros pasivos</t>
  </si>
  <si>
    <t>CUENTAS POR COBRAR RELACIONADAS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</si>
</sst>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_ * #,##0.00_ ;_ * \-#,##0.00_ ;_ * \-??_ ;_ @_ "/>
    <numFmt numFmtId="165" formatCode="_(* #,##0.00_);_(* \(#,##0.00\);_(* \-??_);_(@_)"/>
    <numFmt numFmtId="166" formatCode="_(* #,##0_);_(* \(#,##0\);_(* \-??_);_(@_)"/>
    <numFmt numFmtId="167" formatCode="0\ %"/>
    <numFmt numFmtId="168" formatCode="_ * #,##0_ ;_ * \-#,##0_ ;_ * \-??_ ;_ @_ "/>
    <numFmt numFmtId="169" formatCode="_ * #,##0_ ;\(* #,##0\);_ * \-??_ ;_ @_ "/>
    <numFmt numFmtId="170" formatCode="#,##0;[Red]#,##0"/>
    <numFmt numFmtId="171" formatCode="#,##0.00;[Red]#,##0.00"/>
    <numFmt numFmtId="172" formatCode="_ * #,##0_ ;\(* #,##0\);_ * \-_ ;_ @_ "/>
    <numFmt numFmtId="173" formatCode="#,##0_);\(#,##0\)"/>
    <numFmt numFmtId="174" formatCode="0.0%"/>
    <numFmt numFmtId="175" formatCode="0.0"/>
    <numFmt numFmtId="176" formatCode="_(* #,##0.0_);_(* \(#,##0.0\);_(* \-??_);_(@_)"/>
    <numFmt numFmtId="177" formatCode="_(* #,##0_);_(* \(#,##0\);_(* &quot;-&quot;??_);_(@_)"/>
  </numFmts>
  <fonts count="32" x14ac:knownFonts="1">
    <font>
      <sz val="11"/>
      <color rgb="FF000000"/>
      <name val="Calibri"/>
      <family val="2"/>
      <charset val="1"/>
    </font>
    <font>
      <sz val="10"/>
      <name val="Arial"/>
      <family val="2"/>
      <charset val="1"/>
    </font>
    <font>
      <sz val="10"/>
      <color rgb="FF000000"/>
      <name val="MS Sans Serif"/>
      <family val="2"/>
      <charset val="1"/>
    </font>
    <font>
      <u/>
      <sz val="11"/>
      <color rgb="FF0563C1"/>
      <name val="Calibri"/>
      <family val="2"/>
      <charset val="1"/>
    </font>
    <font>
      <b/>
      <u/>
      <sz val="11"/>
      <color rgb="FF000000"/>
      <name val="Calibri"/>
      <family val="2"/>
      <charset val="1"/>
    </font>
    <font>
      <b/>
      <sz val="11"/>
      <color rgb="FF000000"/>
      <name val="Calibri"/>
      <family val="2"/>
      <charset val="1"/>
    </font>
    <font>
      <u/>
      <sz val="11"/>
      <color rgb="FF000000"/>
      <name val="Calibri"/>
      <family val="2"/>
      <charset val="1"/>
    </font>
    <font>
      <b/>
      <sz val="9"/>
      <color rgb="FF000000"/>
      <name val="Calibri"/>
      <family val="2"/>
      <charset val="1"/>
    </font>
    <font>
      <i/>
      <sz val="8"/>
      <color rgb="FF000000"/>
      <name val="Calibri"/>
      <family val="2"/>
      <charset val="1"/>
    </font>
    <font>
      <sz val="9"/>
      <color rgb="FF000000"/>
      <name val="Calibri"/>
      <family val="2"/>
      <charset val="1"/>
    </font>
    <font>
      <sz val="8"/>
      <color rgb="FF000000"/>
      <name val="Calibri"/>
      <family val="2"/>
      <charset val="1"/>
    </font>
    <font>
      <sz val="9"/>
      <color rgb="FF000000"/>
      <name val="Arial"/>
      <family val="2"/>
      <charset val="1"/>
    </font>
    <font>
      <sz val="9"/>
      <color rgb="FFFF0000"/>
      <name val="Arial"/>
      <family val="2"/>
      <charset val="1"/>
    </font>
    <font>
      <sz val="9"/>
      <name val="Arial"/>
      <family val="2"/>
      <charset val="1"/>
    </font>
    <font>
      <u/>
      <sz val="9"/>
      <name val="Arial"/>
      <family val="2"/>
      <charset val="1"/>
    </font>
    <font>
      <u/>
      <sz val="9"/>
      <color rgb="FFFF0000"/>
      <name val="Arial"/>
      <family val="2"/>
      <charset val="1"/>
    </font>
    <font>
      <b/>
      <sz val="9"/>
      <name val="Arial"/>
      <family val="2"/>
      <charset val="1"/>
    </font>
    <font>
      <b/>
      <u/>
      <sz val="9"/>
      <name val="Arial"/>
      <family val="2"/>
      <charset val="1"/>
    </font>
    <font>
      <sz val="7"/>
      <color rgb="FF000000"/>
      <name val="Arial"/>
      <family val="2"/>
      <charset val="1"/>
    </font>
    <font>
      <u/>
      <sz val="9"/>
      <color rgb="FF000000"/>
      <name val="Calibri"/>
      <family val="2"/>
      <charset val="1"/>
    </font>
    <font>
      <sz val="11"/>
      <color rgb="FF000000"/>
      <name val="Calibri"/>
      <family val="2"/>
      <charset val="1"/>
    </font>
    <font>
      <i/>
      <sz val="11"/>
      <color rgb="FF000000"/>
      <name val="Calibri"/>
      <family val="2"/>
    </font>
    <font>
      <b/>
      <sz val="11"/>
      <color rgb="FF000000"/>
      <name val="Calibri"/>
      <family val="2"/>
    </font>
    <font>
      <b/>
      <sz val="11"/>
      <color theme="1"/>
      <name val="Calibri"/>
      <family val="2"/>
      <scheme val="minor"/>
    </font>
    <font>
      <b/>
      <u/>
      <sz val="11"/>
      <color theme="1"/>
      <name val="Calibri"/>
      <family val="2"/>
      <scheme val="minor"/>
    </font>
    <font>
      <u/>
      <sz val="11"/>
      <color theme="1"/>
      <name val="Calibri"/>
      <family val="2"/>
      <scheme val="minor"/>
    </font>
    <font>
      <b/>
      <sz val="10"/>
      <color theme="1"/>
      <name val="Calibri"/>
      <family val="2"/>
      <scheme val="minor"/>
    </font>
    <font>
      <sz val="10"/>
      <color theme="1"/>
      <name val="Calibri"/>
      <family val="2"/>
      <scheme val="minor"/>
    </font>
    <font>
      <sz val="8"/>
      <color theme="1"/>
      <name val="Calibri"/>
      <family val="2"/>
      <scheme val="minor"/>
    </font>
    <font>
      <b/>
      <sz val="9"/>
      <color theme="1"/>
      <name val="Calibri"/>
      <family val="2"/>
      <scheme val="minor"/>
    </font>
    <font>
      <sz val="7"/>
      <color theme="1"/>
      <name val="Calibri"/>
      <family val="2"/>
      <scheme val="minor"/>
    </font>
    <font>
      <sz val="8"/>
      <color rgb="FF000000"/>
      <name val="Arial"/>
      <family val="2"/>
      <charset val="1"/>
    </font>
  </fonts>
  <fills count="10">
    <fill>
      <patternFill patternType="none"/>
    </fill>
    <fill>
      <patternFill patternType="gray125"/>
    </fill>
    <fill>
      <patternFill patternType="solid">
        <fgColor rgb="FFFFFF00"/>
        <bgColor rgb="FFFFFF00"/>
      </patternFill>
    </fill>
    <fill>
      <patternFill patternType="solid">
        <fgColor rgb="FFFFFFFF"/>
        <bgColor rgb="FFE7E6E6"/>
      </patternFill>
    </fill>
    <fill>
      <patternFill patternType="solid">
        <fgColor rgb="FF92D050"/>
        <bgColor rgb="FF81D41A"/>
      </patternFill>
    </fill>
    <fill>
      <patternFill patternType="solid">
        <fgColor rgb="FFFFFF00"/>
        <bgColor indexed="64"/>
      </patternFill>
    </fill>
    <fill>
      <patternFill patternType="solid">
        <fgColor theme="0"/>
        <bgColor indexed="64"/>
      </patternFill>
    </fill>
    <fill>
      <patternFill patternType="solid">
        <fgColor rgb="FFFFFF00"/>
        <bgColor rgb="FFE7E6E6"/>
      </patternFill>
    </fill>
    <fill>
      <patternFill patternType="solid">
        <fgColor rgb="FF92D050"/>
        <bgColor rgb="FFE7E6E6"/>
      </patternFill>
    </fill>
    <fill>
      <patternFill patternType="solid">
        <fgColor theme="0"/>
        <bgColor rgb="FFE7E6E6"/>
      </patternFill>
    </fill>
  </fills>
  <borders count="29">
    <border>
      <left/>
      <right/>
      <top/>
      <bottom/>
      <diagonal/>
    </border>
    <border>
      <left style="thin">
        <color auto="1"/>
      </left>
      <right/>
      <top style="thin">
        <color auto="1"/>
      </top>
      <bottom/>
      <diagonal/>
    </border>
    <border>
      <left style="thin">
        <color auto="1"/>
      </left>
      <right style="thin">
        <color auto="1"/>
      </right>
      <top style="thin">
        <color auto="1"/>
      </top>
      <bottom/>
      <diagonal/>
    </border>
    <border>
      <left/>
      <right/>
      <top style="thin">
        <color auto="1"/>
      </top>
      <bottom/>
      <diagonal/>
    </border>
    <border>
      <left style="thin">
        <color auto="1"/>
      </left>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diagonal/>
    </border>
    <border>
      <left style="thin">
        <color auto="1"/>
      </left>
      <right style="thin">
        <color auto="1"/>
      </right>
      <top/>
      <bottom style="hair">
        <color auto="1"/>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style="hair">
        <color auto="1"/>
      </right>
      <top/>
      <bottom/>
      <diagonal/>
    </border>
    <border>
      <left style="thin">
        <color auto="1"/>
      </left>
      <right style="thin">
        <color auto="1"/>
      </right>
      <top style="thin">
        <color auto="1"/>
      </top>
      <bottom style="double">
        <color auto="1"/>
      </bottom>
      <diagonal/>
    </border>
    <border>
      <left/>
      <right/>
      <top style="thin">
        <color auto="1"/>
      </top>
      <bottom style="double">
        <color auto="1"/>
      </bottom>
      <diagonal/>
    </border>
    <border>
      <left/>
      <right/>
      <top/>
      <bottom style="hair">
        <color auto="1"/>
      </bottom>
      <diagonal/>
    </border>
    <border>
      <left style="thin">
        <color indexed="64"/>
      </left>
      <right style="thin">
        <color indexed="64"/>
      </right>
      <top style="thin">
        <color indexed="64"/>
      </top>
      <bottom style="hair">
        <color auto="1"/>
      </bottom>
      <diagonal/>
    </border>
    <border>
      <left style="thin">
        <color indexed="64"/>
      </left>
      <right style="thin">
        <color indexed="64"/>
      </right>
      <top style="hair">
        <color auto="1"/>
      </top>
      <bottom/>
      <diagonal/>
    </border>
    <border>
      <left style="thin">
        <color indexed="64"/>
      </left>
      <right/>
      <top style="thin">
        <color indexed="64"/>
      </top>
      <bottom style="hair">
        <color auto="1"/>
      </bottom>
      <diagonal/>
    </border>
    <border>
      <left/>
      <right style="hair">
        <color auto="1"/>
      </right>
      <top/>
      <bottom/>
      <diagonal/>
    </border>
    <border>
      <left style="thin">
        <color indexed="64"/>
      </left>
      <right/>
      <top/>
      <bottom style="hair">
        <color auto="1"/>
      </bottom>
      <diagonal/>
    </border>
    <border>
      <left style="thin">
        <color auto="1"/>
      </left>
      <right style="thin">
        <color auto="1"/>
      </right>
      <top/>
      <bottom style="double">
        <color auto="1"/>
      </bottom>
      <diagonal/>
    </border>
  </borders>
  <cellStyleXfs count="9">
    <xf numFmtId="0" fontId="0" fillId="0" borderId="0"/>
    <xf numFmtId="165" fontId="20" fillId="0" borderId="0" applyBorder="0" applyProtection="0"/>
    <xf numFmtId="167" fontId="20" fillId="0" borderId="0" applyBorder="0" applyProtection="0"/>
    <xf numFmtId="0" fontId="3" fillId="0" borderId="0" applyBorder="0" applyProtection="0"/>
    <xf numFmtId="164" fontId="20" fillId="0" borderId="0" applyBorder="0" applyProtection="0"/>
    <xf numFmtId="165" fontId="20" fillId="0" borderId="0" applyBorder="0" applyProtection="0"/>
    <xf numFmtId="165" fontId="20" fillId="0" borderId="0" applyBorder="0" applyProtection="0"/>
    <xf numFmtId="0" fontId="1" fillId="0" borderId="0"/>
    <xf numFmtId="0" fontId="2" fillId="0" borderId="0"/>
  </cellStyleXfs>
  <cellXfs count="346">
    <xf numFmtId="0" fontId="0" fillId="0" borderId="0" xfId="0"/>
    <xf numFmtId="0" fontId="3" fillId="0" borderId="0" xfId="3" applyFont="1" applyBorder="1" applyAlignment="1" applyProtection="1"/>
    <xf numFmtId="166" fontId="0" fillId="0" borderId="0" xfId="1" applyNumberFormat="1" applyFont="1" applyBorder="1" applyAlignment="1" applyProtection="1"/>
    <xf numFmtId="0" fontId="4" fillId="0" borderId="0" xfId="0" applyFont="1"/>
    <xf numFmtId="0" fontId="5" fillId="0" borderId="0" xfId="0" applyFont="1"/>
    <xf numFmtId="166" fontId="0" fillId="0" borderId="1" xfId="1" applyNumberFormat="1" applyFont="1" applyBorder="1" applyAlignment="1" applyProtection="1"/>
    <xf numFmtId="166" fontId="0" fillId="0" borderId="2" xfId="1" applyNumberFormat="1" applyFont="1" applyBorder="1" applyAlignment="1" applyProtection="1"/>
    <xf numFmtId="166" fontId="0" fillId="0" borderId="3" xfId="1" applyNumberFormat="1" applyFont="1" applyBorder="1" applyAlignment="1" applyProtection="1"/>
    <xf numFmtId="0" fontId="0" fillId="0" borderId="0" xfId="0" applyFont="1"/>
    <xf numFmtId="166" fontId="0" fillId="0" borderId="4" xfId="1" applyNumberFormat="1" applyFont="1" applyBorder="1" applyAlignment="1" applyProtection="1"/>
    <xf numFmtId="166" fontId="0" fillId="0" borderId="5" xfId="1" applyNumberFormat="1" applyFont="1" applyBorder="1" applyAlignment="1" applyProtection="1"/>
    <xf numFmtId="166" fontId="0" fillId="0" borderId="4" xfId="1" applyNumberFormat="1" applyFont="1" applyBorder="1" applyAlignment="1" applyProtection="1">
      <alignment horizontal="center"/>
    </xf>
    <xf numFmtId="0" fontId="0" fillId="0" borderId="5" xfId="1" applyNumberFormat="1" applyFont="1" applyBorder="1" applyAlignment="1" applyProtection="1">
      <alignment horizontal="center"/>
    </xf>
    <xf numFmtId="166" fontId="6" fillId="0" borderId="4" xfId="1" applyNumberFormat="1" applyFont="1" applyBorder="1" applyAlignment="1" applyProtection="1">
      <alignment horizontal="center"/>
    </xf>
    <xf numFmtId="166" fontId="6" fillId="0" borderId="5" xfId="1" applyNumberFormat="1" applyFont="1" applyBorder="1" applyAlignment="1" applyProtection="1">
      <alignment horizontal="center"/>
    </xf>
    <xf numFmtId="166" fontId="6" fillId="0" borderId="0" xfId="1" applyNumberFormat="1" applyFont="1" applyBorder="1" applyAlignment="1" applyProtection="1">
      <alignment horizontal="center"/>
    </xf>
    <xf numFmtId="166" fontId="6" fillId="0" borderId="4" xfId="1" applyNumberFormat="1" applyFont="1" applyBorder="1" applyAlignment="1" applyProtection="1"/>
    <xf numFmtId="0" fontId="0" fillId="0" borderId="2" xfId="0" applyBorder="1"/>
    <xf numFmtId="0" fontId="0" fillId="0" borderId="5" xfId="0" applyBorder="1"/>
    <xf numFmtId="166" fontId="0" fillId="0" borderId="6" xfId="1" applyNumberFormat="1" applyFont="1" applyBorder="1" applyAlignment="1" applyProtection="1"/>
    <xf numFmtId="166" fontId="0" fillId="0" borderId="2" xfId="0" applyNumberFormat="1" applyBorder="1"/>
    <xf numFmtId="0" fontId="7" fillId="0" borderId="0" xfId="0" applyFont="1" applyAlignment="1">
      <alignment horizontal="left" wrapText="1"/>
    </xf>
    <xf numFmtId="0" fontId="7" fillId="0" borderId="7" xfId="0" applyFont="1" applyBorder="1" applyAlignment="1">
      <alignment horizontal="left" wrapText="1"/>
    </xf>
    <xf numFmtId="166" fontId="0" fillId="0" borderId="8" xfId="1" applyNumberFormat="1" applyFont="1" applyBorder="1" applyAlignment="1" applyProtection="1"/>
    <xf numFmtId="166" fontId="0" fillId="0" borderId="7" xfId="1" applyNumberFormat="1" applyFont="1" applyBorder="1" applyAlignment="1" applyProtection="1"/>
    <xf numFmtId="166" fontId="0" fillId="0" borderId="9" xfId="1" applyNumberFormat="1" applyFont="1" applyBorder="1" applyAlignment="1" applyProtection="1"/>
    <xf numFmtId="166" fontId="0" fillId="0" borderId="10" xfId="1" applyNumberFormat="1" applyFont="1" applyBorder="1" applyAlignment="1" applyProtection="1"/>
    <xf numFmtId="0" fontId="0" fillId="0" borderId="7" xfId="0" applyBorder="1"/>
    <xf numFmtId="0" fontId="0" fillId="0" borderId="0" xfId="0" applyFont="1" applyAlignment="1">
      <alignment horizontal="center" vertical="center"/>
    </xf>
    <xf numFmtId="0" fontId="0" fillId="0" borderId="5" xfId="0" applyBorder="1" applyAlignment="1">
      <alignment horizontal="center" vertical="center"/>
    </xf>
    <xf numFmtId="0" fontId="0" fillId="0" borderId="4" xfId="0" applyBorder="1"/>
    <xf numFmtId="166" fontId="0" fillId="2" borderId="4" xfId="1" applyNumberFormat="1" applyFont="1" applyFill="1" applyBorder="1" applyAlignment="1" applyProtection="1"/>
    <xf numFmtId="166" fontId="0" fillId="0" borderId="0" xfId="0" applyNumberFormat="1"/>
    <xf numFmtId="166" fontId="0" fillId="3" borderId="4" xfId="1" applyNumberFormat="1" applyFont="1" applyFill="1" applyBorder="1" applyAlignment="1" applyProtection="1"/>
    <xf numFmtId="0" fontId="8" fillId="0" borderId="0" xfId="0" applyFont="1"/>
    <xf numFmtId="166" fontId="8" fillId="0" borderId="0" xfId="1" applyNumberFormat="1" applyFont="1" applyBorder="1" applyAlignment="1" applyProtection="1"/>
    <xf numFmtId="0" fontId="0" fillId="0" borderId="9" xfId="0" applyBorder="1"/>
    <xf numFmtId="0" fontId="0" fillId="0" borderId="5" xfId="0" applyFont="1" applyBorder="1" applyAlignment="1">
      <alignment horizontal="center"/>
    </xf>
    <xf numFmtId="0" fontId="0" fillId="0" borderId="2" xfId="0" applyFont="1" applyBorder="1" applyAlignment="1">
      <alignment horizontal="center"/>
    </xf>
    <xf numFmtId="0" fontId="6" fillId="0" borderId="5" xfId="0" applyFont="1" applyBorder="1" applyAlignment="1">
      <alignment horizontal="center"/>
    </xf>
    <xf numFmtId="0" fontId="6" fillId="0" borderId="5" xfId="0" applyFont="1" applyBorder="1" applyAlignment="1"/>
    <xf numFmtId="166" fontId="0" fillId="0" borderId="11" xfId="1" applyNumberFormat="1" applyFont="1" applyBorder="1" applyAlignment="1" applyProtection="1"/>
    <xf numFmtId="167" fontId="0" fillId="0" borderId="5" xfId="2" applyFont="1" applyBorder="1" applyAlignment="1" applyProtection="1"/>
    <xf numFmtId="0" fontId="9" fillId="0" borderId="10" xfId="0" applyFont="1" applyBorder="1" applyAlignment="1">
      <alignment horizontal="left" wrapText="1"/>
    </xf>
    <xf numFmtId="0" fontId="0" fillId="0" borderId="0" xfId="0" applyBorder="1"/>
    <xf numFmtId="166" fontId="0" fillId="0" borderId="6" xfId="0" applyNumberFormat="1" applyBorder="1"/>
    <xf numFmtId="166" fontId="0" fillId="0" borderId="3" xfId="0" applyNumberFormat="1" applyBorder="1"/>
    <xf numFmtId="166" fontId="0" fillId="0" borderId="0" xfId="0" applyNumberFormat="1" applyAlignment="1">
      <alignment horizontal="center"/>
    </xf>
    <xf numFmtId="166" fontId="0" fillId="0" borderId="0" xfId="0" applyNumberFormat="1" applyBorder="1"/>
    <xf numFmtId="167" fontId="0" fillId="0" borderId="0" xfId="2" applyFont="1" applyBorder="1" applyAlignment="1" applyProtection="1"/>
    <xf numFmtId="0" fontId="0" fillId="0" borderId="3" xfId="0" applyBorder="1"/>
    <xf numFmtId="0" fontId="0" fillId="0" borderId="12" xfId="0" applyBorder="1"/>
    <xf numFmtId="0" fontId="0" fillId="0" borderId="10" xfId="0" applyBorder="1"/>
    <xf numFmtId="0" fontId="5" fillId="0" borderId="4" xfId="0" applyFont="1" applyBorder="1"/>
    <xf numFmtId="0" fontId="0" fillId="0" borderId="0" xfId="0" applyFont="1" applyBorder="1"/>
    <xf numFmtId="0" fontId="0" fillId="0" borderId="10" xfId="0" applyBorder="1" applyAlignment="1">
      <alignment horizontal="left" wrapText="1"/>
    </xf>
    <xf numFmtId="0" fontId="0" fillId="0" borderId="14" xfId="0" applyBorder="1"/>
    <xf numFmtId="0" fontId="0" fillId="0" borderId="15" xfId="0" applyBorder="1"/>
    <xf numFmtId="0" fontId="0" fillId="0" borderId="16" xfId="0" applyBorder="1"/>
    <xf numFmtId="0" fontId="0" fillId="0" borderId="1" xfId="0" applyBorder="1"/>
    <xf numFmtId="166" fontId="0" fillId="0" borderId="5" xfId="0" applyNumberFormat="1" applyBorder="1"/>
    <xf numFmtId="166" fontId="0" fillId="2" borderId="5" xfId="1" applyNumberFormat="1" applyFont="1" applyFill="1" applyBorder="1" applyAlignment="1" applyProtection="1"/>
    <xf numFmtId="0" fontId="5" fillId="0" borderId="13" xfId="0" applyFont="1" applyBorder="1"/>
    <xf numFmtId="166" fontId="5" fillId="0" borderId="6" xfId="1" applyNumberFormat="1" applyFont="1" applyBorder="1" applyAlignment="1" applyProtection="1"/>
    <xf numFmtId="166" fontId="0" fillId="0" borderId="18" xfId="1" applyNumberFormat="1" applyFont="1" applyBorder="1" applyAlignment="1" applyProtection="1"/>
    <xf numFmtId="0" fontId="0" fillId="0" borderId="8" xfId="0" applyFont="1" applyBorder="1"/>
    <xf numFmtId="0" fontId="11" fillId="3" borderId="0" xfId="0" applyFont="1" applyFill="1"/>
    <xf numFmtId="0" fontId="0" fillId="3" borderId="0" xfId="0" applyFill="1"/>
    <xf numFmtId="166" fontId="12" fillId="3" borderId="0" xfId="1" applyNumberFormat="1" applyFont="1" applyFill="1" applyBorder="1" applyAlignment="1" applyProtection="1"/>
    <xf numFmtId="0" fontId="9" fillId="3" borderId="0" xfId="0" applyFont="1" applyFill="1"/>
    <xf numFmtId="0" fontId="13" fillId="3" borderId="0" xfId="0" applyFont="1" applyFill="1"/>
    <xf numFmtId="166" fontId="12" fillId="3" borderId="0" xfId="1" applyNumberFormat="1" applyFont="1" applyFill="1" applyBorder="1" applyAlignment="1" applyProtection="1">
      <alignment horizontal="center"/>
    </xf>
    <xf numFmtId="0" fontId="13" fillId="3" borderId="0" xfId="0" applyFont="1" applyFill="1" applyAlignment="1">
      <alignment horizontal="center"/>
    </xf>
    <xf numFmtId="0" fontId="13" fillId="3" borderId="0" xfId="0" applyFont="1" applyFill="1" applyAlignment="1">
      <alignment horizontal="center" wrapText="1"/>
    </xf>
    <xf numFmtId="0" fontId="13" fillId="3" borderId="6" xfId="0" applyFont="1" applyFill="1" applyBorder="1" applyAlignment="1">
      <alignment horizontal="center"/>
    </xf>
    <xf numFmtId="166" fontId="15" fillId="3" borderId="6" xfId="1" applyNumberFormat="1" applyFont="1" applyFill="1" applyBorder="1" applyAlignment="1" applyProtection="1">
      <alignment horizontal="center"/>
    </xf>
    <xf numFmtId="166" fontId="15" fillId="3" borderId="0" xfId="1" applyNumberFormat="1" applyFont="1" applyFill="1" applyBorder="1" applyAlignment="1" applyProtection="1">
      <alignment horizontal="center"/>
    </xf>
    <xf numFmtId="0" fontId="14" fillId="3" borderId="0" xfId="0" applyFont="1" applyFill="1" applyAlignment="1">
      <alignment horizontal="center"/>
    </xf>
    <xf numFmtId="0" fontId="11" fillId="3" borderId="6" xfId="0" applyFont="1" applyFill="1" applyBorder="1" applyAlignment="1">
      <alignment horizontal="center"/>
    </xf>
    <xf numFmtId="165" fontId="16" fillId="3" borderId="0" xfId="5" applyFont="1" applyFill="1" applyBorder="1" applyAlignment="1" applyProtection="1"/>
    <xf numFmtId="0" fontId="17" fillId="3" borderId="0" xfId="0" applyFont="1" applyFill="1" applyAlignment="1">
      <alignment horizontal="center"/>
    </xf>
    <xf numFmtId="0" fontId="11" fillId="3" borderId="5" xfId="0" applyFont="1" applyFill="1" applyBorder="1"/>
    <xf numFmtId="0" fontId="13" fillId="3" borderId="5" xfId="0" applyFont="1" applyFill="1" applyBorder="1"/>
    <xf numFmtId="166" fontId="12" fillId="3" borderId="5" xfId="1" applyNumberFormat="1" applyFont="1" applyFill="1" applyBorder="1" applyAlignment="1" applyProtection="1">
      <alignment horizontal="center"/>
    </xf>
    <xf numFmtId="0" fontId="13" fillId="3" borderId="5" xfId="0" applyFont="1" applyFill="1" applyBorder="1" applyAlignment="1">
      <alignment horizontal="center"/>
    </xf>
    <xf numFmtId="0" fontId="11" fillId="3" borderId="17" xfId="0" applyFont="1" applyFill="1" applyBorder="1"/>
    <xf numFmtId="168" fontId="13" fillId="3" borderId="5" xfId="0" applyNumberFormat="1" applyFont="1" applyFill="1" applyBorder="1"/>
    <xf numFmtId="0" fontId="13" fillId="3" borderId="17" xfId="0" applyFont="1" applyFill="1" applyBorder="1"/>
    <xf numFmtId="0" fontId="13" fillId="3" borderId="0" xfId="0" applyFont="1" applyFill="1" applyAlignment="1">
      <alignment horizontal="left"/>
    </xf>
    <xf numFmtId="0" fontId="13" fillId="3" borderId="5" xfId="0" applyFont="1" applyFill="1" applyBorder="1" applyAlignment="1">
      <alignment horizontal="left"/>
    </xf>
    <xf numFmtId="0" fontId="13" fillId="3" borderId="0" xfId="7" applyFont="1" applyFill="1" applyAlignment="1">
      <alignment horizontal="left"/>
    </xf>
    <xf numFmtId="0" fontId="11" fillId="3" borderId="19" xfId="0" applyFont="1" applyFill="1" applyBorder="1"/>
    <xf numFmtId="168" fontId="13" fillId="3" borderId="5" xfId="7" applyNumberFormat="1" applyFont="1" applyFill="1" applyBorder="1" applyAlignment="1">
      <alignment horizontal="left"/>
    </xf>
    <xf numFmtId="0" fontId="13" fillId="3" borderId="19" xfId="7" applyFont="1" applyFill="1" applyBorder="1" applyAlignment="1">
      <alignment horizontal="left"/>
    </xf>
    <xf numFmtId="169" fontId="13" fillId="3" borderId="5" xfId="4" applyNumberFormat="1" applyFont="1" applyFill="1" applyBorder="1" applyAlignment="1" applyProtection="1"/>
    <xf numFmtId="169" fontId="13" fillId="3" borderId="0" xfId="4" applyNumberFormat="1" applyFont="1" applyFill="1" applyBorder="1" applyAlignment="1" applyProtection="1"/>
    <xf numFmtId="0" fontId="13" fillId="3" borderId="0" xfId="0" applyFont="1" applyFill="1" applyAlignment="1">
      <alignment horizontal="left" indent="1"/>
    </xf>
    <xf numFmtId="166" fontId="11" fillId="3" borderId="5" xfId="1" applyNumberFormat="1" applyFont="1" applyFill="1" applyBorder="1" applyAlignment="1" applyProtection="1"/>
    <xf numFmtId="166" fontId="12" fillId="3" borderId="5" xfId="1" applyNumberFormat="1" applyFont="1" applyFill="1" applyBorder="1" applyAlignment="1" applyProtection="1">
      <alignment horizontal="right"/>
    </xf>
    <xf numFmtId="170" fontId="13" fillId="3" borderId="5" xfId="5" applyNumberFormat="1" applyFont="1" applyFill="1" applyBorder="1" applyAlignment="1" applyProtection="1"/>
    <xf numFmtId="166" fontId="12" fillId="3" borderId="0" xfId="1" applyNumberFormat="1" applyFont="1" applyFill="1" applyBorder="1" applyAlignment="1" applyProtection="1">
      <alignment horizontal="right"/>
    </xf>
    <xf numFmtId="170" fontId="13" fillId="3" borderId="0" xfId="0" applyNumberFormat="1" applyFont="1" applyFill="1"/>
    <xf numFmtId="166" fontId="11" fillId="3" borderId="19" xfId="1" applyNumberFormat="1" applyFont="1" applyFill="1" applyBorder="1" applyAlignment="1" applyProtection="1"/>
    <xf numFmtId="170" fontId="13" fillId="3" borderId="5" xfId="5" applyNumberFormat="1" applyFont="1" applyFill="1" applyBorder="1" applyAlignment="1" applyProtection="1">
      <alignment horizontal="right"/>
    </xf>
    <xf numFmtId="166" fontId="13" fillId="3" borderId="0" xfId="5" applyNumberFormat="1" applyFont="1" applyFill="1" applyBorder="1" applyAlignment="1" applyProtection="1"/>
    <xf numFmtId="170" fontId="9" fillId="3" borderId="0" xfId="0" applyNumberFormat="1" applyFont="1" applyFill="1"/>
    <xf numFmtId="168" fontId="11" fillId="3" borderId="0" xfId="0" applyNumberFormat="1" applyFont="1" applyFill="1"/>
    <xf numFmtId="165" fontId="11" fillId="3" borderId="0" xfId="5" applyFont="1" applyFill="1" applyBorder="1" applyAlignment="1" applyProtection="1"/>
    <xf numFmtId="170" fontId="13" fillId="3" borderId="5" xfId="4" applyNumberFormat="1" applyFont="1" applyFill="1" applyBorder="1" applyAlignment="1" applyProtection="1">
      <alignment horizontal="right"/>
    </xf>
    <xf numFmtId="166" fontId="11" fillId="3" borderId="0" xfId="0" applyNumberFormat="1" applyFont="1" applyFill="1"/>
    <xf numFmtId="170" fontId="13" fillId="3" borderId="9" xfId="0" applyNumberFormat="1" applyFont="1" applyFill="1" applyBorder="1"/>
    <xf numFmtId="0" fontId="11" fillId="3" borderId="0" xfId="0" applyFont="1" applyFill="1" applyAlignment="1">
      <alignment horizontal="left" indent="1"/>
    </xf>
    <xf numFmtId="166" fontId="12" fillId="3" borderId="5" xfId="1" applyNumberFormat="1" applyFont="1" applyFill="1" applyBorder="1" applyAlignment="1" applyProtection="1"/>
    <xf numFmtId="166" fontId="0" fillId="3" borderId="5" xfId="0" applyNumberFormat="1" applyFill="1" applyBorder="1"/>
    <xf numFmtId="166" fontId="11" fillId="3" borderId="5" xfId="0" applyNumberFormat="1" applyFont="1" applyFill="1" applyBorder="1"/>
    <xf numFmtId="171" fontId="13" fillId="3" borderId="5" xfId="5" applyNumberFormat="1" applyFont="1" applyFill="1" applyBorder="1" applyAlignment="1" applyProtection="1"/>
    <xf numFmtId="171" fontId="13" fillId="3" borderId="0" xfId="0" applyNumberFormat="1" applyFont="1" applyFill="1"/>
    <xf numFmtId="166" fontId="11" fillId="3" borderId="18" xfId="1" applyNumberFormat="1" applyFont="1" applyFill="1" applyBorder="1" applyAlignment="1" applyProtection="1"/>
    <xf numFmtId="166" fontId="11" fillId="3" borderId="2" xfId="1" applyNumberFormat="1" applyFont="1" applyFill="1" applyBorder="1" applyAlignment="1" applyProtection="1"/>
    <xf numFmtId="0" fontId="13" fillId="3" borderId="0" xfId="7" applyFont="1" applyFill="1"/>
    <xf numFmtId="170" fontId="13" fillId="3" borderId="6" xfId="4" applyNumberFormat="1" applyFont="1" applyFill="1" applyBorder="1" applyAlignment="1" applyProtection="1">
      <alignment horizontal="right"/>
    </xf>
    <xf numFmtId="171" fontId="13" fillId="3" borderId="5" xfId="0" applyNumberFormat="1" applyFont="1" applyFill="1" applyBorder="1"/>
    <xf numFmtId="0" fontId="13" fillId="3" borderId="5" xfId="7" applyFont="1" applyFill="1" applyBorder="1" applyAlignment="1">
      <alignment horizontal="left"/>
    </xf>
    <xf numFmtId="0" fontId="13" fillId="3" borderId="0" xfId="7" applyFont="1" applyFill="1" applyAlignment="1">
      <alignment horizontal="left" indent="1"/>
    </xf>
    <xf numFmtId="170" fontId="13" fillId="3" borderId="5" xfId="4" applyNumberFormat="1" applyFont="1" applyFill="1" applyBorder="1" applyAlignment="1" applyProtection="1"/>
    <xf numFmtId="169" fontId="11" fillId="3" borderId="0" xfId="0" applyNumberFormat="1" applyFont="1" applyFill="1"/>
    <xf numFmtId="168" fontId="13" fillId="3" borderId="0" xfId="4" applyNumberFormat="1" applyFont="1" applyFill="1" applyBorder="1" applyAlignment="1" applyProtection="1"/>
    <xf numFmtId="170" fontId="13" fillId="3" borderId="7" xfId="5" applyNumberFormat="1" applyFont="1" applyFill="1" applyBorder="1" applyAlignment="1" applyProtection="1"/>
    <xf numFmtId="165" fontId="11" fillId="3" borderId="9" xfId="1" applyFont="1" applyFill="1" applyBorder="1" applyAlignment="1" applyProtection="1"/>
    <xf numFmtId="170" fontId="13" fillId="3" borderId="0" xfId="4" applyNumberFormat="1" applyFont="1" applyFill="1" applyBorder="1" applyAlignment="1" applyProtection="1"/>
    <xf numFmtId="165" fontId="11" fillId="3" borderId="7" xfId="1" applyFont="1" applyFill="1" applyBorder="1" applyAlignment="1" applyProtection="1"/>
    <xf numFmtId="166" fontId="13" fillId="3" borderId="9" xfId="5" applyNumberFormat="1" applyFont="1" applyFill="1" applyBorder="1" applyAlignment="1" applyProtection="1"/>
    <xf numFmtId="166" fontId="11" fillId="3" borderId="7" xfId="1" applyNumberFormat="1" applyFont="1" applyFill="1" applyBorder="1" applyAlignment="1" applyProtection="1"/>
    <xf numFmtId="166" fontId="11" fillId="3" borderId="6" xfId="1" applyNumberFormat="1" applyFont="1" applyFill="1" applyBorder="1" applyAlignment="1" applyProtection="1"/>
    <xf numFmtId="166" fontId="11" fillId="3" borderId="14" xfId="0" applyNumberFormat="1" applyFont="1" applyFill="1" applyBorder="1"/>
    <xf numFmtId="170" fontId="11" fillId="3" borderId="6" xfId="0" applyNumberFormat="1" applyFont="1" applyFill="1" applyBorder="1"/>
    <xf numFmtId="170" fontId="13" fillId="3" borderId="5" xfId="7" applyNumberFormat="1" applyFont="1" applyFill="1" applyBorder="1"/>
    <xf numFmtId="170" fontId="13" fillId="3" borderId="5" xfId="0" applyNumberFormat="1" applyFont="1" applyFill="1" applyBorder="1"/>
    <xf numFmtId="172" fontId="13" fillId="3" borderId="0" xfId="0" applyNumberFormat="1" applyFont="1" applyFill="1"/>
    <xf numFmtId="172" fontId="13" fillId="3" borderId="0" xfId="0" applyNumberFormat="1" applyFont="1" applyFill="1" applyAlignment="1">
      <alignment horizontal="center"/>
    </xf>
    <xf numFmtId="168" fontId="13" fillId="3" borderId="20" xfId="4" applyNumberFormat="1" applyFont="1" applyFill="1" applyBorder="1" applyAlignment="1" applyProtection="1"/>
    <xf numFmtId="168" fontId="13" fillId="3" borderId="5" xfId="4" applyNumberFormat="1" applyFont="1" applyFill="1" applyBorder="1" applyAlignment="1" applyProtection="1"/>
    <xf numFmtId="168" fontId="13" fillId="3" borderId="21" xfId="4" applyNumberFormat="1" applyFont="1" applyFill="1" applyBorder="1" applyAlignment="1" applyProtection="1"/>
    <xf numFmtId="0" fontId="13" fillId="3" borderId="0" xfId="7" applyFont="1" applyFill="1" applyAlignment="1">
      <alignment wrapText="1"/>
    </xf>
    <xf numFmtId="0" fontId="11" fillId="3" borderId="7" xfId="0" applyFont="1" applyFill="1" applyBorder="1"/>
    <xf numFmtId="166" fontId="12" fillId="3" borderId="7" xfId="1" applyNumberFormat="1" applyFont="1" applyFill="1" applyBorder="1" applyAlignment="1" applyProtection="1"/>
    <xf numFmtId="166" fontId="13" fillId="3" borderId="7" xfId="0" applyNumberFormat="1" applyFont="1" applyFill="1" applyBorder="1"/>
    <xf numFmtId="172" fontId="13" fillId="3" borderId="7" xfId="0" applyNumberFormat="1" applyFont="1" applyFill="1" applyBorder="1"/>
    <xf numFmtId="166" fontId="13" fillId="3" borderId="0" xfId="0" applyNumberFormat="1" applyFont="1" applyFill="1"/>
    <xf numFmtId="0" fontId="11" fillId="3" borderId="1" xfId="0" applyFont="1" applyFill="1" applyBorder="1"/>
    <xf numFmtId="0" fontId="11" fillId="3" borderId="2" xfId="0" applyFont="1" applyFill="1" applyBorder="1"/>
    <xf numFmtId="0" fontId="18" fillId="3" borderId="0" xfId="0" applyFont="1" applyFill="1"/>
    <xf numFmtId="172" fontId="13" fillId="3" borderId="1" xfId="0" applyNumberFormat="1" applyFont="1" applyFill="1" applyBorder="1"/>
    <xf numFmtId="172" fontId="13" fillId="3" borderId="4" xfId="0" applyNumberFormat="1" applyFont="1" applyFill="1" applyBorder="1"/>
    <xf numFmtId="166" fontId="13" fillId="3" borderId="0" xfId="1" applyNumberFormat="1" applyFont="1" applyFill="1" applyBorder="1" applyAlignment="1" applyProtection="1"/>
    <xf numFmtId="0" fontId="11" fillId="3" borderId="4" xfId="0" applyFont="1" applyFill="1" applyBorder="1"/>
    <xf numFmtId="166" fontId="11" fillId="3" borderId="0" xfId="1" applyNumberFormat="1" applyFont="1" applyFill="1" applyBorder="1" applyAlignment="1" applyProtection="1"/>
    <xf numFmtId="173" fontId="13" fillId="3" borderId="4" xfId="0" applyNumberFormat="1" applyFont="1" applyFill="1" applyBorder="1"/>
    <xf numFmtId="173" fontId="13" fillId="3" borderId="0" xfId="0" applyNumberFormat="1" applyFont="1" applyFill="1"/>
    <xf numFmtId="0" fontId="11" fillId="3" borderId="8" xfId="0" applyFont="1" applyFill="1" applyBorder="1"/>
    <xf numFmtId="166" fontId="18" fillId="3" borderId="0" xfId="1" applyNumberFormat="1" applyFont="1" applyFill="1" applyBorder="1" applyAlignment="1" applyProtection="1"/>
    <xf numFmtId="172" fontId="13" fillId="3" borderId="13" xfId="0" applyNumberFormat="1" applyFont="1" applyFill="1" applyBorder="1"/>
    <xf numFmtId="173" fontId="13" fillId="3" borderId="2" xfId="0" applyNumberFormat="1" applyFont="1" applyFill="1" applyBorder="1"/>
    <xf numFmtId="173" fontId="13" fillId="3" borderId="7" xfId="0" applyNumberFormat="1" applyFont="1" applyFill="1" applyBorder="1"/>
    <xf numFmtId="172" fontId="13" fillId="3" borderId="6" xfId="0" applyNumberFormat="1" applyFont="1" applyFill="1" applyBorder="1"/>
    <xf numFmtId="166" fontId="11" fillId="3" borderId="6" xfId="0" applyNumberFormat="1" applyFont="1" applyFill="1" applyBorder="1"/>
    <xf numFmtId="166" fontId="0" fillId="3" borderId="0" xfId="0" applyNumberFormat="1" applyFill="1"/>
    <xf numFmtId="166" fontId="11" fillId="3" borderId="7" xfId="0" applyNumberFormat="1" applyFont="1" applyFill="1" applyBorder="1"/>
    <xf numFmtId="0" fontId="6" fillId="0" borderId="1" xfId="0" applyFont="1" applyBorder="1"/>
    <xf numFmtId="166" fontId="0" fillId="0" borderId="20" xfId="1" applyNumberFormat="1" applyFont="1" applyBorder="1" applyAlignment="1" applyProtection="1"/>
    <xf numFmtId="0" fontId="6" fillId="0" borderId="4" xfId="0" applyFont="1" applyBorder="1"/>
    <xf numFmtId="166" fontId="0" fillId="4" borderId="5" xfId="1" applyNumberFormat="1" applyFont="1" applyFill="1" applyBorder="1" applyAlignment="1" applyProtection="1"/>
    <xf numFmtId="0" fontId="0" fillId="0" borderId="6" xfId="0" applyBorder="1"/>
    <xf numFmtId="0" fontId="8" fillId="0" borderId="4" xfId="0" applyFont="1" applyBorder="1"/>
    <xf numFmtId="0" fontId="8" fillId="0" borderId="0" xfId="0" applyFont="1" applyBorder="1"/>
    <xf numFmtId="166" fontId="8" fillId="0" borderId="5" xfId="1" applyNumberFormat="1" applyFont="1" applyBorder="1" applyAlignment="1" applyProtection="1"/>
    <xf numFmtId="0" fontId="0" fillId="0" borderId="4" xfId="0" applyFont="1" applyBorder="1"/>
    <xf numFmtId="166" fontId="0" fillId="3" borderId="2" xfId="1" applyNumberFormat="1" applyFont="1" applyFill="1" applyBorder="1" applyAlignment="1" applyProtection="1"/>
    <xf numFmtId="166" fontId="0" fillId="3" borderId="7" xfId="1" applyNumberFormat="1" applyFont="1" applyFill="1" applyBorder="1" applyAlignment="1" applyProtection="1"/>
    <xf numFmtId="166" fontId="0" fillId="3" borderId="5" xfId="1" applyNumberFormat="1" applyFont="1" applyFill="1" applyBorder="1" applyAlignment="1" applyProtection="1"/>
    <xf numFmtId="166" fontId="0" fillId="2" borderId="2" xfId="1" applyNumberFormat="1" applyFont="1" applyFill="1" applyBorder="1" applyAlignment="1" applyProtection="1"/>
    <xf numFmtId="166" fontId="0" fillId="3" borderId="6" xfId="1" applyNumberFormat="1" applyFont="1" applyFill="1" applyBorder="1" applyAlignment="1" applyProtection="1"/>
    <xf numFmtId="166" fontId="0" fillId="0" borderId="19" xfId="1" applyNumberFormat="1" applyFont="1" applyBorder="1" applyAlignment="1" applyProtection="1"/>
    <xf numFmtId="0" fontId="0" fillId="0" borderId="22" xfId="0" applyBorder="1"/>
    <xf numFmtId="0" fontId="0" fillId="0" borderId="6" xfId="0" applyFont="1" applyBorder="1" applyAlignment="1">
      <alignment horizontal="center"/>
    </xf>
    <xf numFmtId="0" fontId="0" fillId="0" borderId="0" xfId="0" applyAlignment="1">
      <alignment horizontal="center"/>
    </xf>
    <xf numFmtId="0" fontId="0" fillId="0" borderId="3" xfId="0" applyFont="1" applyBorder="1" applyAlignment="1">
      <alignment horizontal="center"/>
    </xf>
    <xf numFmtId="0" fontId="19" fillId="0" borderId="4" xfId="0" applyFont="1" applyBorder="1"/>
    <xf numFmtId="0" fontId="0" fillId="0" borderId="0" xfId="0" applyFont="1" applyBorder="1" applyAlignment="1">
      <alignment horizontal="center"/>
    </xf>
    <xf numFmtId="166" fontId="0" fillId="0" borderId="7" xfId="0" applyNumberFormat="1" applyBorder="1"/>
    <xf numFmtId="166" fontId="0" fillId="0" borderId="13" xfId="1" applyNumberFormat="1" applyFont="1" applyBorder="1" applyAlignment="1" applyProtection="1"/>
    <xf numFmtId="166" fontId="0" fillId="0" borderId="1" xfId="0" applyNumberFormat="1" applyBorder="1"/>
    <xf numFmtId="0" fontId="0" fillId="0" borderId="13" xfId="0" applyFont="1" applyBorder="1"/>
    <xf numFmtId="166" fontId="0" fillId="0" borderId="14" xfId="0" applyNumberFormat="1" applyBorder="1"/>
    <xf numFmtId="166" fontId="0" fillId="0" borderId="13" xfId="0" applyNumberFormat="1" applyBorder="1"/>
    <xf numFmtId="0" fontId="6" fillId="0" borderId="2" xfId="0" applyFont="1" applyBorder="1" applyAlignment="1">
      <alignment horizontal="center"/>
    </xf>
    <xf numFmtId="0" fontId="5" fillId="0" borderId="14" xfId="0" applyFont="1" applyBorder="1"/>
    <xf numFmtId="0" fontId="0" fillId="2" borderId="0" xfId="0" applyFill="1"/>
    <xf numFmtId="0" fontId="0" fillId="2" borderId="4" xfId="0" applyFill="1" applyBorder="1"/>
    <xf numFmtId="0" fontId="0" fillId="2" borderId="0" xfId="0" applyFont="1" applyFill="1" applyBorder="1"/>
    <xf numFmtId="0" fontId="0" fillId="2" borderId="6" xfId="0" applyFont="1" applyFill="1" applyBorder="1"/>
    <xf numFmtId="0" fontId="0" fillId="2" borderId="8" xfId="0" applyFill="1" applyBorder="1"/>
    <xf numFmtId="166" fontId="0" fillId="2" borderId="7" xfId="1" applyNumberFormat="1" applyFont="1" applyFill="1" applyBorder="1" applyAlignment="1" applyProtection="1">
      <alignment vertical="center"/>
    </xf>
    <xf numFmtId="0" fontId="0" fillId="2" borderId="6" xfId="0" applyFont="1" applyFill="1" applyBorder="1" applyAlignment="1">
      <alignment wrapText="1"/>
    </xf>
    <xf numFmtId="0" fontId="0" fillId="0" borderId="6" xfId="0" applyFont="1" applyBorder="1" applyAlignment="1">
      <alignment horizontal="center" wrapText="1"/>
    </xf>
    <xf numFmtId="0" fontId="0" fillId="0" borderId="6" xfId="0" applyFont="1" applyBorder="1" applyAlignment="1">
      <alignment wrapText="1"/>
    </xf>
    <xf numFmtId="166" fontId="0" fillId="0" borderId="6" xfId="1" applyNumberFormat="1" applyFont="1" applyBorder="1" applyAlignment="1" applyProtection="1">
      <alignment horizontal="center" wrapText="1"/>
    </xf>
    <xf numFmtId="0" fontId="0" fillId="0" borderId="1" xfId="0" applyBorder="1" applyAlignment="1">
      <alignment horizontal="right"/>
    </xf>
    <xf numFmtId="0" fontId="0" fillId="0" borderId="3" xfId="0" applyBorder="1" applyAlignment="1">
      <alignment horizontal="center"/>
    </xf>
    <xf numFmtId="0" fontId="0" fillId="0" borderId="12" xfId="0" applyBorder="1" applyAlignment="1">
      <alignment horizontal="center"/>
    </xf>
    <xf numFmtId="166" fontId="0" fillId="0" borderId="5" xfId="1" applyNumberFormat="1" applyFont="1" applyBorder="1" applyAlignment="1" applyProtection="1">
      <alignment horizontal="center" wrapText="1"/>
    </xf>
    <xf numFmtId="0" fontId="0" fillId="0" borderId="5" xfId="0" applyBorder="1" applyAlignment="1">
      <alignment wrapText="1"/>
    </xf>
    <xf numFmtId="166" fontId="0" fillId="0" borderId="5" xfId="0" applyNumberFormat="1" applyBorder="1" applyAlignment="1">
      <alignment horizontal="center" wrapText="1"/>
    </xf>
    <xf numFmtId="0" fontId="0" fillId="0" borderId="5" xfId="0" applyBorder="1" applyAlignment="1">
      <alignment horizontal="center" wrapText="1"/>
    </xf>
    <xf numFmtId="174" fontId="0" fillId="0" borderId="0" xfId="2" applyNumberFormat="1" applyFont="1" applyBorder="1" applyAlignment="1" applyProtection="1"/>
    <xf numFmtId="166" fontId="0" fillId="0" borderId="4" xfId="0" applyNumberFormat="1" applyBorder="1"/>
    <xf numFmtId="0" fontId="6" fillId="0" borderId="0" xfId="0" applyFont="1" applyAlignment="1">
      <alignment horizontal="center"/>
    </xf>
    <xf numFmtId="166" fontId="6" fillId="0" borderId="0" xfId="1" applyNumberFormat="1" applyFont="1" applyBorder="1" applyAlignment="1" applyProtection="1"/>
    <xf numFmtId="175" fontId="0" fillId="0" borderId="6" xfId="1" applyNumberFormat="1" applyFont="1" applyBorder="1" applyAlignment="1" applyProtection="1"/>
    <xf numFmtId="176" fontId="0" fillId="0" borderId="6" xfId="1" applyNumberFormat="1" applyFont="1" applyBorder="1" applyAlignment="1" applyProtection="1"/>
    <xf numFmtId="0" fontId="0" fillId="0" borderId="0" xfId="0" applyFont="1" applyAlignment="1">
      <alignment horizontal="center"/>
    </xf>
    <xf numFmtId="166" fontId="0" fillId="2" borderId="0" xfId="1" applyNumberFormat="1" applyFont="1" applyFill="1" applyBorder="1" applyAlignment="1" applyProtection="1"/>
    <xf numFmtId="0" fontId="0" fillId="0" borderId="9" xfId="0" applyFont="1" applyBorder="1"/>
    <xf numFmtId="0" fontId="0" fillId="0" borderId="15" xfId="0" applyFont="1" applyBorder="1" applyAlignment="1">
      <alignment horizontal="center"/>
    </xf>
    <xf numFmtId="166" fontId="0" fillId="0" borderId="15" xfId="1" applyNumberFormat="1" applyFont="1" applyBorder="1" applyAlignment="1" applyProtection="1"/>
    <xf numFmtId="166" fontId="9" fillId="0" borderId="12" xfId="0" applyNumberFormat="1" applyFont="1" applyBorder="1"/>
    <xf numFmtId="166" fontId="0" fillId="0" borderId="10" xfId="0" applyNumberFormat="1" applyBorder="1"/>
    <xf numFmtId="166" fontId="20" fillId="0" borderId="5" xfId="1" applyNumberFormat="1" applyBorder="1"/>
    <xf numFmtId="166" fontId="20" fillId="0" borderId="2" xfId="1" applyNumberFormat="1" applyBorder="1"/>
    <xf numFmtId="166" fontId="20" fillId="0" borderId="7" xfId="1" applyNumberFormat="1" applyBorder="1"/>
    <xf numFmtId="0" fontId="0" fillId="0" borderId="5" xfId="0" applyFont="1" applyBorder="1"/>
    <xf numFmtId="0" fontId="0" fillId="0" borderId="0" xfId="0" quotePrefix="1" applyFont="1" applyBorder="1" applyAlignment="1">
      <alignment horizontal="center"/>
    </xf>
    <xf numFmtId="166" fontId="0" fillId="0" borderId="23" xfId="1" applyNumberFormat="1" applyFont="1" applyBorder="1" applyAlignment="1" applyProtection="1"/>
    <xf numFmtId="166" fontId="0" fillId="0" borderId="24" xfId="1" applyNumberFormat="1" applyFont="1" applyBorder="1" applyAlignment="1" applyProtection="1"/>
    <xf numFmtId="166" fontId="0" fillId="0" borderId="25" xfId="1" applyNumberFormat="1" applyFont="1" applyBorder="1" applyAlignment="1" applyProtection="1"/>
    <xf numFmtId="166" fontId="0" fillId="0" borderId="26" xfId="1" applyNumberFormat="1" applyFont="1" applyBorder="1" applyAlignment="1" applyProtection="1"/>
    <xf numFmtId="0" fontId="0" fillId="0" borderId="27" xfId="0" applyFont="1" applyBorder="1"/>
    <xf numFmtId="166" fontId="0" fillId="0" borderId="28" xfId="1" applyNumberFormat="1" applyFont="1" applyBorder="1" applyAlignment="1" applyProtection="1"/>
    <xf numFmtId="166" fontId="0" fillId="6" borderId="0" xfId="0" applyNumberFormat="1" applyFill="1"/>
    <xf numFmtId="0" fontId="0" fillId="6" borderId="0" xfId="0" applyFont="1" applyFill="1"/>
    <xf numFmtId="166" fontId="20" fillId="6" borderId="0" xfId="1" applyNumberFormat="1" applyFill="1"/>
    <xf numFmtId="166" fontId="20" fillId="0" borderId="5" xfId="1" applyNumberFormat="1" applyFill="1" applyBorder="1"/>
    <xf numFmtId="166" fontId="0" fillId="0" borderId="5" xfId="0" applyNumberFormat="1" applyFill="1" applyBorder="1"/>
    <xf numFmtId="0" fontId="0" fillId="0" borderId="4" xfId="0" applyFill="1" applyBorder="1"/>
    <xf numFmtId="0" fontId="0" fillId="0" borderId="0" xfId="0" applyFont="1" applyFill="1" applyBorder="1"/>
    <xf numFmtId="166" fontId="0" fillId="0" borderId="5" xfId="1" applyNumberFormat="1" applyFont="1" applyFill="1" applyBorder="1" applyAlignment="1" applyProtection="1"/>
    <xf numFmtId="166" fontId="0" fillId="0" borderId="7" xfId="1" applyNumberFormat="1" applyFont="1" applyFill="1" applyBorder="1" applyAlignment="1" applyProtection="1"/>
    <xf numFmtId="166" fontId="0" fillId="0" borderId="2" xfId="1" applyNumberFormat="1" applyFont="1" applyFill="1" applyBorder="1" applyAlignment="1" applyProtection="1"/>
    <xf numFmtId="0" fontId="6" fillId="0" borderId="4" xfId="0" applyFont="1" applyFill="1" applyBorder="1"/>
    <xf numFmtId="166" fontId="0" fillId="0" borderId="0" xfId="0" applyNumberFormat="1" applyFont="1" applyBorder="1"/>
    <xf numFmtId="0" fontId="0" fillId="0" borderId="5" xfId="0" applyFill="1" applyBorder="1"/>
    <xf numFmtId="166" fontId="0" fillId="0" borderId="4" xfId="1" applyNumberFormat="1" applyFont="1" applyFill="1" applyBorder="1" applyAlignment="1" applyProtection="1"/>
    <xf numFmtId="0" fontId="21" fillId="0" borderId="0" xfId="0" applyFont="1"/>
    <xf numFmtId="167" fontId="21" fillId="0" borderId="0" xfId="2" applyFont="1"/>
    <xf numFmtId="166" fontId="0" fillId="0" borderId="0" xfId="0" applyNumberFormat="1" applyFill="1"/>
    <xf numFmtId="166" fontId="10" fillId="0" borderId="3" xfId="1" applyNumberFormat="1" applyFont="1" applyFill="1" applyBorder="1" applyAlignment="1" applyProtection="1"/>
    <xf numFmtId="166" fontId="8" fillId="0" borderId="0" xfId="1" applyNumberFormat="1" applyFont="1" applyFill="1" applyBorder="1" applyAlignment="1" applyProtection="1"/>
    <xf numFmtId="166" fontId="0" fillId="0" borderId="0" xfId="0" applyNumberFormat="1" applyFont="1"/>
    <xf numFmtId="166" fontId="22" fillId="6" borderId="6" xfId="0" applyNumberFormat="1" applyFont="1" applyFill="1" applyBorder="1"/>
    <xf numFmtId="166" fontId="20" fillId="0" borderId="0" xfId="1" applyNumberFormat="1"/>
    <xf numFmtId="166" fontId="22" fillId="0" borderId="6" xfId="0" applyNumberFormat="1" applyFont="1" applyBorder="1"/>
    <xf numFmtId="0" fontId="24" fillId="0" borderId="0" xfId="0" applyFont="1"/>
    <xf numFmtId="177" fontId="0" fillId="0" borderId="0" xfId="1" applyNumberFormat="1" applyFont="1"/>
    <xf numFmtId="0" fontId="23" fillId="0" borderId="0" xfId="0" applyFont="1"/>
    <xf numFmtId="177" fontId="0" fillId="0" borderId="2" xfId="1" applyNumberFormat="1" applyFont="1" applyBorder="1"/>
    <xf numFmtId="177" fontId="0" fillId="0" borderId="5" xfId="1" applyNumberFormat="1" applyFont="1" applyBorder="1"/>
    <xf numFmtId="0" fontId="0" fillId="0" borderId="5" xfId="0" applyBorder="1" applyAlignment="1">
      <alignment horizontal="center"/>
    </xf>
    <xf numFmtId="177" fontId="25" fillId="0" borderId="5" xfId="1" applyNumberFormat="1" applyFont="1" applyBorder="1" applyAlignment="1">
      <alignment horizontal="center"/>
    </xf>
    <xf numFmtId="0" fontId="25" fillId="0" borderId="5" xfId="0" applyFont="1" applyBorder="1" applyAlignment="1">
      <alignment horizontal="center"/>
    </xf>
    <xf numFmtId="0" fontId="25" fillId="0" borderId="5" xfId="0" applyFont="1" applyBorder="1"/>
    <xf numFmtId="0" fontId="23" fillId="0" borderId="1" xfId="0" applyFont="1" applyBorder="1"/>
    <xf numFmtId="0" fontId="23" fillId="0" borderId="4" xfId="0" applyFont="1" applyBorder="1"/>
    <xf numFmtId="165" fontId="0" fillId="0" borderId="2" xfId="1" applyFont="1" applyBorder="1"/>
    <xf numFmtId="177" fontId="0" fillId="0" borderId="7" xfId="1" applyNumberFormat="1" applyFont="1" applyBorder="1"/>
    <xf numFmtId="0" fontId="26" fillId="0" borderId="13" xfId="0" applyFont="1" applyBorder="1"/>
    <xf numFmtId="177" fontId="0" fillId="0" borderId="6" xfId="1" applyNumberFormat="1" applyFont="1" applyBorder="1"/>
    <xf numFmtId="0" fontId="28" fillId="0" borderId="0" xfId="0" applyFont="1"/>
    <xf numFmtId="177" fontId="0" fillId="0" borderId="5" xfId="0" applyNumberFormat="1" applyBorder="1"/>
    <xf numFmtId="177" fontId="0" fillId="5" borderId="5" xfId="1" applyNumberFormat="1" applyFont="1" applyFill="1" applyBorder="1"/>
    <xf numFmtId="0" fontId="29" fillId="0" borderId="13" xfId="0" applyFont="1" applyBorder="1"/>
    <xf numFmtId="0" fontId="23" fillId="0" borderId="13" xfId="0" applyFont="1" applyBorder="1"/>
    <xf numFmtId="177" fontId="23" fillId="0" borderId="7" xfId="1" applyNumberFormat="1" applyFont="1" applyBorder="1"/>
    <xf numFmtId="177" fontId="23" fillId="0" borderId="6" xfId="1" applyNumberFormat="1" applyFont="1" applyBorder="1"/>
    <xf numFmtId="1" fontId="23" fillId="0" borderId="6" xfId="1" applyNumberFormat="1" applyFont="1" applyBorder="1"/>
    <xf numFmtId="177" fontId="0" fillId="0" borderId="0" xfId="0" applyNumberFormat="1"/>
    <xf numFmtId="177" fontId="0" fillId="0" borderId="2" xfId="0" applyNumberFormat="1" applyBorder="1"/>
    <xf numFmtId="0" fontId="0" fillId="0" borderId="8" xfId="0" applyBorder="1"/>
    <xf numFmtId="177" fontId="0" fillId="0" borderId="0" xfId="1" applyNumberFormat="1" applyFont="1" applyBorder="1"/>
    <xf numFmtId="177" fontId="0" fillId="0" borderId="3" xfId="1" applyNumberFormat="1" applyFont="1" applyBorder="1"/>
    <xf numFmtId="166" fontId="31" fillId="3" borderId="0" xfId="1" applyNumberFormat="1" applyFont="1" applyFill="1" applyBorder="1" applyAlignment="1" applyProtection="1"/>
    <xf numFmtId="177" fontId="0" fillId="0" borderId="5" xfId="1" applyNumberFormat="1" applyFont="1" applyFill="1" applyBorder="1"/>
    <xf numFmtId="177" fontId="0" fillId="0" borderId="2" xfId="1" applyNumberFormat="1" applyFont="1" applyFill="1" applyBorder="1"/>
    <xf numFmtId="177" fontId="30" fillId="5" borderId="0" xfId="1" applyNumberFormat="1" applyFont="1" applyFill="1"/>
    <xf numFmtId="0" fontId="0" fillId="0" borderId="10" xfId="0" applyBorder="1" applyAlignment="1">
      <alignment horizontal="left" wrapText="1"/>
    </xf>
    <xf numFmtId="0" fontId="27" fillId="0" borderId="10" xfId="0" applyFont="1" applyBorder="1" applyAlignment="1">
      <alignment horizontal="left" wrapText="1"/>
    </xf>
    <xf numFmtId="0" fontId="0" fillId="0" borderId="10" xfId="0" applyBorder="1" applyAlignment="1">
      <alignment horizontal="left"/>
    </xf>
    <xf numFmtId="0" fontId="26" fillId="0" borderId="1" xfId="0" applyFont="1" applyBorder="1"/>
    <xf numFmtId="0" fontId="26" fillId="0" borderId="4" xfId="0" applyFont="1" applyBorder="1"/>
    <xf numFmtId="0" fontId="0" fillId="0" borderId="0" xfId="0" applyFill="1" applyBorder="1"/>
    <xf numFmtId="0" fontId="0" fillId="5" borderId="0" xfId="0" applyFill="1"/>
    <xf numFmtId="177" fontId="0" fillId="5" borderId="0" xfId="1" applyNumberFormat="1" applyFont="1" applyFill="1"/>
    <xf numFmtId="0" fontId="0" fillId="5" borderId="0" xfId="0" applyFill="1" applyBorder="1"/>
    <xf numFmtId="166" fontId="0" fillId="5" borderId="5" xfId="1" applyNumberFormat="1" applyFont="1" applyFill="1" applyBorder="1" applyAlignment="1" applyProtection="1"/>
    <xf numFmtId="0" fontId="7" fillId="0" borderId="0" xfId="0" applyFont="1" applyBorder="1" applyAlignment="1">
      <alignment horizontal="left" wrapText="1"/>
    </xf>
    <xf numFmtId="0" fontId="9" fillId="0" borderId="10" xfId="0" applyFont="1" applyBorder="1" applyAlignment="1">
      <alignment horizontal="left" wrapText="1"/>
    </xf>
    <xf numFmtId="0" fontId="0" fillId="0" borderId="4" xfId="0" applyBorder="1" applyAlignment="1">
      <alignment horizontal="left" wrapText="1"/>
    </xf>
    <xf numFmtId="0" fontId="0" fillId="0" borderId="0" xfId="0" applyAlignment="1">
      <alignment horizontal="left" wrapText="1"/>
    </xf>
    <xf numFmtId="0" fontId="0" fillId="0" borderId="10" xfId="0" applyBorder="1" applyAlignment="1">
      <alignment horizontal="left" wrapText="1"/>
    </xf>
    <xf numFmtId="0" fontId="27" fillId="0" borderId="0" xfId="0" applyFont="1" applyAlignment="1">
      <alignment horizontal="left" wrapText="1"/>
    </xf>
    <xf numFmtId="0" fontId="27" fillId="0" borderId="10" xfId="0" applyFont="1" applyBorder="1" applyAlignment="1">
      <alignment horizontal="left" wrapText="1"/>
    </xf>
    <xf numFmtId="0" fontId="0" fillId="0" borderId="0" xfId="0" applyAlignment="1">
      <alignment horizontal="left"/>
    </xf>
    <xf numFmtId="0" fontId="0" fillId="0" borderId="10" xfId="0" applyBorder="1" applyAlignment="1">
      <alignment horizontal="left"/>
    </xf>
    <xf numFmtId="0" fontId="0" fillId="0" borderId="0" xfId="0" applyFill="1" applyBorder="1" applyAlignment="1">
      <alignment horizontal="left" wrapText="1"/>
    </xf>
    <xf numFmtId="0" fontId="0" fillId="0" borderId="10" xfId="0" applyFill="1" applyBorder="1" applyAlignment="1">
      <alignment horizontal="left" wrapText="1"/>
    </xf>
    <xf numFmtId="0" fontId="9" fillId="0" borderId="5" xfId="0" applyFont="1" applyBorder="1" applyAlignment="1">
      <alignment horizontal="left" wrapText="1"/>
    </xf>
    <xf numFmtId="0" fontId="0" fillId="0" borderId="5" xfId="0" applyFont="1" applyBorder="1" applyAlignment="1">
      <alignment horizontal="left"/>
    </xf>
    <xf numFmtId="0" fontId="10" fillId="0" borderId="5" xfId="0" applyFont="1" applyBorder="1" applyAlignment="1">
      <alignment horizontal="left" wrapText="1"/>
    </xf>
    <xf numFmtId="0" fontId="0" fillId="0" borderId="6" xfId="0" applyBorder="1" applyAlignment="1">
      <alignment horizontal="center"/>
    </xf>
    <xf numFmtId="0" fontId="0" fillId="0" borderId="4" xfId="0" applyFont="1" applyBorder="1" applyAlignment="1">
      <alignment horizontal="left" wrapText="1"/>
    </xf>
    <xf numFmtId="166" fontId="0" fillId="0" borderId="3" xfId="1" applyNumberFormat="1" applyFont="1" applyBorder="1" applyAlignment="1" applyProtection="1">
      <alignment horizontal="center"/>
    </xf>
    <xf numFmtId="166" fontId="0" fillId="0" borderId="0" xfId="1" applyNumberFormat="1" applyFont="1" applyBorder="1" applyAlignment="1" applyProtection="1">
      <alignment horizontal="center"/>
    </xf>
    <xf numFmtId="0" fontId="0" fillId="0" borderId="6" xfId="0" applyBorder="1" applyAlignment="1">
      <alignment horizontal="center" vertical="center"/>
    </xf>
    <xf numFmtId="0" fontId="0" fillId="0" borderId="15" xfId="0" applyBorder="1" applyAlignment="1">
      <alignment horizontal="center"/>
    </xf>
    <xf numFmtId="0" fontId="0" fillId="2" borderId="16" xfId="0" applyFont="1" applyFill="1" applyBorder="1" applyAlignment="1">
      <alignment horizontal="left" vertical="center" wrapText="1"/>
    </xf>
    <xf numFmtId="0" fontId="0" fillId="0" borderId="6" xfId="0" applyFont="1" applyBorder="1" applyAlignment="1">
      <alignment horizontal="center"/>
    </xf>
    <xf numFmtId="0" fontId="0" fillId="0" borderId="0" xfId="0" applyFont="1" applyBorder="1" applyAlignment="1">
      <alignment horizontal="center"/>
    </xf>
    <xf numFmtId="166" fontId="11" fillId="7" borderId="5" xfId="1" applyNumberFormat="1" applyFont="1" applyFill="1" applyBorder="1" applyAlignment="1" applyProtection="1"/>
    <xf numFmtId="166" fontId="11" fillId="7" borderId="5" xfId="0" applyNumberFormat="1" applyFont="1" applyFill="1" applyBorder="1"/>
    <xf numFmtId="166" fontId="11" fillId="7" borderId="7" xfId="1" applyNumberFormat="1" applyFont="1" applyFill="1" applyBorder="1" applyAlignment="1" applyProtection="1"/>
    <xf numFmtId="166" fontId="11" fillId="5" borderId="5" xfId="1" applyNumberFormat="1" applyFont="1" applyFill="1" applyBorder="1" applyAlignment="1" applyProtection="1"/>
    <xf numFmtId="166" fontId="20" fillId="5" borderId="5" xfId="1" applyNumberFormat="1" applyFill="1" applyBorder="1"/>
    <xf numFmtId="166" fontId="11" fillId="8" borderId="5" xfId="1" applyNumberFormat="1" applyFont="1" applyFill="1" applyBorder="1" applyAlignment="1" applyProtection="1"/>
    <xf numFmtId="0" fontId="11" fillId="9" borderId="0" xfId="0" applyFont="1" applyFill="1"/>
    <xf numFmtId="166" fontId="11" fillId="9" borderId="0" xfId="1" applyNumberFormat="1" applyFont="1" applyFill="1" applyBorder="1" applyProtection="1"/>
    <xf numFmtId="166" fontId="12" fillId="9" borderId="0" xfId="1" applyNumberFormat="1" applyFont="1" applyFill="1" applyBorder="1" applyProtection="1"/>
    <xf numFmtId="0" fontId="9" fillId="9" borderId="0" xfId="0" applyFont="1" applyFill="1"/>
    <xf numFmtId="172" fontId="13" fillId="9" borderId="0" xfId="0" applyNumberFormat="1" applyFont="1" applyFill="1"/>
    <xf numFmtId="0" fontId="0" fillId="6" borderId="0" xfId="0" applyFill="1"/>
    <xf numFmtId="0" fontId="11" fillId="9" borderId="1" xfId="0" applyFont="1" applyFill="1" applyBorder="1"/>
    <xf numFmtId="0" fontId="11" fillId="9" borderId="2" xfId="0" applyFont="1" applyFill="1" applyBorder="1"/>
    <xf numFmtId="172" fontId="13" fillId="9" borderId="4" xfId="0" applyNumberFormat="1" applyFont="1" applyFill="1" applyBorder="1"/>
    <xf numFmtId="166" fontId="11" fillId="7" borderId="5" xfId="1" applyNumberFormat="1" applyFont="1" applyFill="1" applyBorder="1" applyProtection="1"/>
    <xf numFmtId="166" fontId="11" fillId="9" borderId="5" xfId="1" applyNumberFormat="1" applyFont="1" applyFill="1" applyBorder="1" applyProtection="1"/>
    <xf numFmtId="0" fontId="11" fillId="9" borderId="4" xfId="0" applyFont="1" applyFill="1" applyBorder="1"/>
    <xf numFmtId="166" fontId="11" fillId="7" borderId="7" xfId="1" applyNumberFormat="1" applyFont="1" applyFill="1" applyBorder="1" applyProtection="1"/>
    <xf numFmtId="0" fontId="11" fillId="9" borderId="8" xfId="0" applyFont="1" applyFill="1" applyBorder="1"/>
  </cellXfs>
  <cellStyles count="9">
    <cellStyle name="Comma" xfId="1" builtinId="3"/>
    <cellStyle name="Comma 2" xfId="4" xr:uid="{00000000-0005-0000-0000-000006000000}"/>
    <cellStyle name="Hyperlink" xfId="3" builtinId="8"/>
    <cellStyle name="Millares 10" xfId="5" xr:uid="{00000000-0005-0000-0000-000007000000}"/>
    <cellStyle name="Millares 11" xfId="6" xr:uid="{00000000-0005-0000-0000-000008000000}"/>
    <cellStyle name="Normal" xfId="0" builtinId="0"/>
    <cellStyle name="Normal 2 10" xfId="7" xr:uid="{00000000-0005-0000-0000-000009000000}"/>
    <cellStyle name="Normal 4" xfId="8" xr:uid="{00000000-0005-0000-0000-00000A000000}"/>
    <cellStyle name="Percent" xfId="2"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92D050"/>
      <rgbColor rgb="FF808080"/>
      <rgbColor rgb="FF9999FF"/>
      <rgbColor rgb="FF993366"/>
      <rgbColor rgb="FFE7E6E6"/>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81D41A"/>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lconet%20EFs%20combinado%20final%202019-2018%20v2.xlsx" TargetMode="External"/></Relationships>
</file>

<file path=xl/externalLinks/_rels/externalLink2.xml.rels><?xml version="1.0" encoding="UTF-8" standalone="yes"?>
<Relationships xmlns="http://schemas.openxmlformats.org/package/2006/relationships"><Relationship Id="rId2" Type="http://schemas.microsoft.com/office/2019/04/relationships/externalLinkLongPath" Target="home/stefita/Documentos/GitHub/consolidados/home/stefita/Documentos/GitHub/consolidados/home/stefita/Documentos/GitHub/consolidados/home/stefita/Documentos/GitHub/consolidados/home/stefita/Documentos/GitHub/consolidados/home/stefita/Documentos/GitHub/consolidados/Users/Carlos%20Almeida/Documents/CPAlmeida/CLIENTES/Telconet%202019/Consolidado%20Telconet%20&amp;%20subsidiarias%202019/Consolidado%20Telconet%20&amp;%20Subsidiarias%202019-2018.xlsx?8F9CE4A9" TargetMode="External"/><Relationship Id="rId1" Type="http://schemas.openxmlformats.org/officeDocument/2006/relationships/externalLinkPath" Target="file:///\\8F9CE4A9\Consolidado%20Telconet%20&amp;%20Subsidiarias%202019-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e"/>
      <sheetName val="BG "/>
      <sheetName val="ER"/>
      <sheetName val="EFE"/>
      <sheetName val="Hoja de trabajo"/>
      <sheetName val="PAT"/>
      <sheetName val="AD"/>
      <sheetName val="Impuesto diferido"/>
      <sheetName val="Ratios"/>
      <sheetName val="PP&amp;E"/>
      <sheetName val="Impto diferido"/>
    </sheetNames>
    <sheetDataSet>
      <sheetData sheetId="0"/>
      <sheetData sheetId="1"/>
      <sheetData sheetId="2">
        <row r="32">
          <cell r="J32">
            <v>13627931.449999988</v>
          </cell>
          <cell r="M32">
            <v>3639537</v>
          </cell>
          <cell r="S32">
            <v>1245089</v>
          </cell>
        </row>
        <row r="35">
          <cell r="M35">
            <v>-555396.5</v>
          </cell>
        </row>
      </sheetData>
      <sheetData sheetId="3"/>
      <sheetData sheetId="4">
        <row r="5">
          <cell r="B5">
            <v>7639576</v>
          </cell>
        </row>
      </sheetData>
      <sheetData sheetId="5"/>
      <sheetData sheetId="6">
        <row r="23">
          <cell r="J23">
            <v>5827272</v>
          </cell>
          <cell r="L23">
            <v>7144181</v>
          </cell>
        </row>
        <row r="41">
          <cell r="J41">
            <v>9726442</v>
          </cell>
          <cell r="L41">
            <v>8402210</v>
          </cell>
        </row>
      </sheetData>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F - ERI"/>
      <sheetName val="EF Informe"/>
      <sheetName val="PyG Informe"/>
      <sheetName val="Estado de Cambios en el Patr."/>
      <sheetName val="Diario 2015 (a)"/>
      <sheetName val="Diarios Cxc Cxp relac (c)"/>
      <sheetName val="Ventas-Compras (d)"/>
      <sheetName val="Asientos - para Consolidado"/>
      <sheetName val="PNC"/>
      <sheetName val="Hoja2"/>
      <sheetName val="Variación Patrimonio 2017-2016"/>
      <sheetName val="Variación Patrimonio 2018-2017"/>
      <sheetName val="Inversiones"/>
      <sheetName val="Participaciones"/>
      <sheetName val="Saldos interco."/>
      <sheetName val="Planilla final"/>
      <sheetName val="AD ESF"/>
      <sheetName val="AD ERI"/>
      <sheetName val="ESF19"/>
      <sheetName val="ERI19"/>
      <sheetName val="ECP19"/>
      <sheetName val="PAT19"/>
      <sheetName val="EFE19"/>
      <sheetName val="Planilla Final 2017"/>
      <sheetName val="Participaciones 201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row r="5">
          <cell r="R5">
            <v>1742562</v>
          </cell>
        </row>
        <row r="6">
          <cell r="R6">
            <v>2644455</v>
          </cell>
        </row>
        <row r="7">
          <cell r="R7">
            <v>102620</v>
          </cell>
        </row>
        <row r="8">
          <cell r="R8">
            <v>15563404</v>
          </cell>
        </row>
        <row r="9">
          <cell r="R9">
            <v>25074997</v>
          </cell>
        </row>
        <row r="10">
          <cell r="R10">
            <v>5538448</v>
          </cell>
        </row>
        <row r="11">
          <cell r="R11">
            <v>1124779</v>
          </cell>
        </row>
        <row r="12">
          <cell r="R12">
            <v>642184</v>
          </cell>
        </row>
        <row r="13">
          <cell r="R13">
            <v>14885027</v>
          </cell>
        </row>
        <row r="14">
          <cell r="R14">
            <v>3150764</v>
          </cell>
        </row>
        <row r="15">
          <cell r="R15">
            <v>3212434</v>
          </cell>
        </row>
        <row r="16">
          <cell r="R16">
            <v>112886401</v>
          </cell>
        </row>
        <row r="17">
          <cell r="R17">
            <v>661755</v>
          </cell>
        </row>
        <row r="18">
          <cell r="R18">
            <v>11276112</v>
          </cell>
        </row>
        <row r="19">
          <cell r="R19">
            <v>1422229</v>
          </cell>
        </row>
        <row r="20">
          <cell r="R20">
            <v>3318028</v>
          </cell>
        </row>
        <row r="21">
          <cell r="R21">
            <v>883849</v>
          </cell>
        </row>
        <row r="22">
          <cell r="R22">
            <v>3442838</v>
          </cell>
        </row>
        <row r="24">
          <cell r="R24">
            <v>260402</v>
          </cell>
        </row>
        <row r="25">
          <cell r="R25">
            <v>13413675</v>
          </cell>
        </row>
        <row r="26">
          <cell r="R26">
            <v>11459310</v>
          </cell>
        </row>
        <row r="27">
          <cell r="R27">
            <v>20436045</v>
          </cell>
        </row>
        <row r="28">
          <cell r="R28">
            <v>1913629</v>
          </cell>
        </row>
        <row r="29">
          <cell r="R29">
            <v>4274907</v>
          </cell>
        </row>
        <row r="30">
          <cell r="R30">
            <v>3688368</v>
          </cell>
        </row>
        <row r="31">
          <cell r="R31">
            <v>1953502</v>
          </cell>
        </row>
        <row r="32">
          <cell r="R32">
            <v>4559467</v>
          </cell>
        </row>
        <row r="33">
          <cell r="R33">
            <v>4183053</v>
          </cell>
        </row>
        <row r="34">
          <cell r="R34">
            <v>9674932</v>
          </cell>
        </row>
        <row r="35">
          <cell r="R35">
            <v>6710516</v>
          </cell>
        </row>
        <row r="36">
          <cell r="R36">
            <v>2203673</v>
          </cell>
        </row>
        <row r="37">
          <cell r="R37">
            <v>10628880</v>
          </cell>
        </row>
        <row r="38">
          <cell r="R38">
            <v>2315979</v>
          </cell>
        </row>
        <row r="39">
          <cell r="R39">
            <v>5185547</v>
          </cell>
        </row>
        <row r="40">
          <cell r="R40">
            <v>20813206</v>
          </cell>
        </row>
        <row r="41">
          <cell r="R41">
            <v>3572443</v>
          </cell>
        </row>
        <row r="51">
          <cell r="R51">
            <v>80325352</v>
          </cell>
        </row>
      </sheetData>
      <sheetData sheetId="2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C8"/>
  <sheetViews>
    <sheetView zoomScaleNormal="100" workbookViewId="0">
      <selection activeCell="C13" sqref="C13"/>
    </sheetView>
  </sheetViews>
  <sheetFormatPr defaultColWidth="9.28515625" defaultRowHeight="15" x14ac:dyDescent="0.25"/>
  <cols>
    <col min="2" max="2" width="2.5703125" customWidth="1"/>
    <col min="3" max="3" width="59" customWidth="1"/>
  </cols>
  <sheetData>
    <row r="3" spans="2:3" x14ac:dyDescent="0.25">
      <c r="B3" t="s">
        <v>0</v>
      </c>
      <c r="C3" s="1" t="s">
        <v>1</v>
      </c>
    </row>
    <row r="4" spans="2:3" x14ac:dyDescent="0.25">
      <c r="B4" t="s">
        <v>2</v>
      </c>
      <c r="C4" s="1" t="s">
        <v>3</v>
      </c>
    </row>
    <row r="5" spans="2:3" x14ac:dyDescent="0.25">
      <c r="B5" t="s">
        <v>4</v>
      </c>
      <c r="C5" s="1" t="s">
        <v>5</v>
      </c>
    </row>
    <row r="6" spans="2:3" x14ac:dyDescent="0.25">
      <c r="B6" t="s">
        <v>6</v>
      </c>
      <c r="C6" s="1" t="s">
        <v>7</v>
      </c>
    </row>
    <row r="7" spans="2:3" x14ac:dyDescent="0.25">
      <c r="B7" t="s">
        <v>8</v>
      </c>
      <c r="C7" s="1" t="s">
        <v>9</v>
      </c>
    </row>
    <row r="8" spans="2:3" x14ac:dyDescent="0.25">
      <c r="B8" t="s">
        <v>10</v>
      </c>
      <c r="C8" s="1" t="s">
        <v>11</v>
      </c>
    </row>
  </sheetData>
  <hyperlinks>
    <hyperlink ref="C3" location="'BG '!A1" display="ESTADOS DE SITUACION FINANCIERA COMBINADOS" xr:uid="{00000000-0004-0000-0000-000000000000}"/>
    <hyperlink ref="C4" location="ER!A1" display="ESTADOS DE RESULTADOS COMBINADOS" xr:uid="{00000000-0004-0000-0000-000001000000}"/>
    <hyperlink ref="C5" location="FE!A1" display="FLUJOS DE EFECTIVO COMBINADOS" xr:uid="{00000000-0004-0000-0000-000002000000}"/>
    <hyperlink ref="C6" location="PAT!A1" display="MOVIMIENTO DEL PATRIMONIO DE ACCIONISTAS COMIBINADOS" xr:uid="{00000000-0004-0000-0000-000003000000}"/>
    <hyperlink ref="C7" location="AD!A1" display="ASIENTOS CONTABLES DE COMBINACION" xr:uid="{00000000-0004-0000-0000-000004000000}"/>
    <hyperlink ref="C8" location="Ratios!A1" display="RATIOS FINANCIEROS" xr:uid="{00000000-0004-0000-0000-000005000000}"/>
  </hyperlink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O32"/>
  <sheetViews>
    <sheetView topLeftCell="A4" zoomScaleNormal="100" workbookViewId="0">
      <selection activeCell="D20" sqref="D20"/>
    </sheetView>
  </sheetViews>
  <sheetFormatPr defaultColWidth="11.5703125" defaultRowHeight="15" x14ac:dyDescent="0.25"/>
  <cols>
    <col min="3" max="3" width="11.5703125" customWidth="1"/>
    <col min="7" max="7" width="12.7109375" customWidth="1"/>
    <col min="8" max="8" width="12.5703125" customWidth="1"/>
    <col min="9" max="9" width="12.7109375" customWidth="1"/>
    <col min="10" max="10" width="12.5703125" customWidth="1"/>
  </cols>
  <sheetData>
    <row r="2" spans="2:10" x14ac:dyDescent="0.25">
      <c r="B2" t="s">
        <v>403</v>
      </c>
    </row>
    <row r="4" spans="2:10" x14ac:dyDescent="0.25">
      <c r="C4" s="325" t="s">
        <v>404</v>
      </c>
      <c r="D4" s="325"/>
      <c r="E4" s="325"/>
      <c r="F4" s="220" t="s">
        <v>405</v>
      </c>
      <c r="H4" t="s">
        <v>406</v>
      </c>
    </row>
    <row r="5" spans="2:10" x14ac:dyDescent="0.25">
      <c r="C5">
        <v>2016</v>
      </c>
      <c r="D5">
        <v>2015</v>
      </c>
      <c r="E5">
        <v>2014</v>
      </c>
      <c r="F5" s="220">
        <v>0.33329999999999999</v>
      </c>
      <c r="G5" t="s">
        <v>407</v>
      </c>
      <c r="H5" t="s">
        <v>408</v>
      </c>
      <c r="I5" t="s">
        <v>409</v>
      </c>
      <c r="J5" s="220" t="s">
        <v>348</v>
      </c>
    </row>
    <row r="6" spans="2:10" x14ac:dyDescent="0.25">
      <c r="B6" t="s">
        <v>410</v>
      </c>
      <c r="C6" s="2"/>
      <c r="D6" s="2"/>
      <c r="E6" s="2"/>
      <c r="G6">
        <f t="shared" ref="G6:G17" si="0">+O21</f>
        <v>0</v>
      </c>
    </row>
    <row r="7" spans="2:10" x14ac:dyDescent="0.25">
      <c r="B7" t="s">
        <v>411</v>
      </c>
      <c r="C7" s="2"/>
      <c r="D7" s="2"/>
      <c r="E7" s="2"/>
      <c r="G7">
        <f t="shared" si="0"/>
        <v>0</v>
      </c>
    </row>
    <row r="8" spans="2:10" x14ac:dyDescent="0.25">
      <c r="B8" t="s">
        <v>412</v>
      </c>
      <c r="C8" s="2"/>
      <c r="D8" s="2"/>
      <c r="E8" s="2"/>
      <c r="G8">
        <f t="shared" si="0"/>
        <v>0</v>
      </c>
    </row>
    <row r="9" spans="2:10" x14ac:dyDescent="0.25">
      <c r="B9" t="s">
        <v>413</v>
      </c>
      <c r="C9" s="2"/>
      <c r="D9" s="2"/>
      <c r="E9" s="2"/>
      <c r="G9">
        <f t="shared" si="0"/>
        <v>0</v>
      </c>
    </row>
    <row r="10" spans="2:10" x14ac:dyDescent="0.25">
      <c r="B10" t="s">
        <v>414</v>
      </c>
      <c r="C10" s="2"/>
      <c r="D10" s="2"/>
      <c r="E10" s="2"/>
      <c r="G10">
        <f t="shared" si="0"/>
        <v>0</v>
      </c>
    </row>
    <row r="11" spans="2:10" x14ac:dyDescent="0.25">
      <c r="B11" t="s">
        <v>415</v>
      </c>
      <c r="C11" s="2"/>
      <c r="D11" s="2"/>
      <c r="E11" s="2"/>
      <c r="G11">
        <f t="shared" si="0"/>
        <v>0</v>
      </c>
    </row>
    <row r="12" spans="2:10" x14ac:dyDescent="0.25">
      <c r="B12" t="s">
        <v>416</v>
      </c>
      <c r="C12" s="2"/>
      <c r="D12" s="2"/>
      <c r="E12" s="2"/>
      <c r="G12">
        <f t="shared" si="0"/>
        <v>0</v>
      </c>
    </row>
    <row r="13" spans="2:10" x14ac:dyDescent="0.25">
      <c r="B13" t="s">
        <v>417</v>
      </c>
      <c r="C13" s="2"/>
      <c r="D13" s="2"/>
      <c r="E13" s="2"/>
      <c r="G13">
        <f t="shared" si="0"/>
        <v>0</v>
      </c>
    </row>
    <row r="14" spans="2:10" x14ac:dyDescent="0.25">
      <c r="B14" t="s">
        <v>418</v>
      </c>
      <c r="C14" s="2"/>
      <c r="D14" s="2"/>
      <c r="E14" s="2"/>
      <c r="G14">
        <f t="shared" si="0"/>
        <v>0</v>
      </c>
    </row>
    <row r="15" spans="2:10" x14ac:dyDescent="0.25">
      <c r="B15" t="s">
        <v>419</v>
      </c>
      <c r="C15" s="2"/>
      <c r="D15" s="2"/>
      <c r="E15" s="2"/>
      <c r="G15">
        <f t="shared" si="0"/>
        <v>0</v>
      </c>
    </row>
    <row r="16" spans="2:10" x14ac:dyDescent="0.25">
      <c r="B16" t="s">
        <v>420</v>
      </c>
      <c r="C16" s="2"/>
      <c r="D16" s="2"/>
      <c r="E16" s="2"/>
      <c r="G16">
        <f t="shared" si="0"/>
        <v>0</v>
      </c>
    </row>
    <row r="17" spans="2:15" x14ac:dyDescent="0.25">
      <c r="B17" t="s">
        <v>421</v>
      </c>
      <c r="C17" s="2"/>
      <c r="D17" s="2"/>
      <c r="E17" s="2"/>
      <c r="G17">
        <f t="shared" si="0"/>
        <v>0</v>
      </c>
    </row>
    <row r="18" spans="2:15" x14ac:dyDescent="0.25">
      <c r="B18" t="s">
        <v>310</v>
      </c>
      <c r="C18" s="2">
        <v>15846166</v>
      </c>
      <c r="D18" s="2">
        <v>5700370</v>
      </c>
      <c r="E18" s="2">
        <v>1475332</v>
      </c>
      <c r="G18" s="221">
        <f>3922517-2391661</f>
        <v>1530856</v>
      </c>
      <c r="H18" s="2">
        <f>+D18*F5</f>
        <v>1899933.321</v>
      </c>
      <c r="I18" s="2">
        <f>+E18*F5</f>
        <v>491728.1556</v>
      </c>
      <c r="J18" s="2">
        <f>SUM(G18:I18)</f>
        <v>3922517.4766000002</v>
      </c>
    </row>
    <row r="19" spans="2:15" x14ac:dyDescent="0.25">
      <c r="G19" s="32"/>
      <c r="J19" s="2"/>
    </row>
    <row r="20" spans="2:15" x14ac:dyDescent="0.25">
      <c r="C20" t="s">
        <v>410</v>
      </c>
      <c r="D20" t="s">
        <v>411</v>
      </c>
      <c r="E20" t="s">
        <v>412</v>
      </c>
      <c r="F20" t="s">
        <v>413</v>
      </c>
      <c r="G20" t="s">
        <v>414</v>
      </c>
      <c r="H20" t="s">
        <v>415</v>
      </c>
      <c r="I20" t="s">
        <v>416</v>
      </c>
      <c r="J20" t="s">
        <v>417</v>
      </c>
      <c r="K20" t="s">
        <v>418</v>
      </c>
      <c r="L20" t="s">
        <v>419</v>
      </c>
      <c r="M20" t="s">
        <v>420</v>
      </c>
      <c r="N20" t="s">
        <v>421</v>
      </c>
      <c r="O20" t="s">
        <v>310</v>
      </c>
    </row>
    <row r="21" spans="2:15" x14ac:dyDescent="0.25">
      <c r="B21" t="s">
        <v>410</v>
      </c>
      <c r="C21">
        <v>0</v>
      </c>
      <c r="D21">
        <f t="shared" ref="D21:N21" si="1">(+$C$6*$F$5)/12</f>
        <v>0</v>
      </c>
      <c r="E21">
        <f t="shared" si="1"/>
        <v>0</v>
      </c>
      <c r="F21">
        <f t="shared" si="1"/>
        <v>0</v>
      </c>
      <c r="G21">
        <f t="shared" si="1"/>
        <v>0</v>
      </c>
      <c r="H21">
        <f t="shared" si="1"/>
        <v>0</v>
      </c>
      <c r="I21">
        <f t="shared" si="1"/>
        <v>0</v>
      </c>
      <c r="J21">
        <f t="shared" si="1"/>
        <v>0</v>
      </c>
      <c r="K21">
        <f t="shared" si="1"/>
        <v>0</v>
      </c>
      <c r="L21">
        <f t="shared" si="1"/>
        <v>0</v>
      </c>
      <c r="M21">
        <f t="shared" si="1"/>
        <v>0</v>
      </c>
      <c r="N21">
        <f t="shared" si="1"/>
        <v>0</v>
      </c>
      <c r="O21">
        <f>SUM(C21:N21)</f>
        <v>0</v>
      </c>
    </row>
    <row r="22" spans="2:15" x14ac:dyDescent="0.25">
      <c r="B22" t="s">
        <v>411</v>
      </c>
    </row>
    <row r="23" spans="2:15" x14ac:dyDescent="0.25">
      <c r="B23" t="s">
        <v>412</v>
      </c>
    </row>
    <row r="24" spans="2:15" x14ac:dyDescent="0.25">
      <c r="B24" t="s">
        <v>413</v>
      </c>
    </row>
    <row r="25" spans="2:15" x14ac:dyDescent="0.25">
      <c r="B25" t="s">
        <v>414</v>
      </c>
    </row>
    <row r="26" spans="2:15" x14ac:dyDescent="0.25">
      <c r="B26" t="s">
        <v>415</v>
      </c>
    </row>
    <row r="27" spans="2:15" x14ac:dyDescent="0.25">
      <c r="B27" t="s">
        <v>416</v>
      </c>
    </row>
    <row r="28" spans="2:15" x14ac:dyDescent="0.25">
      <c r="B28" t="s">
        <v>417</v>
      </c>
    </row>
    <row r="29" spans="2:15" x14ac:dyDescent="0.25">
      <c r="B29" t="s">
        <v>418</v>
      </c>
    </row>
    <row r="30" spans="2:15" x14ac:dyDescent="0.25">
      <c r="B30" t="s">
        <v>419</v>
      </c>
    </row>
    <row r="31" spans="2:15" x14ac:dyDescent="0.25">
      <c r="B31" t="s">
        <v>420</v>
      </c>
    </row>
    <row r="32" spans="2:15" x14ac:dyDescent="0.25">
      <c r="B32" t="s">
        <v>421</v>
      </c>
    </row>
  </sheetData>
  <mergeCells count="1">
    <mergeCell ref="C4:E4"/>
  </mergeCells>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3:E5"/>
  <sheetViews>
    <sheetView zoomScaleNormal="100" workbookViewId="0">
      <selection activeCell="E9" sqref="E9"/>
    </sheetView>
  </sheetViews>
  <sheetFormatPr defaultColWidth="11.5703125" defaultRowHeight="15" x14ac:dyDescent="0.25"/>
  <cols>
    <col min="5" max="5" width="11.5703125" customWidth="1"/>
  </cols>
  <sheetData>
    <row r="3" spans="2:5" x14ac:dyDescent="0.25">
      <c r="B3" t="s">
        <v>422</v>
      </c>
      <c r="E3" s="2">
        <f>+'PP&amp;E'!E18</f>
        <v>1475332</v>
      </c>
    </row>
    <row r="4" spans="2:5" x14ac:dyDescent="0.25">
      <c r="B4" t="s">
        <v>423</v>
      </c>
      <c r="E4" s="2">
        <f>+'PP&amp;E'!D18</f>
        <v>5700370</v>
      </c>
    </row>
    <row r="5" spans="2:5" x14ac:dyDescent="0.25">
      <c r="B5" t="s">
        <v>424</v>
      </c>
      <c r="E5" s="2">
        <f>+'PP&amp;E'!C18</f>
        <v>15846166</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81"/>
  <sheetViews>
    <sheetView zoomScaleNormal="100" workbookViewId="0">
      <pane xSplit="3" ySplit="5" topLeftCell="G48" activePane="bottomRight" state="frozen"/>
      <selection pane="topRight" activeCell="F1" sqref="F1"/>
      <selection pane="bottomLeft" activeCell="A38" sqref="A38"/>
      <selection pane="bottomRight" activeCell="H61" sqref="H61"/>
    </sheetView>
  </sheetViews>
  <sheetFormatPr defaultColWidth="11.5703125" defaultRowHeight="15" x14ac:dyDescent="0.25"/>
  <cols>
    <col min="1" max="1" width="2.85546875" customWidth="1"/>
    <col min="3" max="3" width="30.5703125" customWidth="1"/>
    <col min="4" max="4" width="2.28515625" customWidth="1"/>
    <col min="5" max="5" width="12.5703125" customWidth="1"/>
    <col min="6" max="6" width="11.85546875" customWidth="1"/>
    <col min="7" max="7" width="12.5703125" customWidth="1"/>
    <col min="8" max="8" width="14.140625" customWidth="1"/>
    <col min="9" max="9" width="12.5703125" customWidth="1"/>
    <col min="10" max="10" width="1.42578125" customWidth="1"/>
    <col min="11" max="11" width="13.28515625" customWidth="1"/>
    <col min="12" max="12" width="12.140625" customWidth="1"/>
    <col min="13" max="13" width="12.85546875" customWidth="1"/>
    <col min="14" max="14" width="14" customWidth="1"/>
    <col min="15" max="15" width="13.42578125" customWidth="1"/>
    <col min="16" max="16" width="2.7109375" hidden="1" customWidth="1"/>
    <col min="17" max="19" width="12.28515625" style="2" hidden="1" customWidth="1"/>
    <col min="20" max="20" width="12.7109375" style="2" hidden="1" customWidth="1"/>
    <col min="21" max="21" width="12.28515625" style="2" hidden="1" customWidth="1"/>
    <col min="22" max="22" width="2.7109375" customWidth="1"/>
  </cols>
  <sheetData>
    <row r="1" spans="1:21" x14ac:dyDescent="0.25">
      <c r="A1" s="3" t="s">
        <v>12</v>
      </c>
    </row>
    <row r="2" spans="1:21" x14ac:dyDescent="0.25">
      <c r="A2" s="4" t="s">
        <v>1</v>
      </c>
    </row>
    <row r="3" spans="1:21" x14ac:dyDescent="0.25">
      <c r="A3" s="4" t="s">
        <v>13</v>
      </c>
      <c r="E3" s="5"/>
      <c r="F3" s="6"/>
      <c r="G3" s="7"/>
      <c r="H3" s="5"/>
      <c r="I3" s="6"/>
      <c r="K3" s="5"/>
      <c r="L3" s="6"/>
      <c r="M3" s="7"/>
      <c r="N3" s="5"/>
      <c r="O3" s="6"/>
      <c r="Q3" s="5"/>
      <c r="R3" s="6"/>
      <c r="S3" s="7"/>
      <c r="T3" s="5"/>
      <c r="U3" s="6"/>
    </row>
    <row r="4" spans="1:21" x14ac:dyDescent="0.25">
      <c r="A4" s="8" t="s">
        <v>14</v>
      </c>
      <c r="E4" s="9"/>
      <c r="F4" s="10"/>
      <c r="G4" s="2"/>
      <c r="H4" s="11" t="s">
        <v>15</v>
      </c>
      <c r="I4" s="12">
        <v>2020</v>
      </c>
      <c r="K4" s="9"/>
      <c r="L4" s="10"/>
      <c r="M4" s="2"/>
      <c r="N4" s="11" t="s">
        <v>15</v>
      </c>
      <c r="O4" s="12">
        <v>2019</v>
      </c>
      <c r="Q4" s="9"/>
      <c r="R4" s="10"/>
      <c r="T4" s="11" t="s">
        <v>15</v>
      </c>
      <c r="U4" s="12">
        <v>2017</v>
      </c>
    </row>
    <row r="5" spans="1:21" x14ac:dyDescent="0.25">
      <c r="E5" s="13" t="s">
        <v>16</v>
      </c>
      <c r="F5" s="14" t="s">
        <v>17</v>
      </c>
      <c r="G5" s="15" t="s">
        <v>18</v>
      </c>
      <c r="H5" s="16" t="s">
        <v>19</v>
      </c>
      <c r="I5" s="14" t="s">
        <v>20</v>
      </c>
      <c r="K5" s="13" t="s">
        <v>16</v>
      </c>
      <c r="L5" s="14" t="s">
        <v>17</v>
      </c>
      <c r="M5" s="15" t="s">
        <v>18</v>
      </c>
      <c r="N5" s="16" t="s">
        <v>19</v>
      </c>
      <c r="O5" s="14" t="s">
        <v>20</v>
      </c>
      <c r="Q5" s="13" t="s">
        <v>16</v>
      </c>
      <c r="R5" s="14" t="s">
        <v>17</v>
      </c>
      <c r="S5" s="15" t="s">
        <v>18</v>
      </c>
      <c r="T5" s="16" t="s">
        <v>19</v>
      </c>
      <c r="U5" s="14" t="s">
        <v>20</v>
      </c>
    </row>
    <row r="6" spans="1:21" x14ac:dyDescent="0.25">
      <c r="C6" t="s">
        <v>21</v>
      </c>
      <c r="E6" s="17"/>
      <c r="F6" s="17"/>
      <c r="G6" s="17"/>
      <c r="H6" s="17"/>
      <c r="I6" s="17"/>
      <c r="K6" s="17"/>
      <c r="L6" s="17"/>
      <c r="M6" s="17"/>
      <c r="N6" s="17"/>
      <c r="O6" s="17"/>
      <c r="Q6" s="9"/>
      <c r="R6" s="6"/>
      <c r="T6" s="9"/>
      <c r="U6" s="10"/>
    </row>
    <row r="7" spans="1:21" x14ac:dyDescent="0.25">
      <c r="A7" s="4" t="s">
        <v>22</v>
      </c>
      <c r="E7" s="9"/>
      <c r="F7" s="18"/>
      <c r="G7" s="18"/>
      <c r="H7" s="18"/>
      <c r="I7" s="18"/>
      <c r="K7" s="9"/>
      <c r="L7" s="18"/>
      <c r="M7" s="18"/>
      <c r="N7" s="18"/>
      <c r="O7" s="18"/>
      <c r="Q7" s="9"/>
      <c r="R7" s="10"/>
      <c r="T7" s="9"/>
      <c r="U7" s="10"/>
    </row>
    <row r="8" spans="1:21" x14ac:dyDescent="0.25">
      <c r="B8" t="s">
        <v>23</v>
      </c>
      <c r="E8" s="9">
        <v>19454167</v>
      </c>
      <c r="F8" s="9">
        <v>3657400</v>
      </c>
      <c r="G8" s="10">
        <f>+E8+F8</f>
        <v>23111567</v>
      </c>
      <c r="H8" s="18"/>
      <c r="I8" s="10">
        <f t="shared" ref="I8:I18" si="0">+G8+H8</f>
        <v>23111567</v>
      </c>
      <c r="K8" s="9">
        <v>5683172</v>
      </c>
      <c r="L8" s="9">
        <v>1956404</v>
      </c>
      <c r="M8" s="10">
        <f>+K8+L8</f>
        <v>7639576</v>
      </c>
      <c r="N8" s="18"/>
      <c r="O8" s="10">
        <f t="shared" ref="O8:O17" si="1">+M8+N8</f>
        <v>7639576</v>
      </c>
      <c r="Q8" s="9">
        <v>1607132</v>
      </c>
      <c r="R8" s="10">
        <v>585324</v>
      </c>
      <c r="S8" s="2">
        <f t="shared" ref="S8:S17" si="2">Q8+R8</f>
        <v>2192456</v>
      </c>
      <c r="T8" s="9"/>
      <c r="U8" s="10">
        <f>+S8+T8</f>
        <v>2192456</v>
      </c>
    </row>
    <row r="9" spans="1:21" x14ac:dyDescent="0.25">
      <c r="B9" t="s">
        <v>24</v>
      </c>
      <c r="E9" s="9">
        <v>3119911</v>
      </c>
      <c r="F9" s="9">
        <v>0</v>
      </c>
      <c r="G9" s="10">
        <f>+E9+F9</f>
        <v>3119911</v>
      </c>
      <c r="H9" s="18"/>
      <c r="I9" s="10">
        <f t="shared" si="0"/>
        <v>3119911</v>
      </c>
      <c r="K9" s="9">
        <v>11919</v>
      </c>
      <c r="L9" s="9"/>
      <c r="M9" s="10">
        <f>+K9+L9</f>
        <v>11919</v>
      </c>
      <c r="N9" s="18"/>
      <c r="O9" s="10">
        <f t="shared" si="1"/>
        <v>11919</v>
      </c>
      <c r="Q9" s="9">
        <v>102620</v>
      </c>
      <c r="R9" s="18"/>
      <c r="S9" s="2">
        <f t="shared" si="2"/>
        <v>102620</v>
      </c>
      <c r="T9" s="9"/>
      <c r="U9" s="10">
        <f>+S9+T9</f>
        <v>102620</v>
      </c>
    </row>
    <row r="10" spans="1:21" x14ac:dyDescent="0.25">
      <c r="B10" t="s">
        <v>25</v>
      </c>
      <c r="E10" s="9">
        <v>0</v>
      </c>
      <c r="F10" s="9">
        <v>0</v>
      </c>
      <c r="G10" s="10">
        <f>+E10+F10</f>
        <v>0</v>
      </c>
      <c r="H10" s="18"/>
      <c r="I10" s="10">
        <f t="shared" si="0"/>
        <v>0</v>
      </c>
      <c r="K10" s="9">
        <v>3358789</v>
      </c>
      <c r="L10" s="9"/>
      <c r="M10" s="10">
        <f>+K10+L10</f>
        <v>3358789</v>
      </c>
      <c r="N10" s="18"/>
      <c r="O10" s="10">
        <f t="shared" si="1"/>
        <v>3358789</v>
      </c>
      <c r="Q10" s="9">
        <v>2644455</v>
      </c>
      <c r="R10" s="18"/>
      <c r="S10" s="2">
        <f t="shared" si="2"/>
        <v>2644455</v>
      </c>
      <c r="T10" s="9"/>
      <c r="U10" s="10">
        <f>+S10+T10</f>
        <v>2644455</v>
      </c>
    </row>
    <row r="11" spans="1:21" x14ac:dyDescent="0.25">
      <c r="B11" t="s">
        <v>26</v>
      </c>
      <c r="E11" s="9"/>
      <c r="F11" s="9"/>
      <c r="G11" s="10"/>
      <c r="H11" s="18"/>
      <c r="I11" s="10">
        <f t="shared" si="0"/>
        <v>0</v>
      </c>
      <c r="K11" s="9"/>
      <c r="L11" s="9"/>
      <c r="M11" s="10"/>
      <c r="N11" s="18"/>
      <c r="O11" s="10">
        <f t="shared" si="1"/>
        <v>0</v>
      </c>
      <c r="Q11" s="9"/>
      <c r="R11" s="18"/>
      <c r="S11" s="2">
        <f t="shared" si="2"/>
        <v>0</v>
      </c>
      <c r="T11" s="9"/>
      <c r="U11" s="10"/>
    </row>
    <row r="12" spans="1:21" x14ac:dyDescent="0.25">
      <c r="B12" t="s">
        <v>27</v>
      </c>
      <c r="E12" s="9">
        <v>7980392</v>
      </c>
      <c r="F12" s="9">
        <v>7765139</v>
      </c>
      <c r="G12" s="10">
        <f t="shared" ref="G12:G18" si="3">+E12+F12</f>
        <v>15745531</v>
      </c>
      <c r="H12" s="18"/>
      <c r="I12" s="10">
        <f t="shared" si="0"/>
        <v>15745531</v>
      </c>
      <c r="K12" s="9">
        <v>10095277</v>
      </c>
      <c r="L12" s="9">
        <v>2517669</v>
      </c>
      <c r="M12" s="10">
        <f t="shared" ref="M12:M17" si="4">+K12+L12</f>
        <v>12612946</v>
      </c>
      <c r="N12" s="18"/>
      <c r="O12" s="10">
        <f t="shared" si="1"/>
        <v>12612946</v>
      </c>
      <c r="Q12" s="9">
        <v>10565005</v>
      </c>
      <c r="R12" s="10">
        <v>1247603</v>
      </c>
      <c r="S12" s="2">
        <f t="shared" si="2"/>
        <v>11812608</v>
      </c>
      <c r="T12" s="9"/>
      <c r="U12" s="10">
        <f t="shared" ref="U12:U17" si="5">+S12+T12</f>
        <v>11812608</v>
      </c>
    </row>
    <row r="13" spans="1:21" x14ac:dyDescent="0.25">
      <c r="B13" t="s">
        <v>28</v>
      </c>
      <c r="E13" s="9">
        <v>39178212</v>
      </c>
      <c r="F13" s="9">
        <v>28737194</v>
      </c>
      <c r="G13" s="10">
        <f t="shared" si="3"/>
        <v>67915406</v>
      </c>
      <c r="H13" s="10">
        <f>-AD!H18-AD!H33</f>
        <v>-58623434</v>
      </c>
      <c r="I13" s="10">
        <f t="shared" si="0"/>
        <v>9291972</v>
      </c>
      <c r="K13" s="9">
        <v>41013343</v>
      </c>
      <c r="L13" s="9">
        <v>19912295</v>
      </c>
      <c r="M13" s="10">
        <f t="shared" si="4"/>
        <v>60925638</v>
      </c>
      <c r="N13" s="10">
        <v>-34305534</v>
      </c>
      <c r="O13" s="10">
        <f t="shared" si="1"/>
        <v>26620104</v>
      </c>
      <c r="Q13" s="9">
        <v>32908556</v>
      </c>
      <c r="R13" s="10">
        <v>5055818</v>
      </c>
      <c r="S13" s="2">
        <f t="shared" si="2"/>
        <v>37964374</v>
      </c>
      <c r="T13" s="9">
        <f>-AD!N18-AD!N33</f>
        <v>-10306018</v>
      </c>
      <c r="U13" s="10">
        <f t="shared" si="5"/>
        <v>27658356</v>
      </c>
    </row>
    <row r="14" spans="1:21" x14ac:dyDescent="0.25">
      <c r="B14" t="s">
        <v>29</v>
      </c>
      <c r="E14" s="9">
        <v>16944276</v>
      </c>
      <c r="F14" s="9">
        <v>224008</v>
      </c>
      <c r="G14" s="10">
        <f t="shared" si="3"/>
        <v>17168284</v>
      </c>
      <c r="H14" s="18"/>
      <c r="I14" s="10">
        <f t="shared" si="0"/>
        <v>17168284</v>
      </c>
      <c r="K14" s="9">
        <v>16875125</v>
      </c>
      <c r="L14" s="9">
        <v>1181923</v>
      </c>
      <c r="M14" s="10">
        <f t="shared" si="4"/>
        <v>18057048</v>
      </c>
      <c r="N14" s="18"/>
      <c r="O14" s="10">
        <f t="shared" si="1"/>
        <v>18057048</v>
      </c>
      <c r="Q14" s="9">
        <v>5481731</v>
      </c>
      <c r="R14" s="10">
        <v>156705</v>
      </c>
      <c r="S14" s="2">
        <f t="shared" si="2"/>
        <v>5638436</v>
      </c>
      <c r="T14" s="9"/>
      <c r="U14" s="10">
        <f t="shared" si="5"/>
        <v>5638436</v>
      </c>
    </row>
    <row r="15" spans="1:21" x14ac:dyDescent="0.25">
      <c r="B15" t="s">
        <v>30</v>
      </c>
      <c r="E15" s="9">
        <v>4638</v>
      </c>
      <c r="F15" s="9">
        <v>1698179</v>
      </c>
      <c r="G15" s="10">
        <f t="shared" si="3"/>
        <v>1702817</v>
      </c>
      <c r="H15" s="18"/>
      <c r="I15" s="10">
        <f t="shared" si="0"/>
        <v>1702817</v>
      </c>
      <c r="K15" s="9">
        <v>4638</v>
      </c>
      <c r="L15" s="9">
        <v>1969204</v>
      </c>
      <c r="M15" s="10">
        <f t="shared" si="4"/>
        <v>1973842</v>
      </c>
      <c r="N15" s="18"/>
      <c r="O15" s="10">
        <f t="shared" si="1"/>
        <v>1973842</v>
      </c>
      <c r="Q15" s="9">
        <v>480186</v>
      </c>
      <c r="R15" s="10">
        <v>1484699</v>
      </c>
      <c r="S15" s="2">
        <f t="shared" si="2"/>
        <v>1964885</v>
      </c>
      <c r="T15" s="9"/>
      <c r="U15" s="10">
        <f t="shared" si="5"/>
        <v>1964885</v>
      </c>
    </row>
    <row r="16" spans="1:21" x14ac:dyDescent="0.25">
      <c r="B16" t="s">
        <v>31</v>
      </c>
      <c r="E16" s="9">
        <v>2538695</v>
      </c>
      <c r="F16" s="9">
        <v>4492933</v>
      </c>
      <c r="G16" s="10">
        <f t="shared" si="3"/>
        <v>7031628</v>
      </c>
      <c r="H16" s="18"/>
      <c r="I16" s="10">
        <f t="shared" si="0"/>
        <v>7031628</v>
      </c>
      <c r="K16" s="9">
        <v>747264</v>
      </c>
      <c r="L16" s="9"/>
      <c r="M16" s="10">
        <f t="shared" si="4"/>
        <v>747264</v>
      </c>
      <c r="N16" s="18"/>
      <c r="O16" s="10">
        <f t="shared" si="1"/>
        <v>747264</v>
      </c>
      <c r="Q16" s="9">
        <v>625964</v>
      </c>
      <c r="R16" s="18"/>
      <c r="S16" s="2">
        <f t="shared" si="2"/>
        <v>625964</v>
      </c>
      <c r="T16" s="9">
        <f>-AD!P49-AD!P25</f>
        <v>0</v>
      </c>
      <c r="U16" s="10">
        <f t="shared" si="5"/>
        <v>625964</v>
      </c>
    </row>
    <row r="17" spans="1:21" x14ac:dyDescent="0.25">
      <c r="B17" t="s">
        <v>32</v>
      </c>
      <c r="E17" s="9">
        <v>28373114</v>
      </c>
      <c r="F17" s="9">
        <v>0</v>
      </c>
      <c r="G17" s="10">
        <f t="shared" si="3"/>
        <v>28373114</v>
      </c>
      <c r="H17" s="18"/>
      <c r="I17" s="10">
        <f t="shared" si="0"/>
        <v>28373114</v>
      </c>
      <c r="K17" s="9">
        <v>28594642</v>
      </c>
      <c r="L17" s="9"/>
      <c r="M17" s="10">
        <f t="shared" si="4"/>
        <v>28594642</v>
      </c>
      <c r="N17" s="18"/>
      <c r="O17" s="10">
        <f t="shared" si="1"/>
        <v>28594642</v>
      </c>
      <c r="Q17" s="9">
        <v>14883321</v>
      </c>
      <c r="R17" s="18"/>
      <c r="S17" s="2">
        <f t="shared" si="2"/>
        <v>14883321</v>
      </c>
      <c r="T17" s="9"/>
      <c r="U17" s="10">
        <f t="shared" si="5"/>
        <v>14883321</v>
      </c>
    </row>
    <row r="18" spans="1:21" x14ac:dyDescent="0.25">
      <c r="B18" t="s">
        <v>33</v>
      </c>
      <c r="E18" s="9">
        <v>413564</v>
      </c>
      <c r="F18" s="9">
        <v>0</v>
      </c>
      <c r="G18" s="10">
        <f t="shared" si="3"/>
        <v>413564</v>
      </c>
      <c r="H18" s="18"/>
      <c r="I18" s="10">
        <f t="shared" si="0"/>
        <v>413564</v>
      </c>
      <c r="K18" s="9"/>
      <c r="L18" s="9"/>
      <c r="M18" s="10"/>
      <c r="N18" s="18"/>
      <c r="O18" s="10"/>
      <c r="Q18" s="9"/>
      <c r="R18" s="18"/>
      <c r="T18" s="9"/>
      <c r="U18" s="10"/>
    </row>
    <row r="19" spans="1:21" x14ac:dyDescent="0.25">
      <c r="A19" s="4" t="s">
        <v>34</v>
      </c>
      <c r="E19" s="19">
        <f>SUM(E8:E18)</f>
        <v>118006969</v>
      </c>
      <c r="F19" s="19">
        <f>SUM(F8:F18)</f>
        <v>46574853</v>
      </c>
      <c r="G19" s="19">
        <f>SUM(G8:G18)</f>
        <v>164581822</v>
      </c>
      <c r="H19" s="19">
        <f>SUM(H8:H18)</f>
        <v>-58623434</v>
      </c>
      <c r="I19" s="19">
        <f>SUM(I8:I18)</f>
        <v>105958388</v>
      </c>
      <c r="K19" s="19">
        <f>SUM(K8:K18)</f>
        <v>106384169</v>
      </c>
      <c r="L19" s="19">
        <f>SUM(L8:L18)</f>
        <v>27537495</v>
      </c>
      <c r="M19" s="19">
        <f>SUM(M8:M18)</f>
        <v>133921664</v>
      </c>
      <c r="N19" s="19">
        <f>SUM(N8:N18)</f>
        <v>-34305534</v>
      </c>
      <c r="O19" s="19">
        <f>SUM(O8:O18)</f>
        <v>99616130</v>
      </c>
      <c r="Q19" s="19">
        <f>SUM(Q8:Q17)</f>
        <v>69298970</v>
      </c>
      <c r="R19" s="19">
        <f>SUM(R8:R17)</f>
        <v>8530149</v>
      </c>
      <c r="S19" s="19">
        <f>Q19+R19</f>
        <v>77829119</v>
      </c>
      <c r="T19" s="19">
        <f>SUM(T8:T17)</f>
        <v>-10306018</v>
      </c>
      <c r="U19" s="19">
        <f>SUM(U8:U17)</f>
        <v>67523101</v>
      </c>
    </row>
    <row r="20" spans="1:21" x14ac:dyDescent="0.25">
      <c r="E20" s="17"/>
      <c r="F20" s="20"/>
      <c r="G20" s="17"/>
      <c r="H20" s="17"/>
      <c r="I20" s="17"/>
      <c r="K20" s="17"/>
      <c r="L20" s="17"/>
      <c r="M20" s="17"/>
      <c r="N20" s="17"/>
      <c r="O20" s="17"/>
      <c r="Q20" s="9"/>
      <c r="R20" s="10"/>
      <c r="T20" s="9"/>
      <c r="U20" s="10"/>
    </row>
    <row r="21" spans="1:21" ht="27" hidden="1" customHeight="1" x14ac:dyDescent="0.25">
      <c r="A21" s="303" t="s">
        <v>35</v>
      </c>
      <c r="B21" s="303"/>
      <c r="C21" s="303"/>
      <c r="D21" s="21"/>
      <c r="E21" s="22"/>
      <c r="F21" s="22"/>
      <c r="G21" s="22"/>
      <c r="H21" s="22"/>
      <c r="I21" s="22"/>
      <c r="J21" s="21"/>
      <c r="K21" s="22"/>
      <c r="L21" s="22"/>
      <c r="M21" s="22"/>
      <c r="N21" s="22"/>
      <c r="O21" s="22"/>
      <c r="P21" s="21"/>
      <c r="Q21" s="23"/>
      <c r="R21" s="24"/>
      <c r="S21" s="25"/>
      <c r="T21" s="23"/>
      <c r="U21" s="24">
        <f>+S21+T21</f>
        <v>0</v>
      </c>
    </row>
    <row r="22" spans="1:21" hidden="1" x14ac:dyDescent="0.25">
      <c r="E22" s="17"/>
      <c r="F22" s="17"/>
      <c r="G22" s="17"/>
      <c r="H22" s="17"/>
      <c r="I22" s="17"/>
      <c r="K22" s="17"/>
      <c r="L22" s="17"/>
      <c r="M22" s="17"/>
      <c r="N22" s="17"/>
      <c r="O22" s="17"/>
      <c r="Q22" s="6"/>
      <c r="R22" s="26"/>
      <c r="S22" s="6"/>
      <c r="T22" s="26"/>
      <c r="U22" s="6"/>
    </row>
    <row r="23" spans="1:21" x14ac:dyDescent="0.25">
      <c r="A23" s="4" t="s">
        <v>36</v>
      </c>
      <c r="B23" s="4"/>
      <c r="E23" s="18"/>
      <c r="F23" s="18"/>
      <c r="G23" s="18"/>
      <c r="H23" s="18"/>
      <c r="I23" s="18"/>
      <c r="K23" s="18"/>
      <c r="L23" s="18"/>
      <c r="M23" s="18"/>
      <c r="N23" s="18"/>
      <c r="O23" s="18"/>
      <c r="Q23" s="10"/>
      <c r="R23" s="26"/>
      <c r="S23" s="10"/>
      <c r="T23" s="26"/>
      <c r="U23" s="10"/>
    </row>
    <row r="24" spans="1:21" x14ac:dyDescent="0.25">
      <c r="A24" s="4"/>
      <c r="B24" s="8" t="s">
        <v>37</v>
      </c>
      <c r="E24" s="9">
        <v>6718699</v>
      </c>
      <c r="F24" s="18"/>
      <c r="G24" s="10">
        <f t="shared" ref="G24:G33" si="6">+E24+F24</f>
        <v>6718699</v>
      </c>
      <c r="H24" s="18"/>
      <c r="I24" s="10">
        <f t="shared" ref="I24:I33" si="7">+G24+H24</f>
        <v>6718699</v>
      </c>
      <c r="K24" s="9">
        <v>2077739</v>
      </c>
      <c r="L24" s="18"/>
      <c r="M24" s="10">
        <f t="shared" ref="M24:M33" si="8">+K24+L24</f>
        <v>2077739</v>
      </c>
      <c r="N24" s="18"/>
      <c r="O24" s="10">
        <f t="shared" ref="O24:O33" si="9">+M24+N24</f>
        <v>2077739</v>
      </c>
      <c r="Q24" s="9">
        <v>40694</v>
      </c>
      <c r="R24" s="18"/>
      <c r="S24" s="10">
        <f t="shared" ref="S24:S33" si="10">Q24+R24</f>
        <v>40694</v>
      </c>
      <c r="U24" s="10">
        <f t="shared" ref="U24:U33" si="11">+S24+T24</f>
        <v>40694</v>
      </c>
    </row>
    <row r="25" spans="1:21" x14ac:dyDescent="0.25">
      <c r="B25" t="s">
        <v>38</v>
      </c>
      <c r="E25" s="9"/>
      <c r="F25" s="18"/>
      <c r="G25" s="10">
        <f t="shared" si="6"/>
        <v>0</v>
      </c>
      <c r="H25" s="18"/>
      <c r="I25" s="10">
        <f t="shared" si="7"/>
        <v>0</v>
      </c>
      <c r="K25" s="9">
        <v>360864</v>
      </c>
      <c r="L25" s="18"/>
      <c r="M25" s="10">
        <f t="shared" si="8"/>
        <v>360864</v>
      </c>
      <c r="N25" s="18"/>
      <c r="O25" s="10">
        <f t="shared" si="9"/>
        <v>360864</v>
      </c>
      <c r="Q25" s="9">
        <v>3212434</v>
      </c>
      <c r="R25" s="18"/>
      <c r="S25" s="10">
        <f t="shared" si="10"/>
        <v>3212434</v>
      </c>
      <c r="U25" s="10">
        <f t="shared" si="11"/>
        <v>3212434</v>
      </c>
    </row>
    <row r="26" spans="1:21" x14ac:dyDescent="0.25">
      <c r="B26" t="s">
        <v>39</v>
      </c>
      <c r="E26" s="9">
        <v>39139158</v>
      </c>
      <c r="F26" s="9">
        <v>32926159</v>
      </c>
      <c r="G26" s="10">
        <f t="shared" si="6"/>
        <v>72065317</v>
      </c>
      <c r="H26" s="10">
        <f>-AD!H23+AD!G37+AD!G44-AD!H50</f>
        <v>-7507510.9385480024</v>
      </c>
      <c r="I26" s="10">
        <f t="shared" si="7"/>
        <v>64557806.061452001</v>
      </c>
      <c r="K26" s="9">
        <v>43682484</v>
      </c>
      <c r="L26" s="9">
        <v>15927036</v>
      </c>
      <c r="M26" s="10">
        <f t="shared" si="8"/>
        <v>59609520</v>
      </c>
      <c r="N26" s="10">
        <v>-13217071</v>
      </c>
      <c r="O26" s="10">
        <f t="shared" si="9"/>
        <v>46392449</v>
      </c>
      <c r="Q26" s="9">
        <v>66573020</v>
      </c>
      <c r="R26" s="9">
        <v>17358621</v>
      </c>
      <c r="S26" s="10">
        <f t="shared" si="10"/>
        <v>83931641</v>
      </c>
      <c r="T26" s="2">
        <f>-AD!N23+AD!M37+AD!M45-AD!N50</f>
        <v>-18536381.523400001</v>
      </c>
      <c r="U26" s="10">
        <f t="shared" si="11"/>
        <v>65395259.476599999</v>
      </c>
    </row>
    <row r="27" spans="1:21" x14ac:dyDescent="0.25">
      <c r="B27" t="s">
        <v>40</v>
      </c>
      <c r="E27" s="9">
        <v>545591</v>
      </c>
      <c r="F27" s="9"/>
      <c r="G27" s="10">
        <f t="shared" si="6"/>
        <v>545591</v>
      </c>
      <c r="H27" s="18"/>
      <c r="I27" s="10">
        <f t="shared" si="7"/>
        <v>545591</v>
      </c>
      <c r="K27" s="9">
        <v>584801</v>
      </c>
      <c r="L27" s="9"/>
      <c r="M27" s="10">
        <f t="shared" si="8"/>
        <v>584801</v>
      </c>
      <c r="N27" s="18"/>
      <c r="O27" s="10">
        <f t="shared" si="9"/>
        <v>584801</v>
      </c>
      <c r="Q27" s="9">
        <v>661755</v>
      </c>
      <c r="R27" s="18"/>
      <c r="S27" s="10">
        <f t="shared" si="10"/>
        <v>661755</v>
      </c>
      <c r="U27" s="10">
        <f t="shared" si="11"/>
        <v>661755</v>
      </c>
    </row>
    <row r="28" spans="1:21" x14ac:dyDescent="0.25">
      <c r="B28" t="s">
        <v>41</v>
      </c>
      <c r="E28" s="9">
        <v>11046486</v>
      </c>
      <c r="F28" s="9">
        <v>417615</v>
      </c>
      <c r="G28" s="10">
        <f t="shared" si="6"/>
        <v>11464101</v>
      </c>
      <c r="H28" s="18"/>
      <c r="I28" s="10">
        <f t="shared" si="7"/>
        <v>11464101</v>
      </c>
      <c r="K28" s="9">
        <v>12779430</v>
      </c>
      <c r="L28" s="9">
        <v>1908158</v>
      </c>
      <c r="M28" s="10">
        <f t="shared" si="8"/>
        <v>14687588</v>
      </c>
      <c r="N28" s="18"/>
      <c r="O28" s="10">
        <f t="shared" si="9"/>
        <v>14687588</v>
      </c>
      <c r="Q28" s="9">
        <v>11586243</v>
      </c>
      <c r="R28" s="9">
        <v>241844</v>
      </c>
      <c r="S28" s="10">
        <f t="shared" si="10"/>
        <v>11828087</v>
      </c>
      <c r="U28" s="10">
        <f t="shared" si="11"/>
        <v>11828087</v>
      </c>
    </row>
    <row r="29" spans="1:21" x14ac:dyDescent="0.25">
      <c r="B29" t="s">
        <v>42</v>
      </c>
      <c r="E29" s="10">
        <v>3949574</v>
      </c>
      <c r="F29" s="18"/>
      <c r="G29" s="10">
        <f t="shared" si="6"/>
        <v>3949574</v>
      </c>
      <c r="H29" s="18"/>
      <c r="I29" s="10">
        <f t="shared" si="7"/>
        <v>3949574</v>
      </c>
      <c r="K29" s="18">
        <v>4147107</v>
      </c>
      <c r="L29" s="18"/>
      <c r="M29" s="10">
        <f t="shared" si="8"/>
        <v>4147107</v>
      </c>
      <c r="N29" s="18"/>
      <c r="O29" s="10">
        <f t="shared" si="9"/>
        <v>4147107</v>
      </c>
      <c r="Q29" s="18"/>
      <c r="R29" s="18"/>
      <c r="S29" s="10">
        <f t="shared" si="10"/>
        <v>0</v>
      </c>
      <c r="U29" s="10">
        <f t="shared" si="11"/>
        <v>0</v>
      </c>
    </row>
    <row r="30" spans="1:21" x14ac:dyDescent="0.25">
      <c r="B30" t="s">
        <v>43</v>
      </c>
      <c r="E30" s="9">
        <v>1429486</v>
      </c>
      <c r="F30" s="9">
        <v>1836716</v>
      </c>
      <c r="G30" s="10">
        <f t="shared" si="6"/>
        <v>3266202</v>
      </c>
      <c r="H30" s="18"/>
      <c r="I30" s="10">
        <f t="shared" si="7"/>
        <v>3266202</v>
      </c>
      <c r="K30" s="9">
        <v>1673584</v>
      </c>
      <c r="L30" s="9"/>
      <c r="M30" s="10">
        <f t="shared" si="8"/>
        <v>1673584</v>
      </c>
      <c r="N30" s="18"/>
      <c r="O30" s="10">
        <f t="shared" si="9"/>
        <v>1673584</v>
      </c>
      <c r="Q30" s="9">
        <v>1422229</v>
      </c>
      <c r="R30" s="18"/>
      <c r="S30" s="10">
        <f t="shared" si="10"/>
        <v>1422229</v>
      </c>
      <c r="U30" s="10">
        <f t="shared" si="11"/>
        <v>1422229</v>
      </c>
    </row>
    <row r="31" spans="1:21" x14ac:dyDescent="0.25">
      <c r="B31" t="s">
        <v>44</v>
      </c>
      <c r="E31" s="9">
        <v>42165207</v>
      </c>
      <c r="F31" s="9"/>
      <c r="G31" s="10">
        <f t="shared" si="6"/>
        <v>42165207</v>
      </c>
      <c r="H31" s="18"/>
      <c r="I31" s="10">
        <f t="shared" si="7"/>
        <v>42165207</v>
      </c>
      <c r="K31" s="9">
        <v>39016871</v>
      </c>
      <c r="L31" s="9"/>
      <c r="M31" s="10">
        <f t="shared" si="8"/>
        <v>39016871</v>
      </c>
      <c r="N31" s="18"/>
      <c r="O31" s="10">
        <f t="shared" si="9"/>
        <v>39016871</v>
      </c>
      <c r="Q31" s="9">
        <v>44513438</v>
      </c>
      <c r="R31" s="18"/>
      <c r="S31" s="10">
        <f t="shared" si="10"/>
        <v>44513438</v>
      </c>
      <c r="U31" s="10">
        <f t="shared" si="11"/>
        <v>44513438</v>
      </c>
    </row>
    <row r="32" spans="1:21" x14ac:dyDescent="0.25">
      <c r="B32" t="s">
        <v>45</v>
      </c>
      <c r="E32" s="10">
        <v>261500</v>
      </c>
      <c r="F32" s="10">
        <v>280196</v>
      </c>
      <c r="G32" s="10">
        <f t="shared" si="6"/>
        <v>541696</v>
      </c>
      <c r="H32" s="245">
        <f>+AD!G59+AD!G43</f>
        <v>4591727.1851480007</v>
      </c>
      <c r="I32" s="245">
        <f t="shared" si="7"/>
        <v>5133423.1851480007</v>
      </c>
      <c r="K32" s="10">
        <v>261500</v>
      </c>
      <c r="L32" s="10">
        <v>135662</v>
      </c>
      <c r="M32" s="10">
        <f t="shared" si="8"/>
        <v>397162</v>
      </c>
      <c r="N32" s="10">
        <v>3164337</v>
      </c>
      <c r="O32" s="10">
        <f t="shared" si="9"/>
        <v>3561499</v>
      </c>
      <c r="Q32" s="10">
        <v>0</v>
      </c>
      <c r="R32" s="18"/>
      <c r="S32" s="10">
        <f t="shared" si="10"/>
        <v>0</v>
      </c>
      <c r="T32" s="2">
        <f>+AD!M43+AD!M59</f>
        <v>4078003.9351480003</v>
      </c>
      <c r="U32" s="10">
        <f t="shared" si="11"/>
        <v>4078003.9351480003</v>
      </c>
    </row>
    <row r="33" spans="1:21" x14ac:dyDescent="0.25">
      <c r="B33" t="s">
        <v>46</v>
      </c>
      <c r="E33" s="9">
        <v>292069</v>
      </c>
      <c r="F33" s="9">
        <v>62029</v>
      </c>
      <c r="G33" s="10">
        <f t="shared" si="6"/>
        <v>354098</v>
      </c>
      <c r="H33" s="27"/>
      <c r="I33" s="10">
        <f t="shared" si="7"/>
        <v>354098</v>
      </c>
      <c r="K33" s="9">
        <v>1500</v>
      </c>
      <c r="L33" s="9">
        <v>59027</v>
      </c>
      <c r="M33" s="10">
        <f t="shared" si="8"/>
        <v>60527</v>
      </c>
      <c r="N33" s="27"/>
      <c r="O33" s="10">
        <f t="shared" si="9"/>
        <v>60527</v>
      </c>
      <c r="Q33" s="9">
        <v>105894</v>
      </c>
      <c r="R33" s="9">
        <v>35121</v>
      </c>
      <c r="S33" s="10">
        <f t="shared" si="10"/>
        <v>141015</v>
      </c>
      <c r="U33" s="10">
        <f t="shared" si="11"/>
        <v>141015</v>
      </c>
    </row>
    <row r="34" spans="1:21" x14ac:dyDescent="0.25">
      <c r="A34" s="4" t="s">
        <v>47</v>
      </c>
      <c r="E34" s="19">
        <f>SUM(E24:E33)</f>
        <v>105547770</v>
      </c>
      <c r="F34" s="19">
        <f>SUM(F24:F33)</f>
        <v>35522715</v>
      </c>
      <c r="G34" s="19">
        <f>SUM(G24:G33)</f>
        <v>141070485</v>
      </c>
      <c r="H34" s="19">
        <f>SUM(H24:H33)</f>
        <v>-2915783.7534000017</v>
      </c>
      <c r="I34" s="19">
        <f>SUM(I24:I33)</f>
        <v>138154701.2466</v>
      </c>
      <c r="K34" s="19">
        <f>SUM(K24:K33)</f>
        <v>104585880</v>
      </c>
      <c r="L34" s="19">
        <f>SUM(L24:L33)</f>
        <v>18029883</v>
      </c>
      <c r="M34" s="19">
        <f>SUM(M24:M33)</f>
        <v>122615763</v>
      </c>
      <c r="N34" s="19">
        <f>SUM(N24:N33)</f>
        <v>-10052734</v>
      </c>
      <c r="O34" s="19">
        <f>SUM(O24:O33)</f>
        <v>112563029</v>
      </c>
      <c r="Q34" s="19">
        <f>SUM(Q24:Q33)</f>
        <v>128115707</v>
      </c>
      <c r="R34" s="19">
        <f>SUM(R24:R33)</f>
        <v>17635586</v>
      </c>
      <c r="S34" s="19">
        <f>SUM(S24:S33)</f>
        <v>145751293</v>
      </c>
      <c r="T34" s="19">
        <f>SUM(T24:T33)</f>
        <v>-14458377.588252001</v>
      </c>
      <c r="U34" s="19">
        <f>SUM(U24:U33)</f>
        <v>131292915.41174799</v>
      </c>
    </row>
    <row r="35" spans="1:21" x14ac:dyDescent="0.25">
      <c r="A35" s="4" t="s">
        <v>48</v>
      </c>
      <c r="E35" s="19">
        <f>E34+E19</f>
        <v>223554739</v>
      </c>
      <c r="F35" s="19">
        <f>F34+F19</f>
        <v>82097568</v>
      </c>
      <c r="G35" s="19">
        <f>G34+G19</f>
        <v>305652307</v>
      </c>
      <c r="H35" s="19">
        <f>H34+H19</f>
        <v>-61539217.753399998</v>
      </c>
      <c r="I35" s="19">
        <f>I34+I19</f>
        <v>244113089.2466</v>
      </c>
      <c r="K35" s="19">
        <f>K34+K19</f>
        <v>210970049</v>
      </c>
      <c r="L35" s="19">
        <f>L34+L19</f>
        <v>45567378</v>
      </c>
      <c r="M35" s="19">
        <f>M34+M19</f>
        <v>256537427</v>
      </c>
      <c r="N35" s="19">
        <f>N34+N19</f>
        <v>-44358268</v>
      </c>
      <c r="O35" s="19">
        <f>O34+O19</f>
        <v>212179159</v>
      </c>
      <c r="Q35" s="19">
        <f>Q34+Q19</f>
        <v>197414677</v>
      </c>
      <c r="R35" s="19">
        <f>R19+R34</f>
        <v>26165735</v>
      </c>
      <c r="S35" s="19">
        <f>Q35+R35</f>
        <v>223580412</v>
      </c>
      <c r="T35" s="19">
        <f>T19+T34</f>
        <v>-24764395.588252001</v>
      </c>
      <c r="U35" s="19">
        <f>+U34+U19</f>
        <v>198816016.41174799</v>
      </c>
    </row>
    <row r="36" spans="1:21" x14ac:dyDescent="0.25">
      <c r="E36" s="17"/>
      <c r="F36" s="17"/>
      <c r="G36" s="17"/>
      <c r="H36" s="17"/>
      <c r="I36" s="17"/>
      <c r="K36" s="17"/>
      <c r="L36" s="17"/>
      <c r="M36" s="17"/>
      <c r="N36" s="17"/>
      <c r="O36" s="17"/>
      <c r="Q36" s="6"/>
      <c r="R36" s="7"/>
      <c r="S36" s="6"/>
      <c r="T36" s="7"/>
      <c r="U36" s="6"/>
    </row>
    <row r="37" spans="1:21" x14ac:dyDescent="0.25">
      <c r="C37" s="28" t="s">
        <v>49</v>
      </c>
      <c r="D37" s="28"/>
      <c r="E37" s="29"/>
      <c r="F37" s="29"/>
      <c r="G37" s="29"/>
      <c r="H37" s="29"/>
      <c r="I37" s="29"/>
      <c r="J37" s="28"/>
      <c r="K37" s="29"/>
      <c r="L37" s="29"/>
      <c r="M37" s="29"/>
      <c r="N37" s="29"/>
      <c r="O37" s="29"/>
      <c r="P37" s="28"/>
      <c r="Q37" s="10"/>
      <c r="S37" s="10"/>
      <c r="U37" s="10"/>
    </row>
    <row r="38" spans="1:21" x14ac:dyDescent="0.25">
      <c r="A38" s="4" t="s">
        <v>50</v>
      </c>
      <c r="E38" s="18"/>
      <c r="F38" s="18"/>
      <c r="G38" s="18"/>
      <c r="H38" s="18"/>
      <c r="I38" s="18"/>
      <c r="K38" s="18"/>
      <c r="L38" s="18"/>
      <c r="M38" s="18"/>
      <c r="N38" s="18"/>
      <c r="O38" s="18"/>
      <c r="Q38" s="10"/>
      <c r="S38" s="10"/>
      <c r="U38" s="10"/>
    </row>
    <row r="39" spans="1:21" x14ac:dyDescent="0.25">
      <c r="A39" s="4"/>
      <c r="B39" t="s">
        <v>51</v>
      </c>
      <c r="E39" s="9">
        <v>0</v>
      </c>
      <c r="F39" s="9">
        <v>1479636</v>
      </c>
      <c r="G39" s="10">
        <f>+E39+F39</f>
        <v>1479636</v>
      </c>
      <c r="H39" s="18"/>
      <c r="I39" s="10">
        <f>+G39+H39</f>
        <v>1479636</v>
      </c>
      <c r="K39" s="9">
        <v>50776</v>
      </c>
      <c r="L39" s="30"/>
      <c r="M39" s="10">
        <f>+K39+L39</f>
        <v>50776</v>
      </c>
      <c r="N39" s="18"/>
      <c r="O39" s="10">
        <f t="shared" ref="O39:O51" si="12">+M39+N39</f>
        <v>50776</v>
      </c>
      <c r="Q39" s="9"/>
      <c r="S39" s="10"/>
      <c r="U39" s="10"/>
    </row>
    <row r="40" spans="1:21" x14ac:dyDescent="0.25">
      <c r="B40" t="s">
        <v>52</v>
      </c>
      <c r="E40" s="9">
        <v>4080196</v>
      </c>
      <c r="F40" s="9"/>
      <c r="G40" s="10">
        <f>+E40+F40</f>
        <v>4080196</v>
      </c>
      <c r="H40" s="18"/>
      <c r="I40" s="10">
        <f>+G40+H40</f>
        <v>4080196</v>
      </c>
      <c r="K40" s="9">
        <v>3385113</v>
      </c>
      <c r="L40" s="9">
        <v>1723259</v>
      </c>
      <c r="M40" s="10">
        <f>+K40+L40</f>
        <v>5108372</v>
      </c>
      <c r="N40" s="18"/>
      <c r="O40" s="10">
        <f t="shared" si="12"/>
        <v>5108372</v>
      </c>
      <c r="Q40" s="9">
        <v>25133387</v>
      </c>
      <c r="R40" s="9">
        <v>2011281</v>
      </c>
      <c r="S40" s="10">
        <f>+Q40+R40</f>
        <v>27144668</v>
      </c>
      <c r="U40" s="10">
        <f>+S40+T40</f>
        <v>27144668</v>
      </c>
    </row>
    <row r="41" spans="1:21" x14ac:dyDescent="0.25">
      <c r="B41" t="s">
        <v>53</v>
      </c>
      <c r="E41" s="9">
        <v>6939886</v>
      </c>
      <c r="F41" s="9"/>
      <c r="G41" s="10">
        <f>+E41+F41</f>
        <v>6939886</v>
      </c>
      <c r="H41" s="18"/>
      <c r="I41" s="10">
        <f>+G41+H41</f>
        <v>6939886</v>
      </c>
      <c r="K41" s="9">
        <v>2484731</v>
      </c>
      <c r="L41" s="9"/>
      <c r="M41" s="10">
        <f>+K41+L41</f>
        <v>2484731</v>
      </c>
      <c r="N41" s="18"/>
      <c r="O41" s="10">
        <f t="shared" si="12"/>
        <v>2484731</v>
      </c>
      <c r="Q41" s="9">
        <v>0</v>
      </c>
      <c r="R41" s="9">
        <v>0</v>
      </c>
      <c r="S41" s="10">
        <f>+Q41+R41</f>
        <v>0</v>
      </c>
      <c r="U41" s="10">
        <f>+S41+T41</f>
        <v>0</v>
      </c>
    </row>
    <row r="42" spans="1:21" x14ac:dyDescent="0.25">
      <c r="B42" t="s">
        <v>54</v>
      </c>
      <c r="E42" s="18"/>
      <c r="F42" s="9"/>
      <c r="G42" s="18"/>
      <c r="H42" s="18"/>
      <c r="I42" s="10"/>
      <c r="K42" s="18"/>
      <c r="L42" s="9"/>
      <c r="M42" s="18"/>
      <c r="N42" s="18"/>
      <c r="O42" s="10">
        <f t="shared" si="12"/>
        <v>0</v>
      </c>
      <c r="Q42" s="18"/>
      <c r="R42" s="9"/>
      <c r="S42" s="10"/>
      <c r="U42" s="10"/>
    </row>
    <row r="43" spans="1:21" x14ac:dyDescent="0.25">
      <c r="B43" t="s">
        <v>55</v>
      </c>
      <c r="E43" s="9">
        <v>29686523</v>
      </c>
      <c r="F43" s="9">
        <v>3497207</v>
      </c>
      <c r="G43" s="10">
        <f>+E43+F43</f>
        <v>33183730</v>
      </c>
      <c r="H43" s="18"/>
      <c r="I43" s="10">
        <f t="shared" ref="I43:I51" si="13">+G43+H43</f>
        <v>33183730</v>
      </c>
      <c r="K43" s="9">
        <v>20932053</v>
      </c>
      <c r="L43" s="9">
        <v>2140093</v>
      </c>
      <c r="M43" s="10">
        <f>+K43+L43</f>
        <v>23072146</v>
      </c>
      <c r="N43" s="18"/>
      <c r="O43" s="10">
        <f t="shared" si="12"/>
        <v>23072146</v>
      </c>
      <c r="Q43" s="9">
        <f>19562775-1869732</f>
        <v>17693043</v>
      </c>
      <c r="R43" s="9">
        <v>599812</v>
      </c>
      <c r="S43" s="10">
        <f t="shared" ref="S43:S49" si="14">+Q43+R43</f>
        <v>18292855</v>
      </c>
      <c r="U43" s="10">
        <f t="shared" ref="U43:U49" si="15">+S43+T43</f>
        <v>18292855</v>
      </c>
    </row>
    <row r="44" spans="1:21" x14ac:dyDescent="0.25">
      <c r="B44" t="s">
        <v>28</v>
      </c>
      <c r="E44" s="251">
        <v>673963</v>
      </c>
      <c r="F44" s="251">
        <v>30134511</v>
      </c>
      <c r="G44" s="245">
        <f>+E44+F44</f>
        <v>30808474</v>
      </c>
      <c r="H44" s="245">
        <f>-AD!G31</f>
        <v>-29886240</v>
      </c>
      <c r="I44" s="245">
        <f t="shared" si="13"/>
        <v>922234</v>
      </c>
      <c r="K44" s="9">
        <v>5069876</v>
      </c>
      <c r="L44" s="9">
        <v>12478474</v>
      </c>
      <c r="M44" s="10">
        <f>+K44+L44</f>
        <v>17548350</v>
      </c>
      <c r="N44" s="10">
        <v>-12628876</v>
      </c>
      <c r="O44" s="10">
        <f t="shared" si="12"/>
        <v>4919474</v>
      </c>
      <c r="Q44" s="9">
        <f>10819633-10628880+1869732</f>
        <v>2060485</v>
      </c>
      <c r="R44" s="9">
        <v>5099200</v>
      </c>
      <c r="S44" s="10">
        <f t="shared" si="14"/>
        <v>7159685</v>
      </c>
      <c r="T44" s="2">
        <f>-AD!M13</f>
        <v>-5099200</v>
      </c>
      <c r="U44" s="10">
        <f t="shared" si="15"/>
        <v>2060485</v>
      </c>
    </row>
    <row r="45" spans="1:21" hidden="1" x14ac:dyDescent="0.25">
      <c r="B45" t="s">
        <v>56</v>
      </c>
      <c r="E45" s="9"/>
      <c r="F45" s="31"/>
      <c r="G45" s="18"/>
      <c r="H45" s="18"/>
      <c r="I45" s="10">
        <f t="shared" si="13"/>
        <v>0</v>
      </c>
      <c r="K45" s="9"/>
      <c r="L45" s="31"/>
      <c r="M45" s="18"/>
      <c r="N45" s="18"/>
      <c r="O45" s="10">
        <f t="shared" si="12"/>
        <v>0</v>
      </c>
      <c r="Q45" s="9"/>
      <c r="R45" s="31"/>
      <c r="S45" s="10">
        <f t="shared" si="14"/>
        <v>0</v>
      </c>
      <c r="U45" s="10">
        <f t="shared" si="15"/>
        <v>0</v>
      </c>
    </row>
    <row r="46" spans="1:21" x14ac:dyDescent="0.25">
      <c r="B46" t="s">
        <v>57</v>
      </c>
      <c r="E46" s="9">
        <v>11705642</v>
      </c>
      <c r="F46" s="9">
        <v>2425345</v>
      </c>
      <c r="G46" s="10">
        <f t="shared" ref="G46:G51" si="16">+E46+F46</f>
        <v>14130987</v>
      </c>
      <c r="H46" s="18"/>
      <c r="I46" s="10">
        <f t="shared" si="13"/>
        <v>14130987</v>
      </c>
      <c r="K46" s="9">
        <v>7588859</v>
      </c>
      <c r="L46" s="9">
        <v>1332387</v>
      </c>
      <c r="M46" s="10">
        <f t="shared" ref="M46:M51" si="17">+K46+L46</f>
        <v>8921246</v>
      </c>
      <c r="N46" s="18"/>
      <c r="O46" s="10">
        <f t="shared" si="12"/>
        <v>8921246</v>
      </c>
      <c r="Q46" s="9">
        <f>4228478</f>
        <v>4228478</v>
      </c>
      <c r="R46" s="9">
        <v>355666</v>
      </c>
      <c r="S46" s="10">
        <f t="shared" si="14"/>
        <v>4584144</v>
      </c>
      <c r="U46" s="10">
        <f t="shared" si="15"/>
        <v>4584144</v>
      </c>
    </row>
    <row r="47" spans="1:21" x14ac:dyDescent="0.25">
      <c r="B47" t="s">
        <v>58</v>
      </c>
      <c r="E47" s="9">
        <f>3245760-1574195</f>
        <v>1671565</v>
      </c>
      <c r="F47" s="9">
        <v>978621</v>
      </c>
      <c r="G47" s="10">
        <f t="shared" si="16"/>
        <v>2650186</v>
      </c>
      <c r="H47" s="18"/>
      <c r="I47" s="10">
        <f t="shared" si="13"/>
        <v>2650186</v>
      </c>
      <c r="K47" s="9">
        <v>3860134</v>
      </c>
      <c r="L47" s="9">
        <v>13957</v>
      </c>
      <c r="M47" s="10">
        <f t="shared" si="17"/>
        <v>3874091</v>
      </c>
      <c r="N47" s="18"/>
      <c r="O47" s="10">
        <f t="shared" si="12"/>
        <v>3874091</v>
      </c>
      <c r="Q47" s="9">
        <v>3286332</v>
      </c>
      <c r="R47" s="9">
        <v>18473</v>
      </c>
      <c r="S47" s="10">
        <f t="shared" si="14"/>
        <v>3304805</v>
      </c>
      <c r="U47" s="10">
        <f t="shared" si="15"/>
        <v>3304805</v>
      </c>
    </row>
    <row r="48" spans="1:21" x14ac:dyDescent="0.25">
      <c r="B48" t="s">
        <v>59</v>
      </c>
      <c r="E48" s="9">
        <v>2479542</v>
      </c>
      <c r="F48" s="9">
        <v>676743</v>
      </c>
      <c r="G48" s="10">
        <f t="shared" si="16"/>
        <v>3156285</v>
      </c>
      <c r="H48" s="10"/>
      <c r="I48" s="10">
        <f t="shared" si="13"/>
        <v>3156285</v>
      </c>
      <c r="K48" s="9">
        <v>7675934</v>
      </c>
      <c r="L48" s="9">
        <v>431243</v>
      </c>
      <c r="M48" s="10">
        <f t="shared" si="17"/>
        <v>8107177</v>
      </c>
      <c r="N48" s="10">
        <v>-6673333</v>
      </c>
      <c r="O48" s="10">
        <f t="shared" si="12"/>
        <v>1433844</v>
      </c>
      <c r="Q48" s="9">
        <v>1953502</v>
      </c>
      <c r="R48" s="9">
        <v>278886</v>
      </c>
      <c r="S48" s="10">
        <f t="shared" si="14"/>
        <v>2232388</v>
      </c>
      <c r="T48" s="2">
        <f>-AD!M29</f>
        <v>-656393</v>
      </c>
      <c r="U48" s="10">
        <f t="shared" si="15"/>
        <v>1575995</v>
      </c>
    </row>
    <row r="49" spans="1:21" x14ac:dyDescent="0.25">
      <c r="B49" t="s">
        <v>60</v>
      </c>
      <c r="E49" s="9">
        <v>11189871</v>
      </c>
      <c r="F49" s="9">
        <v>4213472</v>
      </c>
      <c r="G49" s="10">
        <f t="shared" si="16"/>
        <v>15403343</v>
      </c>
      <c r="H49" s="18"/>
      <c r="I49" s="10">
        <f t="shared" si="13"/>
        <v>15403343</v>
      </c>
      <c r="K49" s="9">
        <v>7584113</v>
      </c>
      <c r="L49" s="9">
        <v>2169404</v>
      </c>
      <c r="M49" s="10">
        <f t="shared" si="17"/>
        <v>9753517</v>
      </c>
      <c r="N49" s="18"/>
      <c r="O49" s="10">
        <f t="shared" si="12"/>
        <v>9753517</v>
      </c>
      <c r="Q49" s="9">
        <v>4524107</v>
      </c>
      <c r="R49" s="9">
        <v>982596</v>
      </c>
      <c r="S49" s="10">
        <f t="shared" si="14"/>
        <v>5506703</v>
      </c>
      <c r="U49" s="10">
        <f t="shared" si="15"/>
        <v>5506703</v>
      </c>
    </row>
    <row r="50" spans="1:21" x14ac:dyDescent="0.25">
      <c r="B50" t="s">
        <v>61</v>
      </c>
      <c r="E50" s="9">
        <v>1574195</v>
      </c>
      <c r="F50" s="9"/>
      <c r="G50" s="10">
        <f t="shared" si="16"/>
        <v>1574195</v>
      </c>
      <c r="H50" s="10"/>
      <c r="I50" s="10">
        <f t="shared" si="13"/>
        <v>1574195</v>
      </c>
      <c r="K50" s="9">
        <v>1519701</v>
      </c>
      <c r="L50" s="9">
        <v>699516</v>
      </c>
      <c r="M50" s="10">
        <f t="shared" si="17"/>
        <v>2219217</v>
      </c>
      <c r="N50" s="10"/>
      <c r="O50" s="10">
        <f t="shared" si="12"/>
        <v>2219217</v>
      </c>
      <c r="Q50" s="9"/>
      <c r="R50" s="9"/>
      <c r="S50" s="10"/>
      <c r="U50" s="10"/>
    </row>
    <row r="51" spans="1:21" hidden="1" x14ac:dyDescent="0.25">
      <c r="B51" t="s">
        <v>62</v>
      </c>
      <c r="E51" s="9"/>
      <c r="F51" s="9"/>
      <c r="G51" s="10">
        <f t="shared" si="16"/>
        <v>0</v>
      </c>
      <c r="H51" s="24"/>
      <c r="I51" s="10">
        <f t="shared" si="13"/>
        <v>0</v>
      </c>
      <c r="K51" s="9">
        <v>0</v>
      </c>
      <c r="L51" s="9"/>
      <c r="M51" s="10">
        <f t="shared" si="17"/>
        <v>0</v>
      </c>
      <c r="N51" s="24"/>
      <c r="O51" s="10">
        <f t="shared" si="12"/>
        <v>0</v>
      </c>
      <c r="Q51" s="9">
        <v>4183053</v>
      </c>
      <c r="R51" s="9">
        <v>249138</v>
      </c>
      <c r="S51" s="10">
        <f>+Q51+R51</f>
        <v>4432191</v>
      </c>
      <c r="T51" s="2" t="e">
        <f>-AD!#REF!</f>
        <v>#REF!</v>
      </c>
      <c r="U51" s="10" t="e">
        <f>+S51+T51</f>
        <v>#REF!</v>
      </c>
    </row>
    <row r="52" spans="1:21" x14ac:dyDescent="0.25">
      <c r="A52" s="4" t="s">
        <v>63</v>
      </c>
      <c r="E52" s="19">
        <f>SUM(E39:E51)</f>
        <v>70001383</v>
      </c>
      <c r="F52" s="19">
        <f>SUM(F39:F51)</f>
        <v>43405535</v>
      </c>
      <c r="G52" s="19">
        <f>SUM(G39:G51)</f>
        <v>113406918</v>
      </c>
      <c r="H52" s="19">
        <f>SUM(H39:H51)</f>
        <v>-29886240</v>
      </c>
      <c r="I52" s="19">
        <f>SUM(I39:I51)</f>
        <v>83520678</v>
      </c>
      <c r="K52" s="19">
        <f>SUM(K39:K51)</f>
        <v>60151290</v>
      </c>
      <c r="L52" s="19">
        <f>SUM(L39:L51)</f>
        <v>20988333</v>
      </c>
      <c r="M52" s="19">
        <f>SUM(M39:M51)</f>
        <v>81139623</v>
      </c>
      <c r="N52" s="19">
        <f>SUM(N39:N51)</f>
        <v>-19302209</v>
      </c>
      <c r="O52" s="19">
        <f>SUM(O39:O51)</f>
        <v>61837414</v>
      </c>
      <c r="Q52" s="19">
        <f>SUM(Q40:Q51)</f>
        <v>63062387</v>
      </c>
      <c r="R52" s="19">
        <f>SUM(R40:R51)</f>
        <v>9595052</v>
      </c>
      <c r="S52" s="19">
        <f>+Q52+R52</f>
        <v>72657439</v>
      </c>
      <c r="T52" s="19" t="e">
        <f>SUM(T40:T51)</f>
        <v>#REF!</v>
      </c>
      <c r="U52" s="19" t="e">
        <f>SUM(U40:U51)</f>
        <v>#REF!</v>
      </c>
    </row>
    <row r="53" spans="1:21" x14ac:dyDescent="0.25">
      <c r="E53" s="17"/>
      <c r="F53" s="20"/>
      <c r="G53" s="17"/>
      <c r="H53" s="17"/>
      <c r="I53" s="17"/>
      <c r="K53" s="17"/>
      <c r="L53" s="17"/>
      <c r="M53" s="17"/>
      <c r="N53" s="17"/>
      <c r="O53" s="17"/>
      <c r="Q53" s="10"/>
      <c r="S53" s="10"/>
      <c r="U53" s="10"/>
    </row>
    <row r="54" spans="1:21" x14ac:dyDescent="0.25">
      <c r="A54" s="4" t="s">
        <v>64</v>
      </c>
      <c r="E54" s="18"/>
      <c r="F54" s="18"/>
      <c r="G54" s="18"/>
      <c r="H54" s="18"/>
      <c r="I54" s="18"/>
      <c r="K54" s="18"/>
      <c r="L54" s="18"/>
      <c r="M54" s="18"/>
      <c r="N54" s="18"/>
      <c r="O54" s="18"/>
      <c r="Q54" s="10"/>
      <c r="S54" s="10"/>
      <c r="U54" s="10"/>
    </row>
    <row r="55" spans="1:21" x14ac:dyDescent="0.25">
      <c r="B55" t="s">
        <v>65</v>
      </c>
      <c r="E55" s="9">
        <v>2731687</v>
      </c>
      <c r="F55" s="9"/>
      <c r="G55" s="10">
        <f>+E55+F55</f>
        <v>2731687</v>
      </c>
      <c r="H55" s="18"/>
      <c r="I55" s="10">
        <f>+G55+H55</f>
        <v>2731687</v>
      </c>
      <c r="K55" s="9">
        <v>1654005</v>
      </c>
      <c r="L55" s="9">
        <v>909285</v>
      </c>
      <c r="M55" s="10">
        <f>+K55+L55</f>
        <v>2563290</v>
      </c>
      <c r="N55" s="18"/>
      <c r="O55" s="10">
        <f t="shared" ref="O55:O65" si="18">+M55+N55</f>
        <v>2563290</v>
      </c>
      <c r="Q55" s="9">
        <v>16385448</v>
      </c>
      <c r="R55" s="9">
        <v>1354464</v>
      </c>
      <c r="S55" s="10">
        <f>+Q55+R55</f>
        <v>17739912</v>
      </c>
      <c r="U55" s="10">
        <f>+S55+T55</f>
        <v>17739912</v>
      </c>
    </row>
    <row r="56" spans="1:21" x14ac:dyDescent="0.25">
      <c r="B56" t="s">
        <v>66</v>
      </c>
      <c r="E56" s="9">
        <v>6657895</v>
      </c>
      <c r="F56" s="9"/>
      <c r="G56" s="10">
        <f>+E56+F56</f>
        <v>6657895</v>
      </c>
      <c r="H56" s="18"/>
      <c r="I56" s="10">
        <f>+G56+H56</f>
        <v>6657895</v>
      </c>
      <c r="K56" s="9">
        <v>0</v>
      </c>
      <c r="L56" s="9"/>
      <c r="M56" s="10">
        <f>+K56+L56</f>
        <v>0</v>
      </c>
      <c r="N56" s="18"/>
      <c r="O56" s="10">
        <f t="shared" si="18"/>
        <v>0</v>
      </c>
      <c r="Q56" s="9"/>
      <c r="R56" s="9"/>
      <c r="S56" s="10"/>
      <c r="U56" s="10"/>
    </row>
    <row r="57" spans="1:21" x14ac:dyDescent="0.25">
      <c r="B57" t="s">
        <v>54</v>
      </c>
      <c r="E57" s="9"/>
      <c r="F57" s="18"/>
      <c r="G57" s="10"/>
      <c r="H57" s="18"/>
      <c r="I57" s="18"/>
      <c r="K57" s="9"/>
      <c r="L57" s="18"/>
      <c r="M57" s="10"/>
      <c r="N57" s="18"/>
      <c r="O57" s="10">
        <f t="shared" si="18"/>
        <v>0</v>
      </c>
      <c r="Q57" s="9"/>
      <c r="R57" s="18"/>
      <c r="S57" s="10"/>
      <c r="U57" s="10"/>
    </row>
    <row r="58" spans="1:21" hidden="1" x14ac:dyDescent="0.25">
      <c r="B58" s="8" t="s">
        <v>55</v>
      </c>
      <c r="C58" s="8"/>
      <c r="D58" s="8"/>
      <c r="E58" s="9">
        <v>0</v>
      </c>
      <c r="F58" s="9"/>
      <c r="G58" s="10">
        <f t="shared" ref="G58:G65" si="19">+E58+F58</f>
        <v>0</v>
      </c>
      <c r="H58" s="18"/>
      <c r="I58" s="10">
        <f t="shared" ref="I58:I65" si="20">+G58+H58</f>
        <v>0</v>
      </c>
      <c r="K58" s="9">
        <v>0</v>
      </c>
      <c r="L58" s="9"/>
      <c r="M58" s="10">
        <f t="shared" ref="M58:M65" si="21">+K58+L58</f>
        <v>0</v>
      </c>
      <c r="N58" s="18"/>
      <c r="O58" s="10">
        <f t="shared" si="18"/>
        <v>0</v>
      </c>
      <c r="Q58" s="9">
        <v>2203673</v>
      </c>
      <c r="R58" s="18"/>
      <c r="S58" s="10">
        <f>+Q58+R58</f>
        <v>2203673</v>
      </c>
      <c r="U58" s="10">
        <f>+S58+T58</f>
        <v>2203673</v>
      </c>
    </row>
    <row r="59" spans="1:21" x14ac:dyDescent="0.25">
      <c r="B59" t="s">
        <v>67</v>
      </c>
      <c r="E59" s="9"/>
      <c r="F59" s="9"/>
      <c r="G59" s="10">
        <f t="shared" si="19"/>
        <v>0</v>
      </c>
      <c r="H59" s="330">
        <f>-AD!G13</f>
        <v>-26543205</v>
      </c>
      <c r="I59" s="302">
        <f t="shared" si="20"/>
        <v>-26543205</v>
      </c>
      <c r="K59" s="9">
        <v>0</v>
      </c>
      <c r="L59" s="9"/>
      <c r="M59" s="10">
        <f t="shared" si="21"/>
        <v>0</v>
      </c>
      <c r="N59" s="18"/>
      <c r="O59" s="10">
        <f t="shared" si="18"/>
        <v>0</v>
      </c>
      <c r="Q59" s="9">
        <f>10628880+2936828</f>
        <v>13565708</v>
      </c>
      <c r="R59" s="18"/>
      <c r="S59" s="10">
        <f>+Q59+R59</f>
        <v>13565708</v>
      </c>
      <c r="T59" s="2">
        <f>-AD!O30</f>
        <v>0</v>
      </c>
      <c r="U59" s="10">
        <f>+S59+T59</f>
        <v>13565708</v>
      </c>
    </row>
    <row r="60" spans="1:21" x14ac:dyDescent="0.25">
      <c r="B60" t="s">
        <v>58</v>
      </c>
      <c r="E60" s="9"/>
      <c r="F60" s="9">
        <v>1145395</v>
      </c>
      <c r="G60" s="10">
        <f t="shared" si="19"/>
        <v>1145395</v>
      </c>
      <c r="I60" s="10">
        <f t="shared" si="20"/>
        <v>1145395</v>
      </c>
      <c r="K60" s="9">
        <v>13415188</v>
      </c>
      <c r="L60" s="9">
        <v>230650</v>
      </c>
      <c r="M60" s="10">
        <f t="shared" si="21"/>
        <v>13645838</v>
      </c>
      <c r="N60" s="10"/>
      <c r="O60" s="10">
        <f t="shared" si="18"/>
        <v>13645838</v>
      </c>
      <c r="Q60" s="9">
        <f>7566828-2936828+20813206</f>
        <v>25443206</v>
      </c>
      <c r="R60" s="18"/>
      <c r="S60" s="10">
        <f>+Q60+R60</f>
        <v>25443206</v>
      </c>
      <c r="T60" s="2">
        <f>-AD!M31</f>
        <v>-2251425</v>
      </c>
      <c r="U60" s="10">
        <f>+S60+T60</f>
        <v>23191781</v>
      </c>
    </row>
    <row r="61" spans="1:21" x14ac:dyDescent="0.25">
      <c r="B61" t="s">
        <v>59</v>
      </c>
      <c r="E61" s="9">
        <v>42626983</v>
      </c>
      <c r="F61" s="9"/>
      <c r="G61" s="10">
        <f t="shared" si="19"/>
        <v>42626983</v>
      </c>
      <c r="H61" s="10"/>
      <c r="I61" s="10">
        <f t="shared" si="20"/>
        <v>42626983</v>
      </c>
      <c r="K61" s="9">
        <v>33856246</v>
      </c>
      <c r="L61" s="9"/>
      <c r="M61" s="10">
        <f t="shared" si="21"/>
        <v>33856246</v>
      </c>
      <c r="N61" s="10">
        <v>-15292925</v>
      </c>
      <c r="O61" s="10">
        <f t="shared" si="18"/>
        <v>18563321</v>
      </c>
      <c r="Q61" s="9"/>
      <c r="R61" s="30"/>
      <c r="S61" s="10"/>
      <c r="U61" s="10"/>
    </row>
    <row r="62" spans="1:21" x14ac:dyDescent="0.25">
      <c r="B62" t="s">
        <v>68</v>
      </c>
      <c r="E62" s="9">
        <v>7288330</v>
      </c>
      <c r="F62" s="9">
        <v>2041698</v>
      </c>
      <c r="G62" s="10">
        <f t="shared" si="19"/>
        <v>9330028</v>
      </c>
      <c r="H62" s="18"/>
      <c r="I62" s="10">
        <f t="shared" si="20"/>
        <v>9330028</v>
      </c>
      <c r="K62" s="9">
        <v>8243480</v>
      </c>
      <c r="L62" s="9">
        <v>1518011</v>
      </c>
      <c r="M62" s="10">
        <f t="shared" si="21"/>
        <v>9761491</v>
      </c>
      <c r="N62" s="18"/>
      <c r="O62" s="10">
        <f t="shared" si="18"/>
        <v>9761491</v>
      </c>
      <c r="Q62" s="9">
        <f>5140510</f>
        <v>5140510</v>
      </c>
      <c r="R62" s="9">
        <v>964717</v>
      </c>
      <c r="S62" s="10">
        <f>+Q62+R62</f>
        <v>6105227</v>
      </c>
      <c r="U62" s="10">
        <f>+S62+T62</f>
        <v>6105227</v>
      </c>
    </row>
    <row r="63" spans="1:21" ht="17.25" customHeight="1" x14ac:dyDescent="0.25">
      <c r="B63" t="s">
        <v>62</v>
      </c>
      <c r="E63" s="9">
        <v>2580000</v>
      </c>
      <c r="F63" s="9"/>
      <c r="G63" s="10">
        <f t="shared" si="19"/>
        <v>2580000</v>
      </c>
      <c r="H63" s="10"/>
      <c r="I63" s="10">
        <f t="shared" si="20"/>
        <v>2580000</v>
      </c>
      <c r="K63" s="9">
        <v>2580000</v>
      </c>
      <c r="L63" s="9"/>
      <c r="M63" s="10">
        <f t="shared" si="21"/>
        <v>2580000</v>
      </c>
      <c r="N63" s="10"/>
      <c r="O63" s="10">
        <f t="shared" si="18"/>
        <v>2580000</v>
      </c>
      <c r="Q63" s="9">
        <v>0</v>
      </c>
      <c r="R63" s="18"/>
      <c r="S63" s="10">
        <f>+Q63+R63</f>
        <v>0</v>
      </c>
      <c r="U63" s="10">
        <f>+S63+T63</f>
        <v>0</v>
      </c>
    </row>
    <row r="64" spans="1:21" ht="17.25" customHeight="1" x14ac:dyDescent="0.25">
      <c r="B64" t="s">
        <v>452</v>
      </c>
      <c r="E64" s="9">
        <v>4608086</v>
      </c>
      <c r="F64" s="9"/>
      <c r="G64" s="10">
        <f t="shared" si="19"/>
        <v>4608086</v>
      </c>
      <c r="H64" s="10"/>
      <c r="I64" s="10">
        <f t="shared" si="20"/>
        <v>4608086</v>
      </c>
      <c r="K64" s="9"/>
      <c r="L64" s="9"/>
      <c r="M64" s="10"/>
      <c r="N64" s="10"/>
      <c r="O64" s="10"/>
      <c r="Q64" s="9"/>
      <c r="R64" s="18"/>
      <c r="S64" s="10"/>
      <c r="U64" s="10"/>
    </row>
    <row r="65" spans="1:21" x14ac:dyDescent="0.25">
      <c r="B65" t="s">
        <v>61</v>
      </c>
      <c r="E65" s="9">
        <v>2542451</v>
      </c>
      <c r="F65" s="10"/>
      <c r="G65" s="10">
        <f t="shared" si="19"/>
        <v>2542451</v>
      </c>
      <c r="H65" s="18"/>
      <c r="I65" s="10">
        <f t="shared" si="20"/>
        <v>2542451</v>
      </c>
      <c r="K65" s="9">
        <v>2804159</v>
      </c>
      <c r="L65" s="18">
        <v>920040</v>
      </c>
      <c r="M65" s="10">
        <f t="shared" si="21"/>
        <v>3724199</v>
      </c>
      <c r="N65" s="18"/>
      <c r="O65" s="10">
        <f t="shared" si="18"/>
        <v>3724199</v>
      </c>
      <c r="Q65" s="9">
        <v>772443</v>
      </c>
      <c r="R65" s="18"/>
      <c r="S65" s="24">
        <f>+Q65+R65</f>
        <v>772443</v>
      </c>
      <c r="U65" s="24">
        <f>+S65+T65</f>
        <v>772443</v>
      </c>
    </row>
    <row r="66" spans="1:21" x14ac:dyDescent="0.25">
      <c r="A66" s="4" t="s">
        <v>69</v>
      </c>
      <c r="E66" s="19">
        <f>SUM(E55:E65)</f>
        <v>69035432</v>
      </c>
      <c r="F66" s="19">
        <f>SUM(F55:F65)</f>
        <v>3187093</v>
      </c>
      <c r="G66" s="19">
        <f>SUM(G55:G65)</f>
        <v>72222525</v>
      </c>
      <c r="H66" s="19">
        <f>SUM(H55:H65)</f>
        <v>-26543205</v>
      </c>
      <c r="I66" s="19">
        <f>SUM(I55:I65)</f>
        <v>45679320</v>
      </c>
      <c r="K66" s="19">
        <f>SUM(K55:K65)</f>
        <v>62553078</v>
      </c>
      <c r="L66" s="19">
        <f>SUM(L55:L65)</f>
        <v>3577986</v>
      </c>
      <c r="M66" s="19">
        <f>SUM(M55:M65)</f>
        <v>66131064</v>
      </c>
      <c r="N66" s="19">
        <f>SUM(N55:N65)</f>
        <v>-15292925</v>
      </c>
      <c r="O66" s="19">
        <f>SUM(O55:O65)</f>
        <v>50838139</v>
      </c>
      <c r="Q66" s="19">
        <f>SUM(Q55:Q65)</f>
        <v>63510988</v>
      </c>
      <c r="R66" s="19">
        <f>SUM(R55:R65)</f>
        <v>2319181</v>
      </c>
      <c r="S66" s="19">
        <f>+Q66+R66</f>
        <v>65830169</v>
      </c>
      <c r="T66" s="19">
        <f>SUM(T55:T65)</f>
        <v>-2251425</v>
      </c>
      <c r="U66" s="19">
        <f>SUM(U55:U65)</f>
        <v>63578744</v>
      </c>
    </row>
    <row r="67" spans="1:21" x14ac:dyDescent="0.25">
      <c r="A67" s="4" t="s">
        <v>70</v>
      </c>
      <c r="E67" s="19">
        <f>E52+E66</f>
        <v>139036815</v>
      </c>
      <c r="F67" s="19">
        <f>F52+F66</f>
        <v>46592628</v>
      </c>
      <c r="G67" s="19">
        <f>G52+G66</f>
        <v>185629443</v>
      </c>
      <c r="H67" s="19">
        <f>H52+H66</f>
        <v>-56429445</v>
      </c>
      <c r="I67" s="19">
        <f>I52+I66</f>
        <v>129199998</v>
      </c>
      <c r="K67" s="19">
        <f>K52+K66</f>
        <v>122704368</v>
      </c>
      <c r="L67" s="19">
        <f>L52+L66</f>
        <v>24566319</v>
      </c>
      <c r="M67" s="19">
        <f>M52+M66</f>
        <v>147270687</v>
      </c>
      <c r="N67" s="19">
        <f>N52+N66</f>
        <v>-34595134</v>
      </c>
      <c r="O67" s="19">
        <f>O52+O66</f>
        <v>112675553</v>
      </c>
      <c r="Q67" s="19">
        <f>Q52+Q66</f>
        <v>126573375</v>
      </c>
      <c r="R67" s="19">
        <f>R52+R66</f>
        <v>11914233</v>
      </c>
      <c r="S67" s="19">
        <f>+Q67+R67</f>
        <v>138487608</v>
      </c>
      <c r="T67" s="19" t="e">
        <f>+T66+T52</f>
        <v>#REF!</v>
      </c>
      <c r="U67" s="19" t="e">
        <f>+U66+U52</f>
        <v>#REF!</v>
      </c>
    </row>
    <row r="68" spans="1:21" x14ac:dyDescent="0.25">
      <c r="E68" s="18"/>
      <c r="F68" s="18"/>
      <c r="G68" s="18"/>
      <c r="H68" s="18"/>
      <c r="I68" s="18"/>
      <c r="K68" s="18"/>
      <c r="L68" s="18"/>
      <c r="M68" s="18"/>
      <c r="N68" s="18"/>
      <c r="O68" s="18"/>
      <c r="Q68" s="10"/>
      <c r="R68" s="10"/>
      <c r="S68" s="10"/>
      <c r="T68" s="10"/>
      <c r="U68" s="10"/>
    </row>
    <row r="69" spans="1:21" x14ac:dyDescent="0.25">
      <c r="A69" s="4" t="s">
        <v>71</v>
      </c>
      <c r="B69" s="8"/>
      <c r="C69" s="8"/>
      <c r="D69" s="8"/>
      <c r="E69" s="18"/>
      <c r="F69" s="18"/>
      <c r="G69" s="18"/>
      <c r="H69" s="18"/>
      <c r="I69" s="18"/>
      <c r="J69" s="8"/>
      <c r="K69" s="18"/>
      <c r="L69" s="18"/>
      <c r="M69" s="18"/>
      <c r="N69" s="18"/>
      <c r="O69" s="18"/>
      <c r="P69" s="8"/>
      <c r="Q69" s="10"/>
      <c r="R69" s="10"/>
      <c r="S69" s="10"/>
      <c r="T69" s="10"/>
      <c r="U69" s="10"/>
    </row>
    <row r="70" spans="1:21" x14ac:dyDescent="0.25">
      <c r="A70" s="8"/>
      <c r="B70" s="8" t="s">
        <v>72</v>
      </c>
      <c r="C70" s="8"/>
      <c r="D70" s="32"/>
      <c r="E70" s="9">
        <v>21629181</v>
      </c>
      <c r="F70" s="9">
        <v>18564158</v>
      </c>
      <c r="G70" s="10">
        <f>+E70+F70</f>
        <v>40193339</v>
      </c>
      <c r="H70" s="250"/>
      <c r="I70" s="10">
        <f>+G70+H70</f>
        <v>40193339</v>
      </c>
      <c r="J70" s="8"/>
      <c r="K70" s="9">
        <v>37143362</v>
      </c>
      <c r="L70" s="9">
        <v>13159302</v>
      </c>
      <c r="M70" s="10">
        <f>+K70+L70</f>
        <v>50302664</v>
      </c>
      <c r="N70" s="250"/>
      <c r="O70" s="10">
        <f>+M70+N70</f>
        <v>50302664</v>
      </c>
      <c r="P70" s="8"/>
      <c r="Q70" s="9">
        <f>+PAT!F19</f>
        <v>30006697</v>
      </c>
      <c r="R70" s="9">
        <f>+PAT!G19</f>
        <v>11015563</v>
      </c>
      <c r="S70" s="10">
        <f t="shared" ref="S70:S75" si="22">+Q70+R70</f>
        <v>41022260</v>
      </c>
      <c r="T70" s="10"/>
      <c r="U70" s="10">
        <f>+S70+T70</f>
        <v>41022260</v>
      </c>
    </row>
    <row r="71" spans="1:21" x14ac:dyDescent="0.25">
      <c r="A71" s="8"/>
      <c r="B71" s="8" t="s">
        <v>73</v>
      </c>
      <c r="C71" s="8"/>
      <c r="D71" s="32"/>
      <c r="E71" s="9">
        <v>920</v>
      </c>
      <c r="F71" s="9">
        <v>0</v>
      </c>
      <c r="G71" s="10">
        <f>+E71+F71</f>
        <v>920</v>
      </c>
      <c r="H71" s="250"/>
      <c r="I71" s="10">
        <f>+G71+H71</f>
        <v>920</v>
      </c>
      <c r="J71" s="8"/>
      <c r="K71" s="9">
        <v>6115920</v>
      </c>
      <c r="L71" s="9"/>
      <c r="M71" s="10">
        <f>+K71+L71</f>
        <v>6115920</v>
      </c>
      <c r="N71" s="250"/>
      <c r="O71" s="10">
        <f>+M71+N71</f>
        <v>6115920</v>
      </c>
      <c r="P71" s="8"/>
      <c r="Q71" s="9">
        <f>+PAT!F38</f>
        <v>920</v>
      </c>
      <c r="R71" s="9">
        <f>+PAT!G38</f>
        <v>0</v>
      </c>
      <c r="S71" s="10">
        <f t="shared" si="22"/>
        <v>920</v>
      </c>
      <c r="T71" s="10"/>
      <c r="U71" s="10">
        <f>+S71+T71</f>
        <v>920</v>
      </c>
    </row>
    <row r="72" spans="1:21" x14ac:dyDescent="0.25">
      <c r="A72" s="8"/>
      <c r="B72" s="8" t="s">
        <v>74</v>
      </c>
      <c r="C72" s="8"/>
      <c r="D72" s="32"/>
      <c r="E72" s="9">
        <v>6170159</v>
      </c>
      <c r="F72" s="9">
        <f>2635685+14436</f>
        <v>2650121</v>
      </c>
      <c r="G72" s="10">
        <f>+E72+F72</f>
        <v>8820280</v>
      </c>
      <c r="H72" s="251"/>
      <c r="I72" s="10">
        <f>+G72+H72</f>
        <v>8820280</v>
      </c>
      <c r="J72" s="8"/>
      <c r="K72" s="9">
        <v>6170159</v>
      </c>
      <c r="L72" s="9">
        <v>2026031</v>
      </c>
      <c r="M72" s="10">
        <f>+K72+L72</f>
        <v>8196190</v>
      </c>
      <c r="N72" s="251"/>
      <c r="O72" s="10">
        <f>+M72+N72</f>
        <v>8196190</v>
      </c>
      <c r="P72" s="8"/>
      <c r="Q72" s="9">
        <f>+PAT!F56+PAT!F68</f>
        <v>4697751</v>
      </c>
      <c r="R72" s="9">
        <f>+PAT!G56+PAT!G68+PAT!G78-1</f>
        <v>1651249</v>
      </c>
      <c r="S72" s="10">
        <f t="shared" si="22"/>
        <v>6349000</v>
      </c>
      <c r="T72" s="10"/>
      <c r="U72" s="10">
        <f>+S72+T72</f>
        <v>6349000</v>
      </c>
    </row>
    <row r="73" spans="1:21" x14ac:dyDescent="0.25">
      <c r="A73" s="8"/>
      <c r="B73" s="8" t="s">
        <v>75</v>
      </c>
      <c r="C73" s="8"/>
      <c r="D73" s="32"/>
      <c r="E73" s="33">
        <v>56717664</v>
      </c>
      <c r="F73" s="33">
        <f>35504940-F70-F72</f>
        <v>14290661</v>
      </c>
      <c r="G73" s="10">
        <f>+E73+F73</f>
        <v>71008325</v>
      </c>
      <c r="H73" s="251">
        <f>+PAT!I155</f>
        <v>-5109772.7534000017</v>
      </c>
      <c r="I73" s="10">
        <f>+G73+H73</f>
        <v>65898552.246600002</v>
      </c>
      <c r="J73" s="8"/>
      <c r="K73" s="33">
        <v>38836240.450000003</v>
      </c>
      <c r="L73" s="33">
        <v>5815726</v>
      </c>
      <c r="M73" s="10">
        <f>+K73+L73</f>
        <v>44651966.450000003</v>
      </c>
      <c r="N73" s="251">
        <v>-9763133</v>
      </c>
      <c r="O73" s="10">
        <f>+M73+N73-1</f>
        <v>34888832.450000003</v>
      </c>
      <c r="P73" s="8"/>
      <c r="Q73" s="9">
        <f>+PAT!F78+PAT!F87+PAT!F101+PAT!F136</f>
        <v>36135934</v>
      </c>
      <c r="R73" s="9">
        <f>+PAT!G87+PAT!G136+PAT!G101</f>
        <v>1584690</v>
      </c>
      <c r="S73" s="10">
        <f t="shared" si="22"/>
        <v>37720624</v>
      </c>
      <c r="T73" s="10">
        <f>+PAT!I136</f>
        <v>-14609377.588252001</v>
      </c>
      <c r="U73" s="10">
        <f>+S73+T73</f>
        <v>23111246.411747999</v>
      </c>
    </row>
    <row r="74" spans="1:21" x14ac:dyDescent="0.25">
      <c r="A74" s="4" t="s">
        <v>76</v>
      </c>
      <c r="B74" s="8"/>
      <c r="C74" s="8"/>
      <c r="D74" s="8"/>
      <c r="E74" s="19">
        <f>SUM(E70:E73)</f>
        <v>84517924</v>
      </c>
      <c r="F74" s="19">
        <f>SUM(F70:F73)</f>
        <v>35504940</v>
      </c>
      <c r="G74" s="19">
        <f>SUM(G70:G73)</f>
        <v>120022864</v>
      </c>
      <c r="H74" s="19">
        <f>SUM(H70:H73)</f>
        <v>-5109772.7534000017</v>
      </c>
      <c r="I74" s="19">
        <f>SUM(I70:I73)</f>
        <v>114913091.2466</v>
      </c>
      <c r="J74" s="8"/>
      <c r="K74" s="19">
        <f>SUM(K70:K73)</f>
        <v>88265681.450000003</v>
      </c>
      <c r="L74" s="19">
        <f>SUM(L70:L73)</f>
        <v>21001059</v>
      </c>
      <c r="M74" s="19">
        <f>SUM(M70:M73)</f>
        <v>109266740.45</v>
      </c>
      <c r="N74" s="19">
        <f>SUM(N70:N73)</f>
        <v>-9763133</v>
      </c>
      <c r="O74" s="19">
        <f>SUM(O70:O73)</f>
        <v>99503606.450000003</v>
      </c>
      <c r="P74" s="8"/>
      <c r="Q74" s="19">
        <f>SUM(Q70:Q73)</f>
        <v>70841302</v>
      </c>
      <c r="R74" s="19">
        <f>SUM(R70:R73)</f>
        <v>14251502</v>
      </c>
      <c r="S74" s="19">
        <f t="shared" si="22"/>
        <v>85092804</v>
      </c>
      <c r="T74" s="19">
        <f>SUM(T70:T73)</f>
        <v>-14609377.588252001</v>
      </c>
      <c r="U74" s="19">
        <f>SUM(U70:U73)</f>
        <v>70483426.411747992</v>
      </c>
    </row>
    <row r="75" spans="1:21" x14ac:dyDescent="0.25">
      <c r="A75" s="4" t="s">
        <v>77</v>
      </c>
      <c r="B75" s="8"/>
      <c r="C75" s="8"/>
      <c r="D75" s="8"/>
      <c r="E75" s="24">
        <f>+E74+E67</f>
        <v>223554739</v>
      </c>
      <c r="F75" s="24">
        <f>+F74+F67</f>
        <v>82097568</v>
      </c>
      <c r="G75" s="24">
        <f>+G74+G67</f>
        <v>305652307</v>
      </c>
      <c r="H75" s="24">
        <f>+H74+H67</f>
        <v>-61539217.753399998</v>
      </c>
      <c r="I75" s="24">
        <f>+I74+I67</f>
        <v>244113089.2466</v>
      </c>
      <c r="J75" s="8"/>
      <c r="K75" s="24">
        <f>+K74+K67</f>
        <v>210970049.44999999</v>
      </c>
      <c r="L75" s="24">
        <f>+L74+L67</f>
        <v>45567378</v>
      </c>
      <c r="M75" s="24">
        <f>+M74+M67</f>
        <v>256537427.44999999</v>
      </c>
      <c r="N75" s="24">
        <f>+N74+N67</f>
        <v>-44358267</v>
      </c>
      <c r="O75" s="24">
        <f>+O74+O67</f>
        <v>212179159.44999999</v>
      </c>
      <c r="P75" s="8"/>
      <c r="Q75" s="24">
        <f>+Q74+Q67</f>
        <v>197414677</v>
      </c>
      <c r="R75" s="24">
        <f>+R74+R67</f>
        <v>26165735</v>
      </c>
      <c r="S75" s="24">
        <f t="shared" si="22"/>
        <v>223580412</v>
      </c>
      <c r="T75" s="24" t="e">
        <f>+T67+T74</f>
        <v>#REF!</v>
      </c>
      <c r="U75" s="24" t="e">
        <f>+U74+U67</f>
        <v>#REF!</v>
      </c>
    </row>
    <row r="76" spans="1:21" s="34" customFormat="1" ht="11.25" x14ac:dyDescent="0.2">
      <c r="E76" s="35">
        <f>+E75-E35</f>
        <v>0</v>
      </c>
      <c r="F76" s="35">
        <f>+F75-F35</f>
        <v>0</v>
      </c>
      <c r="G76" s="35">
        <f>+G75-G35</f>
        <v>0</v>
      </c>
      <c r="H76" s="35">
        <f>+H75-H35</f>
        <v>0</v>
      </c>
      <c r="I76" s="256">
        <f>+I75-I35</f>
        <v>0</v>
      </c>
      <c r="K76" s="35">
        <f>+K75-K35</f>
        <v>0.44999998807907104</v>
      </c>
      <c r="L76" s="35">
        <f>+L75-L35</f>
        <v>0</v>
      </c>
      <c r="M76" s="35">
        <f>+M75-M35</f>
        <v>0.44999998807907104</v>
      </c>
      <c r="N76" s="35">
        <f>+N75-N35</f>
        <v>1</v>
      </c>
      <c r="O76" s="35">
        <f>+O75-O35</f>
        <v>0.44999998807907104</v>
      </c>
      <c r="Q76" s="35">
        <f>+Q75-Q35</f>
        <v>0</v>
      </c>
      <c r="R76" s="35">
        <f>+R75-R35</f>
        <v>0</v>
      </c>
      <c r="S76" s="35">
        <f>+S75-S35</f>
        <v>0</v>
      </c>
      <c r="T76" s="35" t="e">
        <f>+T75-T35</f>
        <v>#REF!</v>
      </c>
      <c r="U76" s="35" t="e">
        <f>+U75-U35</f>
        <v>#REF!</v>
      </c>
    </row>
    <row r="77" spans="1:21" x14ac:dyDescent="0.25">
      <c r="N77" s="32"/>
    </row>
    <row r="78" spans="1:21" x14ac:dyDescent="0.25">
      <c r="N78" s="32"/>
    </row>
    <row r="80" spans="1:21" x14ac:dyDescent="0.25">
      <c r="K80" s="7" t="s">
        <v>78</v>
      </c>
      <c r="L80" s="7"/>
      <c r="M80" s="7"/>
    </row>
    <row r="81" spans="11:13" x14ac:dyDescent="0.25">
      <c r="K81" s="2" t="s">
        <v>79</v>
      </c>
      <c r="L81" s="2"/>
      <c r="M81" s="2"/>
    </row>
  </sheetData>
  <mergeCells count="1">
    <mergeCell ref="A21:C21"/>
  </mergeCells>
  <pageMargins left="0.7" right="0.7" top="0.75" bottom="0.75" header="0.51180555555555496" footer="0.51180555555555496"/>
  <pageSetup scale="70" firstPageNumber="0" orientation="landscape" horizontalDpi="300" verticalDpi="300"/>
  <colBreaks count="1" manualBreakCount="1">
    <brk id="21"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45"/>
  <sheetViews>
    <sheetView zoomScaleNormal="100" workbookViewId="0">
      <pane xSplit="3" ySplit="5" topLeftCell="D29" activePane="bottomRight" state="frozen"/>
      <selection pane="topRight" activeCell="D1" sqref="D1"/>
      <selection pane="bottomLeft" activeCell="A26" sqref="A26"/>
      <selection pane="bottomRight" activeCell="G31" sqref="G31"/>
    </sheetView>
  </sheetViews>
  <sheetFormatPr defaultColWidth="11.5703125" defaultRowHeight="15" outlineLevelRow="1" x14ac:dyDescent="0.25"/>
  <cols>
    <col min="1" max="1" width="2.7109375" customWidth="1"/>
    <col min="2" max="2" width="28.42578125" customWidth="1"/>
    <col min="3" max="3" width="7.140625" customWidth="1"/>
    <col min="4" max="4" width="13.28515625" customWidth="1"/>
    <col min="5" max="5" width="13.140625" customWidth="1"/>
    <col min="6" max="6" width="13.28515625" customWidth="1"/>
    <col min="7" max="7" width="13.42578125" bestFit="1" customWidth="1"/>
    <col min="8" max="8" width="13.7109375" customWidth="1"/>
    <col min="9" max="9" width="1.85546875" customWidth="1"/>
    <col min="10" max="10" width="13.42578125" customWidth="1"/>
    <col min="11" max="11" width="14.140625" customWidth="1"/>
    <col min="12" max="12" width="14.42578125" customWidth="1"/>
    <col min="13" max="13" width="14.140625" customWidth="1"/>
    <col min="14" max="14" width="15.5703125" customWidth="1"/>
    <col min="15" max="15" width="7.140625" hidden="1" customWidth="1"/>
    <col min="16" max="16" width="13.28515625" hidden="1" customWidth="1"/>
    <col min="17" max="17" width="13.140625" hidden="1" customWidth="1"/>
    <col min="18" max="18" width="13.28515625" hidden="1" customWidth="1"/>
    <col min="19" max="19" width="12.28515625" hidden="1" customWidth="1"/>
    <col min="20" max="20" width="13.7109375" hidden="1" customWidth="1"/>
    <col min="21" max="21" width="1.85546875" hidden="1" customWidth="1"/>
    <col min="22" max="22" width="12.7109375" hidden="1" customWidth="1"/>
    <col min="23" max="23" width="12.28515625" customWidth="1"/>
    <col min="24" max="24" width="12.7109375" customWidth="1"/>
    <col min="25" max="25" width="12.28515625" customWidth="1"/>
  </cols>
  <sheetData>
    <row r="1" spans="1:20" x14ac:dyDescent="0.25">
      <c r="A1" s="3" t="s">
        <v>12</v>
      </c>
    </row>
    <row r="2" spans="1:20" x14ac:dyDescent="0.25">
      <c r="A2" s="4" t="s">
        <v>80</v>
      </c>
    </row>
    <row r="3" spans="1:20" x14ac:dyDescent="0.25">
      <c r="A3" s="4" t="s">
        <v>13</v>
      </c>
      <c r="D3" s="25"/>
      <c r="E3" s="36"/>
      <c r="F3" s="36"/>
      <c r="G3" s="36"/>
      <c r="H3" s="36"/>
      <c r="P3" s="25"/>
      <c r="Q3" s="36"/>
      <c r="R3" s="36"/>
      <c r="S3" s="36"/>
      <c r="T3" s="36"/>
    </row>
    <row r="4" spans="1:20" x14ac:dyDescent="0.25">
      <c r="A4" s="8" t="s">
        <v>14</v>
      </c>
      <c r="D4" s="10"/>
      <c r="E4" s="18"/>
      <c r="F4" s="18"/>
      <c r="G4" s="37" t="s">
        <v>15</v>
      </c>
      <c r="H4" s="37">
        <v>2020</v>
      </c>
      <c r="J4" s="6"/>
      <c r="K4" s="17"/>
      <c r="L4" s="17"/>
      <c r="M4" s="38" t="s">
        <v>15</v>
      </c>
      <c r="N4" s="38">
        <v>2019</v>
      </c>
      <c r="P4" s="10"/>
      <c r="Q4" s="18"/>
      <c r="R4" s="18"/>
      <c r="S4" s="37" t="s">
        <v>15</v>
      </c>
      <c r="T4" s="37">
        <v>2017</v>
      </c>
    </row>
    <row r="5" spans="1:20" x14ac:dyDescent="0.25">
      <c r="D5" s="14" t="s">
        <v>16</v>
      </c>
      <c r="E5" s="39" t="s">
        <v>17</v>
      </c>
      <c r="F5" s="39" t="s">
        <v>18</v>
      </c>
      <c r="G5" s="40" t="s">
        <v>81</v>
      </c>
      <c r="H5" s="39" t="s">
        <v>20</v>
      </c>
      <c r="J5" s="14" t="s">
        <v>16</v>
      </c>
      <c r="K5" s="39" t="s">
        <v>17</v>
      </c>
      <c r="L5" s="39" t="s">
        <v>18</v>
      </c>
      <c r="M5" s="39" t="s">
        <v>81</v>
      </c>
      <c r="N5" s="39" t="s">
        <v>20</v>
      </c>
      <c r="P5" s="14" t="s">
        <v>16</v>
      </c>
      <c r="Q5" s="39" t="s">
        <v>17</v>
      </c>
      <c r="R5" s="39" t="s">
        <v>18</v>
      </c>
      <c r="S5" s="40" t="s">
        <v>81</v>
      </c>
      <c r="T5" s="39" t="s">
        <v>20</v>
      </c>
    </row>
    <row r="6" spans="1:20" x14ac:dyDescent="0.25">
      <c r="D6" s="10"/>
      <c r="E6" s="18"/>
      <c r="F6" s="18"/>
      <c r="G6" s="18"/>
      <c r="H6" s="18"/>
      <c r="J6" s="10"/>
      <c r="K6" s="18"/>
      <c r="L6" s="18"/>
      <c r="M6" s="18"/>
      <c r="N6" s="18"/>
      <c r="P6" s="10"/>
      <c r="Q6" s="18"/>
      <c r="R6" s="18"/>
      <c r="S6" s="18"/>
      <c r="T6" s="18"/>
    </row>
    <row r="7" spans="1:20" x14ac:dyDescent="0.25">
      <c r="A7" t="s">
        <v>82</v>
      </c>
      <c r="D7" s="10">
        <v>204668336</v>
      </c>
      <c r="E7" s="10">
        <v>174788764</v>
      </c>
      <c r="F7" s="10">
        <f>+D7+E7</f>
        <v>379457100</v>
      </c>
      <c r="G7" s="10">
        <f>-AD!G7-AD!G22</f>
        <v>-111136297</v>
      </c>
      <c r="H7" s="10">
        <f>+F7+G7</f>
        <v>268320803</v>
      </c>
      <c r="J7" s="10">
        <v>189089112</v>
      </c>
      <c r="K7" s="10">
        <v>136513946</v>
      </c>
      <c r="L7" s="10">
        <f>+J7+K7</f>
        <v>325603058</v>
      </c>
      <c r="M7" s="10">
        <f>-AD!I7-AD!I22</f>
        <v>-93140935</v>
      </c>
      <c r="N7" s="10">
        <f>+L7+M7</f>
        <v>232462123</v>
      </c>
      <c r="P7" s="10">
        <v>152924768</v>
      </c>
      <c r="Q7" s="10">
        <v>73699302</v>
      </c>
      <c r="R7" s="10">
        <f>+P7+Q7</f>
        <v>226624070</v>
      </c>
      <c r="S7" s="10">
        <f>-AD!M7-AD!M22</f>
        <v>-52109713</v>
      </c>
      <c r="T7" s="10">
        <f>+R7+S7</f>
        <v>174514357</v>
      </c>
    </row>
    <row r="8" spans="1:20" x14ac:dyDescent="0.25">
      <c r="A8" t="s">
        <v>83</v>
      </c>
      <c r="D8" s="10">
        <v>-91243067</v>
      </c>
      <c r="E8" s="10">
        <v>-128080645</v>
      </c>
      <c r="F8" s="10">
        <f>+D8+E8</f>
        <v>-219323712</v>
      </c>
      <c r="G8" s="10">
        <f>AD!H9+AD!H24+AD!H38</f>
        <v>116845857</v>
      </c>
      <c r="H8" s="10">
        <f>+F8+G8</f>
        <v>-102477855</v>
      </c>
      <c r="J8" s="10">
        <v>-119055718</v>
      </c>
      <c r="K8" s="10">
        <v>-104336370</v>
      </c>
      <c r="L8" s="10">
        <f>+J8+K8</f>
        <v>-223392088</v>
      </c>
      <c r="M8" s="10">
        <f>+AD!J9+AD!J24+AD!J38</f>
        <v>94574016</v>
      </c>
      <c r="N8" s="10">
        <f>+L8+M8</f>
        <v>-128818072</v>
      </c>
      <c r="P8" s="10">
        <v>-71809934</v>
      </c>
      <c r="Q8" s="10">
        <v>-55517093</v>
      </c>
      <c r="R8" s="10">
        <f>+P8+Q8</f>
        <v>-127327027</v>
      </c>
      <c r="S8" s="10">
        <f>+AD!N9+AD!N24+AD!N38</f>
        <v>53367742</v>
      </c>
      <c r="T8" s="10">
        <f>+R8+S8</f>
        <v>-73959285</v>
      </c>
    </row>
    <row r="9" spans="1:20" x14ac:dyDescent="0.25">
      <c r="A9" t="s">
        <v>84</v>
      </c>
      <c r="D9" s="19">
        <f>+D7+D8</f>
        <v>113425269</v>
      </c>
      <c r="E9" s="19">
        <f>+E7+E8</f>
        <v>46708119</v>
      </c>
      <c r="F9" s="19">
        <f>+F7+F8</f>
        <v>160133388</v>
      </c>
      <c r="G9" s="19">
        <f>+G7+G8</f>
        <v>5709560</v>
      </c>
      <c r="H9" s="19">
        <f>+H7+H8</f>
        <v>165842948</v>
      </c>
      <c r="J9" s="19">
        <f>+J7+J8</f>
        <v>70033394</v>
      </c>
      <c r="K9" s="19">
        <f>+K7+K8</f>
        <v>32177576</v>
      </c>
      <c r="L9" s="19">
        <f>+L7+L8</f>
        <v>102210970</v>
      </c>
      <c r="M9" s="19">
        <f>+M7+M8</f>
        <v>1433081</v>
      </c>
      <c r="N9" s="19">
        <f>+N7+N8</f>
        <v>103644051</v>
      </c>
      <c r="P9" s="19">
        <f>+P7+P8</f>
        <v>81114834</v>
      </c>
      <c r="Q9" s="19">
        <f>+Q7+Q8</f>
        <v>18182209</v>
      </c>
      <c r="R9" s="19">
        <f>+R7+R8</f>
        <v>99297043</v>
      </c>
      <c r="S9" s="19">
        <f>+S7+S8</f>
        <v>1258029</v>
      </c>
      <c r="T9" s="19">
        <f>+T7+T8</f>
        <v>100555072</v>
      </c>
    </row>
    <row r="10" spans="1:20" x14ac:dyDescent="0.25">
      <c r="D10" s="10"/>
      <c r="E10" s="10"/>
      <c r="F10" s="10"/>
      <c r="G10" s="10"/>
      <c r="H10" s="10"/>
      <c r="J10" s="10"/>
      <c r="K10" s="10"/>
      <c r="L10" s="10"/>
      <c r="M10" s="10"/>
      <c r="N10" s="10"/>
      <c r="P10" s="10"/>
      <c r="Q10" s="10"/>
      <c r="R10" s="10"/>
      <c r="S10" s="10"/>
      <c r="T10" s="10"/>
    </row>
    <row r="11" spans="1:20" x14ac:dyDescent="0.25">
      <c r="A11" t="s">
        <v>85</v>
      </c>
      <c r="D11" s="10">
        <v>-78246646</v>
      </c>
      <c r="E11" s="10">
        <f>-27675371+3484342</f>
        <v>-24191029</v>
      </c>
      <c r="F11" s="10">
        <f t="shared" ref="F11:F25" si="0">+D11+E11</f>
        <v>-102437675</v>
      </c>
      <c r="G11" s="10"/>
      <c r="H11" s="24">
        <f t="shared" ref="H11:H28" si="1">+F11+G11</f>
        <v>-102437675</v>
      </c>
      <c r="J11" s="24">
        <v>-41266215</v>
      </c>
      <c r="K11" s="24">
        <v>-20672565</v>
      </c>
      <c r="L11" s="41">
        <f>+J11+K11</f>
        <v>-61938780</v>
      </c>
      <c r="M11" s="24"/>
      <c r="N11" s="24">
        <f t="shared" ref="N11:N28" si="2">+L11+M11</f>
        <v>-61938780</v>
      </c>
      <c r="P11" s="10">
        <v>-63291970</v>
      </c>
      <c r="Q11" s="10">
        <v>-14726048</v>
      </c>
      <c r="R11" s="10">
        <f t="shared" ref="R11:R25" si="3">+P11+Q11</f>
        <v>-78018018</v>
      </c>
      <c r="S11" s="10"/>
      <c r="T11" s="24">
        <f t="shared" ref="T11:T28" si="4">+R11+S11</f>
        <v>-78018018</v>
      </c>
    </row>
    <row r="12" spans="1:20" hidden="1" outlineLevel="1" x14ac:dyDescent="0.25">
      <c r="A12" t="s">
        <v>86</v>
      </c>
      <c r="D12" s="10"/>
      <c r="E12" s="10"/>
      <c r="F12" s="10">
        <f t="shared" si="0"/>
        <v>0</v>
      </c>
      <c r="G12" s="10"/>
      <c r="H12" s="10">
        <f t="shared" si="1"/>
        <v>0</v>
      </c>
      <c r="J12" s="10"/>
      <c r="K12" s="10"/>
      <c r="L12" s="10"/>
      <c r="M12" s="10"/>
      <c r="N12" s="10">
        <f t="shared" si="2"/>
        <v>0</v>
      </c>
      <c r="P12" s="10"/>
      <c r="Q12" s="10"/>
      <c r="R12" s="10">
        <f t="shared" si="3"/>
        <v>0</v>
      </c>
      <c r="S12" s="10"/>
      <c r="T12" s="10">
        <f t="shared" si="4"/>
        <v>0</v>
      </c>
    </row>
    <row r="13" spans="1:20" hidden="1" outlineLevel="1" x14ac:dyDescent="0.25">
      <c r="A13" t="s">
        <v>87</v>
      </c>
      <c r="D13" s="10"/>
      <c r="E13" s="10"/>
      <c r="F13" s="10">
        <f t="shared" si="0"/>
        <v>0</v>
      </c>
      <c r="G13" s="10"/>
      <c r="H13" s="10">
        <f t="shared" si="1"/>
        <v>0</v>
      </c>
      <c r="J13" s="10"/>
      <c r="K13" s="10"/>
      <c r="L13" s="10"/>
      <c r="M13" s="10"/>
      <c r="N13" s="10">
        <f t="shared" si="2"/>
        <v>0</v>
      </c>
      <c r="P13" s="10"/>
      <c r="Q13" s="10"/>
      <c r="R13" s="10">
        <f t="shared" si="3"/>
        <v>0</v>
      </c>
      <c r="S13" s="10"/>
      <c r="T13" s="10">
        <f t="shared" si="4"/>
        <v>0</v>
      </c>
    </row>
    <row r="14" spans="1:20" hidden="1" outlineLevel="1" x14ac:dyDescent="0.25">
      <c r="A14" t="s">
        <v>88</v>
      </c>
      <c r="D14" s="10"/>
      <c r="E14" s="10"/>
      <c r="F14" s="10">
        <f t="shared" si="0"/>
        <v>0</v>
      </c>
      <c r="G14" s="10"/>
      <c r="H14" s="10">
        <f t="shared" si="1"/>
        <v>0</v>
      </c>
      <c r="J14" s="10"/>
      <c r="K14" s="10"/>
      <c r="L14" s="10"/>
      <c r="M14" s="10"/>
      <c r="N14" s="10">
        <f t="shared" si="2"/>
        <v>0</v>
      </c>
      <c r="P14" s="10"/>
      <c r="Q14" s="10"/>
      <c r="R14" s="10">
        <f t="shared" si="3"/>
        <v>0</v>
      </c>
      <c r="S14" s="10"/>
      <c r="T14" s="10">
        <f t="shared" si="4"/>
        <v>0</v>
      </c>
    </row>
    <row r="15" spans="1:20" hidden="1" outlineLevel="1" x14ac:dyDescent="0.25">
      <c r="A15" t="s">
        <v>89</v>
      </c>
      <c r="D15" s="10"/>
      <c r="E15" s="10"/>
      <c r="F15" s="10">
        <f t="shared" si="0"/>
        <v>0</v>
      </c>
      <c r="G15" s="10"/>
      <c r="H15" s="10">
        <f t="shared" si="1"/>
        <v>0</v>
      </c>
      <c r="J15" s="10"/>
      <c r="K15" s="10"/>
      <c r="L15" s="10"/>
      <c r="M15" s="10"/>
      <c r="N15" s="10">
        <f t="shared" si="2"/>
        <v>0</v>
      </c>
      <c r="P15" s="10"/>
      <c r="Q15" s="10"/>
      <c r="R15" s="10">
        <f t="shared" si="3"/>
        <v>0</v>
      </c>
      <c r="S15" s="10"/>
      <c r="T15" s="10">
        <f t="shared" si="4"/>
        <v>0</v>
      </c>
    </row>
    <row r="16" spans="1:20" hidden="1" outlineLevel="1" x14ac:dyDescent="0.25">
      <c r="A16" t="s">
        <v>90</v>
      </c>
      <c r="D16" s="10"/>
      <c r="E16" s="10"/>
      <c r="F16" s="10">
        <f t="shared" si="0"/>
        <v>0</v>
      </c>
      <c r="G16" s="10"/>
      <c r="H16" s="10">
        <f t="shared" si="1"/>
        <v>0</v>
      </c>
      <c r="J16" s="10"/>
      <c r="K16" s="10"/>
      <c r="L16" s="10"/>
      <c r="M16" s="10"/>
      <c r="N16" s="10">
        <f t="shared" si="2"/>
        <v>0</v>
      </c>
      <c r="P16" s="10"/>
      <c r="Q16" s="10"/>
      <c r="R16" s="10">
        <f t="shared" si="3"/>
        <v>0</v>
      </c>
      <c r="S16" s="10"/>
      <c r="T16" s="10">
        <f t="shared" si="4"/>
        <v>0</v>
      </c>
    </row>
    <row r="17" spans="1:20" hidden="1" outlineLevel="1" x14ac:dyDescent="0.25">
      <c r="A17" t="s">
        <v>91</v>
      </c>
      <c r="D17" s="10"/>
      <c r="E17" s="10"/>
      <c r="F17" s="10">
        <f t="shared" si="0"/>
        <v>0</v>
      </c>
      <c r="G17" s="10"/>
      <c r="H17" s="10">
        <f t="shared" si="1"/>
        <v>0</v>
      </c>
      <c r="J17" s="10"/>
      <c r="K17" s="10"/>
      <c r="L17" s="10"/>
      <c r="M17" s="10"/>
      <c r="N17" s="10">
        <f t="shared" si="2"/>
        <v>0</v>
      </c>
      <c r="P17" s="10"/>
      <c r="Q17" s="10"/>
      <c r="R17" s="10">
        <f t="shared" si="3"/>
        <v>0</v>
      </c>
      <c r="S17" s="10"/>
      <c r="T17" s="10">
        <f t="shared" si="4"/>
        <v>0</v>
      </c>
    </row>
    <row r="18" spans="1:20" hidden="1" outlineLevel="1" x14ac:dyDescent="0.25">
      <c r="A18" t="s">
        <v>92</v>
      </c>
      <c r="D18" s="10"/>
      <c r="E18" s="10"/>
      <c r="F18" s="10">
        <f t="shared" si="0"/>
        <v>0</v>
      </c>
      <c r="G18" s="10"/>
      <c r="H18" s="10">
        <f t="shared" si="1"/>
        <v>0</v>
      </c>
      <c r="J18" s="10"/>
      <c r="K18" s="10"/>
      <c r="L18" s="10"/>
      <c r="M18" s="10"/>
      <c r="N18" s="10">
        <f t="shared" si="2"/>
        <v>0</v>
      </c>
      <c r="P18" s="10"/>
      <c r="Q18" s="10"/>
      <c r="R18" s="10">
        <f t="shared" si="3"/>
        <v>0</v>
      </c>
      <c r="S18" s="10"/>
      <c r="T18" s="10">
        <f t="shared" si="4"/>
        <v>0</v>
      </c>
    </row>
    <row r="19" spans="1:20" hidden="1" outlineLevel="1" x14ac:dyDescent="0.25">
      <c r="A19" t="s">
        <v>93</v>
      </c>
      <c r="D19" s="10"/>
      <c r="E19" s="10"/>
      <c r="F19" s="10">
        <f t="shared" si="0"/>
        <v>0</v>
      </c>
      <c r="G19" s="10"/>
      <c r="H19" s="10">
        <f t="shared" si="1"/>
        <v>0</v>
      </c>
      <c r="J19" s="10"/>
      <c r="K19" s="10"/>
      <c r="L19" s="10"/>
      <c r="M19" s="10"/>
      <c r="N19" s="10">
        <f t="shared" si="2"/>
        <v>0</v>
      </c>
      <c r="P19" s="10"/>
      <c r="Q19" s="10"/>
      <c r="R19" s="10">
        <f t="shared" si="3"/>
        <v>0</v>
      </c>
      <c r="S19" s="10"/>
      <c r="T19" s="10">
        <f t="shared" si="4"/>
        <v>0</v>
      </c>
    </row>
    <row r="20" spans="1:20" hidden="1" outlineLevel="1" x14ac:dyDescent="0.25">
      <c r="A20" t="s">
        <v>94</v>
      </c>
      <c r="D20" s="10"/>
      <c r="E20" s="10"/>
      <c r="F20" s="10">
        <f t="shared" si="0"/>
        <v>0</v>
      </c>
      <c r="G20" s="10"/>
      <c r="H20" s="10">
        <f t="shared" si="1"/>
        <v>0</v>
      </c>
      <c r="J20" s="10"/>
      <c r="K20" s="10"/>
      <c r="L20" s="10"/>
      <c r="M20" s="10"/>
      <c r="N20" s="10">
        <f t="shared" si="2"/>
        <v>0</v>
      </c>
      <c r="P20" s="10"/>
      <c r="Q20" s="10"/>
      <c r="R20" s="10">
        <f t="shared" si="3"/>
        <v>0</v>
      </c>
      <c r="S20" s="10"/>
      <c r="T20" s="10">
        <f t="shared" si="4"/>
        <v>0</v>
      </c>
    </row>
    <row r="21" spans="1:20" hidden="1" outlineLevel="1" x14ac:dyDescent="0.25">
      <c r="A21" t="s">
        <v>95</v>
      </c>
      <c r="D21" s="10"/>
      <c r="E21" s="10"/>
      <c r="F21" s="10">
        <f t="shared" si="0"/>
        <v>0</v>
      </c>
      <c r="G21" s="10"/>
      <c r="H21" s="10">
        <f t="shared" si="1"/>
        <v>0</v>
      </c>
      <c r="J21" s="10"/>
      <c r="K21" s="10"/>
      <c r="L21" s="10"/>
      <c r="M21" s="10"/>
      <c r="N21" s="10">
        <f t="shared" si="2"/>
        <v>0</v>
      </c>
      <c r="P21" s="10"/>
      <c r="Q21" s="10"/>
      <c r="R21" s="10">
        <f t="shared" si="3"/>
        <v>0</v>
      </c>
      <c r="S21" s="10"/>
      <c r="T21" s="10">
        <f t="shared" si="4"/>
        <v>0</v>
      </c>
    </row>
    <row r="22" spans="1:20" hidden="1" outlineLevel="1" x14ac:dyDescent="0.25">
      <c r="A22" t="s">
        <v>96</v>
      </c>
      <c r="D22" s="10"/>
      <c r="E22" s="10"/>
      <c r="F22" s="10">
        <f t="shared" si="0"/>
        <v>0</v>
      </c>
      <c r="G22" s="10"/>
      <c r="H22" s="10">
        <f t="shared" si="1"/>
        <v>0</v>
      </c>
      <c r="J22" s="10"/>
      <c r="K22" s="10"/>
      <c r="L22" s="10"/>
      <c r="M22" s="10"/>
      <c r="N22" s="10">
        <f t="shared" si="2"/>
        <v>0</v>
      </c>
      <c r="P22" s="10"/>
      <c r="Q22" s="10"/>
      <c r="R22" s="10">
        <f t="shared" si="3"/>
        <v>0</v>
      </c>
      <c r="S22" s="10"/>
      <c r="T22" s="10">
        <f t="shared" si="4"/>
        <v>0</v>
      </c>
    </row>
    <row r="23" spans="1:20" hidden="1" outlineLevel="1" x14ac:dyDescent="0.25">
      <c r="A23" t="s">
        <v>97</v>
      </c>
      <c r="D23" s="10"/>
      <c r="E23" s="10"/>
      <c r="F23" s="10">
        <f t="shared" si="0"/>
        <v>0</v>
      </c>
      <c r="G23" s="10"/>
      <c r="H23" s="10">
        <f t="shared" si="1"/>
        <v>0</v>
      </c>
      <c r="J23" s="10"/>
      <c r="K23" s="10"/>
      <c r="L23" s="10"/>
      <c r="M23" s="10"/>
      <c r="N23" s="10">
        <f t="shared" si="2"/>
        <v>0</v>
      </c>
      <c r="P23" s="10"/>
      <c r="Q23" s="10"/>
      <c r="R23" s="10">
        <f t="shared" si="3"/>
        <v>0</v>
      </c>
      <c r="S23" s="10"/>
      <c r="T23" s="10">
        <f t="shared" si="4"/>
        <v>0</v>
      </c>
    </row>
    <row r="24" spans="1:20" hidden="1" outlineLevel="1" x14ac:dyDescent="0.25">
      <c r="A24" t="s">
        <v>98</v>
      </c>
      <c r="D24" s="10"/>
      <c r="E24" s="10"/>
      <c r="F24" s="10">
        <f t="shared" si="0"/>
        <v>0</v>
      </c>
      <c r="G24" s="10"/>
      <c r="H24" s="10">
        <f t="shared" si="1"/>
        <v>0</v>
      </c>
      <c r="J24" s="10"/>
      <c r="K24" s="10"/>
      <c r="L24" s="10"/>
      <c r="M24" s="10"/>
      <c r="N24" s="10">
        <f t="shared" si="2"/>
        <v>0</v>
      </c>
      <c r="P24" s="10"/>
      <c r="Q24" s="10"/>
      <c r="R24" s="10">
        <f t="shared" si="3"/>
        <v>0</v>
      </c>
      <c r="S24" s="10"/>
      <c r="T24" s="10">
        <f t="shared" si="4"/>
        <v>0</v>
      </c>
    </row>
    <row r="25" spans="1:20" collapsed="1" x14ac:dyDescent="0.25">
      <c r="A25" t="s">
        <v>99</v>
      </c>
      <c r="D25" s="6">
        <f>D11</f>
        <v>-78246646</v>
      </c>
      <c r="E25" s="6">
        <f>E11</f>
        <v>-24191029</v>
      </c>
      <c r="F25" s="6">
        <f t="shared" si="0"/>
        <v>-102437675</v>
      </c>
      <c r="G25" s="6">
        <f>SUM(G12:G24)</f>
        <v>0</v>
      </c>
      <c r="H25" s="10">
        <f t="shared" si="1"/>
        <v>-102437675</v>
      </c>
      <c r="J25" s="10">
        <f>J11</f>
        <v>-41266215</v>
      </c>
      <c r="K25" s="10">
        <f>K11</f>
        <v>-20672565</v>
      </c>
      <c r="L25" s="10">
        <f>+J25+K25</f>
        <v>-61938780</v>
      </c>
      <c r="M25" s="6">
        <v>0</v>
      </c>
      <c r="N25" s="10">
        <f t="shared" si="2"/>
        <v>-61938780</v>
      </c>
      <c r="P25" s="6">
        <f>P11</f>
        <v>-63291970</v>
      </c>
      <c r="Q25" s="6">
        <f>Q11</f>
        <v>-14726048</v>
      </c>
      <c r="R25" s="6">
        <f t="shared" si="3"/>
        <v>-78018018</v>
      </c>
      <c r="S25" s="6">
        <f>SUM(S12:S24)</f>
        <v>0</v>
      </c>
      <c r="T25" s="10">
        <f t="shared" si="4"/>
        <v>-78018018</v>
      </c>
    </row>
    <row r="26" spans="1:20" x14ac:dyDescent="0.25">
      <c r="D26" s="10"/>
      <c r="E26" s="10"/>
      <c r="F26" s="10"/>
      <c r="G26" s="10"/>
      <c r="H26" s="10">
        <f t="shared" si="1"/>
        <v>0</v>
      </c>
      <c r="J26" s="10"/>
      <c r="K26" s="10"/>
      <c r="L26" s="10"/>
      <c r="M26" s="10"/>
      <c r="N26" s="10">
        <f t="shared" si="2"/>
        <v>0</v>
      </c>
      <c r="P26" s="10"/>
      <c r="Q26" s="10"/>
      <c r="R26" s="10"/>
      <c r="S26" s="10"/>
      <c r="T26" s="10">
        <f t="shared" si="4"/>
        <v>0</v>
      </c>
    </row>
    <row r="27" spans="1:20" hidden="1" x14ac:dyDescent="0.25">
      <c r="A27" t="s">
        <v>100</v>
      </c>
      <c r="D27" s="8"/>
      <c r="E27" s="10"/>
      <c r="F27" s="10">
        <f>+D27+E27</f>
        <v>0</v>
      </c>
      <c r="G27" s="10"/>
      <c r="H27" s="10">
        <f t="shared" si="1"/>
        <v>0</v>
      </c>
      <c r="J27" s="8"/>
      <c r="K27" s="10"/>
      <c r="L27" s="10">
        <f>+J27+K27</f>
        <v>0</v>
      </c>
      <c r="M27" s="10"/>
      <c r="N27" s="10">
        <f t="shared" si="2"/>
        <v>0</v>
      </c>
      <c r="P27" s="8"/>
      <c r="Q27" s="10"/>
      <c r="R27" s="10">
        <f>+P27+Q27</f>
        <v>0</v>
      </c>
      <c r="S27" s="10"/>
      <c r="T27" s="10">
        <f t="shared" si="4"/>
        <v>0</v>
      </c>
    </row>
    <row r="28" spans="1:20" x14ac:dyDescent="0.25">
      <c r="A28" t="s">
        <v>101</v>
      </c>
      <c r="D28" s="10">
        <v>-498825</v>
      </c>
      <c r="E28" s="10">
        <v>1386241</v>
      </c>
      <c r="F28" s="10">
        <f>+D28+E28</f>
        <v>887416</v>
      </c>
      <c r="G28" s="10">
        <f>-AD!G16</f>
        <v>-2483589</v>
      </c>
      <c r="H28" s="10">
        <f t="shared" si="1"/>
        <v>-1596173</v>
      </c>
      <c r="J28" s="10">
        <v>53527</v>
      </c>
      <c r="K28" s="10">
        <v>451754</v>
      </c>
      <c r="L28" s="10">
        <f>+J28+K28</f>
        <v>505281</v>
      </c>
      <c r="M28" s="10">
        <f>+AD!J45+AD!J16</f>
        <v>687293</v>
      </c>
      <c r="N28" s="10">
        <f t="shared" si="2"/>
        <v>1192574</v>
      </c>
      <c r="P28" s="10">
        <v>-3618624</v>
      </c>
      <c r="Q28" s="10">
        <f>-85300+344362</f>
        <v>259062</v>
      </c>
      <c r="R28" s="10">
        <f>+P28+Q28</f>
        <v>-3359562</v>
      </c>
      <c r="S28" s="10">
        <f>-AD!M16</f>
        <v>-12940</v>
      </c>
      <c r="T28" s="10">
        <f t="shared" si="4"/>
        <v>-3372502</v>
      </c>
    </row>
    <row r="29" spans="1:20" x14ac:dyDescent="0.25">
      <c r="A29" t="s">
        <v>102</v>
      </c>
      <c r="D29" s="19">
        <f>+D9+D25+D27+D28</f>
        <v>34679798</v>
      </c>
      <c r="E29" s="19">
        <f>+E9+E25+E27+E28</f>
        <v>23903331</v>
      </c>
      <c r="F29" s="19">
        <f>+F9+F25+F27+F28</f>
        <v>58583129</v>
      </c>
      <c r="G29" s="19">
        <f>+G9+G25+G27+G28</f>
        <v>3225971</v>
      </c>
      <c r="H29" s="19">
        <f>+H9+H25+H27+H28</f>
        <v>61809100</v>
      </c>
      <c r="J29" s="19">
        <f>+J9+J25+J27+J28</f>
        <v>28820706</v>
      </c>
      <c r="K29" s="19">
        <f>+K9+K25+K27+K28</f>
        <v>11956765</v>
      </c>
      <c r="L29" s="19">
        <f>+L9+L25+L27+L28</f>
        <v>40777471</v>
      </c>
      <c r="M29" s="19">
        <f>+M9+M25+M27+M28</f>
        <v>2120374</v>
      </c>
      <c r="N29" s="19">
        <f>+N9+N25+N27+N28</f>
        <v>42897845</v>
      </c>
      <c r="P29" s="19">
        <f>+P9+P25+P27+P28</f>
        <v>14204240</v>
      </c>
      <c r="Q29" s="19">
        <f>+Q9+Q25+Q27+Q28</f>
        <v>3715223</v>
      </c>
      <c r="R29" s="19">
        <f>+R9+R25+R27+R28</f>
        <v>17919463</v>
      </c>
      <c r="S29" s="19">
        <f>+S9+S25+S27+S28</f>
        <v>1245089</v>
      </c>
      <c r="T29" s="19">
        <f>+T9+T25+T27+T28</f>
        <v>19164552</v>
      </c>
    </row>
    <row r="30" spans="1:20" x14ac:dyDescent="0.25">
      <c r="D30" s="10"/>
      <c r="E30" s="10"/>
      <c r="F30" s="10"/>
      <c r="G30" s="10"/>
      <c r="H30" s="10"/>
      <c r="J30" s="10"/>
      <c r="K30" s="10"/>
      <c r="L30" s="10"/>
      <c r="M30" s="10"/>
      <c r="N30" s="10"/>
      <c r="P30" s="10"/>
      <c r="Q30" s="10"/>
      <c r="R30" s="10"/>
      <c r="S30" s="10"/>
      <c r="T30" s="10"/>
    </row>
    <row r="31" spans="1:20" x14ac:dyDescent="0.25">
      <c r="A31" t="s">
        <v>103</v>
      </c>
      <c r="D31" s="10">
        <v>-1888991</v>
      </c>
      <c r="E31" s="10">
        <v>-674385</v>
      </c>
      <c r="F31" s="10">
        <f>+D31+E31</f>
        <v>-2563376</v>
      </c>
      <c r="G31" s="10"/>
      <c r="H31" s="10">
        <f>+F31+G31</f>
        <v>-2563376</v>
      </c>
      <c r="J31" s="10">
        <v>-2310882</v>
      </c>
      <c r="K31" s="10">
        <v>-670216</v>
      </c>
      <c r="L31" s="10">
        <f>+J31+K31</f>
        <v>-2981098</v>
      </c>
      <c r="M31" s="10">
        <v>0</v>
      </c>
      <c r="N31" s="10">
        <f>+L31+M31</f>
        <v>-2981098</v>
      </c>
      <c r="P31" s="10">
        <v>-5186848</v>
      </c>
      <c r="Q31" s="10">
        <v>-445202</v>
      </c>
      <c r="R31" s="10">
        <f>+P31+Q31</f>
        <v>-5632050</v>
      </c>
      <c r="S31" s="10"/>
      <c r="T31" s="10">
        <f>+R31+S31</f>
        <v>-5632050</v>
      </c>
    </row>
    <row r="32" spans="1:20" x14ac:dyDescent="0.25">
      <c r="A32" t="s">
        <v>104</v>
      </c>
      <c r="D32" s="19">
        <f>+D29+D31</f>
        <v>32790807</v>
      </c>
      <c r="E32" s="19">
        <f>+E29+E31</f>
        <v>23228946</v>
      </c>
      <c r="F32" s="19">
        <f>+F29+F31</f>
        <v>56019753</v>
      </c>
      <c r="G32" s="19">
        <f>+G29+G31</f>
        <v>3225971</v>
      </c>
      <c r="H32" s="19">
        <f>+H29+H31</f>
        <v>59245724</v>
      </c>
      <c r="J32" s="19">
        <f>+J29+J31</f>
        <v>26509824</v>
      </c>
      <c r="K32" s="19">
        <f>+K29+K31</f>
        <v>11286549</v>
      </c>
      <c r="L32" s="19">
        <f>+L29+L31</f>
        <v>37796373</v>
      </c>
      <c r="M32" s="19">
        <f>+M29+M31</f>
        <v>2120374</v>
      </c>
      <c r="N32" s="19">
        <f>+N29+N31</f>
        <v>39916747</v>
      </c>
      <c r="P32" s="19">
        <f>+P29+P31</f>
        <v>9017392</v>
      </c>
      <c r="Q32" s="19">
        <f>+Q29+Q31</f>
        <v>3270021</v>
      </c>
      <c r="R32" s="19">
        <f>+R29+R31</f>
        <v>12287413</v>
      </c>
      <c r="S32" s="19">
        <f>+S29+S31</f>
        <v>1245089</v>
      </c>
      <c r="T32" s="19">
        <f>+T29+T31</f>
        <v>13532502</v>
      </c>
    </row>
    <row r="33" spans="1:21" x14ac:dyDescent="0.25">
      <c r="D33" s="10"/>
      <c r="E33" s="10"/>
      <c r="F33" s="10"/>
      <c r="G33" s="10"/>
      <c r="H33" s="10"/>
      <c r="J33" s="10"/>
      <c r="K33" s="10"/>
      <c r="L33" s="10"/>
      <c r="M33" s="10"/>
      <c r="N33" s="10"/>
      <c r="P33" s="10"/>
      <c r="Q33" s="10"/>
      <c r="R33" s="10"/>
      <c r="S33" s="10"/>
      <c r="T33" s="10"/>
    </row>
    <row r="34" spans="1:21" x14ac:dyDescent="0.25">
      <c r="A34" t="s">
        <v>105</v>
      </c>
      <c r="D34" s="10">
        <v>-4918620</v>
      </c>
      <c r="E34" s="10">
        <v>-3484342</v>
      </c>
      <c r="F34" s="10">
        <f>+D34+E34</f>
        <v>-8402962</v>
      </c>
      <c r="G34" s="10"/>
      <c r="H34" s="10">
        <f>+F34+G34</f>
        <v>-8402962</v>
      </c>
      <c r="J34" s="10">
        <v>-3976474</v>
      </c>
      <c r="K34" s="10">
        <v>-1692982</v>
      </c>
      <c r="L34" s="10">
        <f>+J34+K34</f>
        <v>-5669456</v>
      </c>
      <c r="M34" s="10"/>
      <c r="N34" s="10">
        <f>+L34+M34</f>
        <v>-5669456</v>
      </c>
      <c r="P34" s="10"/>
      <c r="Q34" s="10"/>
      <c r="R34" s="10"/>
      <c r="S34" s="10"/>
      <c r="T34" s="10"/>
    </row>
    <row r="35" spans="1:21" x14ac:dyDescent="0.25">
      <c r="A35" t="s">
        <v>106</v>
      </c>
      <c r="D35" s="10">
        <v>-12511036</v>
      </c>
      <c r="E35" s="10">
        <v>-5164625</v>
      </c>
      <c r="F35" s="10">
        <f>+D35+E35</f>
        <v>-17675661</v>
      </c>
      <c r="G35" s="10">
        <f>+AD!H60</f>
        <v>1427390</v>
      </c>
      <c r="H35" s="10">
        <f>+F35+G35</f>
        <v>-16248271</v>
      </c>
      <c r="J35" s="10">
        <v>-7316715</v>
      </c>
      <c r="K35" s="10">
        <v>-2500922</v>
      </c>
      <c r="L35" s="10">
        <f>+J35+K35</f>
        <v>-9817637</v>
      </c>
      <c r="M35" s="10">
        <f>-AD!I60</f>
        <v>-358270.25</v>
      </c>
      <c r="N35" s="10">
        <f>+L35+M35</f>
        <v>-10175907.25</v>
      </c>
      <c r="P35" s="10">
        <v>-3550763</v>
      </c>
      <c r="Q35" s="10">
        <v>-676345</v>
      </c>
      <c r="R35" s="10">
        <f>+P35+Q35</f>
        <v>-4227108</v>
      </c>
      <c r="S35" s="10">
        <f>AD!N60</f>
        <v>591847.41514800023</v>
      </c>
      <c r="T35" s="10">
        <f>+R35+S35</f>
        <v>-3635260.5848519998</v>
      </c>
    </row>
    <row r="36" spans="1:21" x14ac:dyDescent="0.25">
      <c r="A36" t="s">
        <v>107</v>
      </c>
      <c r="D36" s="19">
        <f>SUM(D32:D35)</f>
        <v>15361151</v>
      </c>
      <c r="E36" s="19">
        <f>SUM(E32:E35)</f>
        <v>14579979</v>
      </c>
      <c r="F36" s="19">
        <f>SUM(F32:F35)</f>
        <v>29941130</v>
      </c>
      <c r="G36" s="19">
        <f>SUM(G32:G35)</f>
        <v>4653361</v>
      </c>
      <c r="H36" s="19">
        <f>SUM(H32:H35)</f>
        <v>34594491</v>
      </c>
      <c r="J36" s="19">
        <f>SUM(J32:J35)</f>
        <v>15216635</v>
      </c>
      <c r="K36" s="19">
        <f>SUM(K32:K35)</f>
        <v>7092645</v>
      </c>
      <c r="L36" s="19">
        <f>SUM(L32:L35)</f>
        <v>22309280</v>
      </c>
      <c r="M36" s="19">
        <f>SUM(M32:M35)</f>
        <v>1762103.75</v>
      </c>
      <c r="N36" s="19">
        <f>SUM(N32:N35)</f>
        <v>24071383.75</v>
      </c>
      <c r="P36" s="19">
        <f>+P32+P35</f>
        <v>5466629</v>
      </c>
      <c r="Q36" s="19">
        <f>+Q32+Q35</f>
        <v>2593676</v>
      </c>
      <c r="R36" s="19">
        <f>+R32+R35</f>
        <v>8060305</v>
      </c>
      <c r="S36" s="19">
        <f>+S32+S35</f>
        <v>1836936.4151480002</v>
      </c>
      <c r="T36" s="19">
        <f>+T32+T35</f>
        <v>9897241.4151480012</v>
      </c>
    </row>
    <row r="37" spans="1:21" x14ac:dyDescent="0.25">
      <c r="D37" s="42"/>
      <c r="E37" s="42"/>
      <c r="F37" s="42"/>
      <c r="G37" s="42"/>
      <c r="H37" s="42"/>
      <c r="J37" s="42"/>
      <c r="K37" s="42"/>
      <c r="L37" s="42"/>
      <c r="M37" s="42"/>
      <c r="N37" s="42"/>
      <c r="P37" s="42"/>
      <c r="Q37" s="42"/>
      <c r="R37" s="42"/>
      <c r="S37" s="42"/>
      <c r="T37" s="42"/>
    </row>
    <row r="38" spans="1:21" x14ac:dyDescent="0.25">
      <c r="A38" t="s">
        <v>108</v>
      </c>
      <c r="D38" s="10"/>
      <c r="E38" s="10"/>
      <c r="F38" s="10"/>
      <c r="G38" s="10"/>
      <c r="H38" s="10"/>
      <c r="J38" s="10"/>
      <c r="K38" s="10"/>
      <c r="L38" s="10"/>
      <c r="M38" s="10"/>
      <c r="N38" s="10"/>
      <c r="P38" s="10"/>
      <c r="Q38" s="10"/>
      <c r="R38" s="10"/>
      <c r="S38" s="10"/>
      <c r="T38" s="10"/>
    </row>
    <row r="39" spans="1:21" ht="28.9" customHeight="1" x14ac:dyDescent="0.25">
      <c r="A39" s="304" t="s">
        <v>109</v>
      </c>
      <c r="B39" s="304"/>
      <c r="C39" s="304"/>
      <c r="D39" s="10"/>
      <c r="E39" s="10">
        <v>139500</v>
      </c>
      <c r="F39" s="10">
        <f>+D39+E39</f>
        <v>139500</v>
      </c>
      <c r="G39" s="18"/>
      <c r="H39" s="10">
        <f>+F39+G39</f>
        <v>139500</v>
      </c>
      <c r="I39" s="44"/>
      <c r="J39" s="10">
        <v>-1099700</v>
      </c>
      <c r="K39" s="10">
        <v>-15737</v>
      </c>
      <c r="L39" s="10">
        <f>+J39+K39</f>
        <v>-1115437</v>
      </c>
      <c r="M39" s="18"/>
      <c r="N39" s="10">
        <f>+L39+M39</f>
        <v>-1115437</v>
      </c>
      <c r="O39" s="43"/>
      <c r="P39" s="10">
        <v>1849659</v>
      </c>
      <c r="Q39" s="10">
        <v>-26254</v>
      </c>
      <c r="R39" s="10">
        <f>+P39+Q39</f>
        <v>1823405</v>
      </c>
      <c r="S39" s="18"/>
      <c r="T39" s="10">
        <f>+R39+S39</f>
        <v>1823405</v>
      </c>
      <c r="U39" s="44"/>
    </row>
    <row r="40" spans="1:21" x14ac:dyDescent="0.25">
      <c r="A40" t="s">
        <v>107</v>
      </c>
      <c r="D40" s="45">
        <f>+D36+D39</f>
        <v>15361151</v>
      </c>
      <c r="E40" s="19">
        <f>+E36+E39</f>
        <v>14719479</v>
      </c>
      <c r="F40" s="19">
        <f>+F36+F39</f>
        <v>30080630</v>
      </c>
      <c r="G40" s="19">
        <f>+G36+G39</f>
        <v>4653361</v>
      </c>
      <c r="H40" s="19">
        <f>+H36+H39</f>
        <v>34733991</v>
      </c>
      <c r="I40" s="10"/>
      <c r="J40" s="45">
        <f>+J36+J39</f>
        <v>14116935</v>
      </c>
      <c r="K40" s="19">
        <f>+K36+K39</f>
        <v>7076908</v>
      </c>
      <c r="L40" s="19">
        <f>+L36+L39</f>
        <v>21193843</v>
      </c>
      <c r="M40" s="19">
        <f>+M36+M39</f>
        <v>1762103.75</v>
      </c>
      <c r="N40" s="19">
        <f>+N36+N39</f>
        <v>22955946.75</v>
      </c>
      <c r="P40" s="45">
        <f t="shared" ref="P40:U40" si="5">+P36+P39</f>
        <v>7316288</v>
      </c>
      <c r="Q40" s="19">
        <f t="shared" si="5"/>
        <v>2567422</v>
      </c>
      <c r="R40" s="19">
        <f t="shared" si="5"/>
        <v>9883710</v>
      </c>
      <c r="S40" s="19">
        <f t="shared" si="5"/>
        <v>1836936.4151480002</v>
      </c>
      <c r="T40" s="19">
        <f t="shared" si="5"/>
        <v>11720646.415148001</v>
      </c>
      <c r="U40" s="10">
        <f t="shared" si="5"/>
        <v>0</v>
      </c>
    </row>
    <row r="41" spans="1:21" x14ac:dyDescent="0.25">
      <c r="I41" s="44"/>
      <c r="J41" s="46"/>
      <c r="K41" s="47"/>
      <c r="U41" s="44"/>
    </row>
    <row r="42" spans="1:21" x14ac:dyDescent="0.25">
      <c r="B42" s="252" t="s">
        <v>432</v>
      </c>
      <c r="D42" s="253">
        <f>-D35/(D32+D34)</f>
        <v>0.44887170138460969</v>
      </c>
      <c r="E42" s="253">
        <f t="shared" ref="E42:H42" si="6">-E35/(E32+E34)</f>
        <v>0.26157146529755676</v>
      </c>
      <c r="F42" s="253">
        <f t="shared" si="6"/>
        <v>0.37120647210350649</v>
      </c>
      <c r="H42" s="253">
        <f t="shared" si="6"/>
        <v>0.31957884192050778</v>
      </c>
      <c r="I42" s="44"/>
      <c r="J42" s="48"/>
      <c r="K42" s="32"/>
      <c r="M42" s="49"/>
      <c r="N42" s="49"/>
      <c r="U42" s="44"/>
    </row>
    <row r="43" spans="1:21" x14ac:dyDescent="0.25">
      <c r="D43" s="44"/>
      <c r="E43" s="44"/>
      <c r="F43" s="44"/>
    </row>
    <row r="44" spans="1:21" x14ac:dyDescent="0.25">
      <c r="D44" s="2"/>
      <c r="E44" s="44"/>
      <c r="F44" s="44"/>
      <c r="J44" s="7" t="s">
        <v>78</v>
      </c>
      <c r="K44" s="50"/>
      <c r="L44" s="50"/>
      <c r="P44" s="7" t="s">
        <v>78</v>
      </c>
      <c r="Q44" s="50"/>
      <c r="R44" s="50"/>
    </row>
    <row r="45" spans="1:21" x14ac:dyDescent="0.25">
      <c r="D45" s="2"/>
      <c r="E45" s="44"/>
      <c r="F45" s="44"/>
      <c r="J45" s="2" t="s">
        <v>79</v>
      </c>
      <c r="P45" s="2" t="s">
        <v>79</v>
      </c>
    </row>
  </sheetData>
  <mergeCells count="1">
    <mergeCell ref="A39:C39"/>
  </mergeCells>
  <pageMargins left="0.7" right="0.7" top="0.75" bottom="0.75" header="0.51180555555555496" footer="0.51180555555555496"/>
  <pageSetup scale="88" firstPageNumber="0" orientation="portrait" horizontalDpi="300" verticalDpi="300" r:id="rId1"/>
  <colBreaks count="1" manualBreakCount="1">
    <brk id="20"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84"/>
  <sheetViews>
    <sheetView tabSelected="1" zoomScaleNormal="100" workbookViewId="0">
      <pane xSplit="4" ySplit="5" topLeftCell="E13" activePane="bottomRight" state="frozen"/>
      <selection pane="topRight" activeCell="E1" sqref="E1"/>
      <selection pane="bottomLeft" activeCell="A64" sqref="A64"/>
      <selection pane="bottomRight" activeCell="H13" sqref="H13"/>
    </sheetView>
  </sheetViews>
  <sheetFormatPr defaultColWidth="11.42578125" defaultRowHeight="15" outlineLevelCol="1" x14ac:dyDescent="0.25"/>
  <cols>
    <col min="1" max="1" width="1.28515625" customWidth="1"/>
    <col min="2" max="2" width="1.5703125" customWidth="1"/>
    <col min="3" max="3" width="21.42578125" customWidth="1"/>
    <col min="4" max="4" width="20.28515625" customWidth="1"/>
    <col min="5" max="5" width="13.42578125" style="262" customWidth="1" outlineLevel="1"/>
    <col min="6" max="6" width="14.140625" style="262" customWidth="1" outlineLevel="1"/>
    <col min="7" max="7" width="13.42578125" customWidth="1" outlineLevel="1"/>
    <col min="8" max="8" width="12.140625" customWidth="1" outlineLevel="1"/>
    <col min="9" max="9" width="13.42578125" bestFit="1" customWidth="1"/>
    <col min="10" max="10" width="1.85546875" style="44" customWidth="1"/>
    <col min="11" max="11" width="13.42578125" style="262" hidden="1" customWidth="1" outlineLevel="1"/>
    <col min="12" max="12" width="14.140625" style="262" hidden="1" customWidth="1" outlineLevel="1"/>
    <col min="13" max="13" width="13.42578125" hidden="1" customWidth="1" outlineLevel="1"/>
    <col min="14" max="14" width="12.140625" hidden="1" customWidth="1" outlineLevel="1"/>
    <col min="15" max="15" width="13.42578125" bestFit="1" customWidth="1" collapsed="1"/>
    <col min="16" max="16" width="3" customWidth="1"/>
    <col min="17" max="17" width="12.42578125" hidden="1" customWidth="1"/>
    <col min="18" max="18" width="14.140625" hidden="1" customWidth="1"/>
    <col min="19" max="19" width="12.7109375" hidden="1" customWidth="1"/>
    <col min="20" max="20" width="12.5703125" hidden="1" customWidth="1"/>
    <col min="21" max="21" width="12.28515625" hidden="1" customWidth="1"/>
    <col min="22" max="22" width="2.5703125" hidden="1" customWidth="1"/>
    <col min="23" max="23" width="12.28515625" style="262" hidden="1" customWidth="1"/>
    <col min="24" max="24" width="14.140625" style="262" hidden="1" customWidth="1"/>
    <col min="25" max="25" width="12.7109375" hidden="1" customWidth="1"/>
    <col min="26" max="27" width="12.140625" hidden="1" customWidth="1"/>
    <col min="28" max="28" width="3" hidden="1" customWidth="1"/>
  </cols>
  <sheetData>
    <row r="1" spans="1:29" x14ac:dyDescent="0.25">
      <c r="A1" s="261" t="s">
        <v>12</v>
      </c>
    </row>
    <row r="2" spans="1:29" x14ac:dyDescent="0.25">
      <c r="A2" s="263" t="s">
        <v>110</v>
      </c>
      <c r="R2" s="262"/>
    </row>
    <row r="3" spans="1:29" x14ac:dyDescent="0.25">
      <c r="A3" s="263" t="s">
        <v>13</v>
      </c>
      <c r="E3" s="264"/>
      <c r="F3" s="264"/>
      <c r="G3" s="17"/>
      <c r="H3" s="17"/>
      <c r="I3" s="17"/>
      <c r="K3" s="264"/>
      <c r="L3" s="264"/>
      <c r="M3" s="17"/>
      <c r="N3" s="17"/>
      <c r="O3" s="17"/>
      <c r="Q3" s="264"/>
      <c r="R3" s="264"/>
      <c r="S3" s="17"/>
      <c r="T3" s="17"/>
      <c r="U3" s="17"/>
      <c r="W3" s="264"/>
      <c r="X3" s="264"/>
      <c r="Y3" s="17"/>
      <c r="Z3" s="17"/>
      <c r="AA3" s="17"/>
    </row>
    <row r="4" spans="1:29" x14ac:dyDescent="0.25">
      <c r="A4" t="s">
        <v>14</v>
      </c>
      <c r="E4" s="265"/>
      <c r="F4" s="265"/>
      <c r="G4" s="18"/>
      <c r="H4" s="266"/>
      <c r="I4" s="266">
        <v>2020</v>
      </c>
      <c r="K4" s="265"/>
      <c r="L4" s="265"/>
      <c r="M4" s="18"/>
      <c r="N4" s="266" t="s">
        <v>15</v>
      </c>
      <c r="O4" s="266">
        <v>2019</v>
      </c>
      <c r="Q4" s="265"/>
      <c r="R4" s="265"/>
      <c r="S4" s="18"/>
      <c r="T4" s="266" t="s">
        <v>15</v>
      </c>
      <c r="U4" s="266">
        <v>2018</v>
      </c>
      <c r="W4" s="265"/>
      <c r="X4" s="265"/>
      <c r="Y4" s="18"/>
      <c r="Z4" s="266" t="s">
        <v>15</v>
      </c>
      <c r="AA4" s="266">
        <v>2017</v>
      </c>
    </row>
    <row r="5" spans="1:29" x14ac:dyDescent="0.25">
      <c r="E5" s="267" t="s">
        <v>16</v>
      </c>
      <c r="F5" s="267" t="s">
        <v>17</v>
      </c>
      <c r="G5" s="268" t="s">
        <v>18</v>
      </c>
      <c r="H5" s="268" t="s">
        <v>454</v>
      </c>
      <c r="I5" s="268" t="s">
        <v>20</v>
      </c>
      <c r="K5" s="267" t="s">
        <v>16</v>
      </c>
      <c r="L5" s="267" t="s">
        <v>17</v>
      </c>
      <c r="M5" s="268" t="s">
        <v>18</v>
      </c>
      <c r="N5" s="269" t="s">
        <v>19</v>
      </c>
      <c r="O5" s="268" t="s">
        <v>20</v>
      </c>
      <c r="Q5" s="267" t="s">
        <v>16</v>
      </c>
      <c r="R5" s="267" t="s">
        <v>17</v>
      </c>
      <c r="S5" s="268" t="s">
        <v>18</v>
      </c>
      <c r="T5" s="269" t="s">
        <v>19</v>
      </c>
      <c r="U5" s="268" t="s">
        <v>20</v>
      </c>
      <c r="W5" s="267" t="s">
        <v>16</v>
      </c>
      <c r="X5" s="267" t="s">
        <v>17</v>
      </c>
      <c r="Y5" s="268" t="s">
        <v>18</v>
      </c>
      <c r="Z5" s="269" t="s">
        <v>19</v>
      </c>
      <c r="AA5" s="268" t="s">
        <v>20</v>
      </c>
    </row>
    <row r="6" spans="1:29" x14ac:dyDescent="0.25">
      <c r="E6" s="265"/>
      <c r="F6" s="265"/>
      <c r="G6" s="18"/>
      <c r="H6" s="18"/>
      <c r="I6" s="18"/>
      <c r="K6" s="265"/>
      <c r="L6" s="265"/>
      <c r="M6" s="18"/>
      <c r="N6" s="18"/>
      <c r="O6" s="18"/>
      <c r="Q6" s="265"/>
      <c r="R6" s="265"/>
      <c r="S6" s="18"/>
      <c r="T6" s="18"/>
      <c r="U6" s="18"/>
      <c r="W6" s="265"/>
      <c r="X6" s="265"/>
      <c r="Y6" s="18"/>
      <c r="Z6" s="18"/>
      <c r="AA6" s="18"/>
    </row>
    <row r="7" spans="1:29" x14ac:dyDescent="0.25">
      <c r="B7" s="270" t="s">
        <v>111</v>
      </c>
      <c r="C7" s="50"/>
      <c r="D7" s="51"/>
      <c r="E7" s="265"/>
      <c r="F7" s="265"/>
      <c r="G7" s="265"/>
      <c r="H7" s="265"/>
      <c r="I7" s="265"/>
      <c r="J7" s="52"/>
      <c r="K7" s="265"/>
      <c r="L7" s="265"/>
      <c r="M7" s="265"/>
      <c r="N7" s="265"/>
      <c r="O7" s="265"/>
      <c r="Q7" s="265"/>
      <c r="R7" s="265"/>
      <c r="S7" s="265"/>
      <c r="T7" s="265"/>
      <c r="U7" s="265"/>
      <c r="V7" s="52"/>
      <c r="W7" s="265"/>
      <c r="X7" s="265"/>
      <c r="Y7" s="265"/>
      <c r="Z7" s="265"/>
      <c r="AA7" s="265"/>
    </row>
    <row r="8" spans="1:29" x14ac:dyDescent="0.25">
      <c r="B8" s="271" t="s">
        <v>112</v>
      </c>
      <c r="D8" s="52"/>
      <c r="E8" s="265">
        <f>+ER!D32+ER!D34</f>
        <v>27872187</v>
      </c>
      <c r="F8" s="265">
        <f>+ER!E32+ER!E34</f>
        <v>19744604</v>
      </c>
      <c r="G8" s="265">
        <f>+E8+F8</f>
        <v>47616791</v>
      </c>
      <c r="H8" s="265">
        <f>+ER!G32+ER!G34</f>
        <v>3225971</v>
      </c>
      <c r="I8" s="290">
        <f t="shared" ref="I8:I19" si="0">+G8+H8</f>
        <v>50842762</v>
      </c>
      <c r="J8" s="52"/>
      <c r="K8" s="265">
        <v>21433650</v>
      </c>
      <c r="L8" s="265">
        <v>9577830</v>
      </c>
      <c r="M8" s="265">
        <v>31011480</v>
      </c>
      <c r="N8" s="265">
        <v>2120374</v>
      </c>
      <c r="O8" s="265">
        <v>33131854</v>
      </c>
      <c r="Q8" s="265">
        <f>[1]ER!J32</f>
        <v>13627931.449999988</v>
      </c>
      <c r="R8" s="265">
        <v>5215409</v>
      </c>
      <c r="S8" s="265">
        <f>+Q8+R8</f>
        <v>18843340.449999988</v>
      </c>
      <c r="T8" s="265">
        <f>+[1]ER!M32</f>
        <v>3639537</v>
      </c>
      <c r="U8" s="265">
        <f>+S8+T8</f>
        <v>22482877.449999988</v>
      </c>
      <c r="V8" s="52"/>
      <c r="W8" s="265">
        <f>10608696-1591304</f>
        <v>9017392</v>
      </c>
      <c r="X8" s="265">
        <v>3270021</v>
      </c>
      <c r="Y8" s="265">
        <f>+W8+X8</f>
        <v>12287413</v>
      </c>
      <c r="Z8" s="265">
        <f>+[1]ER!S32</f>
        <v>1245089</v>
      </c>
      <c r="AA8" s="265">
        <f>+Y8+Z8</f>
        <v>13532502</v>
      </c>
      <c r="AC8" s="284">
        <f>+I8-'Hoja de trabajo'!K47</f>
        <v>0</v>
      </c>
    </row>
    <row r="9" spans="1:29" ht="28.15" customHeight="1" x14ac:dyDescent="0.25">
      <c r="B9" s="305" t="s">
        <v>113</v>
      </c>
      <c r="C9" s="306"/>
      <c r="D9" s="307"/>
      <c r="E9" s="265"/>
      <c r="F9" s="265"/>
      <c r="G9" s="265"/>
      <c r="H9" s="265"/>
      <c r="I9" s="265"/>
      <c r="J9" s="293"/>
      <c r="K9" s="265"/>
      <c r="L9" s="265"/>
      <c r="M9" s="265"/>
      <c r="N9" s="265"/>
      <c r="O9" s="265"/>
      <c r="Q9" s="265"/>
      <c r="R9" s="265"/>
      <c r="S9" s="265"/>
      <c r="T9" s="265"/>
      <c r="U9" s="265"/>
      <c r="V9" s="55"/>
      <c r="W9" s="265"/>
      <c r="X9" s="265"/>
      <c r="Y9" s="265"/>
      <c r="Z9" s="265"/>
      <c r="AA9" s="265"/>
    </row>
    <row r="10" spans="1:29" x14ac:dyDescent="0.25">
      <c r="B10" s="30"/>
      <c r="C10" t="s">
        <v>114</v>
      </c>
      <c r="D10" s="52"/>
      <c r="E10" s="265">
        <v>-177231</v>
      </c>
      <c r="F10" s="265">
        <v>519980</v>
      </c>
      <c r="G10" s="265">
        <f t="shared" ref="G10:G21" si="1">+E10+F10</f>
        <v>342749</v>
      </c>
      <c r="H10" s="265"/>
      <c r="I10" s="290">
        <f t="shared" si="0"/>
        <v>342749</v>
      </c>
      <c r="J10" s="52"/>
      <c r="K10" s="265">
        <v>49054</v>
      </c>
      <c r="L10" s="265">
        <v>251248</v>
      </c>
      <c r="M10" s="265">
        <v>300302</v>
      </c>
      <c r="N10" s="265"/>
      <c r="O10" s="265">
        <v>300302</v>
      </c>
      <c r="Q10" s="265">
        <v>23826</v>
      </c>
      <c r="R10" s="265">
        <v>511226</v>
      </c>
      <c r="S10" s="265">
        <f t="shared" ref="S10:S21" si="2">+Q10+R10</f>
        <v>535052</v>
      </c>
      <c r="T10" s="265"/>
      <c r="U10" s="265">
        <f t="shared" ref="U10:U21" si="3">+S10+T10</f>
        <v>535052</v>
      </c>
      <c r="V10" s="52"/>
      <c r="W10" s="265">
        <v>200000</v>
      </c>
      <c r="X10" s="265">
        <v>281795</v>
      </c>
      <c r="Y10" s="265">
        <f t="shared" ref="Y10:Y20" si="4">+W10+X10</f>
        <v>481795</v>
      </c>
      <c r="Z10" s="265"/>
      <c r="AA10" s="265">
        <f t="shared" ref="AA10:AA20" si="5">+Y10+Z10</f>
        <v>481795</v>
      </c>
    </row>
    <row r="11" spans="1:29" x14ac:dyDescent="0.25">
      <c r="B11" s="30"/>
      <c r="C11" t="s">
        <v>186</v>
      </c>
      <c r="D11" s="52"/>
      <c r="E11" s="265">
        <v>0</v>
      </c>
      <c r="F11" s="265"/>
      <c r="G11" s="265">
        <f>+'Hoja de trabajo'!B39</f>
        <v>-3148336</v>
      </c>
      <c r="H11" s="265"/>
      <c r="I11" s="265">
        <f t="shared" si="0"/>
        <v>-3148336</v>
      </c>
      <c r="J11" s="52"/>
      <c r="K11" s="265"/>
      <c r="L11" s="265"/>
      <c r="M11" s="265">
        <v>0</v>
      </c>
      <c r="N11" s="265"/>
      <c r="O11" s="265">
        <v>0</v>
      </c>
      <c r="Q11" s="265">
        <v>2607519</v>
      </c>
      <c r="R11" s="265"/>
      <c r="S11" s="265">
        <f t="shared" si="2"/>
        <v>2607519</v>
      </c>
      <c r="T11" s="265"/>
      <c r="U11" s="265">
        <f t="shared" si="3"/>
        <v>2607519</v>
      </c>
      <c r="V11" s="52"/>
      <c r="W11" s="265">
        <v>2268000</v>
      </c>
      <c r="X11" s="265"/>
      <c r="Y11" s="265">
        <f t="shared" si="4"/>
        <v>2268000</v>
      </c>
      <c r="Z11" s="265"/>
      <c r="AA11" s="265">
        <f t="shared" si="5"/>
        <v>2268000</v>
      </c>
    </row>
    <row r="12" spans="1:29" x14ac:dyDescent="0.25">
      <c r="B12" s="30"/>
      <c r="C12" t="s">
        <v>115</v>
      </c>
      <c r="D12" s="52"/>
      <c r="E12" s="265">
        <v>15870446</v>
      </c>
      <c r="F12" s="265">
        <v>9966219</v>
      </c>
      <c r="G12" s="265">
        <f t="shared" si="1"/>
        <v>25836665</v>
      </c>
      <c r="H12" s="265">
        <f>-AD!H38</f>
        <v>-9828510</v>
      </c>
      <c r="I12" s="265">
        <f t="shared" si="0"/>
        <v>16008155</v>
      </c>
      <c r="J12" s="52"/>
      <c r="K12" s="265">
        <v>18732617</v>
      </c>
      <c r="L12" s="265">
        <v>9736239</v>
      </c>
      <c r="M12" s="265">
        <v>28468856</v>
      </c>
      <c r="N12" s="265"/>
      <c r="O12" s="265">
        <v>28468856</v>
      </c>
      <c r="Q12" s="265">
        <v>19329207</v>
      </c>
      <c r="R12" s="265">
        <v>9817785</v>
      </c>
      <c r="S12" s="265">
        <f t="shared" si="2"/>
        <v>29146992</v>
      </c>
      <c r="T12" s="265">
        <f>-[1]AD!J41</f>
        <v>-9726442</v>
      </c>
      <c r="U12" s="265">
        <f t="shared" si="3"/>
        <v>19420550</v>
      </c>
      <c r="V12" s="52"/>
      <c r="W12" s="265">
        <v>17346688</v>
      </c>
      <c r="X12" s="265">
        <v>8496450</v>
      </c>
      <c r="Y12" s="265">
        <f t="shared" si="4"/>
        <v>25843138</v>
      </c>
      <c r="Z12" s="265">
        <f>-[1]AD!L41</f>
        <v>-8402210</v>
      </c>
      <c r="AA12" s="265">
        <f t="shared" si="5"/>
        <v>17440928</v>
      </c>
    </row>
    <row r="13" spans="1:29" x14ac:dyDescent="0.25">
      <c r="B13" s="30"/>
      <c r="C13" t="s">
        <v>116</v>
      </c>
      <c r="D13" s="52"/>
      <c r="E13" s="265">
        <v>39210</v>
      </c>
      <c r="F13" s="265"/>
      <c r="G13" s="265">
        <f t="shared" si="1"/>
        <v>39210</v>
      </c>
      <c r="H13" s="265"/>
      <c r="I13" s="265">
        <f t="shared" si="0"/>
        <v>39210</v>
      </c>
      <c r="J13" s="52"/>
      <c r="K13" s="265">
        <v>39210</v>
      </c>
      <c r="L13" s="265"/>
      <c r="M13" s="265">
        <v>39210</v>
      </c>
      <c r="N13" s="265"/>
      <c r="O13" s="265">
        <v>39210</v>
      </c>
      <c r="Q13" s="265">
        <v>37744</v>
      </c>
      <c r="R13" s="265"/>
      <c r="S13" s="265">
        <f t="shared" si="2"/>
        <v>37744</v>
      </c>
      <c r="T13" s="265"/>
      <c r="U13" s="265">
        <f t="shared" si="3"/>
        <v>37744</v>
      </c>
      <c r="V13" s="52"/>
      <c r="W13" s="265">
        <v>39210</v>
      </c>
      <c r="X13" s="265"/>
      <c r="Y13" s="265">
        <f t="shared" si="4"/>
        <v>39210</v>
      </c>
      <c r="Z13" s="265"/>
      <c r="AA13" s="265">
        <f t="shared" si="5"/>
        <v>39210</v>
      </c>
    </row>
    <row r="14" spans="1:29" x14ac:dyDescent="0.25">
      <c r="B14" s="30"/>
      <c r="C14" s="306" t="s">
        <v>117</v>
      </c>
      <c r="D14" s="307"/>
      <c r="E14" s="265">
        <v>1804437</v>
      </c>
      <c r="F14" s="265">
        <v>603596</v>
      </c>
      <c r="G14" s="265">
        <f t="shared" si="1"/>
        <v>2408033</v>
      </c>
      <c r="H14" s="265"/>
      <c r="I14" s="265">
        <f t="shared" si="0"/>
        <v>2408033</v>
      </c>
      <c r="J14" s="293"/>
      <c r="K14" s="265">
        <v>1484293</v>
      </c>
      <c r="L14" s="265">
        <v>565841</v>
      </c>
      <c r="M14" s="265">
        <v>2050134</v>
      </c>
      <c r="N14" s="265"/>
      <c r="O14" s="265">
        <v>2050134</v>
      </c>
      <c r="Q14" s="265">
        <v>0</v>
      </c>
      <c r="R14" s="265"/>
      <c r="S14" s="265">
        <f t="shared" si="2"/>
        <v>0</v>
      </c>
      <c r="T14" s="265"/>
      <c r="U14" s="265">
        <f t="shared" si="3"/>
        <v>0</v>
      </c>
      <c r="V14" s="55"/>
      <c r="W14" s="265"/>
      <c r="X14" s="265"/>
      <c r="Y14" s="265">
        <f t="shared" si="4"/>
        <v>0</v>
      </c>
      <c r="Z14" s="265"/>
      <c r="AA14" s="265">
        <f t="shared" si="5"/>
        <v>0</v>
      </c>
    </row>
    <row r="15" spans="1:29" x14ac:dyDescent="0.25">
      <c r="B15" s="30"/>
      <c r="C15" t="s">
        <v>453</v>
      </c>
      <c r="D15" s="52"/>
      <c r="E15" s="265">
        <v>-681410</v>
      </c>
      <c r="F15" s="265">
        <f>5180994-5208998</f>
        <v>-28004</v>
      </c>
      <c r="G15" s="265">
        <f t="shared" si="1"/>
        <v>-709414</v>
      </c>
      <c r="H15" s="265"/>
      <c r="I15" s="265">
        <f t="shared" si="0"/>
        <v>-709414</v>
      </c>
      <c r="J15" s="52"/>
      <c r="K15" s="265"/>
      <c r="L15" s="265"/>
      <c r="M15" s="265">
        <v>0</v>
      </c>
      <c r="N15" s="265"/>
      <c r="O15" s="265">
        <v>0</v>
      </c>
      <c r="Q15" s="265">
        <v>0</v>
      </c>
      <c r="R15" s="265"/>
      <c r="S15" s="265">
        <f t="shared" si="2"/>
        <v>0</v>
      </c>
      <c r="T15" s="265"/>
      <c r="U15" s="265">
        <f t="shared" si="3"/>
        <v>0</v>
      </c>
      <c r="V15" s="52"/>
      <c r="W15" s="265">
        <v>0</v>
      </c>
      <c r="X15" s="265"/>
      <c r="Y15" s="265">
        <f t="shared" si="4"/>
        <v>0</v>
      </c>
      <c r="Z15" s="265"/>
      <c r="AA15" s="265">
        <f t="shared" si="5"/>
        <v>0</v>
      </c>
    </row>
    <row r="16" spans="1:29" x14ac:dyDescent="0.25">
      <c r="B16" s="30"/>
      <c r="C16" t="s">
        <v>118</v>
      </c>
      <c r="D16" s="52"/>
      <c r="E16" s="265">
        <v>2165288</v>
      </c>
      <c r="F16" s="265">
        <v>52799</v>
      </c>
      <c r="G16" s="265">
        <f t="shared" si="1"/>
        <v>2218087</v>
      </c>
      <c r="H16" s="265"/>
      <c r="I16" s="265">
        <f t="shared" si="0"/>
        <v>2218087</v>
      </c>
      <c r="J16" s="52"/>
      <c r="K16" s="265">
        <v>2692522</v>
      </c>
      <c r="L16" s="265">
        <v>31853</v>
      </c>
      <c r="M16" s="265">
        <v>2724375</v>
      </c>
      <c r="N16" s="265"/>
      <c r="O16" s="265">
        <v>2724375</v>
      </c>
      <c r="Q16" s="265">
        <v>2230401</v>
      </c>
      <c r="R16" s="265">
        <v>25583</v>
      </c>
      <c r="S16" s="265">
        <f t="shared" si="2"/>
        <v>2255984</v>
      </c>
      <c r="T16" s="265"/>
      <c r="U16" s="265">
        <f t="shared" si="3"/>
        <v>2255984</v>
      </c>
      <c r="V16" s="52"/>
      <c r="W16" s="265">
        <v>2028637</v>
      </c>
      <c r="X16" s="265">
        <v>26371</v>
      </c>
      <c r="Y16" s="265">
        <f t="shared" si="4"/>
        <v>2055008</v>
      </c>
      <c r="Z16" s="265"/>
      <c r="AA16" s="265">
        <f t="shared" si="5"/>
        <v>2055008</v>
      </c>
    </row>
    <row r="17" spans="2:27" x14ac:dyDescent="0.25">
      <c r="B17" s="30"/>
      <c r="C17" t="s">
        <v>119</v>
      </c>
      <c r="D17" s="52"/>
      <c r="E17" s="265">
        <v>4918620</v>
      </c>
      <c r="F17" s="265">
        <f>-ER!E34</f>
        <v>3484342</v>
      </c>
      <c r="G17" s="265">
        <f t="shared" si="1"/>
        <v>8402962</v>
      </c>
      <c r="H17" s="265"/>
      <c r="I17" s="265">
        <f t="shared" si="0"/>
        <v>8402962</v>
      </c>
      <c r="J17" s="52"/>
      <c r="K17" s="265">
        <v>3976474</v>
      </c>
      <c r="L17" s="265">
        <v>1692982</v>
      </c>
      <c r="M17" s="265">
        <v>5669456</v>
      </c>
      <c r="N17" s="265"/>
      <c r="O17" s="265">
        <v>5669456</v>
      </c>
      <c r="Q17" s="265">
        <v>2404929</v>
      </c>
      <c r="R17" s="265"/>
      <c r="S17" s="265">
        <f t="shared" si="2"/>
        <v>2404929</v>
      </c>
      <c r="T17" s="265"/>
      <c r="U17" s="265">
        <f t="shared" si="3"/>
        <v>2404929</v>
      </c>
      <c r="V17" s="52"/>
      <c r="W17" s="265">
        <v>3074772</v>
      </c>
      <c r="X17" s="265"/>
      <c r="Y17" s="265">
        <f t="shared" si="4"/>
        <v>3074772</v>
      </c>
      <c r="Z17" s="265"/>
      <c r="AA17" s="265">
        <f t="shared" si="5"/>
        <v>3074772</v>
      </c>
    </row>
    <row r="18" spans="2:27" x14ac:dyDescent="0.25">
      <c r="B18" s="30"/>
      <c r="C18" t="s">
        <v>120</v>
      </c>
      <c r="D18" s="52"/>
      <c r="E18" s="265">
        <v>882007</v>
      </c>
      <c r="F18" s="265">
        <f>436847+158319</f>
        <v>595166</v>
      </c>
      <c r="G18" s="265">
        <f t="shared" si="1"/>
        <v>1477173</v>
      </c>
      <c r="H18" s="265"/>
      <c r="I18" s="265">
        <f t="shared" si="0"/>
        <v>1477173</v>
      </c>
      <c r="J18" s="52"/>
      <c r="K18" s="265">
        <v>2973618</v>
      </c>
      <c r="L18" s="265">
        <v>331030</v>
      </c>
      <c r="M18" s="265">
        <v>3304648</v>
      </c>
      <c r="N18" s="265"/>
      <c r="O18" s="265">
        <v>3304648</v>
      </c>
      <c r="Q18" s="265">
        <v>1293142</v>
      </c>
      <c r="R18" s="265">
        <v>251418</v>
      </c>
      <c r="S18" s="265">
        <f t="shared" si="2"/>
        <v>1544560</v>
      </c>
      <c r="T18" s="265"/>
      <c r="U18" s="265">
        <f t="shared" si="3"/>
        <v>1544560</v>
      </c>
      <c r="V18" s="52"/>
      <c r="W18" s="265">
        <v>1591304</v>
      </c>
      <c r="X18" s="265"/>
      <c r="Y18" s="265">
        <f t="shared" si="4"/>
        <v>1591304</v>
      </c>
      <c r="Z18" s="265"/>
      <c r="AA18" s="265">
        <f t="shared" si="5"/>
        <v>1591304</v>
      </c>
    </row>
    <row r="19" spans="2:27" x14ac:dyDescent="0.25">
      <c r="B19" s="30"/>
      <c r="C19" t="s">
        <v>121</v>
      </c>
      <c r="D19" s="52"/>
      <c r="F19" s="265"/>
      <c r="G19" s="265">
        <f>+'Hoja de trabajo'!B98</f>
        <v>-1571924.1851480007</v>
      </c>
      <c r="H19" s="290">
        <f>+AD!G59</f>
        <v>1427390</v>
      </c>
      <c r="I19" s="265">
        <f t="shared" si="0"/>
        <v>-144534.18514800072</v>
      </c>
      <c r="J19" s="52"/>
      <c r="K19" s="265"/>
      <c r="L19" s="265"/>
      <c r="M19" s="265">
        <v>0</v>
      </c>
      <c r="N19" s="265"/>
      <c r="O19" s="265">
        <v>358270.24999999953</v>
      </c>
      <c r="Q19" s="265">
        <v>7559526</v>
      </c>
      <c r="R19" s="265"/>
      <c r="S19" s="265">
        <f t="shared" si="2"/>
        <v>7559526</v>
      </c>
      <c r="T19" s="265"/>
      <c r="U19" s="265">
        <f t="shared" si="3"/>
        <v>7559526</v>
      </c>
      <c r="V19" s="52"/>
      <c r="W19" s="265">
        <f>1308073+234029</f>
        <v>1542102</v>
      </c>
      <c r="X19" s="265">
        <v>175726</v>
      </c>
      <c r="Y19" s="265">
        <f t="shared" si="4"/>
        <v>1717828</v>
      </c>
      <c r="Z19" s="265"/>
      <c r="AA19" s="265">
        <f t="shared" si="5"/>
        <v>1717828</v>
      </c>
    </row>
    <row r="20" spans="2:27" x14ac:dyDescent="0.25">
      <c r="B20" s="30"/>
      <c r="C20" t="s">
        <v>122</v>
      </c>
      <c r="D20" s="52"/>
      <c r="E20" s="265"/>
      <c r="F20" s="265"/>
      <c r="G20" s="265">
        <f t="shared" si="1"/>
        <v>0</v>
      </c>
      <c r="H20" s="265"/>
      <c r="I20" s="265">
        <f>+'Hoja de trabajo'!K40</f>
        <v>2444175</v>
      </c>
      <c r="J20" s="52"/>
      <c r="K20" s="265"/>
      <c r="L20" s="265"/>
      <c r="M20" s="265">
        <v>0</v>
      </c>
      <c r="N20" s="265"/>
      <c r="O20" s="265">
        <v>-1881937</v>
      </c>
      <c r="Q20" s="265">
        <v>251108</v>
      </c>
      <c r="R20" s="265"/>
      <c r="S20" s="265">
        <f t="shared" si="2"/>
        <v>251108</v>
      </c>
      <c r="T20" s="265"/>
      <c r="U20" s="265">
        <f t="shared" si="3"/>
        <v>251108</v>
      </c>
      <c r="V20" s="52"/>
      <c r="W20" s="265"/>
      <c r="X20" s="265"/>
      <c r="Y20" s="265">
        <f t="shared" si="4"/>
        <v>0</v>
      </c>
      <c r="Z20" s="265"/>
      <c r="AA20" s="265">
        <f t="shared" si="5"/>
        <v>0</v>
      </c>
    </row>
    <row r="21" spans="2:27" x14ac:dyDescent="0.25">
      <c r="B21" s="30"/>
      <c r="D21" s="52"/>
      <c r="E21" s="265"/>
      <c r="F21" s="265"/>
      <c r="G21" s="265">
        <f t="shared" si="1"/>
        <v>0</v>
      </c>
      <c r="I21" s="265"/>
      <c r="J21" s="52"/>
      <c r="K21" s="265"/>
      <c r="L21" s="265">
        <v>-73587</v>
      </c>
      <c r="M21" s="265">
        <v>-73587</v>
      </c>
      <c r="N21" s="265"/>
      <c r="O21" s="265">
        <v>-73587</v>
      </c>
      <c r="Q21" s="265">
        <v>-261500</v>
      </c>
      <c r="R21" s="265"/>
      <c r="S21" s="265">
        <f t="shared" si="2"/>
        <v>-261500</v>
      </c>
      <c r="T21" s="265">
        <f>-[1]ER!M35</f>
        <v>555396.5</v>
      </c>
      <c r="U21" s="265">
        <f t="shared" si="3"/>
        <v>293896.5</v>
      </c>
      <c r="V21" s="52"/>
      <c r="W21" s="265">
        <v>476468</v>
      </c>
      <c r="X21" s="265"/>
      <c r="Y21" s="265"/>
      <c r="Z21" s="265"/>
      <c r="AA21" s="265"/>
    </row>
    <row r="22" spans="2:27" x14ac:dyDescent="0.25">
      <c r="B22" s="30"/>
      <c r="D22" s="52"/>
      <c r="E22" s="264">
        <f>SUM(E8:E21)</f>
        <v>52693554</v>
      </c>
      <c r="F22" s="264">
        <f>SUM(F8:F21)</f>
        <v>34938702</v>
      </c>
      <c r="G22" s="264">
        <f>SUM(G8:G21)</f>
        <v>82911995.814851999</v>
      </c>
      <c r="H22" s="264">
        <f>SUM(H8:H20)</f>
        <v>-5175149</v>
      </c>
      <c r="I22" s="264">
        <f>SUM(I8:I21)</f>
        <v>80181021.814851999</v>
      </c>
      <c r="J22" s="52"/>
      <c r="K22" s="264">
        <v>51381438</v>
      </c>
      <c r="L22" s="264">
        <v>22113436</v>
      </c>
      <c r="M22" s="264">
        <v>73494874</v>
      </c>
      <c r="N22" s="264">
        <v>2120374</v>
      </c>
      <c r="O22" s="264">
        <v>74091581.25</v>
      </c>
      <c r="Q22" s="264">
        <f>SUM(Q8:Q21)</f>
        <v>49103833.449999988</v>
      </c>
      <c r="R22" s="264">
        <f>SUM(R8:R21)</f>
        <v>15821421</v>
      </c>
      <c r="S22" s="264">
        <f>SUM(S8:S21)</f>
        <v>64925254.449999988</v>
      </c>
      <c r="T22" s="264">
        <f>SUM(T8:T21)</f>
        <v>-5531508.5</v>
      </c>
      <c r="U22" s="264">
        <f>SUM(U8:U21)</f>
        <v>59393745.949999988</v>
      </c>
      <c r="V22" s="52"/>
      <c r="W22" s="264">
        <f>SUM(W8:W21)</f>
        <v>37584573</v>
      </c>
      <c r="X22" s="272">
        <f>SUM(X8:X20)</f>
        <v>12250363</v>
      </c>
      <c r="Y22" s="264">
        <f>SUM(Y8:Y20)</f>
        <v>49358468</v>
      </c>
      <c r="Z22" s="264">
        <f>SUM(Z8:Z20)</f>
        <v>-7157121</v>
      </c>
      <c r="AA22" s="264">
        <f>SUM(AA8:AA20)</f>
        <v>42201347</v>
      </c>
    </row>
    <row r="23" spans="2:27" x14ac:dyDescent="0.25">
      <c r="B23" s="271" t="s">
        <v>124</v>
      </c>
      <c r="D23" s="52"/>
      <c r="E23" s="265"/>
      <c r="F23" s="265"/>
      <c r="G23" s="265"/>
      <c r="H23" s="265"/>
      <c r="I23" s="265"/>
      <c r="J23" s="52"/>
      <c r="K23" s="265"/>
      <c r="L23" s="265"/>
      <c r="M23" s="265"/>
      <c r="N23" s="265"/>
      <c r="O23" s="265"/>
      <c r="Q23" s="265"/>
      <c r="R23" s="265"/>
      <c r="S23" s="265"/>
      <c r="T23" s="265"/>
      <c r="U23" s="265"/>
      <c r="V23" s="52"/>
      <c r="W23" s="265"/>
      <c r="X23" s="265"/>
      <c r="Y23" s="265"/>
      <c r="Z23" s="265"/>
      <c r="AA23" s="265"/>
    </row>
    <row r="24" spans="2:27" x14ac:dyDescent="0.25">
      <c r="B24" s="30"/>
      <c r="C24" t="s">
        <v>125</v>
      </c>
      <c r="D24" s="52"/>
      <c r="E24" s="265"/>
      <c r="F24" s="265"/>
      <c r="G24" s="265">
        <f t="shared" ref="G24:G40" si="6">+E24+F24</f>
        <v>0</v>
      </c>
      <c r="H24" s="265"/>
      <c r="I24" s="290">
        <f>+'Hoja de trabajo'!B85</f>
        <v>-14979435</v>
      </c>
      <c r="J24" s="52"/>
      <c r="K24" s="265"/>
      <c r="L24" s="265"/>
      <c r="M24" s="265">
        <v>0</v>
      </c>
      <c r="N24" s="265"/>
      <c r="O24" s="265">
        <v>-4095201</v>
      </c>
      <c r="Q24" s="265">
        <v>3944169</v>
      </c>
      <c r="R24" s="265">
        <v>-602469</v>
      </c>
      <c r="S24" s="265">
        <f t="shared" ref="S24:S44" si="7">+Q24+R24</f>
        <v>3341700</v>
      </c>
      <c r="T24" s="265"/>
      <c r="U24" s="265">
        <f t="shared" ref="U24:U40" si="8">+S24+T24</f>
        <v>3341700</v>
      </c>
      <c r="V24" s="52"/>
      <c r="W24" s="265">
        <v>2173914</v>
      </c>
      <c r="X24" s="265">
        <v>153450</v>
      </c>
      <c r="Y24" s="265">
        <f t="shared" ref="Y24:Y40" si="9">+W24+X24</f>
        <v>2327364</v>
      </c>
      <c r="Z24" s="265"/>
      <c r="AA24" s="265">
        <f t="shared" ref="AA24:AA40" si="10">+Y24+Z24</f>
        <v>2327364</v>
      </c>
    </row>
    <row r="25" spans="2:27" x14ac:dyDescent="0.25">
      <c r="B25" s="30"/>
      <c r="C25" t="s">
        <v>37</v>
      </c>
      <c r="D25" s="52"/>
      <c r="E25" s="265"/>
      <c r="F25" s="265"/>
      <c r="G25" s="265">
        <f t="shared" si="6"/>
        <v>0</v>
      </c>
      <c r="H25" s="265"/>
      <c r="I25" s="265">
        <f>+'Hoja de trabajo'!C9+'Hoja de trabajo'!C20-10122768</f>
        <v>2564404</v>
      </c>
      <c r="J25" s="52"/>
      <c r="K25" s="265"/>
      <c r="L25" s="265"/>
      <c r="M25" s="265">
        <v>0</v>
      </c>
      <c r="N25" s="265"/>
      <c r="O25" s="265">
        <v>7403111</v>
      </c>
      <c r="Q25" s="265">
        <v>-10765719</v>
      </c>
      <c r="R25" s="265">
        <v>-5894109</v>
      </c>
      <c r="S25" s="265">
        <f t="shared" si="7"/>
        <v>-16659828</v>
      </c>
      <c r="T25" s="265"/>
      <c r="U25" s="265">
        <f t="shared" si="8"/>
        <v>-16659828</v>
      </c>
      <c r="V25" s="52"/>
      <c r="W25" s="265">
        <v>-16324141</v>
      </c>
      <c r="X25" s="265"/>
      <c r="Y25" s="265">
        <f t="shared" si="9"/>
        <v>-16324141</v>
      </c>
      <c r="Z25" s="265"/>
      <c r="AA25" s="265">
        <f t="shared" si="10"/>
        <v>-16324141</v>
      </c>
    </row>
    <row r="26" spans="2:27" x14ac:dyDescent="0.25">
      <c r="B26" s="30"/>
      <c r="C26" t="s">
        <v>38</v>
      </c>
      <c r="D26" s="52"/>
      <c r="E26" s="265"/>
      <c r="F26" s="265"/>
      <c r="G26" s="265">
        <f t="shared" si="6"/>
        <v>0</v>
      </c>
      <c r="H26" s="265"/>
      <c r="I26" s="265">
        <f>+'Hoja de trabajo'!C11+'Hoja de trabajo'!C19</f>
        <v>1249628</v>
      </c>
      <c r="J26" s="52"/>
      <c r="K26" s="265"/>
      <c r="L26" s="265"/>
      <c r="M26" s="265">
        <v>0</v>
      </c>
      <c r="N26" s="265"/>
      <c r="O26" s="265">
        <v>-11858132</v>
      </c>
      <c r="Q26" s="265">
        <v>-233583</v>
      </c>
      <c r="R26" s="265">
        <f>-8535012-R25-R24</f>
        <v>-2038434</v>
      </c>
      <c r="S26" s="265">
        <f t="shared" si="7"/>
        <v>-2272017</v>
      </c>
      <c r="T26" s="265"/>
      <c r="U26" s="265">
        <f t="shared" si="8"/>
        <v>-2272017</v>
      </c>
      <c r="V26" s="52"/>
      <c r="W26" s="265">
        <v>-6350190</v>
      </c>
      <c r="X26" s="265"/>
      <c r="Y26" s="265">
        <f t="shared" si="9"/>
        <v>-6350190</v>
      </c>
      <c r="Z26" s="265"/>
      <c r="AA26" s="265">
        <f t="shared" si="10"/>
        <v>-6350190</v>
      </c>
    </row>
    <row r="27" spans="2:27" x14ac:dyDescent="0.25">
      <c r="B27" s="30"/>
      <c r="C27" t="s">
        <v>30</v>
      </c>
      <c r="D27" s="52"/>
      <c r="E27" s="265"/>
      <c r="F27" s="265"/>
      <c r="G27" s="265">
        <f t="shared" si="6"/>
        <v>0</v>
      </c>
      <c r="H27" s="265"/>
      <c r="I27" s="265">
        <f>+'Hoja de trabajo'!C10</f>
        <v>271025</v>
      </c>
      <c r="J27" s="52"/>
      <c r="K27" s="265"/>
      <c r="L27" s="265"/>
      <c r="M27" s="265">
        <v>0</v>
      </c>
      <c r="N27" s="265"/>
      <c r="O27" s="265">
        <v>1714619</v>
      </c>
      <c r="Q27" s="265">
        <v>475548</v>
      </c>
      <c r="R27" s="265"/>
      <c r="S27" s="265">
        <f t="shared" si="7"/>
        <v>475548</v>
      </c>
      <c r="T27" s="265"/>
      <c r="U27" s="265">
        <f t="shared" si="8"/>
        <v>475548</v>
      </c>
      <c r="V27" s="52"/>
      <c r="W27" s="265">
        <v>546462</v>
      </c>
      <c r="X27" s="265"/>
      <c r="Y27" s="265">
        <f t="shared" si="9"/>
        <v>546462</v>
      </c>
      <c r="Z27" s="265"/>
      <c r="AA27" s="265">
        <f t="shared" si="10"/>
        <v>546462</v>
      </c>
    </row>
    <row r="28" spans="2:27" x14ac:dyDescent="0.25">
      <c r="B28" s="30"/>
      <c r="C28" t="s">
        <v>31</v>
      </c>
      <c r="D28" s="52"/>
      <c r="E28" s="265"/>
      <c r="F28" s="265"/>
      <c r="G28" s="265">
        <f t="shared" si="6"/>
        <v>0</v>
      </c>
      <c r="H28" s="265"/>
      <c r="I28" s="265">
        <f>+'Hoja de trabajo'!C12</f>
        <v>-6284364</v>
      </c>
      <c r="J28" s="52"/>
      <c r="K28" s="265"/>
      <c r="L28" s="265"/>
      <c r="M28" s="265">
        <v>0</v>
      </c>
      <c r="N28" s="265"/>
      <c r="O28" s="265">
        <v>-246230</v>
      </c>
      <c r="Q28" s="265">
        <v>124930</v>
      </c>
      <c r="R28" s="265"/>
      <c r="S28" s="265">
        <f t="shared" si="7"/>
        <v>124930</v>
      </c>
      <c r="T28" s="265"/>
      <c r="U28" s="265">
        <f t="shared" si="8"/>
        <v>124930</v>
      </c>
      <c r="V28" s="52"/>
      <c r="W28" s="265">
        <v>1692356</v>
      </c>
      <c r="X28" s="265"/>
      <c r="Y28" s="265">
        <f t="shared" si="9"/>
        <v>1692356</v>
      </c>
      <c r="Z28" s="265"/>
      <c r="AA28" s="265">
        <f t="shared" si="10"/>
        <v>1692356</v>
      </c>
    </row>
    <row r="29" spans="2:27" x14ac:dyDescent="0.25">
      <c r="B29" s="30"/>
      <c r="C29" t="s">
        <v>32</v>
      </c>
      <c r="D29" s="52"/>
      <c r="E29" s="265"/>
      <c r="F29" s="265"/>
      <c r="G29" s="265">
        <f t="shared" si="6"/>
        <v>0</v>
      </c>
      <c r="H29" s="265"/>
      <c r="I29" s="265">
        <f>+'Hoja de trabajo'!C13</f>
        <v>221528</v>
      </c>
      <c r="J29" s="52"/>
      <c r="K29" s="265"/>
      <c r="L29" s="265"/>
      <c r="M29" s="265">
        <v>0</v>
      </c>
      <c r="N29" s="265"/>
      <c r="O29" s="265">
        <v>-4679936.66</v>
      </c>
      <c r="Q29" s="265">
        <v>-9031384</v>
      </c>
      <c r="R29" s="265"/>
      <c r="S29" s="265">
        <f t="shared" si="7"/>
        <v>-9031384</v>
      </c>
      <c r="T29" s="265"/>
      <c r="U29" s="265">
        <f t="shared" si="8"/>
        <v>-9031384</v>
      </c>
      <c r="V29" s="52"/>
      <c r="W29" s="265">
        <v>3855566</v>
      </c>
      <c r="X29" s="265">
        <v>16620</v>
      </c>
      <c r="Y29" s="265">
        <f t="shared" si="9"/>
        <v>3872186</v>
      </c>
      <c r="Z29" s="265"/>
      <c r="AA29" s="265">
        <f t="shared" si="10"/>
        <v>3872186</v>
      </c>
    </row>
    <row r="30" spans="2:27" x14ac:dyDescent="0.25">
      <c r="B30" s="30"/>
      <c r="C30" t="s">
        <v>46</v>
      </c>
      <c r="D30" s="52"/>
      <c r="E30" s="265"/>
      <c r="F30" s="265"/>
      <c r="G30" s="265">
        <f t="shared" si="6"/>
        <v>0</v>
      </c>
      <c r="H30" s="265"/>
      <c r="I30" s="265">
        <f>+'Hoja de trabajo'!C14+'Hoja de trabajo'!C26</f>
        <v>-707135</v>
      </c>
      <c r="J30" s="52"/>
      <c r="K30" s="265"/>
      <c r="L30" s="265"/>
      <c r="M30" s="265">
        <v>0</v>
      </c>
      <c r="N30" s="265"/>
      <c r="O30" s="265">
        <v>84286</v>
      </c>
      <c r="Q30" s="265"/>
      <c r="R30" s="265">
        <v>-86645</v>
      </c>
      <c r="S30" s="265">
        <f t="shared" si="7"/>
        <v>-86645</v>
      </c>
      <c r="T30" s="265"/>
      <c r="U30" s="265">
        <f t="shared" si="8"/>
        <v>-86645</v>
      </c>
      <c r="V30" s="52"/>
      <c r="W30" s="265">
        <v>-1495</v>
      </c>
      <c r="X30" s="265">
        <v>-97195</v>
      </c>
      <c r="Y30" s="265">
        <f t="shared" si="9"/>
        <v>-98690</v>
      </c>
      <c r="Z30" s="265"/>
      <c r="AA30" s="265">
        <f t="shared" si="10"/>
        <v>-98690</v>
      </c>
    </row>
    <row r="31" spans="2:27" x14ac:dyDescent="0.25">
      <c r="B31" s="30"/>
      <c r="C31" t="s">
        <v>126</v>
      </c>
      <c r="D31" s="52"/>
      <c r="E31" s="265"/>
      <c r="F31" s="265"/>
      <c r="G31" s="265">
        <f t="shared" si="6"/>
        <v>0</v>
      </c>
      <c r="H31" s="265"/>
      <c r="I31" s="265">
        <f>+'Hoja de trabajo'!L8</f>
        <v>10111584</v>
      </c>
      <c r="J31" s="52"/>
      <c r="K31" s="265"/>
      <c r="L31" s="265"/>
      <c r="M31" s="265">
        <v>0</v>
      </c>
      <c r="N31" s="265"/>
      <c r="O31" s="265">
        <v>4254342</v>
      </c>
      <c r="Q31" s="265">
        <v>-2518955</v>
      </c>
      <c r="R31" s="265">
        <v>94649</v>
      </c>
      <c r="S31" s="265">
        <f t="shared" si="7"/>
        <v>-2424306</v>
      </c>
      <c r="T31" s="265"/>
      <c r="U31" s="265">
        <f t="shared" si="8"/>
        <v>-2424306</v>
      </c>
      <c r="V31" s="52"/>
      <c r="W31" s="265">
        <v>-3759434</v>
      </c>
      <c r="X31" s="265">
        <v>-751038</v>
      </c>
      <c r="Y31" s="265">
        <f t="shared" si="9"/>
        <v>-4510472</v>
      </c>
      <c r="Z31" s="265"/>
      <c r="AA31" s="265">
        <f t="shared" si="10"/>
        <v>-4510472</v>
      </c>
    </row>
    <row r="32" spans="2:27" x14ac:dyDescent="0.25">
      <c r="B32" s="30"/>
      <c r="C32" t="s">
        <v>127</v>
      </c>
      <c r="D32" s="52"/>
      <c r="E32" s="265"/>
      <c r="F32" s="265"/>
      <c r="G32" s="265">
        <f t="shared" si="6"/>
        <v>0</v>
      </c>
      <c r="H32" s="265"/>
      <c r="I32" s="278">
        <f>+'Hoja de trabajo'!L9+'Hoja de trabajo'!L22</f>
        <v>-30540445</v>
      </c>
      <c r="J32" s="52"/>
      <c r="K32" s="265"/>
      <c r="L32" s="265"/>
      <c r="M32" s="265">
        <v>0</v>
      </c>
      <c r="N32" s="265"/>
      <c r="O32" s="265">
        <v>-7642880</v>
      </c>
      <c r="Q32" s="265">
        <v>618571</v>
      </c>
      <c r="R32" s="265">
        <v>5583218</v>
      </c>
      <c r="S32" s="265">
        <f t="shared" si="7"/>
        <v>6201789</v>
      </c>
      <c r="T32" s="265"/>
      <c r="U32" s="265">
        <f t="shared" si="8"/>
        <v>6201789</v>
      </c>
      <c r="V32" s="52"/>
      <c r="W32" s="265">
        <v>1235126</v>
      </c>
      <c r="X32" s="265"/>
      <c r="Y32" s="265">
        <f t="shared" si="9"/>
        <v>1235126</v>
      </c>
      <c r="Z32" s="265"/>
      <c r="AA32" s="265">
        <f t="shared" si="10"/>
        <v>1235126</v>
      </c>
    </row>
    <row r="33" spans="2:27" x14ac:dyDescent="0.25">
      <c r="B33" s="30"/>
      <c r="C33" t="s">
        <v>128</v>
      </c>
      <c r="D33" s="52"/>
      <c r="E33" s="265"/>
      <c r="F33" s="265"/>
      <c r="G33" s="265">
        <f t="shared" si="6"/>
        <v>0</v>
      </c>
      <c r="H33" s="265"/>
      <c r="I33" s="265">
        <f>+'Hoja de trabajo'!B73</f>
        <v>2643845</v>
      </c>
      <c r="J33" s="52"/>
      <c r="K33" s="265"/>
      <c r="L33" s="265"/>
      <c r="M33" s="265">
        <v>0</v>
      </c>
      <c r="N33" s="265"/>
      <c r="O33" s="265">
        <v>-7470499.25</v>
      </c>
      <c r="Q33" s="265">
        <v>2484728</v>
      </c>
      <c r="R33" s="265">
        <v>-1023114</v>
      </c>
      <c r="S33" s="265">
        <f t="shared" si="7"/>
        <v>1461614</v>
      </c>
      <c r="T33" s="265"/>
      <c r="U33" s="265">
        <f t="shared" si="8"/>
        <v>1461614</v>
      </c>
      <c r="V33" s="52"/>
      <c r="W33" s="265">
        <v>64755</v>
      </c>
      <c r="X33" s="265">
        <v>-273465</v>
      </c>
      <c r="Y33" s="265">
        <f t="shared" si="9"/>
        <v>-208710</v>
      </c>
      <c r="Z33" s="265"/>
      <c r="AA33" s="265">
        <f t="shared" si="10"/>
        <v>-208710</v>
      </c>
    </row>
    <row r="34" spans="2:27" x14ac:dyDescent="0.25">
      <c r="B34" s="30"/>
      <c r="C34" t="s">
        <v>129</v>
      </c>
      <c r="D34" s="52"/>
      <c r="E34" s="265"/>
      <c r="F34" s="265"/>
      <c r="G34" s="265">
        <f t="shared" si="6"/>
        <v>0</v>
      </c>
      <c r="H34" s="265"/>
      <c r="I34" s="278">
        <f>+'Hoja de trabajo'!L11+'Hoja de trabajo'!L23</f>
        <v>-13724348</v>
      </c>
      <c r="J34" s="52"/>
      <c r="K34" s="265"/>
      <c r="L34" s="265"/>
      <c r="M34" s="265">
        <v>0</v>
      </c>
      <c r="N34" s="265"/>
      <c r="O34" s="265">
        <v>18101009</v>
      </c>
      <c r="Q34" s="265">
        <v>-4641544</v>
      </c>
      <c r="R34" s="265">
        <f>5964089-R32-R31</f>
        <v>286222</v>
      </c>
      <c r="S34" s="265">
        <f t="shared" si="7"/>
        <v>-4355322</v>
      </c>
      <c r="T34" s="265">
        <v>-295764</v>
      </c>
      <c r="U34" s="265">
        <f t="shared" si="8"/>
        <v>-4651086</v>
      </c>
      <c r="V34" s="52"/>
      <c r="W34" s="265">
        <v>4568360</v>
      </c>
      <c r="X34" s="265"/>
      <c r="Y34" s="265">
        <f t="shared" si="9"/>
        <v>4568360</v>
      </c>
      <c r="Z34" s="265"/>
      <c r="AA34" s="265">
        <f t="shared" si="10"/>
        <v>4568360</v>
      </c>
    </row>
    <row r="35" spans="2:27" x14ac:dyDescent="0.25">
      <c r="B35" s="30"/>
      <c r="C35" t="s">
        <v>59</v>
      </c>
      <c r="D35" s="52"/>
      <c r="E35" s="265"/>
      <c r="F35" s="265"/>
      <c r="G35" s="265">
        <f t="shared" si="6"/>
        <v>0</v>
      </c>
      <c r="H35" s="265"/>
      <c r="I35" s="265">
        <f>+'Hoja de trabajo'!L25+'Hoja de trabajo'!L12</f>
        <v>25786103</v>
      </c>
      <c r="J35" s="52"/>
      <c r="K35" s="265"/>
      <c r="L35" s="265"/>
      <c r="M35" s="265"/>
      <c r="N35" s="265"/>
      <c r="O35" s="265">
        <v>-8643863</v>
      </c>
      <c r="Q35" s="265"/>
      <c r="R35" s="265"/>
      <c r="S35" s="265">
        <f t="shared" si="7"/>
        <v>0</v>
      </c>
      <c r="T35" s="265"/>
      <c r="U35" s="265">
        <f t="shared" si="8"/>
        <v>0</v>
      </c>
      <c r="V35" s="52"/>
      <c r="W35" s="265"/>
      <c r="X35" s="265"/>
      <c r="Y35" s="265"/>
      <c r="Z35" s="265"/>
      <c r="AA35" s="265"/>
    </row>
    <row r="36" spans="2:27" x14ac:dyDescent="0.25">
      <c r="B36" s="30"/>
      <c r="C36" t="s">
        <v>457</v>
      </c>
      <c r="D36" s="52"/>
      <c r="E36" s="265"/>
      <c r="F36" s="265"/>
      <c r="G36" s="265">
        <f t="shared" si="6"/>
        <v>0</v>
      </c>
      <c r="H36" s="265"/>
      <c r="I36" s="265">
        <f>+'Hoja de trabajo'!L21</f>
        <v>4608086</v>
      </c>
      <c r="J36" s="52"/>
      <c r="K36" s="265"/>
      <c r="L36" s="265"/>
      <c r="M36" s="265">
        <v>0</v>
      </c>
      <c r="N36" s="265"/>
      <c r="O36" s="265">
        <v>0</v>
      </c>
      <c r="Q36" s="265">
        <v>-81914</v>
      </c>
      <c r="R36" s="265"/>
      <c r="S36" s="265">
        <f t="shared" si="7"/>
        <v>-81914</v>
      </c>
      <c r="T36" s="265"/>
      <c r="U36" s="265">
        <f t="shared" si="8"/>
        <v>-81914</v>
      </c>
      <c r="V36" s="52"/>
      <c r="W36" s="265">
        <v>-2404770</v>
      </c>
      <c r="X36" s="265"/>
      <c r="Y36" s="265">
        <f t="shared" si="9"/>
        <v>-2404770</v>
      </c>
      <c r="Z36" s="265"/>
      <c r="AA36" s="265">
        <f t="shared" si="10"/>
        <v>-2404770</v>
      </c>
    </row>
    <row r="37" spans="2:27" x14ac:dyDescent="0.25">
      <c r="B37" s="30"/>
      <c r="C37" t="s">
        <v>60</v>
      </c>
      <c r="D37" s="52"/>
      <c r="E37" s="265"/>
      <c r="F37" s="265"/>
      <c r="G37" s="265">
        <f t="shared" si="6"/>
        <v>0</v>
      </c>
      <c r="H37" s="265"/>
      <c r="I37" s="290">
        <f>+'Hoja de trabajo'!B79</f>
        <v>1223338</v>
      </c>
      <c r="J37" s="52"/>
      <c r="K37" s="265"/>
      <c r="L37" s="265"/>
      <c r="M37" s="265">
        <v>0</v>
      </c>
      <c r="N37" s="265"/>
      <c r="O37" s="265">
        <v>-637915</v>
      </c>
      <c r="Q37" s="265">
        <v>577820</v>
      </c>
      <c r="R37" s="265">
        <v>417024</v>
      </c>
      <c r="S37" s="265">
        <f t="shared" si="7"/>
        <v>994844</v>
      </c>
      <c r="T37" s="265"/>
      <c r="U37" s="265">
        <f t="shared" si="8"/>
        <v>994844</v>
      </c>
      <c r="V37" s="52"/>
      <c r="W37" s="265">
        <v>344260</v>
      </c>
      <c r="X37" s="265">
        <v>-620687</v>
      </c>
      <c r="Y37" s="265">
        <f t="shared" si="9"/>
        <v>-276427</v>
      </c>
      <c r="Z37" s="265"/>
      <c r="AA37" s="265">
        <f t="shared" si="10"/>
        <v>-276427</v>
      </c>
    </row>
    <row r="38" spans="2:27" hidden="1" x14ac:dyDescent="0.25">
      <c r="B38" s="30"/>
      <c r="C38" t="s">
        <v>130</v>
      </c>
      <c r="D38" s="52"/>
      <c r="E38" s="265"/>
      <c r="F38" s="265"/>
      <c r="G38" s="265">
        <f t="shared" si="6"/>
        <v>0</v>
      </c>
      <c r="H38" s="265"/>
      <c r="I38" s="290">
        <f t="shared" ref="I38:I40" si="11">+G38+H38</f>
        <v>0</v>
      </c>
      <c r="J38" s="52"/>
      <c r="K38" s="265"/>
      <c r="L38" s="265"/>
      <c r="M38" s="265">
        <v>0</v>
      </c>
      <c r="N38" s="265"/>
      <c r="O38" s="265">
        <v>0</v>
      </c>
      <c r="Q38" s="265"/>
      <c r="R38" s="265"/>
      <c r="S38" s="265">
        <f t="shared" si="7"/>
        <v>0</v>
      </c>
      <c r="T38" s="265"/>
      <c r="U38" s="265">
        <f t="shared" si="8"/>
        <v>0</v>
      </c>
      <c r="V38" s="52"/>
      <c r="W38" s="265"/>
      <c r="X38" s="265"/>
      <c r="Y38" s="265">
        <f t="shared" si="9"/>
        <v>0</v>
      </c>
      <c r="Z38" s="265"/>
      <c r="AA38" s="265">
        <f t="shared" si="10"/>
        <v>0</v>
      </c>
    </row>
    <row r="39" spans="2:27" hidden="1" x14ac:dyDescent="0.25">
      <c r="B39" s="30"/>
      <c r="C39" t="s">
        <v>131</v>
      </c>
      <c r="D39" s="52"/>
      <c r="E39" s="265"/>
      <c r="F39" s="265"/>
      <c r="G39" s="265">
        <f t="shared" si="6"/>
        <v>0</v>
      </c>
      <c r="H39" s="265"/>
      <c r="I39" s="290">
        <f t="shared" si="11"/>
        <v>0</v>
      </c>
      <c r="J39" s="52"/>
      <c r="K39" s="265"/>
      <c r="L39" s="265"/>
      <c r="M39" s="265">
        <v>0</v>
      </c>
      <c r="N39" s="265"/>
      <c r="O39" s="265">
        <v>0</v>
      </c>
      <c r="Q39" s="265"/>
      <c r="R39" s="265"/>
      <c r="S39" s="265">
        <f t="shared" si="7"/>
        <v>0</v>
      </c>
      <c r="T39" s="265"/>
      <c r="U39" s="265">
        <f t="shared" si="8"/>
        <v>0</v>
      </c>
      <c r="V39" s="52"/>
      <c r="W39" s="265"/>
      <c r="X39" s="265"/>
      <c r="Y39" s="265">
        <f t="shared" si="9"/>
        <v>0</v>
      </c>
      <c r="Z39" s="265"/>
      <c r="AA39" s="265">
        <f t="shared" si="10"/>
        <v>0</v>
      </c>
    </row>
    <row r="40" spans="2:27" hidden="1" x14ac:dyDescent="0.25">
      <c r="B40" s="30"/>
      <c r="C40" t="s">
        <v>132</v>
      </c>
      <c r="D40" s="52"/>
      <c r="E40" s="273"/>
      <c r="F40" s="273"/>
      <c r="G40" s="265">
        <f t="shared" si="6"/>
        <v>0</v>
      </c>
      <c r="H40" s="265"/>
      <c r="I40" s="290">
        <f t="shared" si="11"/>
        <v>0</v>
      </c>
      <c r="J40" s="52"/>
      <c r="K40" s="273"/>
      <c r="L40" s="273"/>
      <c r="M40" s="265">
        <v>0</v>
      </c>
      <c r="N40" s="265"/>
      <c r="O40" s="265">
        <v>0</v>
      </c>
      <c r="Q40" s="273">
        <v>-992443</v>
      </c>
      <c r="R40" s="273"/>
      <c r="S40" s="265">
        <f t="shared" si="7"/>
        <v>-992443</v>
      </c>
      <c r="T40" s="265"/>
      <c r="U40" s="265">
        <f t="shared" si="8"/>
        <v>-992443</v>
      </c>
      <c r="V40" s="52"/>
      <c r="W40" s="273">
        <v>-2999556</v>
      </c>
      <c r="X40" s="273"/>
      <c r="Y40" s="265">
        <f t="shared" si="9"/>
        <v>-2999556</v>
      </c>
      <c r="Z40" s="265"/>
      <c r="AA40" s="265">
        <f t="shared" si="10"/>
        <v>-2999556</v>
      </c>
    </row>
    <row r="41" spans="2:27" x14ac:dyDescent="0.25">
      <c r="B41" s="271" t="s">
        <v>133</v>
      </c>
      <c r="D41" s="52"/>
      <c r="E41" s="265"/>
      <c r="F41" s="265"/>
      <c r="G41" s="264"/>
      <c r="H41" s="291">
        <f>SUM(H22:H40)</f>
        <v>-5175149</v>
      </c>
      <c r="I41" s="291">
        <f>SUM(I22:I40)</f>
        <v>62624835.814851999</v>
      </c>
      <c r="J41" s="52"/>
      <c r="K41" s="265">
        <v>51381438</v>
      </c>
      <c r="L41" s="265">
        <v>22113436</v>
      </c>
      <c r="M41" s="264">
        <v>73494874</v>
      </c>
      <c r="N41" s="264">
        <v>2120374</v>
      </c>
      <c r="O41" s="264">
        <v>60374291.340000004</v>
      </c>
      <c r="Q41" s="265">
        <f>SUM(Q22:Q40)</f>
        <v>29064057.449999988</v>
      </c>
      <c r="R41" s="265">
        <f>SUM(R22:R40)</f>
        <v>12557763</v>
      </c>
      <c r="S41" s="264">
        <f>SUM(S22:S40)</f>
        <v>41621820.449999988</v>
      </c>
      <c r="T41" s="264">
        <f>SUM(T22:T40)</f>
        <v>-5827272.5</v>
      </c>
      <c r="U41" s="264">
        <f>SUM(U22:U40)</f>
        <v>35794547.949999988</v>
      </c>
      <c r="V41" s="52"/>
      <c r="W41" s="265">
        <f>SUM(W22:W40)</f>
        <v>20225786</v>
      </c>
      <c r="X41" s="265">
        <f>SUM(X22:X40)</f>
        <v>10678048</v>
      </c>
      <c r="Y41" s="264">
        <f>SUM(Y22:Y40)</f>
        <v>30427366</v>
      </c>
      <c r="Z41" s="264">
        <f>SUM(Z22:Z40)</f>
        <v>-7157121</v>
      </c>
      <c r="AA41" s="264">
        <f>SUM(AA22:AA40)</f>
        <v>23270245</v>
      </c>
    </row>
    <row r="42" spans="2:27" x14ac:dyDescent="0.25">
      <c r="B42" s="30"/>
      <c r="C42" t="s">
        <v>134</v>
      </c>
      <c r="D42" s="52"/>
      <c r="E42" s="265">
        <v>-9036041</v>
      </c>
      <c r="F42" s="265">
        <f>-483390-4162944</f>
        <v>-4646334</v>
      </c>
      <c r="G42" s="265">
        <f t="shared" ref="G42:I44" si="12">+E42+F42</f>
        <v>-13682375</v>
      </c>
      <c r="H42" s="18"/>
      <c r="I42" s="290">
        <f t="shared" si="12"/>
        <v>-13682375</v>
      </c>
      <c r="J42" s="52"/>
      <c r="K42" s="265"/>
      <c r="L42" s="265">
        <v>-2091119</v>
      </c>
      <c r="M42" s="265">
        <v>-2091119</v>
      </c>
      <c r="N42" s="18"/>
      <c r="O42" s="265">
        <v>-2091119</v>
      </c>
      <c r="Q42" s="265">
        <v>-4237903</v>
      </c>
      <c r="R42" s="265"/>
      <c r="S42" s="265">
        <f t="shared" si="7"/>
        <v>-4237903</v>
      </c>
      <c r="T42" s="18"/>
      <c r="U42" s="265">
        <f>+S42+T42</f>
        <v>-4237903</v>
      </c>
      <c r="V42" s="52"/>
      <c r="W42" s="265">
        <v>-3550763</v>
      </c>
      <c r="X42" s="265">
        <v>0</v>
      </c>
      <c r="Y42" s="265">
        <f t="shared" ref="Y42:Y44" si="13">+W42+X42</f>
        <v>-3550763</v>
      </c>
      <c r="Z42" s="18"/>
      <c r="AA42" s="265">
        <f>+Y42+Z42</f>
        <v>-3550763</v>
      </c>
    </row>
    <row r="43" spans="2:27" x14ac:dyDescent="0.25">
      <c r="B43" s="30"/>
      <c r="C43" t="s">
        <v>135</v>
      </c>
      <c r="D43" s="52"/>
      <c r="E43" s="265">
        <v>-3976474</v>
      </c>
      <c r="F43" s="265"/>
      <c r="G43" s="265">
        <f t="shared" si="12"/>
        <v>-3976474</v>
      </c>
      <c r="H43" s="18"/>
      <c r="I43" s="265">
        <f t="shared" si="12"/>
        <v>-3976474</v>
      </c>
      <c r="J43" s="52"/>
      <c r="K43" s="265">
        <v>-2840226</v>
      </c>
      <c r="L43" s="265"/>
      <c r="M43" s="265">
        <v>-2840226</v>
      </c>
      <c r="N43" s="18"/>
      <c r="O43" s="265">
        <v>-2840226</v>
      </c>
      <c r="Q43" s="265">
        <v>-1591304</v>
      </c>
      <c r="R43" s="265"/>
      <c r="S43" s="265">
        <f t="shared" si="7"/>
        <v>-1591304</v>
      </c>
      <c r="T43" s="18"/>
      <c r="U43" s="265">
        <f>+S43+T43</f>
        <v>-1591304</v>
      </c>
      <c r="V43" s="52"/>
      <c r="W43" s="265">
        <v>-1759101</v>
      </c>
      <c r="X43" s="265"/>
      <c r="Y43" s="265">
        <f t="shared" si="13"/>
        <v>-1759101</v>
      </c>
      <c r="Z43" s="18"/>
      <c r="AA43" s="265">
        <f>+Y43+Z43</f>
        <v>-1759101</v>
      </c>
    </row>
    <row r="44" spans="2:27" x14ac:dyDescent="0.25">
      <c r="B44" s="30"/>
      <c r="C44" t="s">
        <v>136</v>
      </c>
      <c r="D44" s="52"/>
      <c r="E44" s="273"/>
      <c r="F44" s="273"/>
      <c r="G44" s="265"/>
      <c r="H44" s="18"/>
      <c r="I44" s="265">
        <f>+'Hoja de trabajo'!B56</f>
        <v>-1908636</v>
      </c>
      <c r="J44" s="52"/>
      <c r="K44" s="273"/>
      <c r="L44" s="273"/>
      <c r="M44" s="265">
        <v>0</v>
      </c>
      <c r="N44" s="18"/>
      <c r="O44" s="265">
        <v>-685257</v>
      </c>
      <c r="Q44" s="273">
        <v>-207177</v>
      </c>
      <c r="R44" s="273"/>
      <c r="S44" s="265">
        <f t="shared" si="7"/>
        <v>-207177</v>
      </c>
      <c r="T44" s="18"/>
      <c r="U44" s="265">
        <f>+S44+T44</f>
        <v>-207177</v>
      </c>
      <c r="V44" s="52"/>
      <c r="W44" s="273">
        <v>-107410</v>
      </c>
      <c r="X44" s="273"/>
      <c r="Y44" s="265">
        <f t="shared" si="13"/>
        <v>-107410</v>
      </c>
      <c r="Z44" s="18"/>
      <c r="AA44" s="265">
        <f>+Y44+Z44</f>
        <v>-107410</v>
      </c>
    </row>
    <row r="45" spans="2:27" x14ac:dyDescent="0.25">
      <c r="B45" s="274" t="s">
        <v>137</v>
      </c>
      <c r="C45" s="56"/>
      <c r="D45" s="57"/>
      <c r="E45" s="275"/>
      <c r="F45" s="275"/>
      <c r="G45" s="275"/>
      <c r="H45" s="275">
        <f>SUM(H41:H44)</f>
        <v>-5175149</v>
      </c>
      <c r="I45" s="275">
        <f>SUM(I41:I44)</f>
        <v>43057350.814851999</v>
      </c>
      <c r="J45" s="52"/>
      <c r="K45" s="275">
        <v>48541212</v>
      </c>
      <c r="L45" s="275">
        <v>20022317</v>
      </c>
      <c r="M45" s="275">
        <v>68563529</v>
      </c>
      <c r="N45" s="275">
        <v>2120374</v>
      </c>
      <c r="O45" s="275">
        <v>54757689.340000004</v>
      </c>
      <c r="Q45" s="275">
        <f>SUM(Q41:Q44)</f>
        <v>23027673.449999988</v>
      </c>
      <c r="R45" s="275">
        <f>SUM(R41:R44)</f>
        <v>12557763</v>
      </c>
      <c r="S45" s="275">
        <f>SUM(S41:S44)</f>
        <v>35585436.449999988</v>
      </c>
      <c r="T45" s="275">
        <f>SUM(T41:T44)</f>
        <v>-5827272.5</v>
      </c>
      <c r="U45" s="275">
        <f>SUM(U41:U44)</f>
        <v>29758163.949999988</v>
      </c>
      <c r="V45" s="58"/>
      <c r="W45" s="275">
        <f>SUM(W41:W44)</f>
        <v>14808512</v>
      </c>
      <c r="X45" s="275">
        <f>SUM(X41:X44)</f>
        <v>10678048</v>
      </c>
      <c r="Y45" s="275">
        <f>SUM(Y41:Y44)</f>
        <v>25010092</v>
      </c>
      <c r="Z45" s="275">
        <f>SUM(Z41:Z44)</f>
        <v>-7157121</v>
      </c>
      <c r="AA45" s="275">
        <f>SUM(AA41:AA44)</f>
        <v>17852971</v>
      </c>
    </row>
    <row r="46" spans="2:27" hidden="1" x14ac:dyDescent="0.25">
      <c r="B46" s="296" t="s">
        <v>445</v>
      </c>
      <c r="C46" s="50"/>
      <c r="D46" s="51"/>
      <c r="E46" s="265"/>
      <c r="F46" s="265"/>
      <c r="G46" s="265"/>
      <c r="H46" s="265"/>
      <c r="I46" s="265"/>
      <c r="J46" s="52"/>
      <c r="K46" s="265"/>
      <c r="L46" s="265"/>
      <c r="M46" s="265"/>
      <c r="N46" s="265"/>
      <c r="O46" s="265"/>
      <c r="Q46" s="265"/>
      <c r="R46" s="265"/>
      <c r="S46" s="265"/>
      <c r="T46" s="265"/>
      <c r="U46" s="265"/>
      <c r="V46" s="44"/>
      <c r="W46" s="265"/>
      <c r="X46" s="265"/>
      <c r="Y46" s="265"/>
      <c r="Z46" s="265"/>
      <c r="AA46" s="265"/>
    </row>
    <row r="47" spans="2:27" hidden="1" x14ac:dyDescent="0.25">
      <c r="B47" s="297"/>
      <c r="C47" s="298" t="s">
        <v>446</v>
      </c>
      <c r="D47" s="52"/>
      <c r="E47" s="265">
        <v>180367119</v>
      </c>
      <c r="F47" s="265">
        <v>166632935</v>
      </c>
      <c r="G47" s="265">
        <f>+E47+F47</f>
        <v>347000054</v>
      </c>
      <c r="H47" s="265">
        <f>-H59</f>
        <v>-4118950</v>
      </c>
      <c r="I47" s="265">
        <f>+G47+H47</f>
        <v>342881104</v>
      </c>
      <c r="J47" s="52"/>
      <c r="K47" s="265">
        <v>200376926</v>
      </c>
      <c r="L47" s="265">
        <v>126653747</v>
      </c>
      <c r="M47" s="265">
        <f>+K47+L47</f>
        <v>327030673</v>
      </c>
      <c r="N47" s="265">
        <f>-N59</f>
        <v>-8203260</v>
      </c>
      <c r="O47" s="265">
        <f>+M47+N47</f>
        <v>318827413</v>
      </c>
      <c r="Q47" s="265"/>
      <c r="R47" s="265"/>
      <c r="S47" s="265"/>
      <c r="T47" s="265"/>
      <c r="U47" s="265"/>
      <c r="V47" s="44"/>
      <c r="W47" s="265"/>
      <c r="X47" s="265"/>
      <c r="Y47" s="265"/>
      <c r="Z47" s="265"/>
      <c r="AA47" s="265"/>
    </row>
    <row r="48" spans="2:27" ht="29.25" hidden="1" customHeight="1" x14ac:dyDescent="0.25">
      <c r="B48" s="297"/>
      <c r="C48" s="312" t="s">
        <v>451</v>
      </c>
      <c r="D48" s="313"/>
      <c r="E48" s="265">
        <v>-158748655</v>
      </c>
      <c r="F48" s="265">
        <f>-138318661+4162944</f>
        <v>-134155717</v>
      </c>
      <c r="G48" s="265">
        <f t="shared" ref="G48:G51" si="14">+E48+F48</f>
        <v>-292904372</v>
      </c>
      <c r="H48" s="265"/>
      <c r="I48" s="265">
        <f t="shared" ref="I48:I51" si="15">+G48+H48</f>
        <v>-292904372</v>
      </c>
      <c r="J48" s="52"/>
      <c r="K48" s="265">
        <v>-156943511</v>
      </c>
      <c r="L48" s="265">
        <v>-114597477</v>
      </c>
      <c r="M48" s="265">
        <f t="shared" ref="M48:M51" si="16">+K48+L48</f>
        <v>-271540988</v>
      </c>
      <c r="N48" s="265"/>
      <c r="O48" s="265">
        <f t="shared" ref="O48:O51" si="17">+M48+N48</f>
        <v>-271540988</v>
      </c>
      <c r="Q48" s="265"/>
      <c r="R48" s="265"/>
      <c r="S48" s="265"/>
      <c r="T48" s="265"/>
      <c r="U48" s="265"/>
      <c r="V48" s="44"/>
      <c r="W48" s="265"/>
      <c r="X48" s="265"/>
      <c r="Y48" s="265"/>
      <c r="Z48" s="265"/>
      <c r="AA48" s="265"/>
    </row>
    <row r="49" spans="2:27" hidden="1" x14ac:dyDescent="0.25">
      <c r="B49" s="297"/>
      <c r="C49" s="298" t="s">
        <v>449</v>
      </c>
      <c r="D49" s="52"/>
      <c r="E49" s="265">
        <v>-501019</v>
      </c>
      <c r="F49" s="265">
        <f>1386241+113140</f>
        <v>1499381</v>
      </c>
      <c r="G49" s="265">
        <f t="shared" si="14"/>
        <v>998362</v>
      </c>
      <c r="H49" s="265"/>
      <c r="I49" s="265">
        <f t="shared" si="15"/>
        <v>998362</v>
      </c>
      <c r="J49" s="52"/>
      <c r="K49" s="265"/>
      <c r="L49" s="265">
        <f>451754+174049</f>
        <v>625803</v>
      </c>
      <c r="M49" s="265">
        <f t="shared" si="16"/>
        <v>625803</v>
      </c>
      <c r="N49" s="265"/>
      <c r="O49" s="265">
        <f t="shared" si="17"/>
        <v>625803</v>
      </c>
      <c r="Q49" s="265"/>
      <c r="R49" s="265"/>
      <c r="S49" s="265"/>
      <c r="T49" s="265"/>
      <c r="U49" s="265"/>
      <c r="V49" s="44"/>
      <c r="W49" s="265"/>
      <c r="X49" s="265"/>
      <c r="Y49" s="265"/>
      <c r="Z49" s="265"/>
      <c r="AA49" s="265"/>
    </row>
    <row r="50" spans="2:27" hidden="1" x14ac:dyDescent="0.25">
      <c r="B50" s="297"/>
      <c r="C50" s="298" t="s">
        <v>134</v>
      </c>
      <c r="D50" s="52"/>
      <c r="E50" s="265">
        <v>-9036041</v>
      </c>
      <c r="F50" s="290">
        <v>-4162944</v>
      </c>
      <c r="G50" s="265">
        <f t="shared" si="14"/>
        <v>-13198985</v>
      </c>
      <c r="H50" s="265"/>
      <c r="I50" s="265">
        <f t="shared" si="15"/>
        <v>-13198985</v>
      </c>
      <c r="J50" s="52"/>
      <c r="K50" s="265">
        <v>-7316715</v>
      </c>
      <c r="L50" s="265"/>
      <c r="M50" s="265">
        <f t="shared" si="16"/>
        <v>-7316715</v>
      </c>
      <c r="N50" s="265"/>
      <c r="O50" s="265">
        <f t="shared" si="17"/>
        <v>-7316715</v>
      </c>
      <c r="Q50" s="265"/>
      <c r="R50" s="265"/>
      <c r="S50" s="265"/>
      <c r="T50" s="265"/>
      <c r="U50" s="265"/>
      <c r="V50" s="44"/>
      <c r="W50" s="265"/>
      <c r="X50" s="265"/>
      <c r="Y50" s="265"/>
      <c r="Z50" s="265"/>
      <c r="AA50" s="265"/>
    </row>
    <row r="51" spans="2:27" hidden="1" x14ac:dyDescent="0.25">
      <c r="B51" s="297"/>
      <c r="C51" s="298" t="s">
        <v>447</v>
      </c>
      <c r="D51" s="52"/>
      <c r="E51" s="265">
        <v>-1888989</v>
      </c>
      <c r="F51" s="265">
        <v>-674385</v>
      </c>
      <c r="G51" s="265">
        <f t="shared" si="14"/>
        <v>-2563374</v>
      </c>
      <c r="H51" s="265"/>
      <c r="I51" s="265">
        <f t="shared" si="15"/>
        <v>-2563374</v>
      </c>
      <c r="J51" s="52"/>
      <c r="K51" s="265"/>
      <c r="L51" s="265">
        <v>-670216</v>
      </c>
      <c r="M51" s="265">
        <f t="shared" si="16"/>
        <v>-670216</v>
      </c>
      <c r="N51" s="265"/>
      <c r="O51" s="265">
        <f t="shared" si="17"/>
        <v>-670216</v>
      </c>
      <c r="Q51" s="265"/>
      <c r="R51" s="265"/>
      <c r="S51" s="265"/>
      <c r="T51" s="265"/>
      <c r="U51" s="265"/>
      <c r="V51" s="44"/>
      <c r="W51" s="265"/>
      <c r="X51" s="265"/>
      <c r="Y51" s="265"/>
      <c r="Z51" s="265"/>
      <c r="AA51" s="265"/>
    </row>
    <row r="52" spans="2:27" hidden="1" x14ac:dyDescent="0.25">
      <c r="B52" s="297" t="s">
        <v>448</v>
      </c>
      <c r="C52" s="44"/>
      <c r="D52" s="52"/>
      <c r="E52" s="275">
        <f>SUM(E47:E51)</f>
        <v>10192415</v>
      </c>
      <c r="F52" s="275">
        <f t="shared" ref="F52:I52" si="18">SUM(F47:F51)</f>
        <v>29139270</v>
      </c>
      <c r="G52" s="275">
        <f t="shared" si="18"/>
        <v>39331685</v>
      </c>
      <c r="H52" s="275">
        <f t="shared" si="18"/>
        <v>-4118950</v>
      </c>
      <c r="I52" s="275">
        <f t="shared" si="18"/>
        <v>35212735</v>
      </c>
      <c r="J52" s="52"/>
      <c r="K52" s="275">
        <f>SUM(K47:K51)</f>
        <v>36116700</v>
      </c>
      <c r="L52" s="275">
        <f t="shared" ref="L52" si="19">SUM(L47:L51)</f>
        <v>12011857</v>
      </c>
      <c r="M52" s="275">
        <f t="shared" ref="M52:N52" si="20">SUM(M47:M51)</f>
        <v>48128557</v>
      </c>
      <c r="N52" s="275">
        <f t="shared" si="20"/>
        <v>-8203260</v>
      </c>
      <c r="O52" s="275">
        <f t="shared" ref="O52" si="21">SUM(O47:O51)</f>
        <v>39925297</v>
      </c>
      <c r="Q52" s="265"/>
      <c r="R52" s="265"/>
      <c r="S52" s="265"/>
      <c r="T52" s="265"/>
      <c r="U52" s="265"/>
      <c r="V52" s="44"/>
      <c r="W52" s="265"/>
      <c r="X52" s="265"/>
      <c r="Y52" s="265"/>
      <c r="Z52" s="265"/>
      <c r="AA52" s="265"/>
    </row>
    <row r="53" spans="2:27" x14ac:dyDescent="0.25">
      <c r="B53" s="297"/>
      <c r="C53" s="44"/>
      <c r="D53" s="52"/>
      <c r="E53" s="265"/>
      <c r="F53" s="265"/>
      <c r="G53" s="265"/>
      <c r="H53" s="265"/>
      <c r="I53" s="265"/>
      <c r="J53" s="52"/>
      <c r="K53" s="265"/>
      <c r="L53" s="265"/>
      <c r="M53" s="265"/>
      <c r="N53" s="265"/>
      <c r="O53" s="265"/>
      <c r="Q53" s="265"/>
      <c r="R53" s="265"/>
      <c r="S53" s="265"/>
      <c r="T53" s="265"/>
      <c r="U53" s="265"/>
      <c r="V53" s="44"/>
      <c r="W53" s="265"/>
      <c r="X53" s="265"/>
      <c r="Y53" s="265"/>
      <c r="Z53" s="265"/>
      <c r="AA53" s="265"/>
    </row>
    <row r="54" spans="2:27" x14ac:dyDescent="0.25">
      <c r="B54" s="271" t="s">
        <v>138</v>
      </c>
      <c r="D54" s="52"/>
      <c r="E54" s="265"/>
      <c r="F54" s="265"/>
      <c r="G54" s="18"/>
      <c r="H54" s="18"/>
      <c r="I54" s="18"/>
      <c r="J54" s="52"/>
      <c r="K54" s="265"/>
      <c r="L54" s="265"/>
      <c r="M54" s="18"/>
      <c r="N54" s="18"/>
      <c r="O54" s="18"/>
      <c r="Q54" s="265"/>
      <c r="R54" s="265"/>
      <c r="S54" s="18"/>
      <c r="T54" s="18"/>
      <c r="U54" s="18"/>
      <c r="W54" s="265"/>
      <c r="X54" s="265"/>
      <c r="Y54" s="18"/>
      <c r="Z54" s="18"/>
      <c r="AA54" s="18"/>
    </row>
    <row r="55" spans="2:27" ht="27.75" customHeight="1" x14ac:dyDescent="0.25">
      <c r="B55" s="30"/>
      <c r="C55" s="308" t="s">
        <v>139</v>
      </c>
      <c r="D55" s="309"/>
      <c r="E55" s="265"/>
      <c r="F55" s="265"/>
      <c r="G55" s="265">
        <f>+'Hoja de trabajo'!C7</f>
        <v>3358789</v>
      </c>
      <c r="H55" s="18"/>
      <c r="I55" s="265">
        <f t="shared" ref="I55:I62" si="22">+G55+H55</f>
        <v>3358789</v>
      </c>
      <c r="J55" s="294"/>
      <c r="K55" s="265">
        <v>-904453</v>
      </c>
      <c r="L55" s="265"/>
      <c r="M55" s="265">
        <f>+K55+L55</f>
        <v>-904453</v>
      </c>
      <c r="N55" s="18"/>
      <c r="O55" s="265">
        <f>+M55+N55</f>
        <v>-904453</v>
      </c>
      <c r="Q55" s="265">
        <v>251011</v>
      </c>
      <c r="R55" s="265"/>
      <c r="S55" s="265">
        <f t="shared" ref="S55:S62" si="23">+Q55+R55</f>
        <v>251011</v>
      </c>
      <c r="T55" s="18"/>
      <c r="U55" s="265">
        <f>+S55+T55</f>
        <v>251011</v>
      </c>
      <c r="W55" s="265">
        <v>-593863</v>
      </c>
      <c r="X55" s="265"/>
      <c r="Y55" s="265">
        <f t="shared" ref="Y55:Y60" si="24">+W55+X55</f>
        <v>-593863</v>
      </c>
      <c r="Z55" s="18"/>
      <c r="AA55" s="265">
        <f>+Y55+Z55</f>
        <v>-593863</v>
      </c>
    </row>
    <row r="56" spans="2:27" ht="30" customHeight="1" x14ac:dyDescent="0.25">
      <c r="B56" s="30"/>
      <c r="C56" s="308" t="s">
        <v>140</v>
      </c>
      <c r="D56" s="309"/>
      <c r="E56" s="265"/>
      <c r="F56" s="265"/>
      <c r="G56" s="265">
        <f>+'Hoja de trabajo'!C6</f>
        <v>-3107992</v>
      </c>
      <c r="H56" s="18"/>
      <c r="I56" s="265">
        <f t="shared" si="22"/>
        <v>-3107992</v>
      </c>
      <c r="J56" s="52"/>
      <c r="K56" s="265"/>
      <c r="L56" s="265"/>
      <c r="M56" s="265">
        <f>+K56+L56</f>
        <v>0</v>
      </c>
      <c r="N56" s="18"/>
      <c r="O56" s="265">
        <f t="shared" ref="O56:O62" si="25">+M56+N56</f>
        <v>0</v>
      </c>
      <c r="Q56" s="265">
        <v>29809</v>
      </c>
      <c r="R56" s="265">
        <v>-205582</v>
      </c>
      <c r="S56" s="265">
        <f t="shared" si="23"/>
        <v>-175773</v>
      </c>
      <c r="T56" s="18"/>
      <c r="U56" s="265">
        <f>+S56+T56</f>
        <v>-175773</v>
      </c>
      <c r="W56" s="265">
        <v>5828169</v>
      </c>
      <c r="X56" s="265"/>
      <c r="Y56" s="265">
        <f t="shared" si="24"/>
        <v>5828169</v>
      </c>
      <c r="Z56" s="18"/>
      <c r="AA56" s="265">
        <f t="shared" ref="AA56:AA62" si="26">+Y56+Z56</f>
        <v>5828169</v>
      </c>
    </row>
    <row r="57" spans="2:27" x14ac:dyDescent="0.25">
      <c r="B57" s="30"/>
      <c r="C57" t="s">
        <v>141</v>
      </c>
      <c r="D57" s="52"/>
      <c r="E57" s="265"/>
      <c r="F57" s="265"/>
      <c r="G57" s="265">
        <f>+'Hoja de trabajo'!C24</f>
        <v>-1592618</v>
      </c>
      <c r="H57" s="18"/>
      <c r="I57" s="265">
        <f t="shared" si="22"/>
        <v>-1592618</v>
      </c>
      <c r="J57" s="52"/>
      <c r="K57" s="265">
        <v>-251355</v>
      </c>
      <c r="L57" s="265"/>
      <c r="M57" s="265">
        <f t="shared" ref="M57:M62" si="27">+K57+L57</f>
        <v>-251355</v>
      </c>
      <c r="N57" s="18"/>
      <c r="O57" s="265">
        <f t="shared" si="25"/>
        <v>-251355</v>
      </c>
      <c r="Q57" s="265"/>
      <c r="R57" s="265"/>
      <c r="S57" s="265"/>
      <c r="T57" s="18"/>
      <c r="U57" s="265"/>
      <c r="W57" s="265"/>
      <c r="X57" s="265"/>
      <c r="Y57" s="265"/>
      <c r="Z57" s="18"/>
      <c r="AA57" s="265"/>
    </row>
    <row r="58" spans="2:27" x14ac:dyDescent="0.25">
      <c r="B58" s="30"/>
      <c r="C58" s="310" t="s">
        <v>142</v>
      </c>
      <c r="D58" s="311"/>
      <c r="E58" s="265"/>
      <c r="F58" s="265"/>
      <c r="G58" s="265">
        <f>+'Hoja de trabajo'!B51</f>
        <v>-2210500</v>
      </c>
      <c r="H58" s="18"/>
      <c r="I58" s="265">
        <f t="shared" si="22"/>
        <v>-2210500</v>
      </c>
      <c r="J58" s="295"/>
      <c r="K58" s="265"/>
      <c r="L58" s="265">
        <v>205582</v>
      </c>
      <c r="M58" s="265">
        <f t="shared" si="27"/>
        <v>205582</v>
      </c>
      <c r="N58" s="18"/>
      <c r="O58" s="265">
        <f t="shared" si="25"/>
        <v>205582</v>
      </c>
      <c r="Q58" s="265"/>
      <c r="R58" s="265"/>
      <c r="S58" s="265">
        <f t="shared" si="23"/>
        <v>0</v>
      </c>
      <c r="T58" s="18"/>
      <c r="U58" s="265"/>
      <c r="W58" s="265">
        <v>0</v>
      </c>
      <c r="X58" s="265"/>
      <c r="Y58" s="265">
        <f t="shared" si="24"/>
        <v>0</v>
      </c>
      <c r="Z58" s="18"/>
      <c r="AA58" s="265"/>
    </row>
    <row r="59" spans="2:27" x14ac:dyDescent="0.25">
      <c r="B59" s="30"/>
      <c r="C59" t="s">
        <v>143</v>
      </c>
      <c r="D59" s="52"/>
      <c r="E59" s="265"/>
      <c r="F59" s="265"/>
      <c r="G59" s="265">
        <f>+'Hoja de trabajo'!B45</f>
        <v>-34173512.061452001</v>
      </c>
      <c r="H59" s="265">
        <f>+AD!H23</f>
        <v>4118950</v>
      </c>
      <c r="I59" s="265">
        <f t="shared" si="22"/>
        <v>-30054562.061452001</v>
      </c>
      <c r="J59" s="52"/>
      <c r="K59" s="265">
        <v>-4195235</v>
      </c>
      <c r="L59" s="265">
        <v>-11702814</v>
      </c>
      <c r="M59" s="265">
        <f t="shared" si="27"/>
        <v>-15898049</v>
      </c>
      <c r="N59" s="265">
        <f>+AD!J23</f>
        <v>8203260</v>
      </c>
      <c r="O59" s="265">
        <f t="shared" si="25"/>
        <v>-7694789</v>
      </c>
      <c r="Q59" s="265">
        <v>-10976052</v>
      </c>
      <c r="R59" s="265">
        <v>-6427483</v>
      </c>
      <c r="S59" s="265">
        <f t="shared" si="23"/>
        <v>-17403535</v>
      </c>
      <c r="T59" s="265">
        <f>+[1]AD!J23</f>
        <v>5827272</v>
      </c>
      <c r="U59" s="265">
        <f>+S59+T59</f>
        <v>-11576263</v>
      </c>
      <c r="W59" s="265">
        <v>-13974701</v>
      </c>
      <c r="X59" s="265">
        <v>-7233185</v>
      </c>
      <c r="Y59" s="265">
        <f t="shared" si="24"/>
        <v>-21207886</v>
      </c>
      <c r="Z59" s="265">
        <f>+[1]AD!L23</f>
        <v>7144181</v>
      </c>
      <c r="AA59" s="265">
        <f t="shared" si="26"/>
        <v>-14063705</v>
      </c>
    </row>
    <row r="60" spans="2:27" hidden="1" x14ac:dyDescent="0.25">
      <c r="B60" s="30"/>
      <c r="C60" t="s">
        <v>144</v>
      </c>
      <c r="D60" s="52"/>
      <c r="E60" s="265"/>
      <c r="F60" s="265"/>
      <c r="G60" s="265"/>
      <c r="H60" s="18"/>
      <c r="I60" s="265">
        <f t="shared" si="22"/>
        <v>0</v>
      </c>
      <c r="J60" s="52"/>
      <c r="K60" s="265"/>
      <c r="L60" s="265"/>
      <c r="M60" s="265">
        <f t="shared" si="27"/>
        <v>0</v>
      </c>
      <c r="N60" s="18"/>
      <c r="O60" s="265">
        <f t="shared" si="25"/>
        <v>0</v>
      </c>
      <c r="Q60" s="265"/>
      <c r="R60" s="265"/>
      <c r="S60" s="265">
        <f t="shared" si="23"/>
        <v>0</v>
      </c>
      <c r="T60" s="18"/>
      <c r="U60" s="265">
        <f>+S60+T60</f>
        <v>0</v>
      </c>
      <c r="W60" s="265">
        <v>0</v>
      </c>
      <c r="X60" s="265"/>
      <c r="Y60" s="265">
        <f t="shared" si="24"/>
        <v>0</v>
      </c>
      <c r="Z60" s="18"/>
      <c r="AA60" s="265">
        <f t="shared" si="26"/>
        <v>0</v>
      </c>
    </row>
    <row r="61" spans="2:27" hidden="1" x14ac:dyDescent="0.25">
      <c r="B61" s="30"/>
      <c r="C61" s="276" t="s">
        <v>145</v>
      </c>
      <c r="D61" s="52"/>
      <c r="E61" s="265"/>
      <c r="F61" s="265"/>
      <c r="G61" s="265"/>
      <c r="H61" s="18"/>
      <c r="I61" s="265">
        <f t="shared" si="22"/>
        <v>0</v>
      </c>
      <c r="J61" s="52"/>
      <c r="K61" s="265"/>
      <c r="L61" s="265"/>
      <c r="M61" s="265">
        <f t="shared" si="27"/>
        <v>0</v>
      </c>
      <c r="N61" s="18"/>
      <c r="O61" s="265">
        <f t="shared" si="25"/>
        <v>0</v>
      </c>
      <c r="Q61" s="265"/>
      <c r="R61" s="265"/>
      <c r="S61" s="265"/>
      <c r="T61" s="18"/>
      <c r="U61" s="265">
        <f>+S61+T61</f>
        <v>0</v>
      </c>
      <c r="W61" s="265"/>
      <c r="X61" s="265"/>
      <c r="Y61" s="265"/>
      <c r="Z61" s="18"/>
      <c r="AA61" s="265">
        <f t="shared" si="26"/>
        <v>0</v>
      </c>
    </row>
    <row r="62" spans="2:27" x14ac:dyDescent="0.25">
      <c r="B62" s="30"/>
      <c r="C62" t="s">
        <v>146</v>
      </c>
      <c r="D62" s="52"/>
      <c r="E62" s="273"/>
      <c r="F62" s="273"/>
      <c r="G62" s="265">
        <f>+'Hoja de trabajo'!B62</f>
        <v>-80040</v>
      </c>
      <c r="H62" s="18"/>
      <c r="I62" s="265">
        <f t="shared" si="22"/>
        <v>-80040</v>
      </c>
      <c r="J62" s="52"/>
      <c r="K62" s="273">
        <v>-1253393</v>
      </c>
      <c r="L62" s="273">
        <v>-231006</v>
      </c>
      <c r="M62" s="265">
        <f t="shared" si="27"/>
        <v>-1484399</v>
      </c>
      <c r="N62" s="18"/>
      <c r="O62" s="265">
        <f t="shared" si="25"/>
        <v>-1484399</v>
      </c>
      <c r="Q62" s="273">
        <v>-4862718</v>
      </c>
      <c r="R62" s="273">
        <v>-15600</v>
      </c>
      <c r="S62" s="265">
        <f t="shared" si="23"/>
        <v>-4878318</v>
      </c>
      <c r="T62" s="18"/>
      <c r="U62" s="265">
        <f>+S62+T62</f>
        <v>-4878318</v>
      </c>
      <c r="W62" s="273">
        <v>-1204028</v>
      </c>
      <c r="X62" s="273">
        <v>-261435</v>
      </c>
      <c r="Y62" s="265">
        <f t="shared" ref="Y62" si="28">+W62+X62</f>
        <v>-1465463</v>
      </c>
      <c r="Z62" s="18"/>
      <c r="AA62" s="265">
        <f t="shared" si="26"/>
        <v>-1465463</v>
      </c>
    </row>
    <row r="63" spans="2:27" x14ac:dyDescent="0.25">
      <c r="B63" s="274" t="s">
        <v>147</v>
      </c>
      <c r="C63" s="56"/>
      <c r="D63" s="57"/>
      <c r="E63" s="275">
        <f>SUM(E55:E62)</f>
        <v>0</v>
      </c>
      <c r="F63" s="275">
        <f>SUM(F55:F62)</f>
        <v>0</v>
      </c>
      <c r="G63" s="275">
        <f>SUM(G55:G62)</f>
        <v>-37805873.061452001</v>
      </c>
      <c r="H63" s="275">
        <f>SUM(H55:H62)</f>
        <v>4118950</v>
      </c>
      <c r="I63" s="275">
        <f>SUM(I55:I62)</f>
        <v>-33686923.061452001</v>
      </c>
      <c r="J63" s="52"/>
      <c r="K63" s="275">
        <f>SUM(K55:K62)</f>
        <v>-6604436</v>
      </c>
      <c r="L63" s="275">
        <f t="shared" ref="L63:O63" si="29">SUM(L55:L62)</f>
        <v>-11728238</v>
      </c>
      <c r="M63" s="275">
        <f t="shared" si="29"/>
        <v>-18332674</v>
      </c>
      <c r="N63" s="275">
        <f t="shared" si="29"/>
        <v>8203260</v>
      </c>
      <c r="O63" s="275">
        <f t="shared" si="29"/>
        <v>-10129414</v>
      </c>
      <c r="Q63" s="275" t="e">
        <f>Q55+Q56+Q58+#REF!+Q59+Q60+Q62</f>
        <v>#REF!</v>
      </c>
      <c r="R63" s="275">
        <f>SUM(R55:R62)</f>
        <v>-6648665</v>
      </c>
      <c r="S63" s="275">
        <f>SUM(S55:S62)</f>
        <v>-22206615</v>
      </c>
      <c r="T63" s="275">
        <f>SUM(T55:T62)</f>
        <v>5827272</v>
      </c>
      <c r="U63" s="275">
        <f>SUM(U55:U62)</f>
        <v>-16379343</v>
      </c>
      <c r="W63" s="275" t="e">
        <f>W55+W56+W58+#REF!+W59+W60+W62</f>
        <v>#REF!</v>
      </c>
      <c r="X63" s="275">
        <f>SUM(X55:X62)</f>
        <v>-7494620</v>
      </c>
      <c r="Y63" s="275">
        <f>SUM(Y55:Y62)</f>
        <v>-17439043</v>
      </c>
      <c r="Z63" s="275">
        <f>SUM(Z55:Z62)</f>
        <v>7144181</v>
      </c>
      <c r="AA63" s="275">
        <f>SUM(AA55:AA62)</f>
        <v>-10294862</v>
      </c>
    </row>
    <row r="64" spans="2:27" x14ac:dyDescent="0.25">
      <c r="B64" s="59"/>
      <c r="C64" s="50"/>
      <c r="D64" s="51"/>
      <c r="E64" s="265"/>
      <c r="F64" s="265"/>
      <c r="G64" s="18"/>
      <c r="H64" s="18"/>
      <c r="I64" s="18"/>
      <c r="J64" s="52"/>
      <c r="K64" s="265"/>
      <c r="L64" s="265"/>
      <c r="M64" s="18"/>
      <c r="N64" s="18"/>
      <c r="O64" s="18"/>
      <c r="Q64" s="265"/>
      <c r="R64" s="265"/>
      <c r="S64" s="18"/>
      <c r="T64" s="18"/>
      <c r="U64" s="18"/>
      <c r="W64" s="265"/>
      <c r="X64" s="265"/>
      <c r="Y64" s="18"/>
      <c r="Z64" s="18"/>
      <c r="AA64" s="18"/>
    </row>
    <row r="65" spans="1:27" x14ac:dyDescent="0.25">
      <c r="B65" s="271" t="s">
        <v>148</v>
      </c>
      <c r="D65" s="52"/>
      <c r="E65" s="265"/>
      <c r="F65" s="265"/>
      <c r="G65" s="18"/>
      <c r="H65" s="18"/>
      <c r="I65" s="18"/>
      <c r="J65" s="52"/>
      <c r="K65" s="265"/>
      <c r="L65" s="265"/>
      <c r="M65" s="18"/>
      <c r="N65" s="18"/>
      <c r="O65" s="18"/>
      <c r="Q65" s="265"/>
      <c r="R65" s="265"/>
      <c r="S65" s="265">
        <f t="shared" ref="S65:S73" si="30">+Q65+R65</f>
        <v>0</v>
      </c>
      <c r="T65" s="18"/>
      <c r="U65" s="18"/>
      <c r="W65" s="265"/>
      <c r="X65" s="265"/>
      <c r="Y65" s="18"/>
      <c r="Z65" s="18"/>
      <c r="AA65" s="18"/>
    </row>
    <row r="66" spans="1:27" hidden="1" x14ac:dyDescent="0.25">
      <c r="B66" s="30"/>
      <c r="C66" t="s">
        <v>439</v>
      </c>
      <c r="D66" s="52"/>
      <c r="E66" s="265">
        <v>0</v>
      </c>
      <c r="F66" s="265"/>
      <c r="G66" s="277">
        <v>0</v>
      </c>
      <c r="H66" s="18"/>
      <c r="I66" s="265">
        <v>0</v>
      </c>
      <c r="J66" s="52"/>
      <c r="K66" s="265">
        <v>0</v>
      </c>
      <c r="L66" s="265"/>
      <c r="M66" s="277">
        <v>0</v>
      </c>
      <c r="N66" s="18"/>
      <c r="O66" s="265">
        <v>0</v>
      </c>
      <c r="Q66" s="265">
        <v>0</v>
      </c>
      <c r="R66" s="265"/>
      <c r="S66" s="265">
        <f t="shared" si="30"/>
        <v>0</v>
      </c>
      <c r="T66" s="18"/>
      <c r="U66" s="265">
        <f t="shared" ref="U66:U73" si="31">+S66+T66</f>
        <v>0</v>
      </c>
      <c r="W66" s="265">
        <v>0</v>
      </c>
      <c r="X66" s="265"/>
      <c r="Y66" s="277">
        <f t="shared" ref="Y66:Y73" si="32">+W66+X66</f>
        <v>0</v>
      </c>
      <c r="Z66" s="18"/>
      <c r="AA66" s="265">
        <f t="shared" ref="AA66:AA73" si="33">+Y66+Z66</f>
        <v>0</v>
      </c>
    </row>
    <row r="67" spans="1:27" hidden="1" x14ac:dyDescent="0.25">
      <c r="B67" s="30"/>
      <c r="C67" t="s">
        <v>73</v>
      </c>
      <c r="D67" s="52"/>
      <c r="E67" s="265"/>
      <c r="F67" s="265"/>
      <c r="G67" s="265">
        <v>0</v>
      </c>
      <c r="H67" s="18"/>
      <c r="I67" s="265">
        <v>0</v>
      </c>
      <c r="J67" s="52"/>
      <c r="K67" s="265"/>
      <c r="L67" s="265"/>
      <c r="M67" s="265">
        <v>0</v>
      </c>
      <c r="N67" s="18"/>
      <c r="O67" s="265">
        <v>0</v>
      </c>
      <c r="Q67" s="265"/>
      <c r="R67" s="265"/>
      <c r="S67" s="265">
        <f t="shared" si="30"/>
        <v>0</v>
      </c>
      <c r="T67" s="18"/>
      <c r="U67" s="265">
        <f t="shared" si="31"/>
        <v>0</v>
      </c>
      <c r="W67" s="265"/>
      <c r="X67" s="265"/>
      <c r="Y67" s="265">
        <f t="shared" si="32"/>
        <v>0</v>
      </c>
      <c r="Z67" s="18"/>
      <c r="AA67" s="265">
        <f t="shared" si="33"/>
        <v>0</v>
      </c>
    </row>
    <row r="68" spans="1:27" hidden="1" x14ac:dyDescent="0.25">
      <c r="B68" s="30"/>
      <c r="C68" t="s">
        <v>440</v>
      </c>
      <c r="D68" s="52"/>
      <c r="E68" s="265"/>
      <c r="F68" s="265"/>
      <c r="G68" s="265">
        <v>0</v>
      </c>
      <c r="H68" s="18"/>
      <c r="I68" s="265">
        <v>0</v>
      </c>
      <c r="J68" s="52"/>
      <c r="K68" s="265"/>
      <c r="L68" s="265"/>
      <c r="M68" s="265">
        <v>0</v>
      </c>
      <c r="N68" s="18"/>
      <c r="O68" s="265">
        <v>0</v>
      </c>
      <c r="Q68" s="265"/>
      <c r="R68" s="265"/>
      <c r="S68" s="265">
        <f t="shared" si="30"/>
        <v>0</v>
      </c>
      <c r="T68" s="18"/>
      <c r="U68" s="265">
        <f t="shared" si="31"/>
        <v>0</v>
      </c>
      <c r="W68" s="265"/>
      <c r="X68" s="265"/>
      <c r="Y68" s="265">
        <f t="shared" si="32"/>
        <v>0</v>
      </c>
      <c r="Z68" s="18"/>
      <c r="AA68" s="265">
        <f t="shared" si="33"/>
        <v>0</v>
      </c>
    </row>
    <row r="69" spans="1:27" x14ac:dyDescent="0.25">
      <c r="B69" s="30"/>
      <c r="C69" t="s">
        <v>149</v>
      </c>
      <c r="D69" s="52"/>
      <c r="E69" s="265"/>
      <c r="F69" s="265"/>
      <c r="G69" s="265">
        <f>+'Hoja de trabajo'!L6+'Hoja de trabajo'!L19</f>
        <v>-859779</v>
      </c>
      <c r="H69" s="18"/>
      <c r="I69" s="265">
        <f t="shared" ref="I69:I72" si="34">+G69+H69</f>
        <v>-859779</v>
      </c>
      <c r="J69" s="52"/>
      <c r="K69" s="265">
        <v>-10808637</v>
      </c>
      <c r="L69" s="265">
        <v>-1606362</v>
      </c>
      <c r="M69" s="265">
        <f>+K69+L69</f>
        <v>-12414999</v>
      </c>
      <c r="N69" s="18"/>
      <c r="O69" s="265">
        <f>+M69+N69</f>
        <v>-12414999</v>
      </c>
      <c r="Q69" s="265">
        <v>-7240853</v>
      </c>
      <c r="R69" s="265">
        <v>873161</v>
      </c>
      <c r="S69" s="265">
        <f t="shared" si="30"/>
        <v>-6367692</v>
      </c>
      <c r="T69" s="18"/>
      <c r="U69" s="265">
        <f t="shared" si="31"/>
        <v>-6367692</v>
      </c>
      <c r="W69" s="265">
        <v>-4709384</v>
      </c>
      <c r="X69" s="265">
        <v>-3372028</v>
      </c>
      <c r="Y69" s="265">
        <f t="shared" si="32"/>
        <v>-8081412</v>
      </c>
      <c r="Z69" s="18"/>
      <c r="AA69" s="265">
        <f t="shared" si="33"/>
        <v>-8081412</v>
      </c>
    </row>
    <row r="70" spans="1:27" hidden="1" x14ac:dyDescent="0.25">
      <c r="B70" s="30"/>
      <c r="C70" t="s">
        <v>150</v>
      </c>
      <c r="D70" s="52"/>
      <c r="E70" s="265"/>
      <c r="F70" s="265"/>
      <c r="G70" s="265">
        <f t="shared" ref="G69:G72" si="35">+E70+F70</f>
        <v>0</v>
      </c>
      <c r="H70" s="18"/>
      <c r="I70" s="265">
        <f t="shared" si="34"/>
        <v>0</v>
      </c>
      <c r="J70" s="52"/>
      <c r="K70" s="265"/>
      <c r="L70" s="265">
        <v>-715413</v>
      </c>
      <c r="M70" s="265">
        <f t="shared" ref="M70:M72" si="36">+K70+L70</f>
        <v>-715413</v>
      </c>
      <c r="N70" s="18"/>
      <c r="O70" s="265">
        <f t="shared" ref="O70:O72" si="37">+M70+N70</f>
        <v>-715413</v>
      </c>
      <c r="Q70" s="265"/>
      <c r="R70" s="265"/>
      <c r="S70" s="265"/>
      <c r="T70" s="18"/>
      <c r="U70" s="265"/>
      <c r="W70" s="265"/>
      <c r="X70" s="265"/>
      <c r="Y70" s="265"/>
      <c r="Z70" s="18"/>
      <c r="AA70" s="265"/>
    </row>
    <row r="71" spans="1:27" ht="29.25" customHeight="1" x14ac:dyDescent="0.25">
      <c r="B71" s="30"/>
      <c r="C71" s="306" t="s">
        <v>450</v>
      </c>
      <c r="D71" s="307"/>
      <c r="E71" s="265"/>
      <c r="F71" s="265"/>
      <c r="G71" s="265">
        <f>+'Hoja de trabajo'!B104</f>
        <v>-1826770</v>
      </c>
      <c r="H71" s="18"/>
      <c r="I71" s="265">
        <f t="shared" si="34"/>
        <v>-1826770</v>
      </c>
      <c r="J71" s="52"/>
      <c r="K71" s="265">
        <v>-1307540</v>
      </c>
      <c r="L71" s="265">
        <v>-3373023</v>
      </c>
      <c r="M71" s="265">
        <f t="shared" si="36"/>
        <v>-4680563</v>
      </c>
      <c r="N71" s="18"/>
      <c r="O71" s="265">
        <f t="shared" si="37"/>
        <v>-4680563</v>
      </c>
      <c r="Q71" s="265"/>
      <c r="R71" s="265"/>
      <c r="S71" s="265"/>
      <c r="T71" s="18"/>
      <c r="U71" s="265"/>
      <c r="W71" s="265"/>
      <c r="X71" s="265"/>
      <c r="Y71" s="265"/>
      <c r="Z71" s="18"/>
      <c r="AA71" s="265"/>
    </row>
    <row r="72" spans="1:27" x14ac:dyDescent="0.25">
      <c r="B72" s="30"/>
      <c r="C72" t="s">
        <v>151</v>
      </c>
      <c r="D72" s="52"/>
      <c r="E72" s="265"/>
      <c r="F72" s="265"/>
      <c r="G72" s="265">
        <f>+'Hoja de trabajo'!L7+'Hoja de trabajo'!L20</f>
        <v>11113050</v>
      </c>
      <c r="H72" s="18"/>
      <c r="I72" s="265">
        <f t="shared" si="34"/>
        <v>11113050</v>
      </c>
      <c r="J72" s="52"/>
      <c r="K72" s="265">
        <v>-8550313</v>
      </c>
      <c r="L72" s="265"/>
      <c r="M72" s="265">
        <f t="shared" si="36"/>
        <v>-8550313</v>
      </c>
      <c r="N72" s="18"/>
      <c r="O72" s="265">
        <f t="shared" si="37"/>
        <v>-8550313</v>
      </c>
      <c r="Q72" s="265">
        <v>-7134782</v>
      </c>
      <c r="R72" s="265"/>
      <c r="S72" s="265">
        <f t="shared" si="30"/>
        <v>-7134782</v>
      </c>
      <c r="T72" s="18"/>
      <c r="U72" s="265">
        <f t="shared" si="31"/>
        <v>-7134782</v>
      </c>
      <c r="W72" s="265">
        <v>-8370991</v>
      </c>
      <c r="X72" s="265">
        <v>0</v>
      </c>
      <c r="Y72" s="265">
        <f t="shared" si="32"/>
        <v>-8370991</v>
      </c>
      <c r="Z72" s="18"/>
      <c r="AA72" s="265">
        <f t="shared" si="33"/>
        <v>-8370991</v>
      </c>
    </row>
    <row r="73" spans="1:27" hidden="1" x14ac:dyDescent="0.25">
      <c r="B73" s="30"/>
      <c r="C73" t="s">
        <v>152</v>
      </c>
      <c r="D73" s="52"/>
      <c r="E73" s="265"/>
      <c r="F73" s="265"/>
      <c r="G73" s="265">
        <v>0</v>
      </c>
      <c r="H73" s="18"/>
      <c r="I73" s="265">
        <v>0</v>
      </c>
      <c r="J73" s="52"/>
      <c r="K73" s="265"/>
      <c r="L73" s="265"/>
      <c r="M73" s="265">
        <v>0</v>
      </c>
      <c r="N73" s="18"/>
      <c r="O73" s="265">
        <v>0</v>
      </c>
      <c r="Q73" s="265"/>
      <c r="R73" s="278"/>
      <c r="S73" s="265">
        <f t="shared" si="30"/>
        <v>0</v>
      </c>
      <c r="T73" s="18"/>
      <c r="U73" s="265">
        <f t="shared" si="31"/>
        <v>0</v>
      </c>
      <c r="W73" s="265"/>
      <c r="X73" s="265"/>
      <c r="Y73" s="265">
        <f t="shared" si="32"/>
        <v>0</v>
      </c>
      <c r="Z73" s="18"/>
      <c r="AA73" s="265">
        <f t="shared" si="33"/>
        <v>0</v>
      </c>
    </row>
    <row r="74" spans="1:27" x14ac:dyDescent="0.25">
      <c r="B74" s="279" t="s">
        <v>153</v>
      </c>
      <c r="C74" s="56"/>
      <c r="D74" s="57"/>
      <c r="E74" s="275">
        <f>SUM(E69:E73)</f>
        <v>0</v>
      </c>
      <c r="F74" s="275">
        <f>SUM(F69:F73)</f>
        <v>0</v>
      </c>
      <c r="G74" s="275">
        <f>SUM(G69:G73)</f>
        <v>8426501</v>
      </c>
      <c r="H74" s="275">
        <f>SUM(H69:H73)</f>
        <v>0</v>
      </c>
      <c r="I74" s="275">
        <f>SUM(I66:I73)</f>
        <v>8426501</v>
      </c>
      <c r="J74" s="52"/>
      <c r="K74" s="275">
        <f>SUM(K69:K73)</f>
        <v>-20666490</v>
      </c>
      <c r="L74" s="275">
        <f t="shared" ref="L74:N74" si="38">SUM(L69:L73)</f>
        <v>-5694798</v>
      </c>
      <c r="M74" s="275">
        <f t="shared" si="38"/>
        <v>-26361288</v>
      </c>
      <c r="N74" s="275">
        <f t="shared" si="38"/>
        <v>0</v>
      </c>
      <c r="O74" s="275">
        <f>SUM(O66:O73)</f>
        <v>-26361288</v>
      </c>
      <c r="Q74" s="275">
        <f>SUM(Q66:Q73)</f>
        <v>-14375635</v>
      </c>
      <c r="R74" s="275">
        <f>SUM(R66:R73)</f>
        <v>873161</v>
      </c>
      <c r="S74" s="275">
        <f>SUM(S66:S73)</f>
        <v>-13502474</v>
      </c>
      <c r="T74" s="275">
        <f>SUM(T66:T73)</f>
        <v>0</v>
      </c>
      <c r="U74" s="275">
        <f>SUM(U66:U73)</f>
        <v>-13502474</v>
      </c>
      <c r="W74" s="275">
        <f>SUM(W66:W73)</f>
        <v>-13080375</v>
      </c>
      <c r="X74" s="275">
        <f>SUM(X66:X73)</f>
        <v>-3372028</v>
      </c>
      <c r="Y74" s="275">
        <f>SUM(Y66:Y73)</f>
        <v>-16452403</v>
      </c>
      <c r="Z74" s="275">
        <f>SUM(Z66:Z73)</f>
        <v>0</v>
      </c>
      <c r="AA74" s="275">
        <f>SUM(AA66:AA73)</f>
        <v>-16452403</v>
      </c>
    </row>
    <row r="75" spans="1:27" x14ac:dyDescent="0.25">
      <c r="B75" s="280" t="s">
        <v>154</v>
      </c>
      <c r="C75" s="56"/>
      <c r="D75" s="57"/>
      <c r="E75" s="282">
        <f>+E74+E63+E52</f>
        <v>10192415</v>
      </c>
      <c r="F75" s="282">
        <f>+F74+F63+F52</f>
        <v>29139270</v>
      </c>
      <c r="G75" s="282">
        <f>+G74+G63+G52</f>
        <v>9952312.9385479987</v>
      </c>
      <c r="H75" s="282">
        <f>+H74+H63+H45</f>
        <v>-1056199</v>
      </c>
      <c r="I75" s="282">
        <f>+I74+I63+I45</f>
        <v>17796928.753399998</v>
      </c>
      <c r="J75" s="52"/>
      <c r="K75" s="282">
        <f>+K74+K63+K52</f>
        <v>8845774</v>
      </c>
      <c r="L75" s="282">
        <f t="shared" ref="L75:O75" si="39">+L74+L63+L52</f>
        <v>-5411179</v>
      </c>
      <c r="M75" s="282">
        <f t="shared" si="39"/>
        <v>3434595</v>
      </c>
      <c r="N75" s="282">
        <f t="shared" si="39"/>
        <v>0</v>
      </c>
      <c r="O75" s="282">
        <f t="shared" si="39"/>
        <v>3434595</v>
      </c>
      <c r="Q75" s="281" t="e">
        <f>+Q74+Q63+Q45</f>
        <v>#REF!</v>
      </c>
      <c r="R75" s="281">
        <f>+R74+R63+R45</f>
        <v>6782259</v>
      </c>
      <c r="S75" s="282">
        <f>+S74+S63+S45</f>
        <v>-123652.55000001192</v>
      </c>
      <c r="T75" s="283">
        <f>+T74+T63+T45</f>
        <v>-0.5</v>
      </c>
      <c r="U75" s="282">
        <f>+U74+U63+U45</f>
        <v>-123653.05000001192</v>
      </c>
      <c r="W75" s="281" t="e">
        <f>+W74+W63+W45</f>
        <v>#REF!</v>
      </c>
      <c r="X75" s="281">
        <f>+X74+X63+X45</f>
        <v>-188600</v>
      </c>
      <c r="Y75" s="282">
        <f>+Y74+Y63+Y45</f>
        <v>-8881354</v>
      </c>
      <c r="Z75" s="282">
        <f>+Z74+Z63+Z45</f>
        <v>-12940</v>
      </c>
      <c r="AA75" s="282">
        <f>+AA74+AA63+AA45</f>
        <v>-8894294</v>
      </c>
    </row>
    <row r="76" spans="1:27" x14ac:dyDescent="0.25">
      <c r="Q76" s="262"/>
      <c r="R76" s="262"/>
      <c r="S76" s="284" t="e">
        <f>+R75+Q75-S75</f>
        <v>#REF!</v>
      </c>
    </row>
    <row r="77" spans="1:27" x14ac:dyDescent="0.25">
      <c r="A77" s="30"/>
      <c r="B77" s="59" t="s">
        <v>155</v>
      </c>
      <c r="C77" s="50"/>
      <c r="D77" s="50"/>
      <c r="E77" s="264"/>
      <c r="F77" s="264"/>
      <c r="G77" s="264"/>
      <c r="H77" s="17"/>
      <c r="I77" s="285">
        <f>+I75</f>
        <v>17796928.753399998</v>
      </c>
      <c r="K77" s="264">
        <f>+K75</f>
        <v>8845774</v>
      </c>
      <c r="L77" s="264">
        <f t="shared" ref="L77:O77" si="40">+L75</f>
        <v>-5411179</v>
      </c>
      <c r="M77" s="264">
        <f t="shared" si="40"/>
        <v>3434595</v>
      </c>
      <c r="N77" s="264">
        <f t="shared" si="40"/>
        <v>0</v>
      </c>
      <c r="O77" s="264">
        <f t="shared" si="40"/>
        <v>3434595</v>
      </c>
      <c r="Q77" s="264" t="e">
        <f>+Q75</f>
        <v>#REF!</v>
      </c>
      <c r="R77" s="264">
        <f>+R75</f>
        <v>6782259</v>
      </c>
      <c r="S77" s="264" t="e">
        <f t="shared" ref="S77:S78" si="41">+Q77+R77</f>
        <v>#REF!</v>
      </c>
      <c r="T77" s="17"/>
      <c r="U77" s="285" t="e">
        <f>+S77+T77</f>
        <v>#REF!</v>
      </c>
      <c r="V77" s="50"/>
      <c r="W77" s="264" t="e">
        <f>+W75</f>
        <v>#REF!</v>
      </c>
      <c r="X77" s="264">
        <v>-188600</v>
      </c>
      <c r="Y77" s="264" t="e">
        <f t="shared" ref="Y77:Y78" si="42">+W77+X77</f>
        <v>#REF!</v>
      </c>
      <c r="Z77" s="17"/>
      <c r="AA77" s="285" t="e">
        <f>+Y77+Z77</f>
        <v>#REF!</v>
      </c>
    </row>
    <row r="78" spans="1:27" x14ac:dyDescent="0.25">
      <c r="A78" s="30"/>
      <c r="B78" s="30" t="s">
        <v>156</v>
      </c>
      <c r="E78" s="265"/>
      <c r="F78" s="265"/>
      <c r="G78" s="265"/>
      <c r="H78" s="18"/>
      <c r="I78" s="277">
        <f>+O79</f>
        <v>7588799</v>
      </c>
      <c r="K78" s="265">
        <v>-3213378.5500000119</v>
      </c>
      <c r="L78" s="265">
        <v>7367583</v>
      </c>
      <c r="M78" s="265">
        <f>+K78+L78</f>
        <v>4154204.4499999881</v>
      </c>
      <c r="N78" s="18"/>
      <c r="O78" s="277">
        <v>4154204</v>
      </c>
      <c r="Q78" s="265">
        <v>1346730</v>
      </c>
      <c r="R78" s="265">
        <v>585324</v>
      </c>
      <c r="S78" s="265">
        <f t="shared" si="41"/>
        <v>1932054</v>
      </c>
      <c r="T78" s="18"/>
      <c r="U78" s="277">
        <f>+S78</f>
        <v>1932054</v>
      </c>
      <c r="W78" s="265">
        <v>10525965</v>
      </c>
      <c r="X78" s="265">
        <v>773924</v>
      </c>
      <c r="Y78" s="265">
        <f t="shared" si="42"/>
        <v>11299889</v>
      </c>
      <c r="Z78" s="18"/>
      <c r="AA78" s="277">
        <f>+Y78</f>
        <v>11299889</v>
      </c>
    </row>
    <row r="79" spans="1:27" x14ac:dyDescent="0.25">
      <c r="A79" s="30"/>
      <c r="B79" s="286" t="s">
        <v>157</v>
      </c>
      <c r="C79" s="36"/>
      <c r="D79" s="36"/>
      <c r="E79" s="275">
        <f>+E77+E78</f>
        <v>0</v>
      </c>
      <c r="F79" s="275">
        <f>+F77+F78</f>
        <v>0</v>
      </c>
      <c r="G79" s="275">
        <f>+G77+G78</f>
        <v>0</v>
      </c>
      <c r="H79" s="275">
        <v>0</v>
      </c>
      <c r="I79" s="275">
        <f>SUM(I77:I78)</f>
        <v>25385727.753399998</v>
      </c>
      <c r="K79" s="275">
        <f>+K77+K78</f>
        <v>5632395.4499999881</v>
      </c>
      <c r="L79" s="275">
        <f t="shared" ref="L79:O79" si="43">+L77+L78</f>
        <v>1956404</v>
      </c>
      <c r="M79" s="275">
        <f>+K79+L79</f>
        <v>7588799.4499999881</v>
      </c>
      <c r="N79" s="275">
        <f t="shared" si="43"/>
        <v>0</v>
      </c>
      <c r="O79" s="275">
        <f t="shared" si="43"/>
        <v>7588799</v>
      </c>
      <c r="Q79" s="275" t="e">
        <f>Q77+Q78</f>
        <v>#REF!</v>
      </c>
      <c r="R79" s="275">
        <f>R77+R78</f>
        <v>7367583</v>
      </c>
      <c r="S79" s="275" t="e">
        <f>+S77+S78</f>
        <v>#REF!</v>
      </c>
      <c r="T79" s="275">
        <f>+T77+T78</f>
        <v>0</v>
      </c>
      <c r="U79" s="275" t="e">
        <f>+U77+U78</f>
        <v>#REF!</v>
      </c>
      <c r="V79" s="36"/>
      <c r="W79" s="275" t="e">
        <f>W77+W78</f>
        <v>#REF!</v>
      </c>
      <c r="X79" s="275">
        <f>X77+X78</f>
        <v>585324</v>
      </c>
      <c r="Y79" s="275" t="e">
        <f>+Y77+Y78</f>
        <v>#REF!</v>
      </c>
      <c r="Z79" s="275">
        <f>+Z77+Z78</f>
        <v>0</v>
      </c>
      <c r="AA79" s="275" t="e">
        <f>+AA77+AA78</f>
        <v>#REF!</v>
      </c>
    </row>
    <row r="80" spans="1:27" s="299" customFormat="1" hidden="1" x14ac:dyDescent="0.25">
      <c r="E80" s="292">
        <f>+E79-(+'BG '!E8-'BG '!E39)</f>
        <v>-19454167</v>
      </c>
      <c r="F80" s="292">
        <f>+F79-(+'BG '!F8-'BG '!F39)</f>
        <v>-2177764</v>
      </c>
      <c r="G80" s="292">
        <f>+G79-(+'BG '!G8-'BG '!G39)</f>
        <v>-21631931</v>
      </c>
      <c r="H80" s="292">
        <f>+H79-(+'BG '!H8-'BG '!H39)</f>
        <v>0</v>
      </c>
      <c r="I80" s="292">
        <f>+I79-(+'BG '!I8-'BG '!I39)</f>
        <v>3753796.7533999979</v>
      </c>
      <c r="J80" s="301"/>
      <c r="K80" s="292">
        <f>+K79-'BG '!K8</f>
        <v>-50776.550000011921</v>
      </c>
      <c r="L80" s="292">
        <f>+L79-'BG '!L8</f>
        <v>0</v>
      </c>
      <c r="M80" s="292">
        <f>+M79-'BG '!M8</f>
        <v>-50776.550000011921</v>
      </c>
      <c r="N80" s="292">
        <f>+N79-'BG '!N8</f>
        <v>0</v>
      </c>
      <c r="O80" s="292">
        <f>+O79-'BG '!O8</f>
        <v>-50777</v>
      </c>
      <c r="Q80" s="300"/>
      <c r="R80" s="300"/>
      <c r="W80" s="300"/>
      <c r="X80" s="300"/>
    </row>
    <row r="81" spans="5:27" x14ac:dyDescent="0.25">
      <c r="E81" s="284"/>
      <c r="F81" s="284"/>
      <c r="G81" s="284"/>
      <c r="H81" s="284">
        <f>+H79-'BG '!H8</f>
        <v>0</v>
      </c>
      <c r="I81" s="284">
        <f>+I79-'BG '!I8+'BG '!I39</f>
        <v>3753796.7533999979</v>
      </c>
      <c r="O81" s="284"/>
      <c r="Q81" s="262"/>
      <c r="R81" s="262"/>
    </row>
    <row r="82" spans="5:27" x14ac:dyDescent="0.25">
      <c r="E82" s="287"/>
      <c r="F82" s="287"/>
      <c r="G82" s="287"/>
      <c r="H82" s="287"/>
      <c r="I82" s="287">
        <f>+H75-I81</f>
        <v>-4809995.7533999979</v>
      </c>
      <c r="K82" s="287"/>
      <c r="L82" s="287"/>
      <c r="M82" s="287"/>
      <c r="N82" s="287"/>
      <c r="O82" s="287"/>
      <c r="Q82" s="262"/>
      <c r="R82" s="262"/>
      <c r="W82" s="287"/>
      <c r="X82" s="287"/>
      <c r="Y82" s="287"/>
      <c r="Z82" s="287"/>
      <c r="AA82" s="287"/>
    </row>
    <row r="83" spans="5:27" x14ac:dyDescent="0.25">
      <c r="E83" s="287"/>
      <c r="F83"/>
      <c r="I83" s="284"/>
      <c r="K83" s="287"/>
      <c r="L83"/>
      <c r="O83" s="284"/>
      <c r="Q83" s="288" t="s">
        <v>78</v>
      </c>
      <c r="R83" s="50"/>
      <c r="S83" s="50"/>
      <c r="W83" s="287"/>
      <c r="X83"/>
    </row>
    <row r="84" spans="5:27" x14ac:dyDescent="0.25">
      <c r="E84" s="287"/>
      <c r="F84"/>
      <c r="K84" s="287"/>
      <c r="L84"/>
      <c r="Q84" s="262" t="s">
        <v>79</v>
      </c>
      <c r="W84" s="287"/>
      <c r="X84"/>
    </row>
  </sheetData>
  <mergeCells count="7">
    <mergeCell ref="B9:D9"/>
    <mergeCell ref="C14:D14"/>
    <mergeCell ref="C55:D55"/>
    <mergeCell ref="C58:D58"/>
    <mergeCell ref="C71:D71"/>
    <mergeCell ref="C56:D56"/>
    <mergeCell ref="C48:D48"/>
  </mergeCells>
  <pageMargins left="0.7" right="0.7" top="0.75" bottom="0.75" header="0.51180555555555496" footer="0.51180555555555496"/>
  <pageSetup scale="50" firstPageNumber="0" orientation="landscape"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25"/>
  <sheetViews>
    <sheetView topLeftCell="A25" zoomScale="110" zoomScaleNormal="110" workbookViewId="0">
      <selection activeCell="C25" sqref="C25"/>
    </sheetView>
  </sheetViews>
  <sheetFormatPr defaultColWidth="11.42578125" defaultRowHeight="15" x14ac:dyDescent="0.25"/>
  <cols>
    <col min="1" max="1" width="38.85546875" style="66" customWidth="1"/>
    <col min="2" max="2" width="12" style="67" customWidth="1"/>
    <col min="3" max="3" width="11.5703125" style="66" customWidth="1"/>
    <col min="4" max="4" width="11.7109375" style="66" customWidth="1"/>
    <col min="5" max="5" width="11.5703125" style="68" hidden="1" customWidth="1"/>
    <col min="6" max="6" width="11.7109375" style="66" hidden="1" customWidth="1"/>
    <col min="7" max="7" width="11" style="68" hidden="1" customWidth="1"/>
    <col min="8" max="8" width="11.7109375" style="66" hidden="1" customWidth="1"/>
    <col min="9" max="9" width="1.7109375" style="66" customWidth="1"/>
    <col min="10" max="10" width="41.5703125" style="66" customWidth="1"/>
    <col min="11" max="11" width="13.42578125" style="67" bestFit="1" customWidth="1"/>
    <col min="12" max="13" width="11.7109375" style="66" customWidth="1"/>
    <col min="14" max="14" width="10.5703125" style="68" hidden="1" customWidth="1"/>
    <col min="15" max="15" width="11.7109375" style="66" hidden="1" customWidth="1"/>
    <col min="16" max="16" width="10.5703125" style="68" hidden="1" customWidth="1"/>
    <col min="17" max="17" width="12" style="66" hidden="1" customWidth="1"/>
    <col min="18" max="18" width="11.5703125" style="69" hidden="1" customWidth="1"/>
    <col min="19" max="19" width="11.42578125" style="66"/>
    <col min="20" max="20" width="13.28515625" style="66" customWidth="1"/>
    <col min="21" max="1024" width="11.42578125" style="66"/>
  </cols>
  <sheetData>
    <row r="1" spans="1:21" s="66" customFormat="1" ht="9" customHeight="1" x14ac:dyDescent="0.2">
      <c r="A1" s="70"/>
      <c r="C1" s="70"/>
      <c r="D1" s="70"/>
      <c r="E1" s="71"/>
      <c r="F1" s="72"/>
      <c r="G1" s="71"/>
      <c r="H1" s="70"/>
      <c r="I1" s="72"/>
      <c r="J1" s="70"/>
      <c r="L1" s="70"/>
      <c r="M1" s="70"/>
      <c r="N1" s="71"/>
      <c r="O1" s="72"/>
      <c r="P1" s="71"/>
      <c r="Q1" s="73"/>
      <c r="R1" s="69"/>
    </row>
    <row r="2" spans="1:21" ht="12" customHeight="1" x14ac:dyDescent="0.25">
      <c r="A2" s="72" t="s">
        <v>158</v>
      </c>
      <c r="B2" s="78">
        <v>2020</v>
      </c>
      <c r="C2" s="74"/>
      <c r="D2" s="74">
        <v>2019</v>
      </c>
      <c r="E2" s="75"/>
      <c r="F2" s="74">
        <v>2017</v>
      </c>
      <c r="G2" s="76"/>
      <c r="H2" s="72">
        <v>2016</v>
      </c>
      <c r="I2" s="77"/>
      <c r="J2" s="72" t="s">
        <v>159</v>
      </c>
      <c r="K2" s="78">
        <v>2020</v>
      </c>
      <c r="L2" s="74"/>
      <c r="M2" s="74">
        <v>2019</v>
      </c>
      <c r="N2" s="75"/>
      <c r="O2" s="74">
        <v>2017</v>
      </c>
      <c r="P2" s="76"/>
      <c r="Q2" s="77">
        <v>2016</v>
      </c>
      <c r="S2" s="79"/>
      <c r="T2" s="80"/>
      <c r="U2" s="80"/>
    </row>
    <row r="3" spans="1:21" ht="12" customHeight="1" x14ac:dyDescent="0.25">
      <c r="A3" s="70"/>
      <c r="B3" s="81"/>
      <c r="C3" s="82"/>
      <c r="D3" s="82"/>
      <c r="E3" s="83"/>
      <c r="F3" s="84"/>
      <c r="G3" s="71"/>
      <c r="H3" s="70"/>
      <c r="I3" s="72"/>
      <c r="J3" s="70"/>
      <c r="K3" s="85"/>
      <c r="L3" s="86"/>
      <c r="M3" s="87"/>
      <c r="N3" s="83"/>
      <c r="O3" s="82"/>
      <c r="P3" s="71"/>
      <c r="Q3" s="70"/>
    </row>
    <row r="4" spans="1:21" ht="12" customHeight="1" x14ac:dyDescent="0.25">
      <c r="A4" s="88" t="s">
        <v>160</v>
      </c>
      <c r="B4" s="81"/>
      <c r="C4" s="89"/>
      <c r="D4" s="89"/>
      <c r="E4" s="83"/>
      <c r="F4" s="84"/>
      <c r="G4" s="71"/>
      <c r="H4" s="88"/>
      <c r="I4" s="72"/>
      <c r="J4" s="90" t="s">
        <v>161</v>
      </c>
      <c r="K4" s="91"/>
      <c r="L4" s="92"/>
      <c r="M4" s="93"/>
      <c r="N4" s="83"/>
      <c r="O4" s="94"/>
      <c r="P4" s="71"/>
      <c r="Q4" s="95"/>
    </row>
    <row r="5" spans="1:21" ht="12" customHeight="1" x14ac:dyDescent="0.25">
      <c r="A5" s="96" t="s">
        <v>162</v>
      </c>
      <c r="B5" s="97">
        <f>+'BG '!I8</f>
        <v>23111567</v>
      </c>
      <c r="C5" s="98">
        <f t="shared" ref="C5:C15" si="0">+D5-B5</f>
        <v>-15471991</v>
      </c>
      <c r="D5" s="97">
        <f>+'BG '!O8</f>
        <v>7639576</v>
      </c>
      <c r="E5" s="98">
        <f t="shared" ref="E5:E13" si="1">+F5-D5</f>
        <v>-5897014</v>
      </c>
      <c r="F5" s="99">
        <f>'[2]Planilla Final 2017'!R5</f>
        <v>1742562</v>
      </c>
      <c r="G5" s="100">
        <f t="shared" ref="G5:G13" si="2">F5-H5</f>
        <v>-9053595</v>
      </c>
      <c r="H5" s="101">
        <v>10796157</v>
      </c>
      <c r="I5" s="72"/>
      <c r="J5" s="96" t="s">
        <v>163</v>
      </c>
      <c r="K5" s="102">
        <f>+'BG '!I39</f>
        <v>1479636</v>
      </c>
      <c r="L5" s="98">
        <f t="shared" ref="L5:L14" si="3">+K5-M5</f>
        <v>1428860</v>
      </c>
      <c r="M5" s="102">
        <f>+'BG '!O39</f>
        <v>50776</v>
      </c>
      <c r="N5" s="98">
        <f t="shared" ref="N5:N12" si="4">+M5-O5</f>
        <v>-209626</v>
      </c>
      <c r="O5" s="103">
        <f>'[2]Planilla Final 2017'!R24</f>
        <v>260402</v>
      </c>
      <c r="P5" s="100">
        <f t="shared" ref="P5:P12" si="5">+O5-Q5</f>
        <v>61512</v>
      </c>
      <c r="Q5" s="104">
        <v>198890</v>
      </c>
      <c r="R5" s="105">
        <f>+D5-M5</f>
        <v>7588800</v>
      </c>
      <c r="S5" s="106"/>
      <c r="T5" s="107"/>
      <c r="U5" s="107"/>
    </row>
    <row r="6" spans="1:21" ht="12" customHeight="1" x14ac:dyDescent="0.25">
      <c r="A6" s="96" t="s">
        <v>164</v>
      </c>
      <c r="B6" s="97">
        <f>+'BG '!I9</f>
        <v>3119911</v>
      </c>
      <c r="C6" s="98">
        <f t="shared" si="0"/>
        <v>-3107992</v>
      </c>
      <c r="D6" s="97">
        <f>+'BG '!O9</f>
        <v>11919</v>
      </c>
      <c r="E6" s="98">
        <f t="shared" si="1"/>
        <v>90701</v>
      </c>
      <c r="F6" s="99">
        <f>'[2]Planilla Final 2017'!R7</f>
        <v>102620</v>
      </c>
      <c r="G6" s="100">
        <f t="shared" si="2"/>
        <v>-5828169</v>
      </c>
      <c r="H6" s="101">
        <v>5930789</v>
      </c>
      <c r="I6" s="70"/>
      <c r="J6" s="96" t="s">
        <v>165</v>
      </c>
      <c r="K6" s="102">
        <f>+'BG '!I40</f>
        <v>4080196</v>
      </c>
      <c r="L6" s="98">
        <f t="shared" si="3"/>
        <v>-1028176</v>
      </c>
      <c r="M6" s="102">
        <f>+'BG '!O40</f>
        <v>5108372</v>
      </c>
      <c r="N6" s="98">
        <f t="shared" si="4"/>
        <v>-8305303</v>
      </c>
      <c r="O6" s="108">
        <f>'[2]Planilla Final 2017'!R25</f>
        <v>13413675</v>
      </c>
      <c r="P6" s="100">
        <f t="shared" si="5"/>
        <v>-4986126</v>
      </c>
      <c r="Q6" s="95">
        <f>31524342-198890-12925651</f>
        <v>18399801</v>
      </c>
      <c r="S6" s="109"/>
      <c r="T6" s="107"/>
      <c r="U6" s="107"/>
    </row>
    <row r="7" spans="1:21" ht="12" customHeight="1" x14ac:dyDescent="0.25">
      <c r="A7" s="96" t="s">
        <v>25</v>
      </c>
      <c r="B7" s="97">
        <f>+'BG '!I10</f>
        <v>0</v>
      </c>
      <c r="C7" s="98">
        <f t="shared" si="0"/>
        <v>3358789</v>
      </c>
      <c r="D7" s="97">
        <f>+'BG '!O10</f>
        <v>3358789</v>
      </c>
      <c r="E7" s="98">
        <f t="shared" si="1"/>
        <v>-714334</v>
      </c>
      <c r="F7" s="99">
        <f>'[2]Planilla Final 2017'!R6</f>
        <v>2644455</v>
      </c>
      <c r="G7" s="100">
        <f t="shared" si="2"/>
        <v>593863</v>
      </c>
      <c r="H7" s="101">
        <v>2050592</v>
      </c>
      <c r="I7" s="72"/>
      <c r="J7" s="96" t="s">
        <v>166</v>
      </c>
      <c r="K7" s="102">
        <f>+'BG '!I41</f>
        <v>6939886</v>
      </c>
      <c r="L7" s="98">
        <f t="shared" si="3"/>
        <v>4455155</v>
      </c>
      <c r="M7" s="102">
        <f>+'BG '!O41</f>
        <v>2484731</v>
      </c>
      <c r="N7" s="98">
        <f t="shared" si="4"/>
        <v>-8974579</v>
      </c>
      <c r="O7" s="108">
        <f>'[2]Planilla Final 2017'!R26</f>
        <v>11459310</v>
      </c>
      <c r="P7" s="100">
        <f t="shared" si="5"/>
        <v>-1466341</v>
      </c>
      <c r="Q7" s="95">
        <v>12925651</v>
      </c>
      <c r="S7" s="109"/>
      <c r="T7" s="107"/>
      <c r="U7" s="107"/>
    </row>
    <row r="8" spans="1:21" ht="12" customHeight="1" x14ac:dyDescent="0.25">
      <c r="A8" s="96" t="s">
        <v>167</v>
      </c>
      <c r="B8" s="97">
        <f>+'BG '!I12</f>
        <v>15745531</v>
      </c>
      <c r="C8" s="98">
        <f t="shared" si="0"/>
        <v>-3132585</v>
      </c>
      <c r="D8" s="97">
        <f>+'BG '!O12</f>
        <v>12612946</v>
      </c>
      <c r="E8" s="98">
        <f t="shared" si="1"/>
        <v>2950458</v>
      </c>
      <c r="F8" s="99">
        <f>'[2]Planilla Final 2017'!R8</f>
        <v>15563404</v>
      </c>
      <c r="G8" s="100">
        <f t="shared" si="2"/>
        <v>1100909</v>
      </c>
      <c r="H8" s="101">
        <v>14462495</v>
      </c>
      <c r="I8" s="72"/>
      <c r="J8" s="96" t="s">
        <v>168</v>
      </c>
      <c r="K8" s="102">
        <f>+'BG '!I43</f>
        <v>33183730</v>
      </c>
      <c r="L8" s="98">
        <f t="shared" si="3"/>
        <v>10111584</v>
      </c>
      <c r="M8" s="102">
        <f>+'BG '!O43</f>
        <v>23072146</v>
      </c>
      <c r="N8" s="98">
        <f t="shared" si="4"/>
        <v>2636101</v>
      </c>
      <c r="O8" s="108">
        <f>'[2]Planilla Final 2017'!R27</f>
        <v>20436045</v>
      </c>
      <c r="P8" s="100">
        <f t="shared" si="5"/>
        <v>1910661</v>
      </c>
      <c r="Q8" s="95">
        <v>18525384</v>
      </c>
      <c r="S8" s="109"/>
      <c r="T8" s="107"/>
      <c r="U8" s="107"/>
    </row>
    <row r="9" spans="1:21" ht="12" customHeight="1" x14ac:dyDescent="0.25">
      <c r="A9" s="96" t="s">
        <v>169</v>
      </c>
      <c r="B9" s="97">
        <f>+'BG '!I13</f>
        <v>9291972</v>
      </c>
      <c r="C9" s="98">
        <f t="shared" si="0"/>
        <v>17328132</v>
      </c>
      <c r="D9" s="97">
        <f>+'BG '!O13</f>
        <v>26620104</v>
      </c>
      <c r="E9" s="98">
        <f t="shared" si="1"/>
        <v>-1545107</v>
      </c>
      <c r="F9" s="99">
        <f>'[2]Planilla Final 2017'!R9</f>
        <v>25074997</v>
      </c>
      <c r="G9" s="100">
        <f t="shared" si="2"/>
        <v>11254398</v>
      </c>
      <c r="H9" s="101">
        <v>13820599</v>
      </c>
      <c r="I9" s="72"/>
      <c r="J9" s="96" t="s">
        <v>170</v>
      </c>
      <c r="K9" s="102">
        <f>+'BG '!I44</f>
        <v>922234</v>
      </c>
      <c r="L9" s="98">
        <f t="shared" si="3"/>
        <v>-3997240</v>
      </c>
      <c r="M9" s="102">
        <f>+'BG '!O44</f>
        <v>4919474</v>
      </c>
      <c r="N9" s="98">
        <f t="shared" si="4"/>
        <v>3005845</v>
      </c>
      <c r="O9" s="108">
        <f>'[2]Planilla Final 2017'!R28</f>
        <v>1913629</v>
      </c>
      <c r="P9" s="100">
        <f t="shared" si="5"/>
        <v>1651239</v>
      </c>
      <c r="Q9" s="95">
        <v>262390</v>
      </c>
      <c r="T9" s="107"/>
      <c r="U9" s="107"/>
    </row>
    <row r="10" spans="1:21" ht="12" customHeight="1" x14ac:dyDescent="0.25">
      <c r="A10" s="96" t="s">
        <v>30</v>
      </c>
      <c r="B10" s="97">
        <f>+'BG '!I15</f>
        <v>1702817</v>
      </c>
      <c r="C10" s="98">
        <f t="shared" si="0"/>
        <v>271025</v>
      </c>
      <c r="D10" s="97">
        <f>+'BG '!O15</f>
        <v>1973842</v>
      </c>
      <c r="E10" s="98">
        <f t="shared" si="1"/>
        <v>-849063</v>
      </c>
      <c r="F10" s="99">
        <f>'[2]Planilla Final 2017'!R11</f>
        <v>1124779</v>
      </c>
      <c r="G10" s="100">
        <f t="shared" si="2"/>
        <v>-685042</v>
      </c>
      <c r="H10" s="101">
        <v>1809821</v>
      </c>
      <c r="I10" s="72"/>
      <c r="J10" s="96" t="s">
        <v>171</v>
      </c>
      <c r="K10" s="102">
        <f>+'BG '!I46</f>
        <v>14130987</v>
      </c>
      <c r="L10" s="98">
        <f t="shared" si="3"/>
        <v>5209741</v>
      </c>
      <c r="M10" s="102">
        <f>+'BG '!O46</f>
        <v>8921246</v>
      </c>
      <c r="N10" s="98">
        <f t="shared" si="4"/>
        <v>4646339</v>
      </c>
      <c r="O10" s="108">
        <f>'[2]Planilla Final 2017'!R29</f>
        <v>4274907</v>
      </c>
      <c r="P10" s="100">
        <f t="shared" si="5"/>
        <v>130512</v>
      </c>
      <c r="Q10" s="95">
        <v>4144395</v>
      </c>
      <c r="T10" s="107"/>
      <c r="U10" s="107"/>
    </row>
    <row r="11" spans="1:21" ht="12" customHeight="1" x14ac:dyDescent="0.25">
      <c r="A11" s="96" t="s">
        <v>38</v>
      </c>
      <c r="B11" s="97">
        <f>+'BG '!I14</f>
        <v>17168284</v>
      </c>
      <c r="C11" s="98">
        <f t="shared" si="0"/>
        <v>888764</v>
      </c>
      <c r="D11" s="97">
        <f>+'BG '!O14</f>
        <v>18057048</v>
      </c>
      <c r="E11" s="98">
        <f t="shared" si="1"/>
        <v>-12518600</v>
      </c>
      <c r="F11" s="99">
        <f>'[2]Planilla Final 2017'!R10</f>
        <v>5538448</v>
      </c>
      <c r="G11" s="100">
        <f t="shared" si="2"/>
        <v>2963608</v>
      </c>
      <c r="H11" s="101">
        <v>2574840</v>
      </c>
      <c r="I11" s="72"/>
      <c r="J11" s="96" t="s">
        <v>129</v>
      </c>
      <c r="K11" s="102">
        <f>+'BG '!I47</f>
        <v>2650186</v>
      </c>
      <c r="L11" s="98">
        <f t="shared" si="3"/>
        <v>-1223905</v>
      </c>
      <c r="M11" s="102">
        <f>+'BG '!O47</f>
        <v>3874091</v>
      </c>
      <c r="N11" s="98">
        <f t="shared" si="4"/>
        <v>185723</v>
      </c>
      <c r="O11" s="108">
        <f>'[2]Planilla Final 2017'!R30</f>
        <v>3688368</v>
      </c>
      <c r="P11" s="100">
        <f t="shared" si="5"/>
        <v>-31613</v>
      </c>
      <c r="Q11" s="95">
        <f>783153+2936828</f>
        <v>3719981</v>
      </c>
      <c r="T11" s="107"/>
      <c r="U11" s="107"/>
    </row>
    <row r="12" spans="1:21" ht="12" customHeight="1" x14ac:dyDescent="0.25">
      <c r="A12" s="96" t="s">
        <v>31</v>
      </c>
      <c r="B12" s="97">
        <f>+'BG '!I16</f>
        <v>7031628</v>
      </c>
      <c r="C12" s="98">
        <f t="shared" si="0"/>
        <v>-6284364</v>
      </c>
      <c r="D12" s="97">
        <f>+'BG '!O16</f>
        <v>747264</v>
      </c>
      <c r="E12" s="98">
        <f t="shared" si="1"/>
        <v>-105080</v>
      </c>
      <c r="F12" s="99">
        <f>'[2]Planilla Final 2017'!R12</f>
        <v>642184</v>
      </c>
      <c r="G12" s="100">
        <f t="shared" si="2"/>
        <v>-1728719</v>
      </c>
      <c r="H12" s="101">
        <v>2370903</v>
      </c>
      <c r="I12" s="70"/>
      <c r="J12" s="96" t="s">
        <v>59</v>
      </c>
      <c r="K12" s="102">
        <f>+'BG '!I48</f>
        <v>3156285</v>
      </c>
      <c r="L12" s="98">
        <f t="shared" si="3"/>
        <v>1722441</v>
      </c>
      <c r="M12" s="102">
        <f>+'BG '!O48</f>
        <v>1433844</v>
      </c>
      <c r="N12" s="98">
        <f t="shared" si="4"/>
        <v>-4702711</v>
      </c>
      <c r="O12" s="108">
        <f>'[2]Planilla Final 2017'!R31+'[2]Planilla Final 2017'!R33</f>
        <v>6136555</v>
      </c>
      <c r="P12" s="100">
        <f t="shared" si="5"/>
        <v>-2446877</v>
      </c>
      <c r="Q12" s="95">
        <f>4358272+4225160</f>
        <v>8583432</v>
      </c>
      <c r="T12" s="107"/>
      <c r="U12" s="107"/>
    </row>
    <row r="13" spans="1:21" ht="12" customHeight="1" x14ac:dyDescent="0.25">
      <c r="A13" s="96" t="s">
        <v>32</v>
      </c>
      <c r="B13" s="97">
        <f>+'BG '!I17</f>
        <v>28373114</v>
      </c>
      <c r="C13" s="98">
        <f t="shared" si="0"/>
        <v>221528</v>
      </c>
      <c r="D13" s="97">
        <f>+'BG '!O17</f>
        <v>28594642</v>
      </c>
      <c r="E13" s="98">
        <f t="shared" si="1"/>
        <v>-13709615</v>
      </c>
      <c r="F13" s="99">
        <f>'[2]Planilla Final 2017'!R13</f>
        <v>14885027</v>
      </c>
      <c r="G13" s="100">
        <f t="shared" si="2"/>
        <v>-4055589</v>
      </c>
      <c r="H13" s="110">
        <v>18940616</v>
      </c>
      <c r="I13" s="72"/>
      <c r="J13" s="111" t="s">
        <v>172</v>
      </c>
      <c r="K13" s="102">
        <f>+'BG '!I50</f>
        <v>1574195</v>
      </c>
      <c r="L13" s="98">
        <f t="shared" si="3"/>
        <v>-645022</v>
      </c>
      <c r="M13" s="102">
        <f>+'BG '!O50</f>
        <v>2219217</v>
      </c>
      <c r="N13" s="112"/>
      <c r="O13" s="81">
        <v>0</v>
      </c>
      <c r="P13" s="100">
        <f>+O14-Q13</f>
        <v>184123</v>
      </c>
      <c r="Q13" s="95">
        <v>4375344</v>
      </c>
      <c r="T13" s="107"/>
      <c r="U13" s="107"/>
    </row>
    <row r="14" spans="1:21" ht="12" customHeight="1" x14ac:dyDescent="0.25">
      <c r="A14" s="111" t="s">
        <v>173</v>
      </c>
      <c r="B14" s="113">
        <f>'BG '!I18</f>
        <v>413564</v>
      </c>
      <c r="C14" s="98">
        <f t="shared" si="0"/>
        <v>-413564</v>
      </c>
      <c r="D14" s="114">
        <f>'BG '!O18</f>
        <v>0</v>
      </c>
      <c r="E14" s="98"/>
      <c r="F14" s="115"/>
      <c r="G14" s="100"/>
      <c r="H14" s="116"/>
      <c r="I14" s="70"/>
      <c r="J14" s="96" t="s">
        <v>174</v>
      </c>
      <c r="K14" s="102">
        <f>+'BG '!I49</f>
        <v>15403343</v>
      </c>
      <c r="L14" s="98">
        <f t="shared" si="3"/>
        <v>5649826</v>
      </c>
      <c r="M14" s="102">
        <f>+'BG '!O49</f>
        <v>9753517</v>
      </c>
      <c r="N14" s="98">
        <f>+M14-O14</f>
        <v>5194050</v>
      </c>
      <c r="O14" s="108">
        <f>'[2]Planilla Final 2017'!R32</f>
        <v>4559467</v>
      </c>
      <c r="T14" s="107"/>
      <c r="U14" s="107"/>
    </row>
    <row r="15" spans="1:21" ht="12" customHeight="1" x14ac:dyDescent="0.25">
      <c r="A15" s="111"/>
      <c r="B15" s="113">
        <v>0</v>
      </c>
      <c r="C15" s="98">
        <f t="shared" si="0"/>
        <v>0</v>
      </c>
      <c r="D15" s="114">
        <v>0</v>
      </c>
      <c r="E15" s="98"/>
      <c r="F15" s="115"/>
      <c r="G15" s="100"/>
      <c r="H15" s="116"/>
      <c r="I15" s="70"/>
      <c r="J15" s="96" t="s">
        <v>175</v>
      </c>
      <c r="K15" s="117">
        <f>'BG '!I51</f>
        <v>0</v>
      </c>
      <c r="L15" s="98"/>
      <c r="M15" s="117">
        <f>'BG '!O51</f>
        <v>0</v>
      </c>
      <c r="N15" s="98"/>
      <c r="O15" s="108"/>
      <c r="T15" s="107"/>
      <c r="U15" s="107"/>
    </row>
    <row r="16" spans="1:21" ht="12" customHeight="1" x14ac:dyDescent="0.25">
      <c r="A16" s="88" t="s">
        <v>176</v>
      </c>
      <c r="B16" s="118">
        <f>SUM(B5:B15)</f>
        <v>105958388</v>
      </c>
      <c r="C16" s="98"/>
      <c r="D16" s="118">
        <f>SUM(D5:D15)</f>
        <v>99616130</v>
      </c>
      <c r="E16" s="98"/>
      <c r="F16" s="115"/>
      <c r="G16" s="100"/>
      <c r="H16" s="116"/>
      <c r="I16" s="72"/>
      <c r="J16" s="119" t="s">
        <v>177</v>
      </c>
      <c r="K16" s="97">
        <f>SUM(K5:K15)</f>
        <v>83520678</v>
      </c>
      <c r="L16" s="98"/>
      <c r="M16" s="97">
        <f>SUM(M5:M15)</f>
        <v>61837414</v>
      </c>
      <c r="N16" s="98"/>
      <c r="O16" s="120">
        <f>SUM(O5:O14)</f>
        <v>66142358</v>
      </c>
      <c r="P16" s="100"/>
      <c r="T16" s="107"/>
      <c r="U16" s="107"/>
    </row>
    <row r="17" spans="1:25" ht="12" customHeight="1" x14ac:dyDescent="0.25">
      <c r="A17" s="96"/>
      <c r="B17" s="81"/>
      <c r="C17" s="98"/>
      <c r="D17" s="121"/>
      <c r="E17" s="98">
        <f t="shared" ref="E17:E24" si="6">+F17-D19</f>
        <v>2851570</v>
      </c>
      <c r="F17" s="99">
        <f>'[2]Planilla Final 2017'!R15</f>
        <v>3212434</v>
      </c>
      <c r="G17" s="100">
        <f t="shared" ref="G17:G24" si="7">F17-H17</f>
        <v>206140</v>
      </c>
      <c r="H17" s="101">
        <v>3006294</v>
      </c>
      <c r="I17" s="70"/>
      <c r="K17" s="97"/>
      <c r="L17" s="112"/>
      <c r="M17" s="81"/>
      <c r="N17" s="112"/>
      <c r="O17" s="81"/>
      <c r="P17" s="100">
        <f t="shared" ref="P17:P24" si="8">+O19-Q17</f>
        <v>251068</v>
      </c>
      <c r="Q17" s="95">
        <f>23039030-13615166</f>
        <v>9423864</v>
      </c>
      <c r="T17" s="107"/>
      <c r="U17" s="107"/>
    </row>
    <row r="18" spans="1:25" ht="12" customHeight="1" x14ac:dyDescent="0.25">
      <c r="A18" s="88" t="s">
        <v>178</v>
      </c>
      <c r="B18" s="81"/>
      <c r="C18" s="98"/>
      <c r="D18" s="121"/>
      <c r="E18" s="98">
        <f t="shared" si="6"/>
        <v>1073025</v>
      </c>
      <c r="F18" s="81">
        <f>+'[2]Planilla Final 2017'!R14</f>
        <v>3150764</v>
      </c>
      <c r="G18" s="100">
        <f t="shared" si="7"/>
        <v>3150764</v>
      </c>
      <c r="H18" s="101">
        <v>0</v>
      </c>
      <c r="I18" s="72"/>
      <c r="J18" s="90" t="s">
        <v>179</v>
      </c>
      <c r="K18" s="97"/>
      <c r="L18" s="98"/>
      <c r="M18" s="122"/>
      <c r="N18" s="98"/>
      <c r="O18" s="81"/>
      <c r="P18" s="100">
        <f t="shared" si="8"/>
        <v>-6904650</v>
      </c>
      <c r="Q18" s="95">
        <v>13615166</v>
      </c>
      <c r="T18" s="107"/>
      <c r="U18" s="107"/>
    </row>
    <row r="19" spans="1:25" ht="12" customHeight="1" x14ac:dyDescent="0.25">
      <c r="A19" s="96" t="s">
        <v>38</v>
      </c>
      <c r="B19" s="97">
        <f>+'BG '!I25</f>
        <v>0</v>
      </c>
      <c r="C19" s="98">
        <f t="shared" ref="C19:C28" si="9">+D19-B19</f>
        <v>360864</v>
      </c>
      <c r="D19" s="97">
        <f>+'BG '!O25</f>
        <v>360864</v>
      </c>
      <c r="E19" s="98">
        <f t="shared" si="6"/>
        <v>66493952</v>
      </c>
      <c r="F19" s="99">
        <f>'[2]Planilla Final 2017'!R16</f>
        <v>112886401</v>
      </c>
      <c r="G19" s="100">
        <f t="shared" si="7"/>
        <v>-2499431</v>
      </c>
      <c r="H19" s="101">
        <v>115385832</v>
      </c>
      <c r="I19" s="72"/>
      <c r="J19" s="123" t="s">
        <v>180</v>
      </c>
      <c r="K19" s="97">
        <f>+'BG '!I55</f>
        <v>2731687</v>
      </c>
      <c r="L19" s="98">
        <f t="shared" ref="L19:L27" si="10">+K19-M19</f>
        <v>168397</v>
      </c>
      <c r="M19" s="97">
        <f>+'BG '!O55</f>
        <v>2563290</v>
      </c>
      <c r="N19" s="98">
        <f t="shared" ref="N19:N27" si="11">+M19-O19</f>
        <v>-7111642</v>
      </c>
      <c r="O19" s="124">
        <f>'[2]Planilla Final 2017'!R34</f>
        <v>9674932</v>
      </c>
      <c r="P19" s="100">
        <f t="shared" si="8"/>
        <v>-3509537</v>
      </c>
      <c r="Q19" s="95">
        <v>5713210</v>
      </c>
      <c r="T19" s="107"/>
      <c r="U19" s="107"/>
    </row>
    <row r="20" spans="1:25" ht="12" customHeight="1" x14ac:dyDescent="0.25">
      <c r="A20" s="96" t="s">
        <v>169</v>
      </c>
      <c r="B20" s="97">
        <f>+'BG '!I24</f>
        <v>6718699</v>
      </c>
      <c r="C20" s="98">
        <f t="shared" si="9"/>
        <v>-4640960</v>
      </c>
      <c r="D20" s="97">
        <f>+'BG '!O24</f>
        <v>2077739</v>
      </c>
      <c r="E20" s="98">
        <f t="shared" si="6"/>
        <v>76954</v>
      </c>
      <c r="F20" s="99">
        <f>'[2]Planilla Final 2017'!R17</f>
        <v>661755</v>
      </c>
      <c r="G20" s="100">
        <f t="shared" si="7"/>
        <v>-39210</v>
      </c>
      <c r="H20" s="101">
        <v>700965</v>
      </c>
      <c r="I20" s="72"/>
      <c r="J20" s="123" t="s">
        <v>181</v>
      </c>
      <c r="K20" s="97">
        <f>+'BG '!I56</f>
        <v>6657895</v>
      </c>
      <c r="L20" s="98">
        <f t="shared" si="10"/>
        <v>6657895</v>
      </c>
      <c r="M20" s="97">
        <f>+'BG '!O56</f>
        <v>0</v>
      </c>
      <c r="N20" s="98">
        <f t="shared" si="11"/>
        <v>-6710516</v>
      </c>
      <c r="O20" s="124">
        <f>'[2]Planilla Final 2017'!R35</f>
        <v>6710516</v>
      </c>
      <c r="P20" s="100">
        <f t="shared" si="8"/>
        <v>2</v>
      </c>
      <c r="Q20" s="95">
        <v>10628878</v>
      </c>
      <c r="S20" s="125"/>
      <c r="T20" s="107"/>
      <c r="U20" s="107"/>
      <c r="W20" s="126"/>
      <c r="Y20" s="126"/>
    </row>
    <row r="21" spans="1:25" ht="12" customHeight="1" x14ac:dyDescent="0.25">
      <c r="A21" s="96" t="s">
        <v>182</v>
      </c>
      <c r="B21" s="97">
        <f>+'BG '!I26</f>
        <v>64557806.061452001</v>
      </c>
      <c r="C21" s="98">
        <f t="shared" si="9"/>
        <v>-18165357.061452001</v>
      </c>
      <c r="D21" s="97">
        <f>+'BG '!O26</f>
        <v>46392449</v>
      </c>
      <c r="E21" s="98">
        <f t="shared" si="6"/>
        <v>-3411476</v>
      </c>
      <c r="F21" s="99">
        <f>'[2]Planilla Final 2017'!R18</f>
        <v>11276112</v>
      </c>
      <c r="G21" s="100">
        <f t="shared" si="7"/>
        <v>-841341</v>
      </c>
      <c r="H21" s="101">
        <v>12117453</v>
      </c>
      <c r="I21" s="72"/>
      <c r="J21" s="96" t="s">
        <v>452</v>
      </c>
      <c r="K21" s="97">
        <f>+'BG '!I64</f>
        <v>4608086</v>
      </c>
      <c r="L21" s="98">
        <f t="shared" si="10"/>
        <v>4608086</v>
      </c>
      <c r="M21" s="97">
        <f>+'BG '!O58</f>
        <v>0</v>
      </c>
      <c r="N21" s="98">
        <f t="shared" si="11"/>
        <v>-2203673</v>
      </c>
      <c r="O21" s="124">
        <f>'[2]Planilla Final 2017'!R36</f>
        <v>2203673</v>
      </c>
      <c r="P21" s="100">
        <f t="shared" si="8"/>
        <v>-477887</v>
      </c>
      <c r="Q21" s="95">
        <f>2766149+27717</f>
        <v>2793866</v>
      </c>
      <c r="T21" s="107"/>
      <c r="U21" s="107"/>
      <c r="V21" s="72"/>
      <c r="W21" s="126"/>
      <c r="X21" s="72"/>
      <c r="Y21" s="126"/>
    </row>
    <row r="22" spans="1:25" ht="12" customHeight="1" x14ac:dyDescent="0.25">
      <c r="A22" s="96" t="s">
        <v>183</v>
      </c>
      <c r="B22" s="97">
        <f>+'BG '!I27</f>
        <v>545591</v>
      </c>
      <c r="C22" s="98">
        <f t="shared" si="9"/>
        <v>39210</v>
      </c>
      <c r="D22" s="97">
        <f>+'BG '!O27</f>
        <v>584801</v>
      </c>
      <c r="E22" s="98">
        <f t="shared" si="6"/>
        <v>-251355</v>
      </c>
      <c r="F22" s="99">
        <f>'[2]Planilla Final 2017'!R19</f>
        <v>1422229</v>
      </c>
      <c r="G22" s="100">
        <f t="shared" si="7"/>
        <v>0</v>
      </c>
      <c r="H22" s="101">
        <v>1422229</v>
      </c>
      <c r="I22" s="72"/>
      <c r="J22" s="96" t="s">
        <v>170</v>
      </c>
      <c r="K22" s="97">
        <f>+'BG '!I59</f>
        <v>-26543205</v>
      </c>
      <c r="L22" s="98">
        <f t="shared" si="10"/>
        <v>-26543205</v>
      </c>
      <c r="M22" s="97">
        <f>+'BG '!O59</f>
        <v>0</v>
      </c>
      <c r="N22" s="98">
        <f t="shared" si="11"/>
        <v>-10628880</v>
      </c>
      <c r="O22" s="124">
        <f>'[2]Planilla Final 2017'!R37</f>
        <v>10628880</v>
      </c>
      <c r="P22" s="100">
        <f t="shared" si="8"/>
        <v>-610580</v>
      </c>
      <c r="Q22" s="95">
        <v>5796127</v>
      </c>
      <c r="T22" s="107"/>
      <c r="U22" s="107"/>
    </row>
    <row r="23" spans="1:25" ht="12" customHeight="1" x14ac:dyDescent="0.25">
      <c r="A23" s="96" t="s">
        <v>184</v>
      </c>
      <c r="B23" s="97">
        <f>+'BG '!I28</f>
        <v>11464101</v>
      </c>
      <c r="C23" s="98">
        <f t="shared" si="9"/>
        <v>3223487</v>
      </c>
      <c r="D23" s="97">
        <f>+'BG '!O28</f>
        <v>14687588</v>
      </c>
      <c r="E23" s="98">
        <f t="shared" si="6"/>
        <v>-35698843</v>
      </c>
      <c r="F23" s="99">
        <f>'[2]Planilla Final 2017'!R20</f>
        <v>3318028</v>
      </c>
      <c r="G23" s="100">
        <f t="shared" si="7"/>
        <v>-3227531</v>
      </c>
      <c r="H23" s="101">
        <v>6545559</v>
      </c>
      <c r="I23" s="72"/>
      <c r="J23" s="96" t="s">
        <v>129</v>
      </c>
      <c r="K23" s="97">
        <f>+'BG '!I60</f>
        <v>1145395</v>
      </c>
      <c r="L23" s="98">
        <f t="shared" si="10"/>
        <v>-12500443</v>
      </c>
      <c r="M23" s="97">
        <f>+'BG '!O60</f>
        <v>13645838</v>
      </c>
      <c r="N23" s="98">
        <f t="shared" si="11"/>
        <v>11329859</v>
      </c>
      <c r="O23" s="124">
        <f>'[2]Planilla Final 2017'!R38</f>
        <v>2315979</v>
      </c>
      <c r="P23" s="100">
        <f t="shared" si="8"/>
        <v>3116879</v>
      </c>
      <c r="Q23" s="95">
        <v>17696327</v>
      </c>
      <c r="T23" s="107"/>
      <c r="U23" s="107"/>
    </row>
    <row r="24" spans="1:25" ht="12" customHeight="1" x14ac:dyDescent="0.25">
      <c r="A24" s="96" t="s">
        <v>43</v>
      </c>
      <c r="B24" s="97">
        <f>+'BG '!I30</f>
        <v>3266202</v>
      </c>
      <c r="C24" s="98">
        <f t="shared" si="9"/>
        <v>-1592618</v>
      </c>
      <c r="D24" s="97">
        <f>+'BG '!O30</f>
        <v>1673584</v>
      </c>
      <c r="E24" s="98">
        <f t="shared" si="6"/>
        <v>4266160</v>
      </c>
      <c r="F24" s="99">
        <f>'[2]Planilla Final 2017'!R21+'[2]Planilla Final 2017'!R22</f>
        <v>4326687</v>
      </c>
      <c r="G24" s="100">
        <f t="shared" si="7"/>
        <v>1190535</v>
      </c>
      <c r="H24" s="101">
        <f>106009+3030143</f>
        <v>3136152</v>
      </c>
      <c r="I24" s="72"/>
      <c r="J24" s="96" t="s">
        <v>185</v>
      </c>
      <c r="K24" s="97">
        <f>+'BG '!I62</f>
        <v>9330028</v>
      </c>
      <c r="L24" s="98">
        <f t="shared" si="10"/>
        <v>-431463</v>
      </c>
      <c r="M24" s="97">
        <f>+'BG '!O62</f>
        <v>9761491</v>
      </c>
      <c r="N24" s="98">
        <f t="shared" si="11"/>
        <v>4575944</v>
      </c>
      <c r="O24" s="124">
        <f>'[2]Planilla Final 2017'!R39</f>
        <v>5185547</v>
      </c>
      <c r="P24" s="100">
        <f t="shared" si="8"/>
        <v>0</v>
      </c>
      <c r="Q24" s="95">
        <v>3572443</v>
      </c>
      <c r="T24" s="107"/>
      <c r="U24" s="107"/>
    </row>
    <row r="25" spans="1:25" ht="12" customHeight="1" x14ac:dyDescent="0.25">
      <c r="A25" s="96" t="s">
        <v>186</v>
      </c>
      <c r="B25" s="97">
        <f>+'BG '!I31</f>
        <v>42165207</v>
      </c>
      <c r="C25" s="98">
        <f t="shared" si="9"/>
        <v>-3148336</v>
      </c>
      <c r="D25" s="97">
        <f>+'BG '!O31</f>
        <v>39016871</v>
      </c>
      <c r="E25" s="98"/>
      <c r="F25" s="99">
        <v>0</v>
      </c>
      <c r="G25" s="100"/>
      <c r="H25" s="101"/>
      <c r="I25" s="72"/>
      <c r="J25" s="96" t="s">
        <v>59</v>
      </c>
      <c r="K25" s="97">
        <f>+'BG '!I61</f>
        <v>42626983</v>
      </c>
      <c r="L25" s="98">
        <f t="shared" si="10"/>
        <v>24063662</v>
      </c>
      <c r="M25" s="97">
        <f>+'BG '!O61</f>
        <v>18563321</v>
      </c>
      <c r="N25" s="98">
        <f t="shared" si="11"/>
        <v>-2249885</v>
      </c>
      <c r="O25" s="124">
        <f>'[2]Planilla Final 2017'!R40</f>
        <v>20813206</v>
      </c>
      <c r="P25" s="100"/>
      <c r="Q25" s="95"/>
      <c r="T25" s="107"/>
      <c r="U25" s="107"/>
    </row>
    <row r="26" spans="1:25" ht="12" customHeight="1" x14ac:dyDescent="0.25">
      <c r="A26" s="96" t="s">
        <v>46</v>
      </c>
      <c r="B26" s="97">
        <f>+'BG '!I33</f>
        <v>354098</v>
      </c>
      <c r="C26" s="98">
        <f t="shared" si="9"/>
        <v>-293571</v>
      </c>
      <c r="D26" s="97">
        <f>+'BG '!O33</f>
        <v>60527</v>
      </c>
      <c r="E26" s="98">
        <f>+F26-D28</f>
        <v>-3561499</v>
      </c>
      <c r="F26" s="127">
        <v>0</v>
      </c>
      <c r="G26" s="100">
        <f>F26-H26</f>
        <v>0</v>
      </c>
      <c r="H26" s="110">
        <v>0</v>
      </c>
      <c r="J26" s="96" t="s">
        <v>187</v>
      </c>
      <c r="K26" s="97">
        <f>+'BG '!I65</f>
        <v>2542451</v>
      </c>
      <c r="L26" s="98">
        <f t="shared" si="10"/>
        <v>-1181748</v>
      </c>
      <c r="M26" s="97">
        <f>+'BG '!O65</f>
        <v>3724199</v>
      </c>
      <c r="N26" s="98">
        <f t="shared" si="11"/>
        <v>151756</v>
      </c>
      <c r="O26" s="124">
        <f>'[2]Planilla Final 2017'!R41</f>
        <v>3572443</v>
      </c>
      <c r="P26" s="100">
        <f>+O27-Q26</f>
        <v>0</v>
      </c>
      <c r="Q26" s="128">
        <v>0</v>
      </c>
      <c r="T26" s="107"/>
      <c r="U26" s="107"/>
    </row>
    <row r="27" spans="1:25" ht="12" customHeight="1" x14ac:dyDescent="0.25">
      <c r="A27" s="96" t="s">
        <v>42</v>
      </c>
      <c r="B27" s="97">
        <f>+'BG '!I29</f>
        <v>3949574</v>
      </c>
      <c r="C27" s="98">
        <f t="shared" si="9"/>
        <v>197533</v>
      </c>
      <c r="D27" s="97">
        <f>+'BG '!O29</f>
        <v>4147107</v>
      </c>
      <c r="E27" s="112"/>
      <c r="F27" s="124">
        <f>SUM(F17:F26)</f>
        <v>140254410</v>
      </c>
      <c r="H27" s="129">
        <f>SUM(H17:H26)</f>
        <v>142314484</v>
      </c>
      <c r="I27" s="72"/>
      <c r="J27" s="96" t="s">
        <v>62</v>
      </c>
      <c r="K27" s="97">
        <f>+'BG '!I63</f>
        <v>2580000</v>
      </c>
      <c r="L27" s="98">
        <f t="shared" si="10"/>
        <v>0</v>
      </c>
      <c r="M27" s="97">
        <f>+'BG '!O63</f>
        <v>2580000</v>
      </c>
      <c r="N27" s="98">
        <f t="shared" si="11"/>
        <v>2580000</v>
      </c>
      <c r="O27" s="130">
        <v>0</v>
      </c>
      <c r="Q27" s="131">
        <f>SUM(Q17:Q26)</f>
        <v>69239881</v>
      </c>
      <c r="T27" s="107"/>
      <c r="U27" s="107"/>
    </row>
    <row r="28" spans="1:25" ht="12" customHeight="1" x14ac:dyDescent="0.25">
      <c r="A28" s="96" t="s">
        <v>123</v>
      </c>
      <c r="B28" s="132">
        <f>+'BG '!I32</f>
        <v>5133423.1851480007</v>
      </c>
      <c r="C28" s="98">
        <f t="shared" si="9"/>
        <v>-1571924.1851480007</v>
      </c>
      <c r="D28" s="132">
        <f>+'BG '!O32</f>
        <v>3561499</v>
      </c>
      <c r="E28" s="112"/>
      <c r="F28" s="81"/>
      <c r="J28" s="119" t="s">
        <v>188</v>
      </c>
      <c r="K28" s="133">
        <f>SUM(K19:K27)</f>
        <v>45679320</v>
      </c>
      <c r="L28" s="112"/>
      <c r="M28" s="127">
        <f>SUM(M19:M27)</f>
        <v>50838139</v>
      </c>
      <c r="N28" s="112"/>
      <c r="O28" s="127">
        <f>SUM(O19:O26)</f>
        <v>61105176</v>
      </c>
      <c r="Q28" s="134" t="e">
        <f>+#REF!+Q27</f>
        <v>#REF!</v>
      </c>
      <c r="T28" s="107"/>
      <c r="U28" s="107"/>
    </row>
    <row r="29" spans="1:25" ht="12" customHeight="1" x14ac:dyDescent="0.25">
      <c r="A29" s="88" t="s">
        <v>189</v>
      </c>
      <c r="B29" s="97">
        <f>SUM(B19:B28)</f>
        <v>138154701.2466</v>
      </c>
      <c r="C29" s="124"/>
      <c r="D29" s="124">
        <f>SUM(D19:D28)</f>
        <v>112563029</v>
      </c>
      <c r="E29" s="112"/>
      <c r="F29" s="81"/>
      <c r="J29" s="119" t="s">
        <v>190</v>
      </c>
      <c r="K29" s="133">
        <f>+K16+K28</f>
        <v>129199998</v>
      </c>
      <c r="L29" s="112"/>
      <c r="M29" s="135">
        <f>+M28+M16</f>
        <v>112675553</v>
      </c>
      <c r="N29" s="112"/>
      <c r="O29" s="135">
        <f>+O16+O28</f>
        <v>127247534</v>
      </c>
      <c r="Q29" s="109"/>
      <c r="T29" s="107"/>
      <c r="U29" s="107"/>
    </row>
    <row r="30" spans="1:25" ht="12" customHeight="1" x14ac:dyDescent="0.25">
      <c r="B30" s="97"/>
      <c r="C30" s="81"/>
      <c r="D30" s="81"/>
      <c r="E30" s="112"/>
      <c r="F30" s="81"/>
      <c r="I30" s="72"/>
      <c r="J30" s="119"/>
      <c r="K30" s="97"/>
      <c r="L30" s="112"/>
      <c r="M30" s="136"/>
      <c r="N30" s="112"/>
      <c r="O30" s="137"/>
      <c r="Q30" s="138"/>
      <c r="T30" s="107"/>
      <c r="U30" s="107"/>
    </row>
    <row r="31" spans="1:25" ht="12" customHeight="1" x14ac:dyDescent="0.25">
      <c r="B31" s="97"/>
      <c r="C31" s="81"/>
      <c r="D31" s="81"/>
      <c r="E31" s="112"/>
      <c r="F31" s="81"/>
      <c r="J31" s="119" t="s">
        <v>191</v>
      </c>
      <c r="K31" s="97">
        <f>+'BG '!I74</f>
        <v>114913091.2466</v>
      </c>
      <c r="L31" s="112">
        <f>K31-M31</f>
        <v>15409484.796599999</v>
      </c>
      <c r="M31" s="97">
        <f>+'BG '!O74</f>
        <v>99503606.450000003</v>
      </c>
      <c r="N31" s="112">
        <f>M31-O31</f>
        <v>19178254.450000003</v>
      </c>
      <c r="O31" s="99">
        <f>'[2]Planilla Final 2017'!R51</f>
        <v>80325352</v>
      </c>
      <c r="P31" s="68">
        <f>O31-Q31</f>
        <v>5629205</v>
      </c>
      <c r="Q31" s="104">
        <f>77632975-2936828</f>
        <v>74696147</v>
      </c>
      <c r="S31" s="109"/>
      <c r="T31" s="107"/>
      <c r="U31" s="107"/>
    </row>
    <row r="32" spans="1:25" ht="12" customHeight="1" x14ac:dyDescent="0.25">
      <c r="B32" s="97"/>
      <c r="C32" s="81"/>
      <c r="D32" s="81"/>
      <c r="E32" s="112"/>
      <c r="F32" s="81"/>
      <c r="I32" s="139"/>
      <c r="K32" s="81"/>
      <c r="L32" s="81"/>
      <c r="M32" s="81"/>
      <c r="N32" s="112"/>
      <c r="O32" s="81"/>
      <c r="T32" s="107"/>
      <c r="U32" s="107"/>
    </row>
    <row r="33" spans="1:21" ht="12" customHeight="1" x14ac:dyDescent="0.25">
      <c r="A33" s="70" t="s">
        <v>192</v>
      </c>
      <c r="B33" s="140">
        <f>+B29+B16</f>
        <v>244113089.2466</v>
      </c>
      <c r="C33" s="141"/>
      <c r="D33" s="140">
        <f>+D29+D16</f>
        <v>212179159</v>
      </c>
      <c r="E33" s="83"/>
      <c r="F33" s="140" t="e">
        <f>+F27+#REF!</f>
        <v>#REF!</v>
      </c>
      <c r="G33" s="71"/>
      <c r="H33" s="142" t="e">
        <f>+H27+#REF!</f>
        <v>#REF!</v>
      </c>
      <c r="I33" s="72"/>
      <c r="J33" s="143" t="s">
        <v>193</v>
      </c>
      <c r="K33" s="140">
        <f>+K31+K29</f>
        <v>244113089.2466</v>
      </c>
      <c r="L33" s="141"/>
      <c r="M33" s="140">
        <f>+M31+M29</f>
        <v>212179159.44999999</v>
      </c>
      <c r="N33" s="83"/>
      <c r="O33" s="140">
        <f>+O29+O31</f>
        <v>207572886</v>
      </c>
      <c r="P33" s="71"/>
      <c r="Q33" s="142" t="e">
        <f>+Q28+Q31</f>
        <v>#REF!</v>
      </c>
      <c r="T33" s="107"/>
      <c r="U33" s="107"/>
    </row>
    <row r="34" spans="1:21" ht="5.0999999999999996" customHeight="1" x14ac:dyDescent="0.25">
      <c r="B34" s="144"/>
      <c r="C34" s="144"/>
      <c r="D34" s="144"/>
      <c r="E34" s="145"/>
      <c r="F34" s="146"/>
      <c r="I34" s="72"/>
      <c r="J34" s="138"/>
      <c r="K34" s="144"/>
      <c r="L34" s="147"/>
      <c r="M34" s="147"/>
      <c r="N34" s="145"/>
      <c r="O34" s="144"/>
      <c r="T34" s="138"/>
    </row>
    <row r="35" spans="1:21" ht="9" customHeight="1" x14ac:dyDescent="0.25">
      <c r="B35" s="66"/>
      <c r="F35" s="148"/>
      <c r="I35" s="72"/>
      <c r="J35" s="138"/>
      <c r="K35" s="106">
        <f>+K33-B33</f>
        <v>0</v>
      </c>
      <c r="L35" s="106">
        <f>+L33-C33</f>
        <v>0</v>
      </c>
      <c r="M35" s="106">
        <f>+M33-D33</f>
        <v>0.44999998807907104</v>
      </c>
      <c r="T35" s="138"/>
    </row>
    <row r="36" spans="1:21" ht="12" customHeight="1" x14ac:dyDescent="0.25">
      <c r="B36" s="66"/>
      <c r="F36" s="138"/>
      <c r="I36" s="72"/>
      <c r="J36" s="138"/>
      <c r="K36" s="66"/>
      <c r="L36" s="138"/>
      <c r="M36" s="138"/>
      <c r="O36" s="138"/>
      <c r="Q36" s="138"/>
      <c r="T36" s="138"/>
    </row>
    <row r="37" spans="1:21" ht="12" customHeight="1" x14ac:dyDescent="0.25">
      <c r="A37" s="149" t="s">
        <v>194</v>
      </c>
      <c r="B37" s="150"/>
      <c r="D37" s="151"/>
      <c r="E37" s="71"/>
      <c r="F37" s="138"/>
      <c r="G37" s="71"/>
      <c r="I37" s="72"/>
      <c r="J37" s="152" t="s">
        <v>195</v>
      </c>
      <c r="K37" s="150"/>
      <c r="L37" s="138"/>
      <c r="M37" s="138"/>
      <c r="N37" s="71"/>
      <c r="P37" s="71"/>
      <c r="T37" s="138"/>
    </row>
    <row r="38" spans="1:21" ht="12" customHeight="1" x14ac:dyDescent="0.25">
      <c r="A38" s="153" t="s">
        <v>196</v>
      </c>
      <c r="B38" s="97">
        <v>0</v>
      </c>
      <c r="C38" s="154"/>
      <c r="D38" s="154"/>
      <c r="E38" s="71"/>
      <c r="F38" s="138"/>
      <c r="G38" s="71"/>
      <c r="H38" s="138"/>
      <c r="I38" s="72"/>
      <c r="J38" s="153" t="s">
        <v>197</v>
      </c>
      <c r="K38" s="97">
        <f>+K45</f>
        <v>34594491</v>
      </c>
      <c r="L38" s="138"/>
      <c r="M38" s="138"/>
      <c r="N38" s="71"/>
      <c r="P38" s="71"/>
      <c r="T38" s="138"/>
    </row>
    <row r="39" spans="1:21" ht="12" customHeight="1" x14ac:dyDescent="0.25">
      <c r="A39" s="155" t="s">
        <v>198</v>
      </c>
      <c r="B39" s="328">
        <f>B38+C25</f>
        <v>-3148336</v>
      </c>
      <c r="C39" s="156"/>
      <c r="D39" s="156"/>
      <c r="E39" s="71"/>
      <c r="F39" s="138"/>
      <c r="G39" s="71"/>
      <c r="J39" s="157" t="s">
        <v>441</v>
      </c>
      <c r="K39" s="331">
        <f>+PAT!J193</f>
        <v>-21629181</v>
      </c>
      <c r="L39" s="158"/>
      <c r="M39" s="158"/>
      <c r="N39" s="71"/>
      <c r="P39" s="71"/>
      <c r="T39" s="138"/>
    </row>
    <row r="40" spans="1:21" ht="12" customHeight="1" x14ac:dyDescent="0.25">
      <c r="A40" s="159" t="s">
        <v>199</v>
      </c>
      <c r="B40" s="132">
        <f>+B38+B39</f>
        <v>-3148336</v>
      </c>
      <c r="C40" s="156"/>
      <c r="D40" s="156"/>
      <c r="E40" s="71"/>
      <c r="F40" s="138"/>
      <c r="G40" s="71"/>
      <c r="I40" s="72"/>
      <c r="J40" s="153" t="s">
        <v>200</v>
      </c>
      <c r="K40" s="329">
        <f>+PAT!J191-139500</f>
        <v>2444175</v>
      </c>
      <c r="L40" s="158"/>
      <c r="M40" s="158"/>
      <c r="N40" s="71"/>
      <c r="P40" s="71"/>
      <c r="T40" s="138"/>
    </row>
    <row r="41" spans="1:21" ht="12" customHeight="1" x14ac:dyDescent="0.25">
      <c r="B41" s="160">
        <f>+B40-C25</f>
        <v>0</v>
      </c>
      <c r="F41" s="138"/>
      <c r="I41" s="72"/>
      <c r="J41" s="153" t="s">
        <v>444</v>
      </c>
      <c r="K41" s="97">
        <v>0</v>
      </c>
      <c r="L41" s="138"/>
      <c r="M41" s="138"/>
      <c r="O41" s="138"/>
      <c r="Q41" s="138"/>
      <c r="T41" s="138"/>
    </row>
    <row r="42" spans="1:21" ht="12" customHeight="1" x14ac:dyDescent="0.25">
      <c r="A42" s="149" t="s">
        <v>201</v>
      </c>
      <c r="B42" s="150"/>
      <c r="E42" s="71"/>
      <c r="F42" s="138"/>
      <c r="G42" s="71"/>
      <c r="I42" s="72"/>
      <c r="J42" s="161" t="s">
        <v>199</v>
      </c>
      <c r="K42" s="133">
        <f>SUM(K38:K41)</f>
        <v>15409485</v>
      </c>
      <c r="L42" s="138"/>
      <c r="M42" s="138"/>
      <c r="N42" s="71"/>
      <c r="P42" s="71"/>
      <c r="T42" s="138"/>
    </row>
    <row r="43" spans="1:21" ht="12" customHeight="1" x14ac:dyDescent="0.25">
      <c r="A43" s="153" t="s">
        <v>202</v>
      </c>
      <c r="B43" s="326">
        <f>+EFE!I12</f>
        <v>16008155</v>
      </c>
      <c r="C43" s="154"/>
      <c r="D43" s="154"/>
      <c r="E43" s="71"/>
      <c r="F43" s="138"/>
      <c r="G43" s="71"/>
      <c r="H43" s="138"/>
      <c r="I43" s="72"/>
      <c r="J43" s="158"/>
      <c r="K43" s="289">
        <f>+K42-L31</f>
        <v>0.20340000092983246</v>
      </c>
      <c r="L43" s="138"/>
      <c r="M43" s="138"/>
      <c r="N43" s="71"/>
      <c r="P43" s="71"/>
      <c r="T43" s="138"/>
    </row>
    <row r="44" spans="1:21" ht="12" customHeight="1" x14ac:dyDescent="0.25">
      <c r="A44" s="153" t="s">
        <v>443</v>
      </c>
      <c r="B44" s="326">
        <f>-1766850-28004</f>
        <v>-1794854</v>
      </c>
      <c r="C44" s="154"/>
      <c r="D44" s="154"/>
      <c r="E44" s="71"/>
      <c r="F44" s="138"/>
      <c r="G44" s="71"/>
      <c r="H44" s="138"/>
      <c r="I44" s="72"/>
      <c r="J44" s="158"/>
      <c r="K44" s="289"/>
      <c r="L44" s="138"/>
      <c r="M44" s="138"/>
      <c r="N44" s="71"/>
      <c r="P44" s="71"/>
      <c r="T44" s="138"/>
    </row>
    <row r="45" spans="1:21" ht="12" customHeight="1" x14ac:dyDescent="0.25">
      <c r="A45" s="155" t="s">
        <v>198</v>
      </c>
      <c r="B45" s="132">
        <f>-B43+C21</f>
        <v>-34173512.061452001</v>
      </c>
      <c r="C45" s="156"/>
      <c r="D45" s="156"/>
      <c r="E45" s="71"/>
      <c r="F45" s="138"/>
      <c r="G45" s="71"/>
      <c r="J45" s="162" t="s">
        <v>197</v>
      </c>
      <c r="K45" s="118">
        <f>+ER!H36</f>
        <v>34594491</v>
      </c>
      <c r="L45" s="158"/>
      <c r="M45" s="158"/>
      <c r="N45" s="71"/>
      <c r="P45" s="71"/>
      <c r="T45" s="138"/>
    </row>
    <row r="46" spans="1:21" ht="12" customHeight="1" x14ac:dyDescent="0.25">
      <c r="A46" s="159" t="s">
        <v>199</v>
      </c>
      <c r="B46" s="132">
        <f>+B43+B45</f>
        <v>-18165357.061452001</v>
      </c>
      <c r="C46" s="156"/>
      <c r="D46" s="156"/>
      <c r="E46" s="71"/>
      <c r="F46" s="138"/>
      <c r="G46" s="71"/>
      <c r="I46" s="72"/>
      <c r="J46" s="163" t="s">
        <v>203</v>
      </c>
      <c r="K46" s="328">
        <f>-ER!H35</f>
        <v>16248271</v>
      </c>
      <c r="L46" s="158"/>
      <c r="M46" s="158"/>
      <c r="N46" s="71"/>
      <c r="P46" s="71"/>
      <c r="T46" s="138"/>
    </row>
    <row r="47" spans="1:21" ht="12" customHeight="1" x14ac:dyDescent="0.25">
      <c r="B47" s="156">
        <f>+B46-C21</f>
        <v>0</v>
      </c>
      <c r="C47" s="156"/>
      <c r="D47" s="156"/>
      <c r="F47" s="148"/>
      <c r="J47" s="164" t="s">
        <v>204</v>
      </c>
      <c r="K47" s="165">
        <f>+K45+K46</f>
        <v>50842762</v>
      </c>
      <c r="L47" s="158"/>
      <c r="M47" s="158"/>
      <c r="T47" s="138"/>
    </row>
    <row r="48" spans="1:21" ht="12" customHeight="1" x14ac:dyDescent="0.25">
      <c r="A48" s="149" t="s">
        <v>205</v>
      </c>
      <c r="B48" s="150"/>
      <c r="E48" s="71"/>
      <c r="F48" s="138"/>
      <c r="G48" s="71"/>
      <c r="I48" s="72"/>
      <c r="K48" s="166"/>
      <c r="L48" s="138"/>
      <c r="M48" s="138"/>
      <c r="N48" s="71"/>
      <c r="P48" s="71"/>
      <c r="T48" s="138"/>
    </row>
    <row r="49" spans="1:20" ht="12" customHeight="1" x14ac:dyDescent="0.25">
      <c r="A49" s="153" t="s">
        <v>202</v>
      </c>
      <c r="B49" s="326">
        <f>+EFE!I14</f>
        <v>2408033</v>
      </c>
      <c r="C49" s="154"/>
      <c r="D49" s="154"/>
      <c r="E49" s="71"/>
      <c r="F49" s="138"/>
      <c r="G49" s="71"/>
      <c r="H49" s="138"/>
      <c r="I49" s="72"/>
      <c r="K49" s="166"/>
      <c r="L49" s="138"/>
      <c r="M49" s="138"/>
      <c r="N49" s="71"/>
      <c r="P49" s="71"/>
      <c r="T49" s="138"/>
    </row>
    <row r="50" spans="1:20" ht="12" customHeight="1" x14ac:dyDescent="0.25">
      <c r="A50" s="155" t="s">
        <v>206</v>
      </c>
      <c r="B50" s="97">
        <v>0</v>
      </c>
      <c r="C50" s="156"/>
      <c r="D50" s="156"/>
      <c r="E50" s="71"/>
      <c r="F50" s="138"/>
      <c r="G50" s="71"/>
      <c r="J50" s="158"/>
      <c r="K50" s="66"/>
      <c r="L50" s="158"/>
      <c r="M50" s="158"/>
      <c r="N50" s="71"/>
      <c r="P50" s="71"/>
      <c r="T50" s="138"/>
    </row>
    <row r="51" spans="1:20" ht="12" customHeight="1" x14ac:dyDescent="0.25">
      <c r="A51" s="155" t="s">
        <v>207</v>
      </c>
      <c r="B51" s="132">
        <f>+C27-B49-B50</f>
        <v>-2210500</v>
      </c>
      <c r="C51" s="156"/>
      <c r="D51" s="156"/>
      <c r="E51" s="71"/>
      <c r="F51" s="138"/>
      <c r="G51" s="71"/>
      <c r="J51" s="158"/>
      <c r="K51" s="66"/>
      <c r="L51" s="158"/>
      <c r="M51" s="158"/>
      <c r="N51" s="71"/>
      <c r="P51" s="71"/>
      <c r="T51" s="138"/>
    </row>
    <row r="52" spans="1:20" ht="12" customHeight="1" x14ac:dyDescent="0.25">
      <c r="A52" s="159" t="s">
        <v>199</v>
      </c>
      <c r="B52" s="132">
        <f>SUM(B49:B51)</f>
        <v>197533</v>
      </c>
      <c r="C52" s="156"/>
      <c r="D52" s="156"/>
      <c r="E52" s="71"/>
      <c r="F52" s="138"/>
      <c r="G52" s="71"/>
      <c r="I52" s="72"/>
      <c r="J52" s="158"/>
      <c r="K52" s="66"/>
      <c r="L52" s="158"/>
      <c r="M52" s="158"/>
      <c r="N52" s="71"/>
      <c r="P52" s="71"/>
      <c r="T52" s="138"/>
    </row>
    <row r="53" spans="1:20" ht="12" customHeight="1" x14ac:dyDescent="0.25">
      <c r="B53" s="156">
        <f>+C27-B52</f>
        <v>0</v>
      </c>
      <c r="C53" s="156"/>
      <c r="D53" s="156"/>
      <c r="E53" s="71"/>
      <c r="F53" s="138"/>
      <c r="G53" s="71"/>
      <c r="I53" s="72"/>
      <c r="J53" s="158"/>
      <c r="K53" s="66"/>
      <c r="L53" s="158"/>
      <c r="M53" s="158"/>
      <c r="N53" s="71"/>
      <c r="P53" s="71"/>
      <c r="T53" s="138"/>
    </row>
    <row r="54" spans="1:20" ht="12" customHeight="1" x14ac:dyDescent="0.25">
      <c r="A54" s="149" t="s">
        <v>208</v>
      </c>
      <c r="B54" s="150"/>
      <c r="C54" s="156"/>
      <c r="D54" s="156"/>
      <c r="E54" s="71"/>
      <c r="F54" s="138"/>
      <c r="G54" s="71"/>
      <c r="I54" s="72"/>
      <c r="J54" s="158"/>
      <c r="K54" s="66"/>
      <c r="L54" s="158"/>
      <c r="M54" s="158"/>
      <c r="N54" s="71"/>
      <c r="P54" s="71"/>
      <c r="T54" s="138"/>
    </row>
    <row r="55" spans="1:20" ht="12" customHeight="1" x14ac:dyDescent="0.25">
      <c r="A55" s="153" t="s">
        <v>209</v>
      </c>
      <c r="B55" s="326">
        <f>+EFE!I18</f>
        <v>1477173</v>
      </c>
      <c r="C55" s="156"/>
      <c r="D55" s="156"/>
      <c r="I55" s="72"/>
      <c r="J55" s="158"/>
      <c r="K55" s="66"/>
      <c r="L55" s="158"/>
      <c r="M55" s="158"/>
      <c r="T55" s="138"/>
    </row>
    <row r="56" spans="1:20" ht="12" customHeight="1" x14ac:dyDescent="0.25">
      <c r="A56" s="155" t="s">
        <v>210</v>
      </c>
      <c r="B56" s="328">
        <f>-B55+L24</f>
        <v>-1908636</v>
      </c>
      <c r="C56" s="156"/>
      <c r="D56" s="156"/>
      <c r="E56" s="71"/>
      <c r="F56" s="138"/>
      <c r="G56" s="71"/>
      <c r="I56" s="72"/>
      <c r="J56" s="158"/>
      <c r="K56" s="66"/>
      <c r="L56" s="158"/>
      <c r="M56" s="158"/>
      <c r="N56" s="71"/>
      <c r="P56" s="71"/>
      <c r="T56" s="138"/>
    </row>
    <row r="57" spans="1:20" ht="12" customHeight="1" x14ac:dyDescent="0.25">
      <c r="A57" s="159" t="s">
        <v>199</v>
      </c>
      <c r="B57" s="132">
        <f>+B55+B56</f>
        <v>-431463</v>
      </c>
      <c r="C57" s="156"/>
      <c r="D57" s="156"/>
      <c r="E57" s="71"/>
      <c r="F57" s="138"/>
      <c r="G57" s="71"/>
      <c r="I57" s="72"/>
      <c r="J57" s="158"/>
      <c r="K57" s="66"/>
      <c r="L57" s="158"/>
      <c r="M57" s="158"/>
      <c r="N57" s="71"/>
      <c r="P57" s="71"/>
      <c r="T57" s="138"/>
    </row>
    <row r="58" spans="1:20" ht="12" customHeight="1" x14ac:dyDescent="0.25">
      <c r="B58" s="156">
        <f>+B57-L24</f>
        <v>0</v>
      </c>
      <c r="C58" s="156"/>
      <c r="D58" s="156"/>
      <c r="E58" s="71"/>
      <c r="F58" s="138"/>
      <c r="G58" s="71"/>
      <c r="I58" s="72"/>
      <c r="J58" s="158"/>
      <c r="K58" s="66"/>
      <c r="L58" s="158"/>
      <c r="M58" s="158"/>
      <c r="N58" s="71"/>
      <c r="P58" s="71"/>
      <c r="T58" s="138"/>
    </row>
    <row r="59" spans="1:20" ht="12" customHeight="1" x14ac:dyDescent="0.25">
      <c r="A59" s="149" t="s">
        <v>211</v>
      </c>
      <c r="B59" s="150"/>
      <c r="C59" s="156"/>
      <c r="D59" s="156"/>
      <c r="E59" s="71"/>
      <c r="F59" s="138"/>
      <c r="G59" s="71"/>
      <c r="I59" s="72"/>
      <c r="J59" s="158"/>
      <c r="K59" s="66"/>
      <c r="L59" s="158"/>
      <c r="M59" s="158"/>
      <c r="N59" s="71"/>
      <c r="P59" s="71"/>
      <c r="T59" s="138"/>
    </row>
    <row r="60" spans="1:20" ht="12" customHeight="1" x14ac:dyDescent="0.25">
      <c r="A60" s="153" t="s">
        <v>212</v>
      </c>
      <c r="B60" s="326">
        <f>+EFE!I16</f>
        <v>2218087</v>
      </c>
      <c r="C60" s="156"/>
      <c r="D60" s="156"/>
      <c r="E60" s="71"/>
      <c r="F60" s="138"/>
      <c r="G60" s="71"/>
      <c r="J60" s="158"/>
      <c r="K60" s="66"/>
      <c r="L60" s="158"/>
      <c r="M60" s="158"/>
      <c r="N60" s="71"/>
      <c r="P60" s="71"/>
      <c r="T60" s="138"/>
    </row>
    <row r="61" spans="1:20" ht="12" customHeight="1" x14ac:dyDescent="0.25">
      <c r="A61" s="153" t="s">
        <v>456</v>
      </c>
      <c r="B61" s="326">
        <v>1085440</v>
      </c>
      <c r="C61" s="156"/>
      <c r="D61" s="156"/>
      <c r="E61" s="71"/>
      <c r="F61" s="138"/>
      <c r="G61" s="71"/>
      <c r="J61" s="158"/>
      <c r="K61" s="66"/>
      <c r="L61" s="158"/>
      <c r="M61" s="158"/>
      <c r="N61" s="71"/>
      <c r="P61" s="71"/>
      <c r="T61" s="138"/>
    </row>
    <row r="62" spans="1:20" ht="12" customHeight="1" x14ac:dyDescent="0.25">
      <c r="A62" s="155" t="s">
        <v>198</v>
      </c>
      <c r="B62" s="328">
        <f>-B60+C23-B61</f>
        <v>-80040</v>
      </c>
      <c r="C62" s="156"/>
      <c r="D62" s="156"/>
      <c r="E62" s="71"/>
      <c r="F62" s="138"/>
      <c r="G62" s="71"/>
      <c r="J62" s="158"/>
      <c r="K62" s="66"/>
      <c r="L62" s="158"/>
      <c r="M62" s="158"/>
      <c r="N62" s="71"/>
      <c r="P62" s="71"/>
      <c r="T62" s="138"/>
    </row>
    <row r="63" spans="1:20" ht="12" customHeight="1" x14ac:dyDescent="0.25">
      <c r="A63" s="159" t="s">
        <v>199</v>
      </c>
      <c r="B63" s="132">
        <f>SUM(B60:B62)</f>
        <v>3223487</v>
      </c>
      <c r="C63" s="156"/>
      <c r="D63" s="156"/>
      <c r="F63" s="158"/>
      <c r="J63" s="158"/>
      <c r="K63" s="66"/>
      <c r="L63" s="158"/>
      <c r="M63" s="158"/>
      <c r="T63" s="138"/>
    </row>
    <row r="64" spans="1:20" ht="12" customHeight="1" x14ac:dyDescent="0.25">
      <c r="B64" s="156">
        <f>+B63-C23</f>
        <v>0</v>
      </c>
      <c r="C64" s="156"/>
      <c r="D64" s="156"/>
      <c r="F64" s="158"/>
      <c r="J64" s="158"/>
      <c r="K64" s="66"/>
      <c r="L64" s="158"/>
      <c r="M64" s="158"/>
      <c r="T64" s="138"/>
    </row>
    <row r="65" spans="1:20" ht="12" customHeight="1" x14ac:dyDescent="0.25">
      <c r="A65" s="149" t="s">
        <v>213</v>
      </c>
      <c r="B65" s="150"/>
      <c r="C65" s="156"/>
      <c r="D65" s="156"/>
      <c r="J65" s="158"/>
      <c r="K65" s="66"/>
      <c r="L65" s="158"/>
      <c r="M65" s="158"/>
      <c r="T65" s="138"/>
    </row>
    <row r="66" spans="1:20" ht="12" customHeight="1" x14ac:dyDescent="0.25">
      <c r="A66" s="153" t="s">
        <v>455</v>
      </c>
      <c r="B66" s="326">
        <f>+EFE!I13</f>
        <v>39210</v>
      </c>
      <c r="C66" s="156"/>
      <c r="D66" s="156"/>
      <c r="J66" s="158"/>
      <c r="K66" s="66"/>
      <c r="L66" s="158"/>
      <c r="M66" s="158"/>
      <c r="T66" s="138"/>
    </row>
    <row r="67" spans="1:20" ht="12" customHeight="1" x14ac:dyDescent="0.25">
      <c r="A67" s="155" t="s">
        <v>198</v>
      </c>
      <c r="B67" s="132">
        <f>-B66+C22</f>
        <v>0</v>
      </c>
      <c r="C67" s="156"/>
      <c r="D67" s="156"/>
      <c r="K67" s="66"/>
      <c r="T67" s="138"/>
    </row>
    <row r="68" spans="1:20" ht="12" customHeight="1" x14ac:dyDescent="0.25">
      <c r="A68" s="159" t="s">
        <v>214</v>
      </c>
      <c r="B68" s="132">
        <f>+B66+B67</f>
        <v>39210</v>
      </c>
      <c r="C68" s="156"/>
      <c r="D68" s="156"/>
      <c r="K68" s="66"/>
      <c r="T68" s="138"/>
    </row>
    <row r="69" spans="1:20" ht="12" customHeight="1" x14ac:dyDescent="0.25">
      <c r="B69" s="156">
        <f>+B68-C22</f>
        <v>0</v>
      </c>
      <c r="C69" s="156"/>
      <c r="D69" s="156"/>
      <c r="K69" s="66"/>
      <c r="T69" s="138"/>
    </row>
    <row r="70" spans="1:20" ht="12" customHeight="1" x14ac:dyDescent="0.25">
      <c r="A70" s="149" t="s">
        <v>215</v>
      </c>
      <c r="B70" s="118"/>
      <c r="C70" s="156"/>
      <c r="D70" s="156"/>
      <c r="K70" s="66"/>
      <c r="T70" s="138"/>
    </row>
    <row r="71" spans="1:20" ht="12" customHeight="1" x14ac:dyDescent="0.25">
      <c r="A71" s="155" t="s">
        <v>216</v>
      </c>
      <c r="B71" s="326">
        <f>-ER!H35</f>
        <v>16248271</v>
      </c>
      <c r="K71" s="66"/>
      <c r="T71" s="138"/>
    </row>
    <row r="72" spans="1:20" ht="12" customHeight="1" x14ac:dyDescent="0.25">
      <c r="A72" s="155" t="s">
        <v>217</v>
      </c>
      <c r="B72" s="326">
        <f>+EFE!I42</f>
        <v>-13682375</v>
      </c>
      <c r="K72" s="66"/>
      <c r="T72" s="138"/>
    </row>
    <row r="73" spans="1:20" ht="12" customHeight="1" x14ac:dyDescent="0.25">
      <c r="A73" s="155" t="s">
        <v>218</v>
      </c>
      <c r="B73" s="167">
        <f>-B71-B72+L10</f>
        <v>2643845</v>
      </c>
      <c r="K73" s="66"/>
      <c r="T73" s="138"/>
    </row>
    <row r="74" spans="1:20" ht="12" customHeight="1" x14ac:dyDescent="0.25">
      <c r="A74" s="159" t="s">
        <v>214</v>
      </c>
      <c r="B74" s="167">
        <f>SUM(B71:B73)</f>
        <v>5209741</v>
      </c>
      <c r="K74" s="66"/>
      <c r="T74" s="138"/>
    </row>
    <row r="75" spans="1:20" ht="12" customHeight="1" x14ac:dyDescent="0.25">
      <c r="B75" s="109">
        <f>+B74-L10</f>
        <v>0</v>
      </c>
      <c r="K75" s="66"/>
      <c r="T75" s="138"/>
    </row>
    <row r="76" spans="1:20" ht="12" customHeight="1" x14ac:dyDescent="0.25">
      <c r="A76" s="149" t="s">
        <v>219</v>
      </c>
      <c r="B76" s="118"/>
      <c r="K76" s="66"/>
      <c r="T76" s="138"/>
    </row>
    <row r="77" spans="1:20" ht="12" customHeight="1" x14ac:dyDescent="0.25">
      <c r="A77" s="155" t="s">
        <v>220</v>
      </c>
      <c r="B77" s="326">
        <f>-ER!H34</f>
        <v>8402962</v>
      </c>
      <c r="K77" s="66"/>
      <c r="T77" s="138"/>
    </row>
    <row r="78" spans="1:20" ht="12" customHeight="1" x14ac:dyDescent="0.25">
      <c r="A78" s="155" t="s">
        <v>221</v>
      </c>
      <c r="B78" s="327">
        <f>+EFE!I43</f>
        <v>-3976474</v>
      </c>
      <c r="K78" s="66"/>
      <c r="T78" s="138"/>
    </row>
    <row r="79" spans="1:20" ht="12" customHeight="1" x14ac:dyDescent="0.25">
      <c r="A79" s="155" t="s">
        <v>218</v>
      </c>
      <c r="B79" s="167">
        <f>-B77-B78+L14</f>
        <v>1223338</v>
      </c>
      <c r="K79" s="66"/>
      <c r="T79" s="138"/>
    </row>
    <row r="80" spans="1:20" ht="12" customHeight="1" x14ac:dyDescent="0.25">
      <c r="A80" s="159" t="s">
        <v>214</v>
      </c>
      <c r="B80" s="167">
        <f>SUM(B77:B79)</f>
        <v>5649826</v>
      </c>
      <c r="K80" s="66"/>
      <c r="T80" s="138"/>
    </row>
    <row r="81" spans="1:1024" ht="12" customHeight="1" x14ac:dyDescent="0.25">
      <c r="B81" s="109">
        <f>+B80-L14</f>
        <v>0</v>
      </c>
      <c r="K81" s="66"/>
      <c r="T81" s="138"/>
    </row>
    <row r="82" spans="1:1024" ht="12" customHeight="1" x14ac:dyDescent="0.25">
      <c r="A82" s="149" t="s">
        <v>222</v>
      </c>
      <c r="B82" s="150"/>
      <c r="K82" s="66"/>
      <c r="T82" s="138"/>
    </row>
    <row r="83" spans="1:1024" ht="12" customHeight="1" x14ac:dyDescent="0.25">
      <c r="A83" s="153" t="s">
        <v>223</v>
      </c>
      <c r="B83" s="326">
        <f>+EFE!I10</f>
        <v>342749</v>
      </c>
      <c r="K83" s="66"/>
      <c r="T83" s="138"/>
    </row>
    <row r="84" spans="1:1024" ht="12" customHeight="1" x14ac:dyDescent="0.25">
      <c r="A84" s="153" t="s">
        <v>428</v>
      </c>
      <c r="B84" s="331">
        <v>11504101</v>
      </c>
      <c r="K84" s="66"/>
      <c r="T84" s="138"/>
    </row>
    <row r="85" spans="1:1024" ht="12" customHeight="1" x14ac:dyDescent="0.25">
      <c r="A85" s="155" t="s">
        <v>224</v>
      </c>
      <c r="B85" s="132">
        <f>-B83+C8-B84</f>
        <v>-14979435</v>
      </c>
      <c r="K85" s="66"/>
      <c r="T85" s="138"/>
    </row>
    <row r="86" spans="1:1024" ht="12" customHeight="1" x14ac:dyDescent="0.25">
      <c r="A86" s="159" t="s">
        <v>214</v>
      </c>
      <c r="B86" s="132">
        <f>+B83+B85+B84</f>
        <v>-3132585</v>
      </c>
      <c r="K86" s="66"/>
      <c r="T86" s="138"/>
    </row>
    <row r="87" spans="1:1024" s="337" customFormat="1" ht="12" customHeight="1" x14ac:dyDescent="0.25">
      <c r="A87" s="332"/>
      <c r="B87" s="333">
        <f>+B86-C8</f>
        <v>0</v>
      </c>
      <c r="C87" s="332"/>
      <c r="D87" s="332"/>
      <c r="E87" s="334"/>
      <c r="F87" s="332"/>
      <c r="G87" s="334"/>
      <c r="H87" s="332"/>
      <c r="I87" s="332"/>
      <c r="J87" s="332"/>
      <c r="K87" s="332"/>
      <c r="L87" s="332"/>
      <c r="M87" s="332"/>
      <c r="N87" s="334"/>
      <c r="O87" s="332"/>
      <c r="P87" s="334"/>
      <c r="Q87" s="332"/>
      <c r="R87" s="335"/>
      <c r="S87" s="332"/>
      <c r="T87" s="336"/>
      <c r="U87" s="332"/>
      <c r="V87" s="332"/>
      <c r="W87" s="332"/>
      <c r="X87" s="332"/>
      <c r="Y87" s="332"/>
      <c r="Z87" s="332"/>
      <c r="AA87" s="332"/>
      <c r="AB87" s="332"/>
      <c r="AC87" s="332"/>
      <c r="AD87" s="332"/>
      <c r="AE87" s="332"/>
      <c r="AF87" s="332"/>
      <c r="AG87" s="332"/>
      <c r="AH87" s="332"/>
      <c r="AI87" s="332"/>
      <c r="AJ87" s="332"/>
      <c r="AK87" s="332"/>
      <c r="AL87" s="332"/>
      <c r="AM87" s="332"/>
      <c r="AN87" s="332"/>
      <c r="AO87" s="332"/>
      <c r="AP87" s="332"/>
      <c r="AQ87" s="332"/>
      <c r="AR87" s="332"/>
      <c r="AS87" s="332"/>
      <c r="AT87" s="332"/>
      <c r="AU87" s="332"/>
      <c r="AV87" s="332"/>
      <c r="AW87" s="332"/>
      <c r="AX87" s="332"/>
      <c r="AY87" s="332"/>
      <c r="AZ87" s="332"/>
      <c r="BA87" s="332"/>
      <c r="BB87" s="332"/>
      <c r="BC87" s="332"/>
      <c r="BD87" s="332"/>
      <c r="BE87" s="332"/>
      <c r="BF87" s="332"/>
      <c r="BG87" s="332"/>
      <c r="BH87" s="332"/>
      <c r="BI87" s="332"/>
      <c r="BJ87" s="332"/>
      <c r="BK87" s="332"/>
      <c r="BL87" s="332"/>
      <c r="BM87" s="332"/>
      <c r="BN87" s="332"/>
      <c r="BO87" s="332"/>
      <c r="BP87" s="332"/>
      <c r="BQ87" s="332"/>
      <c r="BR87" s="332"/>
      <c r="BS87" s="332"/>
      <c r="BT87" s="332"/>
      <c r="BU87" s="332"/>
      <c r="BV87" s="332"/>
      <c r="BW87" s="332"/>
      <c r="BX87" s="332"/>
      <c r="BY87" s="332"/>
      <c r="BZ87" s="332"/>
      <c r="CA87" s="332"/>
      <c r="CB87" s="332"/>
      <c r="CC87" s="332"/>
      <c r="CD87" s="332"/>
      <c r="CE87" s="332"/>
      <c r="CF87" s="332"/>
      <c r="CG87" s="332"/>
      <c r="CH87" s="332"/>
      <c r="CI87" s="332"/>
      <c r="CJ87" s="332"/>
      <c r="CK87" s="332"/>
      <c r="CL87" s="332"/>
      <c r="CM87" s="332"/>
      <c r="CN87" s="332"/>
      <c r="CO87" s="332"/>
      <c r="CP87" s="332"/>
      <c r="CQ87" s="332"/>
      <c r="CR87" s="332"/>
      <c r="CS87" s="332"/>
      <c r="CT87" s="332"/>
      <c r="CU87" s="332"/>
      <c r="CV87" s="332"/>
      <c r="CW87" s="332"/>
      <c r="CX87" s="332"/>
      <c r="CY87" s="332"/>
      <c r="CZ87" s="332"/>
      <c r="DA87" s="332"/>
      <c r="DB87" s="332"/>
      <c r="DC87" s="332"/>
      <c r="DD87" s="332"/>
      <c r="DE87" s="332"/>
      <c r="DF87" s="332"/>
      <c r="DG87" s="332"/>
      <c r="DH87" s="332"/>
      <c r="DI87" s="332"/>
      <c r="DJ87" s="332"/>
      <c r="DK87" s="332"/>
      <c r="DL87" s="332"/>
      <c r="DM87" s="332"/>
      <c r="DN87" s="332"/>
      <c r="DO87" s="332"/>
      <c r="DP87" s="332"/>
      <c r="DQ87" s="332"/>
      <c r="DR87" s="332"/>
      <c r="DS87" s="332"/>
      <c r="DT87" s="332"/>
      <c r="DU87" s="332"/>
      <c r="DV87" s="332"/>
      <c r="DW87" s="332"/>
      <c r="DX87" s="332"/>
      <c r="DY87" s="332"/>
      <c r="DZ87" s="332"/>
      <c r="EA87" s="332"/>
      <c r="EB87" s="332"/>
      <c r="EC87" s="332"/>
      <c r="ED87" s="332"/>
      <c r="EE87" s="332"/>
      <c r="EF87" s="332"/>
      <c r="EG87" s="332"/>
      <c r="EH87" s="332"/>
      <c r="EI87" s="332"/>
      <c r="EJ87" s="332"/>
      <c r="EK87" s="332"/>
      <c r="EL87" s="332"/>
      <c r="EM87" s="332"/>
      <c r="EN87" s="332"/>
      <c r="EO87" s="332"/>
      <c r="EP87" s="332"/>
      <c r="EQ87" s="332"/>
      <c r="ER87" s="332"/>
      <c r="ES87" s="332"/>
      <c r="ET87" s="332"/>
      <c r="EU87" s="332"/>
      <c r="EV87" s="332"/>
      <c r="EW87" s="332"/>
      <c r="EX87" s="332"/>
      <c r="EY87" s="332"/>
      <c r="EZ87" s="332"/>
      <c r="FA87" s="332"/>
      <c r="FB87" s="332"/>
      <c r="FC87" s="332"/>
      <c r="FD87" s="332"/>
      <c r="FE87" s="332"/>
      <c r="FF87" s="332"/>
      <c r="FG87" s="332"/>
      <c r="FH87" s="332"/>
      <c r="FI87" s="332"/>
      <c r="FJ87" s="332"/>
      <c r="FK87" s="332"/>
      <c r="FL87" s="332"/>
      <c r="FM87" s="332"/>
      <c r="FN87" s="332"/>
      <c r="FO87" s="332"/>
      <c r="FP87" s="332"/>
      <c r="FQ87" s="332"/>
      <c r="FR87" s="332"/>
      <c r="FS87" s="332"/>
      <c r="FT87" s="332"/>
      <c r="FU87" s="332"/>
      <c r="FV87" s="332"/>
      <c r="FW87" s="332"/>
      <c r="FX87" s="332"/>
      <c r="FY87" s="332"/>
      <c r="FZ87" s="332"/>
      <c r="GA87" s="332"/>
      <c r="GB87" s="332"/>
      <c r="GC87" s="332"/>
      <c r="GD87" s="332"/>
      <c r="GE87" s="332"/>
      <c r="GF87" s="332"/>
      <c r="GG87" s="332"/>
      <c r="GH87" s="332"/>
      <c r="GI87" s="332"/>
      <c r="GJ87" s="332"/>
      <c r="GK87" s="332"/>
      <c r="GL87" s="332"/>
      <c r="GM87" s="332"/>
      <c r="GN87" s="332"/>
      <c r="GO87" s="332"/>
      <c r="GP87" s="332"/>
      <c r="GQ87" s="332"/>
      <c r="GR87" s="332"/>
      <c r="GS87" s="332"/>
      <c r="GT87" s="332"/>
      <c r="GU87" s="332"/>
      <c r="GV87" s="332"/>
      <c r="GW87" s="332"/>
      <c r="GX87" s="332"/>
      <c r="GY87" s="332"/>
      <c r="GZ87" s="332"/>
      <c r="HA87" s="332"/>
      <c r="HB87" s="332"/>
      <c r="HC87" s="332"/>
      <c r="HD87" s="332"/>
      <c r="HE87" s="332"/>
      <c r="HF87" s="332"/>
      <c r="HG87" s="332"/>
      <c r="HH87" s="332"/>
      <c r="HI87" s="332"/>
      <c r="HJ87" s="332"/>
      <c r="HK87" s="332"/>
      <c r="HL87" s="332"/>
      <c r="HM87" s="332"/>
      <c r="HN87" s="332"/>
      <c r="HO87" s="332"/>
      <c r="HP87" s="332"/>
      <c r="HQ87" s="332"/>
      <c r="HR87" s="332"/>
      <c r="HS87" s="332"/>
      <c r="HT87" s="332"/>
      <c r="HU87" s="332"/>
      <c r="HV87" s="332"/>
      <c r="HW87" s="332"/>
      <c r="HX87" s="332"/>
      <c r="HY87" s="332"/>
      <c r="HZ87" s="332"/>
      <c r="IA87" s="332"/>
      <c r="IB87" s="332"/>
      <c r="IC87" s="332"/>
      <c r="ID87" s="332"/>
      <c r="IE87" s="332"/>
      <c r="IF87" s="332"/>
      <c r="IG87" s="332"/>
      <c r="IH87" s="332"/>
      <c r="II87" s="332"/>
      <c r="IJ87" s="332"/>
      <c r="IK87" s="332"/>
      <c r="IL87" s="332"/>
      <c r="IM87" s="332"/>
      <c r="IN87" s="332"/>
      <c r="IO87" s="332"/>
      <c r="IP87" s="332"/>
      <c r="IQ87" s="332"/>
      <c r="IR87" s="332"/>
      <c r="IS87" s="332"/>
      <c r="IT87" s="332"/>
      <c r="IU87" s="332"/>
      <c r="IV87" s="332"/>
      <c r="IW87" s="332"/>
      <c r="IX87" s="332"/>
      <c r="IY87" s="332"/>
      <c r="IZ87" s="332"/>
      <c r="JA87" s="332"/>
      <c r="JB87" s="332"/>
      <c r="JC87" s="332"/>
      <c r="JD87" s="332"/>
      <c r="JE87" s="332"/>
      <c r="JF87" s="332"/>
      <c r="JG87" s="332"/>
      <c r="JH87" s="332"/>
      <c r="JI87" s="332"/>
      <c r="JJ87" s="332"/>
      <c r="JK87" s="332"/>
      <c r="JL87" s="332"/>
      <c r="JM87" s="332"/>
      <c r="JN87" s="332"/>
      <c r="JO87" s="332"/>
      <c r="JP87" s="332"/>
      <c r="JQ87" s="332"/>
      <c r="JR87" s="332"/>
      <c r="JS87" s="332"/>
      <c r="JT87" s="332"/>
      <c r="JU87" s="332"/>
      <c r="JV87" s="332"/>
      <c r="JW87" s="332"/>
      <c r="JX87" s="332"/>
      <c r="JY87" s="332"/>
      <c r="JZ87" s="332"/>
      <c r="KA87" s="332"/>
      <c r="KB87" s="332"/>
      <c r="KC87" s="332"/>
      <c r="KD87" s="332"/>
      <c r="KE87" s="332"/>
      <c r="KF87" s="332"/>
      <c r="KG87" s="332"/>
      <c r="KH87" s="332"/>
      <c r="KI87" s="332"/>
      <c r="KJ87" s="332"/>
      <c r="KK87" s="332"/>
      <c r="KL87" s="332"/>
      <c r="KM87" s="332"/>
      <c r="KN87" s="332"/>
      <c r="KO87" s="332"/>
      <c r="KP87" s="332"/>
      <c r="KQ87" s="332"/>
      <c r="KR87" s="332"/>
      <c r="KS87" s="332"/>
      <c r="KT87" s="332"/>
      <c r="KU87" s="332"/>
      <c r="KV87" s="332"/>
      <c r="KW87" s="332"/>
      <c r="KX87" s="332"/>
      <c r="KY87" s="332"/>
      <c r="KZ87" s="332"/>
      <c r="LA87" s="332"/>
      <c r="LB87" s="332"/>
      <c r="LC87" s="332"/>
      <c r="LD87" s="332"/>
      <c r="LE87" s="332"/>
      <c r="LF87" s="332"/>
      <c r="LG87" s="332"/>
      <c r="LH87" s="332"/>
      <c r="LI87" s="332"/>
      <c r="LJ87" s="332"/>
      <c r="LK87" s="332"/>
      <c r="LL87" s="332"/>
      <c r="LM87" s="332"/>
      <c r="LN87" s="332"/>
      <c r="LO87" s="332"/>
      <c r="LP87" s="332"/>
      <c r="LQ87" s="332"/>
      <c r="LR87" s="332"/>
      <c r="LS87" s="332"/>
      <c r="LT87" s="332"/>
      <c r="LU87" s="332"/>
      <c r="LV87" s="332"/>
      <c r="LW87" s="332"/>
      <c r="LX87" s="332"/>
      <c r="LY87" s="332"/>
      <c r="LZ87" s="332"/>
      <c r="MA87" s="332"/>
      <c r="MB87" s="332"/>
      <c r="MC87" s="332"/>
      <c r="MD87" s="332"/>
      <c r="ME87" s="332"/>
      <c r="MF87" s="332"/>
      <c r="MG87" s="332"/>
      <c r="MH87" s="332"/>
      <c r="MI87" s="332"/>
      <c r="MJ87" s="332"/>
      <c r="MK87" s="332"/>
      <c r="ML87" s="332"/>
      <c r="MM87" s="332"/>
      <c r="MN87" s="332"/>
      <c r="MO87" s="332"/>
      <c r="MP87" s="332"/>
      <c r="MQ87" s="332"/>
      <c r="MR87" s="332"/>
      <c r="MS87" s="332"/>
      <c r="MT87" s="332"/>
      <c r="MU87" s="332"/>
      <c r="MV87" s="332"/>
      <c r="MW87" s="332"/>
      <c r="MX87" s="332"/>
      <c r="MY87" s="332"/>
      <c r="MZ87" s="332"/>
      <c r="NA87" s="332"/>
      <c r="NB87" s="332"/>
      <c r="NC87" s="332"/>
      <c r="ND87" s="332"/>
      <c r="NE87" s="332"/>
      <c r="NF87" s="332"/>
      <c r="NG87" s="332"/>
      <c r="NH87" s="332"/>
      <c r="NI87" s="332"/>
      <c r="NJ87" s="332"/>
      <c r="NK87" s="332"/>
      <c r="NL87" s="332"/>
      <c r="NM87" s="332"/>
      <c r="NN87" s="332"/>
      <c r="NO87" s="332"/>
      <c r="NP87" s="332"/>
      <c r="NQ87" s="332"/>
      <c r="NR87" s="332"/>
      <c r="NS87" s="332"/>
      <c r="NT87" s="332"/>
      <c r="NU87" s="332"/>
      <c r="NV87" s="332"/>
      <c r="NW87" s="332"/>
      <c r="NX87" s="332"/>
      <c r="NY87" s="332"/>
      <c r="NZ87" s="332"/>
      <c r="OA87" s="332"/>
      <c r="OB87" s="332"/>
      <c r="OC87" s="332"/>
      <c r="OD87" s="332"/>
      <c r="OE87" s="332"/>
      <c r="OF87" s="332"/>
      <c r="OG87" s="332"/>
      <c r="OH87" s="332"/>
      <c r="OI87" s="332"/>
      <c r="OJ87" s="332"/>
      <c r="OK87" s="332"/>
      <c r="OL87" s="332"/>
      <c r="OM87" s="332"/>
      <c r="ON87" s="332"/>
      <c r="OO87" s="332"/>
      <c r="OP87" s="332"/>
      <c r="OQ87" s="332"/>
      <c r="OR87" s="332"/>
      <c r="OS87" s="332"/>
      <c r="OT87" s="332"/>
      <c r="OU87" s="332"/>
      <c r="OV87" s="332"/>
      <c r="OW87" s="332"/>
      <c r="OX87" s="332"/>
      <c r="OY87" s="332"/>
      <c r="OZ87" s="332"/>
      <c r="PA87" s="332"/>
      <c r="PB87" s="332"/>
      <c r="PC87" s="332"/>
      <c r="PD87" s="332"/>
      <c r="PE87" s="332"/>
      <c r="PF87" s="332"/>
      <c r="PG87" s="332"/>
      <c r="PH87" s="332"/>
      <c r="PI87" s="332"/>
      <c r="PJ87" s="332"/>
      <c r="PK87" s="332"/>
      <c r="PL87" s="332"/>
      <c r="PM87" s="332"/>
      <c r="PN87" s="332"/>
      <c r="PO87" s="332"/>
      <c r="PP87" s="332"/>
      <c r="PQ87" s="332"/>
      <c r="PR87" s="332"/>
      <c r="PS87" s="332"/>
      <c r="PT87" s="332"/>
      <c r="PU87" s="332"/>
      <c r="PV87" s="332"/>
      <c r="PW87" s="332"/>
      <c r="PX87" s="332"/>
      <c r="PY87" s="332"/>
      <c r="PZ87" s="332"/>
      <c r="QA87" s="332"/>
      <c r="QB87" s="332"/>
      <c r="QC87" s="332"/>
      <c r="QD87" s="332"/>
      <c r="QE87" s="332"/>
      <c r="QF87" s="332"/>
      <c r="QG87" s="332"/>
      <c r="QH87" s="332"/>
      <c r="QI87" s="332"/>
      <c r="QJ87" s="332"/>
      <c r="QK87" s="332"/>
      <c r="QL87" s="332"/>
      <c r="QM87" s="332"/>
      <c r="QN87" s="332"/>
      <c r="QO87" s="332"/>
      <c r="QP87" s="332"/>
      <c r="QQ87" s="332"/>
      <c r="QR87" s="332"/>
      <c r="QS87" s="332"/>
      <c r="QT87" s="332"/>
      <c r="QU87" s="332"/>
      <c r="QV87" s="332"/>
      <c r="QW87" s="332"/>
      <c r="QX87" s="332"/>
      <c r="QY87" s="332"/>
      <c r="QZ87" s="332"/>
      <c r="RA87" s="332"/>
      <c r="RB87" s="332"/>
      <c r="RC87" s="332"/>
      <c r="RD87" s="332"/>
      <c r="RE87" s="332"/>
      <c r="RF87" s="332"/>
      <c r="RG87" s="332"/>
      <c r="RH87" s="332"/>
      <c r="RI87" s="332"/>
      <c r="RJ87" s="332"/>
      <c r="RK87" s="332"/>
      <c r="RL87" s="332"/>
      <c r="RM87" s="332"/>
      <c r="RN87" s="332"/>
      <c r="RO87" s="332"/>
      <c r="RP87" s="332"/>
      <c r="RQ87" s="332"/>
      <c r="RR87" s="332"/>
      <c r="RS87" s="332"/>
      <c r="RT87" s="332"/>
      <c r="RU87" s="332"/>
      <c r="RV87" s="332"/>
      <c r="RW87" s="332"/>
      <c r="RX87" s="332"/>
      <c r="RY87" s="332"/>
      <c r="RZ87" s="332"/>
      <c r="SA87" s="332"/>
      <c r="SB87" s="332"/>
      <c r="SC87" s="332"/>
      <c r="SD87" s="332"/>
      <c r="SE87" s="332"/>
      <c r="SF87" s="332"/>
      <c r="SG87" s="332"/>
      <c r="SH87" s="332"/>
      <c r="SI87" s="332"/>
      <c r="SJ87" s="332"/>
      <c r="SK87" s="332"/>
      <c r="SL87" s="332"/>
      <c r="SM87" s="332"/>
      <c r="SN87" s="332"/>
      <c r="SO87" s="332"/>
      <c r="SP87" s="332"/>
      <c r="SQ87" s="332"/>
      <c r="SR87" s="332"/>
      <c r="SS87" s="332"/>
      <c r="ST87" s="332"/>
      <c r="SU87" s="332"/>
      <c r="SV87" s="332"/>
      <c r="SW87" s="332"/>
      <c r="SX87" s="332"/>
      <c r="SY87" s="332"/>
      <c r="SZ87" s="332"/>
      <c r="TA87" s="332"/>
      <c r="TB87" s="332"/>
      <c r="TC87" s="332"/>
      <c r="TD87" s="332"/>
      <c r="TE87" s="332"/>
      <c r="TF87" s="332"/>
      <c r="TG87" s="332"/>
      <c r="TH87" s="332"/>
      <c r="TI87" s="332"/>
      <c r="TJ87" s="332"/>
      <c r="TK87" s="332"/>
      <c r="TL87" s="332"/>
      <c r="TM87" s="332"/>
      <c r="TN87" s="332"/>
      <c r="TO87" s="332"/>
      <c r="TP87" s="332"/>
      <c r="TQ87" s="332"/>
      <c r="TR87" s="332"/>
      <c r="TS87" s="332"/>
      <c r="TT87" s="332"/>
      <c r="TU87" s="332"/>
      <c r="TV87" s="332"/>
      <c r="TW87" s="332"/>
      <c r="TX87" s="332"/>
      <c r="TY87" s="332"/>
      <c r="TZ87" s="332"/>
      <c r="UA87" s="332"/>
      <c r="UB87" s="332"/>
      <c r="UC87" s="332"/>
      <c r="UD87" s="332"/>
      <c r="UE87" s="332"/>
      <c r="UF87" s="332"/>
      <c r="UG87" s="332"/>
      <c r="UH87" s="332"/>
      <c r="UI87" s="332"/>
      <c r="UJ87" s="332"/>
      <c r="UK87" s="332"/>
      <c r="UL87" s="332"/>
      <c r="UM87" s="332"/>
      <c r="UN87" s="332"/>
      <c r="UO87" s="332"/>
      <c r="UP87" s="332"/>
      <c r="UQ87" s="332"/>
      <c r="UR87" s="332"/>
      <c r="US87" s="332"/>
      <c r="UT87" s="332"/>
      <c r="UU87" s="332"/>
      <c r="UV87" s="332"/>
      <c r="UW87" s="332"/>
      <c r="UX87" s="332"/>
      <c r="UY87" s="332"/>
      <c r="UZ87" s="332"/>
      <c r="VA87" s="332"/>
      <c r="VB87" s="332"/>
      <c r="VC87" s="332"/>
      <c r="VD87" s="332"/>
      <c r="VE87" s="332"/>
      <c r="VF87" s="332"/>
      <c r="VG87" s="332"/>
      <c r="VH87" s="332"/>
      <c r="VI87" s="332"/>
      <c r="VJ87" s="332"/>
      <c r="VK87" s="332"/>
      <c r="VL87" s="332"/>
      <c r="VM87" s="332"/>
      <c r="VN87" s="332"/>
      <c r="VO87" s="332"/>
      <c r="VP87" s="332"/>
      <c r="VQ87" s="332"/>
      <c r="VR87" s="332"/>
      <c r="VS87" s="332"/>
      <c r="VT87" s="332"/>
      <c r="VU87" s="332"/>
      <c r="VV87" s="332"/>
      <c r="VW87" s="332"/>
      <c r="VX87" s="332"/>
      <c r="VY87" s="332"/>
      <c r="VZ87" s="332"/>
      <c r="WA87" s="332"/>
      <c r="WB87" s="332"/>
      <c r="WC87" s="332"/>
      <c r="WD87" s="332"/>
      <c r="WE87" s="332"/>
      <c r="WF87" s="332"/>
      <c r="WG87" s="332"/>
      <c r="WH87" s="332"/>
      <c r="WI87" s="332"/>
      <c r="WJ87" s="332"/>
      <c r="WK87" s="332"/>
      <c r="WL87" s="332"/>
      <c r="WM87" s="332"/>
      <c r="WN87" s="332"/>
      <c r="WO87" s="332"/>
      <c r="WP87" s="332"/>
      <c r="WQ87" s="332"/>
      <c r="WR87" s="332"/>
      <c r="WS87" s="332"/>
      <c r="WT87" s="332"/>
      <c r="WU87" s="332"/>
      <c r="WV87" s="332"/>
      <c r="WW87" s="332"/>
      <c r="WX87" s="332"/>
      <c r="WY87" s="332"/>
      <c r="WZ87" s="332"/>
      <c r="XA87" s="332"/>
      <c r="XB87" s="332"/>
      <c r="XC87" s="332"/>
      <c r="XD87" s="332"/>
      <c r="XE87" s="332"/>
      <c r="XF87" s="332"/>
      <c r="XG87" s="332"/>
      <c r="XH87" s="332"/>
      <c r="XI87" s="332"/>
      <c r="XJ87" s="332"/>
      <c r="XK87" s="332"/>
      <c r="XL87" s="332"/>
      <c r="XM87" s="332"/>
      <c r="XN87" s="332"/>
      <c r="XO87" s="332"/>
      <c r="XP87" s="332"/>
      <c r="XQ87" s="332"/>
      <c r="XR87" s="332"/>
      <c r="XS87" s="332"/>
      <c r="XT87" s="332"/>
      <c r="XU87" s="332"/>
      <c r="XV87" s="332"/>
      <c r="XW87" s="332"/>
      <c r="XX87" s="332"/>
      <c r="XY87" s="332"/>
      <c r="XZ87" s="332"/>
      <c r="YA87" s="332"/>
      <c r="YB87" s="332"/>
      <c r="YC87" s="332"/>
      <c r="YD87" s="332"/>
      <c r="YE87" s="332"/>
      <c r="YF87" s="332"/>
      <c r="YG87" s="332"/>
      <c r="YH87" s="332"/>
      <c r="YI87" s="332"/>
      <c r="YJ87" s="332"/>
      <c r="YK87" s="332"/>
      <c r="YL87" s="332"/>
      <c r="YM87" s="332"/>
      <c r="YN87" s="332"/>
      <c r="YO87" s="332"/>
      <c r="YP87" s="332"/>
      <c r="YQ87" s="332"/>
      <c r="YR87" s="332"/>
      <c r="YS87" s="332"/>
      <c r="YT87" s="332"/>
      <c r="YU87" s="332"/>
      <c r="YV87" s="332"/>
      <c r="YW87" s="332"/>
      <c r="YX87" s="332"/>
      <c r="YY87" s="332"/>
      <c r="YZ87" s="332"/>
      <c r="ZA87" s="332"/>
      <c r="ZB87" s="332"/>
      <c r="ZC87" s="332"/>
      <c r="ZD87" s="332"/>
      <c r="ZE87" s="332"/>
      <c r="ZF87" s="332"/>
      <c r="ZG87" s="332"/>
      <c r="ZH87" s="332"/>
      <c r="ZI87" s="332"/>
      <c r="ZJ87" s="332"/>
      <c r="ZK87" s="332"/>
      <c r="ZL87" s="332"/>
      <c r="ZM87" s="332"/>
      <c r="ZN87" s="332"/>
      <c r="ZO87" s="332"/>
      <c r="ZP87" s="332"/>
      <c r="ZQ87" s="332"/>
      <c r="ZR87" s="332"/>
      <c r="ZS87" s="332"/>
      <c r="ZT87" s="332"/>
      <c r="ZU87" s="332"/>
      <c r="ZV87" s="332"/>
      <c r="ZW87" s="332"/>
      <c r="ZX87" s="332"/>
      <c r="ZY87" s="332"/>
      <c r="ZZ87" s="332"/>
      <c r="AAA87" s="332"/>
      <c r="AAB87" s="332"/>
      <c r="AAC87" s="332"/>
      <c r="AAD87" s="332"/>
      <c r="AAE87" s="332"/>
      <c r="AAF87" s="332"/>
      <c r="AAG87" s="332"/>
      <c r="AAH87" s="332"/>
      <c r="AAI87" s="332"/>
      <c r="AAJ87" s="332"/>
      <c r="AAK87" s="332"/>
      <c r="AAL87" s="332"/>
      <c r="AAM87" s="332"/>
      <c r="AAN87" s="332"/>
      <c r="AAO87" s="332"/>
      <c r="AAP87" s="332"/>
      <c r="AAQ87" s="332"/>
      <c r="AAR87" s="332"/>
      <c r="AAS87" s="332"/>
      <c r="AAT87" s="332"/>
      <c r="AAU87" s="332"/>
      <c r="AAV87" s="332"/>
      <c r="AAW87" s="332"/>
      <c r="AAX87" s="332"/>
      <c r="AAY87" s="332"/>
      <c r="AAZ87" s="332"/>
      <c r="ABA87" s="332"/>
      <c r="ABB87" s="332"/>
      <c r="ABC87" s="332"/>
      <c r="ABD87" s="332"/>
      <c r="ABE87" s="332"/>
      <c r="ABF87" s="332"/>
      <c r="ABG87" s="332"/>
      <c r="ABH87" s="332"/>
      <c r="ABI87" s="332"/>
      <c r="ABJ87" s="332"/>
      <c r="ABK87" s="332"/>
      <c r="ABL87" s="332"/>
      <c r="ABM87" s="332"/>
      <c r="ABN87" s="332"/>
      <c r="ABO87" s="332"/>
      <c r="ABP87" s="332"/>
      <c r="ABQ87" s="332"/>
      <c r="ABR87" s="332"/>
      <c r="ABS87" s="332"/>
      <c r="ABT87" s="332"/>
      <c r="ABU87" s="332"/>
      <c r="ABV87" s="332"/>
      <c r="ABW87" s="332"/>
      <c r="ABX87" s="332"/>
      <c r="ABY87" s="332"/>
      <c r="ABZ87" s="332"/>
      <c r="ACA87" s="332"/>
      <c r="ACB87" s="332"/>
      <c r="ACC87" s="332"/>
      <c r="ACD87" s="332"/>
      <c r="ACE87" s="332"/>
      <c r="ACF87" s="332"/>
      <c r="ACG87" s="332"/>
      <c r="ACH87" s="332"/>
      <c r="ACI87" s="332"/>
      <c r="ACJ87" s="332"/>
      <c r="ACK87" s="332"/>
      <c r="ACL87" s="332"/>
      <c r="ACM87" s="332"/>
      <c r="ACN87" s="332"/>
      <c r="ACO87" s="332"/>
      <c r="ACP87" s="332"/>
      <c r="ACQ87" s="332"/>
      <c r="ACR87" s="332"/>
      <c r="ACS87" s="332"/>
      <c r="ACT87" s="332"/>
      <c r="ACU87" s="332"/>
      <c r="ACV87" s="332"/>
      <c r="ACW87" s="332"/>
      <c r="ACX87" s="332"/>
      <c r="ACY87" s="332"/>
      <c r="ACZ87" s="332"/>
      <c r="ADA87" s="332"/>
      <c r="ADB87" s="332"/>
      <c r="ADC87" s="332"/>
      <c r="ADD87" s="332"/>
      <c r="ADE87" s="332"/>
      <c r="ADF87" s="332"/>
      <c r="ADG87" s="332"/>
      <c r="ADH87" s="332"/>
      <c r="ADI87" s="332"/>
      <c r="ADJ87" s="332"/>
      <c r="ADK87" s="332"/>
      <c r="ADL87" s="332"/>
      <c r="ADM87" s="332"/>
      <c r="ADN87" s="332"/>
      <c r="ADO87" s="332"/>
      <c r="ADP87" s="332"/>
      <c r="ADQ87" s="332"/>
      <c r="ADR87" s="332"/>
      <c r="ADS87" s="332"/>
      <c r="ADT87" s="332"/>
      <c r="ADU87" s="332"/>
      <c r="ADV87" s="332"/>
      <c r="ADW87" s="332"/>
      <c r="ADX87" s="332"/>
      <c r="ADY87" s="332"/>
      <c r="ADZ87" s="332"/>
      <c r="AEA87" s="332"/>
      <c r="AEB87" s="332"/>
      <c r="AEC87" s="332"/>
      <c r="AED87" s="332"/>
      <c r="AEE87" s="332"/>
      <c r="AEF87" s="332"/>
      <c r="AEG87" s="332"/>
      <c r="AEH87" s="332"/>
      <c r="AEI87" s="332"/>
      <c r="AEJ87" s="332"/>
      <c r="AEK87" s="332"/>
      <c r="AEL87" s="332"/>
      <c r="AEM87" s="332"/>
      <c r="AEN87" s="332"/>
      <c r="AEO87" s="332"/>
      <c r="AEP87" s="332"/>
      <c r="AEQ87" s="332"/>
      <c r="AER87" s="332"/>
      <c r="AES87" s="332"/>
      <c r="AET87" s="332"/>
      <c r="AEU87" s="332"/>
      <c r="AEV87" s="332"/>
      <c r="AEW87" s="332"/>
      <c r="AEX87" s="332"/>
      <c r="AEY87" s="332"/>
      <c r="AEZ87" s="332"/>
      <c r="AFA87" s="332"/>
      <c r="AFB87" s="332"/>
      <c r="AFC87" s="332"/>
      <c r="AFD87" s="332"/>
      <c r="AFE87" s="332"/>
      <c r="AFF87" s="332"/>
      <c r="AFG87" s="332"/>
      <c r="AFH87" s="332"/>
      <c r="AFI87" s="332"/>
      <c r="AFJ87" s="332"/>
      <c r="AFK87" s="332"/>
      <c r="AFL87" s="332"/>
      <c r="AFM87" s="332"/>
      <c r="AFN87" s="332"/>
      <c r="AFO87" s="332"/>
      <c r="AFP87" s="332"/>
      <c r="AFQ87" s="332"/>
      <c r="AFR87" s="332"/>
      <c r="AFS87" s="332"/>
      <c r="AFT87" s="332"/>
      <c r="AFU87" s="332"/>
      <c r="AFV87" s="332"/>
      <c r="AFW87" s="332"/>
      <c r="AFX87" s="332"/>
      <c r="AFY87" s="332"/>
      <c r="AFZ87" s="332"/>
      <c r="AGA87" s="332"/>
      <c r="AGB87" s="332"/>
      <c r="AGC87" s="332"/>
      <c r="AGD87" s="332"/>
      <c r="AGE87" s="332"/>
      <c r="AGF87" s="332"/>
      <c r="AGG87" s="332"/>
      <c r="AGH87" s="332"/>
      <c r="AGI87" s="332"/>
      <c r="AGJ87" s="332"/>
      <c r="AGK87" s="332"/>
      <c r="AGL87" s="332"/>
      <c r="AGM87" s="332"/>
      <c r="AGN87" s="332"/>
      <c r="AGO87" s="332"/>
      <c r="AGP87" s="332"/>
      <c r="AGQ87" s="332"/>
      <c r="AGR87" s="332"/>
      <c r="AGS87" s="332"/>
      <c r="AGT87" s="332"/>
      <c r="AGU87" s="332"/>
      <c r="AGV87" s="332"/>
      <c r="AGW87" s="332"/>
      <c r="AGX87" s="332"/>
      <c r="AGY87" s="332"/>
      <c r="AGZ87" s="332"/>
      <c r="AHA87" s="332"/>
      <c r="AHB87" s="332"/>
      <c r="AHC87" s="332"/>
      <c r="AHD87" s="332"/>
      <c r="AHE87" s="332"/>
      <c r="AHF87" s="332"/>
      <c r="AHG87" s="332"/>
      <c r="AHH87" s="332"/>
      <c r="AHI87" s="332"/>
      <c r="AHJ87" s="332"/>
      <c r="AHK87" s="332"/>
      <c r="AHL87" s="332"/>
      <c r="AHM87" s="332"/>
      <c r="AHN87" s="332"/>
      <c r="AHO87" s="332"/>
      <c r="AHP87" s="332"/>
      <c r="AHQ87" s="332"/>
      <c r="AHR87" s="332"/>
      <c r="AHS87" s="332"/>
      <c r="AHT87" s="332"/>
      <c r="AHU87" s="332"/>
      <c r="AHV87" s="332"/>
      <c r="AHW87" s="332"/>
      <c r="AHX87" s="332"/>
      <c r="AHY87" s="332"/>
      <c r="AHZ87" s="332"/>
      <c r="AIA87" s="332"/>
      <c r="AIB87" s="332"/>
      <c r="AIC87" s="332"/>
      <c r="AID87" s="332"/>
      <c r="AIE87" s="332"/>
      <c r="AIF87" s="332"/>
      <c r="AIG87" s="332"/>
      <c r="AIH87" s="332"/>
      <c r="AII87" s="332"/>
      <c r="AIJ87" s="332"/>
      <c r="AIK87" s="332"/>
      <c r="AIL87" s="332"/>
      <c r="AIM87" s="332"/>
      <c r="AIN87" s="332"/>
      <c r="AIO87" s="332"/>
      <c r="AIP87" s="332"/>
      <c r="AIQ87" s="332"/>
      <c r="AIR87" s="332"/>
      <c r="AIS87" s="332"/>
      <c r="AIT87" s="332"/>
      <c r="AIU87" s="332"/>
      <c r="AIV87" s="332"/>
      <c r="AIW87" s="332"/>
      <c r="AIX87" s="332"/>
      <c r="AIY87" s="332"/>
      <c r="AIZ87" s="332"/>
      <c r="AJA87" s="332"/>
      <c r="AJB87" s="332"/>
      <c r="AJC87" s="332"/>
      <c r="AJD87" s="332"/>
      <c r="AJE87" s="332"/>
      <c r="AJF87" s="332"/>
      <c r="AJG87" s="332"/>
      <c r="AJH87" s="332"/>
      <c r="AJI87" s="332"/>
      <c r="AJJ87" s="332"/>
      <c r="AJK87" s="332"/>
      <c r="AJL87" s="332"/>
      <c r="AJM87" s="332"/>
      <c r="AJN87" s="332"/>
      <c r="AJO87" s="332"/>
      <c r="AJP87" s="332"/>
      <c r="AJQ87" s="332"/>
      <c r="AJR87" s="332"/>
      <c r="AJS87" s="332"/>
      <c r="AJT87" s="332"/>
      <c r="AJU87" s="332"/>
      <c r="AJV87" s="332"/>
      <c r="AJW87" s="332"/>
      <c r="AJX87" s="332"/>
      <c r="AJY87" s="332"/>
      <c r="AJZ87" s="332"/>
      <c r="AKA87" s="332"/>
      <c r="AKB87" s="332"/>
      <c r="AKC87" s="332"/>
      <c r="AKD87" s="332"/>
      <c r="AKE87" s="332"/>
      <c r="AKF87" s="332"/>
      <c r="AKG87" s="332"/>
      <c r="AKH87" s="332"/>
      <c r="AKI87" s="332"/>
      <c r="AKJ87" s="332"/>
      <c r="AKK87" s="332"/>
      <c r="AKL87" s="332"/>
      <c r="AKM87" s="332"/>
      <c r="AKN87" s="332"/>
      <c r="AKO87" s="332"/>
      <c r="AKP87" s="332"/>
      <c r="AKQ87" s="332"/>
      <c r="AKR87" s="332"/>
      <c r="AKS87" s="332"/>
      <c r="AKT87" s="332"/>
      <c r="AKU87" s="332"/>
      <c r="AKV87" s="332"/>
      <c r="AKW87" s="332"/>
      <c r="AKX87" s="332"/>
      <c r="AKY87" s="332"/>
      <c r="AKZ87" s="332"/>
      <c r="ALA87" s="332"/>
      <c r="ALB87" s="332"/>
      <c r="ALC87" s="332"/>
      <c r="ALD87" s="332"/>
      <c r="ALE87" s="332"/>
      <c r="ALF87" s="332"/>
      <c r="ALG87" s="332"/>
      <c r="ALH87" s="332"/>
      <c r="ALI87" s="332"/>
      <c r="ALJ87" s="332"/>
      <c r="ALK87" s="332"/>
      <c r="ALL87" s="332"/>
      <c r="ALM87" s="332"/>
      <c r="ALN87" s="332"/>
      <c r="ALO87" s="332"/>
      <c r="ALP87" s="332"/>
      <c r="ALQ87" s="332"/>
      <c r="ALR87" s="332"/>
      <c r="ALS87" s="332"/>
      <c r="ALT87" s="332"/>
      <c r="ALU87" s="332"/>
      <c r="ALV87" s="332"/>
      <c r="ALW87" s="332"/>
      <c r="ALX87" s="332"/>
      <c r="ALY87" s="332"/>
      <c r="ALZ87" s="332"/>
      <c r="AMA87" s="332"/>
      <c r="AMB87" s="332"/>
      <c r="AMC87" s="332"/>
      <c r="AMD87" s="332"/>
      <c r="AME87" s="332"/>
      <c r="AMF87" s="332"/>
      <c r="AMG87" s="332"/>
      <c r="AMH87" s="332"/>
      <c r="AMI87" s="332"/>
      <c r="AMJ87" s="332"/>
    </row>
    <row r="88" spans="1:1024" s="337" customFormat="1" ht="12" customHeight="1" x14ac:dyDescent="0.25">
      <c r="A88" s="338" t="s">
        <v>458</v>
      </c>
      <c r="B88" s="339"/>
      <c r="C88" s="332"/>
      <c r="D88" s="332"/>
      <c r="E88" s="334"/>
      <c r="F88" s="332"/>
      <c r="G88" s="334"/>
      <c r="H88" s="332"/>
      <c r="I88" s="332"/>
      <c r="J88" s="332"/>
      <c r="K88" s="332"/>
      <c r="L88" s="332"/>
      <c r="M88" s="332"/>
      <c r="N88" s="334"/>
      <c r="O88" s="332"/>
      <c r="P88" s="334"/>
      <c r="Q88" s="332"/>
      <c r="R88" s="335"/>
      <c r="S88" s="332"/>
      <c r="T88" s="336"/>
      <c r="U88" s="332"/>
      <c r="V88" s="332"/>
      <c r="W88" s="332"/>
      <c r="X88" s="332"/>
      <c r="Y88" s="332"/>
      <c r="Z88" s="332"/>
      <c r="AA88" s="332"/>
      <c r="AB88" s="332"/>
      <c r="AC88" s="332"/>
      <c r="AD88" s="332"/>
      <c r="AE88" s="332"/>
      <c r="AF88" s="332"/>
      <c r="AG88" s="332"/>
      <c r="AH88" s="332"/>
      <c r="AI88" s="332"/>
      <c r="AJ88" s="332"/>
      <c r="AK88" s="332"/>
      <c r="AL88" s="332"/>
      <c r="AM88" s="332"/>
      <c r="AN88" s="332"/>
      <c r="AO88" s="332"/>
      <c r="AP88" s="332"/>
      <c r="AQ88" s="332"/>
      <c r="AR88" s="332"/>
      <c r="AS88" s="332"/>
      <c r="AT88" s="332"/>
      <c r="AU88" s="332"/>
      <c r="AV88" s="332"/>
      <c r="AW88" s="332"/>
      <c r="AX88" s="332"/>
      <c r="AY88" s="332"/>
      <c r="AZ88" s="332"/>
      <c r="BA88" s="332"/>
      <c r="BB88" s="332"/>
      <c r="BC88" s="332"/>
      <c r="BD88" s="332"/>
      <c r="BE88" s="332"/>
      <c r="BF88" s="332"/>
      <c r="BG88" s="332"/>
      <c r="BH88" s="332"/>
      <c r="BI88" s="332"/>
      <c r="BJ88" s="332"/>
      <c r="BK88" s="332"/>
      <c r="BL88" s="332"/>
      <c r="BM88" s="332"/>
      <c r="BN88" s="332"/>
      <c r="BO88" s="332"/>
      <c r="BP88" s="332"/>
      <c r="BQ88" s="332"/>
      <c r="BR88" s="332"/>
      <c r="BS88" s="332"/>
      <c r="BT88" s="332"/>
      <c r="BU88" s="332"/>
      <c r="BV88" s="332"/>
      <c r="BW88" s="332"/>
      <c r="BX88" s="332"/>
      <c r="BY88" s="332"/>
      <c r="BZ88" s="332"/>
      <c r="CA88" s="332"/>
      <c r="CB88" s="332"/>
      <c r="CC88" s="332"/>
      <c r="CD88" s="332"/>
      <c r="CE88" s="332"/>
      <c r="CF88" s="332"/>
      <c r="CG88" s="332"/>
      <c r="CH88" s="332"/>
      <c r="CI88" s="332"/>
      <c r="CJ88" s="332"/>
      <c r="CK88" s="332"/>
      <c r="CL88" s="332"/>
      <c r="CM88" s="332"/>
      <c r="CN88" s="332"/>
      <c r="CO88" s="332"/>
      <c r="CP88" s="332"/>
      <c r="CQ88" s="332"/>
      <c r="CR88" s="332"/>
      <c r="CS88" s="332"/>
      <c r="CT88" s="332"/>
      <c r="CU88" s="332"/>
      <c r="CV88" s="332"/>
      <c r="CW88" s="332"/>
      <c r="CX88" s="332"/>
      <c r="CY88" s="332"/>
      <c r="CZ88" s="332"/>
      <c r="DA88" s="332"/>
      <c r="DB88" s="332"/>
      <c r="DC88" s="332"/>
      <c r="DD88" s="332"/>
      <c r="DE88" s="332"/>
      <c r="DF88" s="332"/>
      <c r="DG88" s="332"/>
      <c r="DH88" s="332"/>
      <c r="DI88" s="332"/>
      <c r="DJ88" s="332"/>
      <c r="DK88" s="332"/>
      <c r="DL88" s="332"/>
      <c r="DM88" s="332"/>
      <c r="DN88" s="332"/>
      <c r="DO88" s="332"/>
      <c r="DP88" s="332"/>
      <c r="DQ88" s="332"/>
      <c r="DR88" s="332"/>
      <c r="DS88" s="332"/>
      <c r="DT88" s="332"/>
      <c r="DU88" s="332"/>
      <c r="DV88" s="332"/>
      <c r="DW88" s="332"/>
      <c r="DX88" s="332"/>
      <c r="DY88" s="332"/>
      <c r="DZ88" s="332"/>
      <c r="EA88" s="332"/>
      <c r="EB88" s="332"/>
      <c r="EC88" s="332"/>
      <c r="ED88" s="332"/>
      <c r="EE88" s="332"/>
      <c r="EF88" s="332"/>
      <c r="EG88" s="332"/>
      <c r="EH88" s="332"/>
      <c r="EI88" s="332"/>
      <c r="EJ88" s="332"/>
      <c r="EK88" s="332"/>
      <c r="EL88" s="332"/>
      <c r="EM88" s="332"/>
      <c r="EN88" s="332"/>
      <c r="EO88" s="332"/>
      <c r="EP88" s="332"/>
      <c r="EQ88" s="332"/>
      <c r="ER88" s="332"/>
      <c r="ES88" s="332"/>
      <c r="ET88" s="332"/>
      <c r="EU88" s="332"/>
      <c r="EV88" s="332"/>
      <c r="EW88" s="332"/>
      <c r="EX88" s="332"/>
      <c r="EY88" s="332"/>
      <c r="EZ88" s="332"/>
      <c r="FA88" s="332"/>
      <c r="FB88" s="332"/>
      <c r="FC88" s="332"/>
      <c r="FD88" s="332"/>
      <c r="FE88" s="332"/>
      <c r="FF88" s="332"/>
      <c r="FG88" s="332"/>
      <c r="FH88" s="332"/>
      <c r="FI88" s="332"/>
      <c r="FJ88" s="332"/>
      <c r="FK88" s="332"/>
      <c r="FL88" s="332"/>
      <c r="FM88" s="332"/>
      <c r="FN88" s="332"/>
      <c r="FO88" s="332"/>
      <c r="FP88" s="332"/>
      <c r="FQ88" s="332"/>
      <c r="FR88" s="332"/>
      <c r="FS88" s="332"/>
      <c r="FT88" s="332"/>
      <c r="FU88" s="332"/>
      <c r="FV88" s="332"/>
      <c r="FW88" s="332"/>
      <c r="FX88" s="332"/>
      <c r="FY88" s="332"/>
      <c r="FZ88" s="332"/>
      <c r="GA88" s="332"/>
      <c r="GB88" s="332"/>
      <c r="GC88" s="332"/>
      <c r="GD88" s="332"/>
      <c r="GE88" s="332"/>
      <c r="GF88" s="332"/>
      <c r="GG88" s="332"/>
      <c r="GH88" s="332"/>
      <c r="GI88" s="332"/>
      <c r="GJ88" s="332"/>
      <c r="GK88" s="332"/>
      <c r="GL88" s="332"/>
      <c r="GM88" s="332"/>
      <c r="GN88" s="332"/>
      <c r="GO88" s="332"/>
      <c r="GP88" s="332"/>
      <c r="GQ88" s="332"/>
      <c r="GR88" s="332"/>
      <c r="GS88" s="332"/>
      <c r="GT88" s="332"/>
      <c r="GU88" s="332"/>
      <c r="GV88" s="332"/>
      <c r="GW88" s="332"/>
      <c r="GX88" s="332"/>
      <c r="GY88" s="332"/>
      <c r="GZ88" s="332"/>
      <c r="HA88" s="332"/>
      <c r="HB88" s="332"/>
      <c r="HC88" s="332"/>
      <c r="HD88" s="332"/>
      <c r="HE88" s="332"/>
      <c r="HF88" s="332"/>
      <c r="HG88" s="332"/>
      <c r="HH88" s="332"/>
      <c r="HI88" s="332"/>
      <c r="HJ88" s="332"/>
      <c r="HK88" s="332"/>
      <c r="HL88" s="332"/>
      <c r="HM88" s="332"/>
      <c r="HN88" s="332"/>
      <c r="HO88" s="332"/>
      <c r="HP88" s="332"/>
      <c r="HQ88" s="332"/>
      <c r="HR88" s="332"/>
      <c r="HS88" s="332"/>
      <c r="HT88" s="332"/>
      <c r="HU88" s="332"/>
      <c r="HV88" s="332"/>
      <c r="HW88" s="332"/>
      <c r="HX88" s="332"/>
      <c r="HY88" s="332"/>
      <c r="HZ88" s="332"/>
      <c r="IA88" s="332"/>
      <c r="IB88" s="332"/>
      <c r="IC88" s="332"/>
      <c r="ID88" s="332"/>
      <c r="IE88" s="332"/>
      <c r="IF88" s="332"/>
      <c r="IG88" s="332"/>
      <c r="IH88" s="332"/>
      <c r="II88" s="332"/>
      <c r="IJ88" s="332"/>
      <c r="IK88" s="332"/>
      <c r="IL88" s="332"/>
      <c r="IM88" s="332"/>
      <c r="IN88" s="332"/>
      <c r="IO88" s="332"/>
      <c r="IP88" s="332"/>
      <c r="IQ88" s="332"/>
      <c r="IR88" s="332"/>
      <c r="IS88" s="332"/>
      <c r="IT88" s="332"/>
      <c r="IU88" s="332"/>
      <c r="IV88" s="332"/>
      <c r="IW88" s="332"/>
      <c r="IX88" s="332"/>
      <c r="IY88" s="332"/>
      <c r="IZ88" s="332"/>
      <c r="JA88" s="332"/>
      <c r="JB88" s="332"/>
      <c r="JC88" s="332"/>
      <c r="JD88" s="332"/>
      <c r="JE88" s="332"/>
      <c r="JF88" s="332"/>
      <c r="JG88" s="332"/>
      <c r="JH88" s="332"/>
      <c r="JI88" s="332"/>
      <c r="JJ88" s="332"/>
      <c r="JK88" s="332"/>
      <c r="JL88" s="332"/>
      <c r="JM88" s="332"/>
      <c r="JN88" s="332"/>
      <c r="JO88" s="332"/>
      <c r="JP88" s="332"/>
      <c r="JQ88" s="332"/>
      <c r="JR88" s="332"/>
      <c r="JS88" s="332"/>
      <c r="JT88" s="332"/>
      <c r="JU88" s="332"/>
      <c r="JV88" s="332"/>
      <c r="JW88" s="332"/>
      <c r="JX88" s="332"/>
      <c r="JY88" s="332"/>
      <c r="JZ88" s="332"/>
      <c r="KA88" s="332"/>
      <c r="KB88" s="332"/>
      <c r="KC88" s="332"/>
      <c r="KD88" s="332"/>
      <c r="KE88" s="332"/>
      <c r="KF88" s="332"/>
      <c r="KG88" s="332"/>
      <c r="KH88" s="332"/>
      <c r="KI88" s="332"/>
      <c r="KJ88" s="332"/>
      <c r="KK88" s="332"/>
      <c r="KL88" s="332"/>
      <c r="KM88" s="332"/>
      <c r="KN88" s="332"/>
      <c r="KO88" s="332"/>
      <c r="KP88" s="332"/>
      <c r="KQ88" s="332"/>
      <c r="KR88" s="332"/>
      <c r="KS88" s="332"/>
      <c r="KT88" s="332"/>
      <c r="KU88" s="332"/>
      <c r="KV88" s="332"/>
      <c r="KW88" s="332"/>
      <c r="KX88" s="332"/>
      <c r="KY88" s="332"/>
      <c r="KZ88" s="332"/>
      <c r="LA88" s="332"/>
      <c r="LB88" s="332"/>
      <c r="LC88" s="332"/>
      <c r="LD88" s="332"/>
      <c r="LE88" s="332"/>
      <c r="LF88" s="332"/>
      <c r="LG88" s="332"/>
      <c r="LH88" s="332"/>
      <c r="LI88" s="332"/>
      <c r="LJ88" s="332"/>
      <c r="LK88" s="332"/>
      <c r="LL88" s="332"/>
      <c r="LM88" s="332"/>
      <c r="LN88" s="332"/>
      <c r="LO88" s="332"/>
      <c r="LP88" s="332"/>
      <c r="LQ88" s="332"/>
      <c r="LR88" s="332"/>
      <c r="LS88" s="332"/>
      <c r="LT88" s="332"/>
      <c r="LU88" s="332"/>
      <c r="LV88" s="332"/>
      <c r="LW88" s="332"/>
      <c r="LX88" s="332"/>
      <c r="LY88" s="332"/>
      <c r="LZ88" s="332"/>
      <c r="MA88" s="332"/>
      <c r="MB88" s="332"/>
      <c r="MC88" s="332"/>
      <c r="MD88" s="332"/>
      <c r="ME88" s="332"/>
      <c r="MF88" s="332"/>
      <c r="MG88" s="332"/>
      <c r="MH88" s="332"/>
      <c r="MI88" s="332"/>
      <c r="MJ88" s="332"/>
      <c r="MK88" s="332"/>
      <c r="ML88" s="332"/>
      <c r="MM88" s="332"/>
      <c r="MN88" s="332"/>
      <c r="MO88" s="332"/>
      <c r="MP88" s="332"/>
      <c r="MQ88" s="332"/>
      <c r="MR88" s="332"/>
      <c r="MS88" s="332"/>
      <c r="MT88" s="332"/>
      <c r="MU88" s="332"/>
      <c r="MV88" s="332"/>
      <c r="MW88" s="332"/>
      <c r="MX88" s="332"/>
      <c r="MY88" s="332"/>
      <c r="MZ88" s="332"/>
      <c r="NA88" s="332"/>
      <c r="NB88" s="332"/>
      <c r="NC88" s="332"/>
      <c r="ND88" s="332"/>
      <c r="NE88" s="332"/>
      <c r="NF88" s="332"/>
      <c r="NG88" s="332"/>
      <c r="NH88" s="332"/>
      <c r="NI88" s="332"/>
      <c r="NJ88" s="332"/>
      <c r="NK88" s="332"/>
      <c r="NL88" s="332"/>
      <c r="NM88" s="332"/>
      <c r="NN88" s="332"/>
      <c r="NO88" s="332"/>
      <c r="NP88" s="332"/>
      <c r="NQ88" s="332"/>
      <c r="NR88" s="332"/>
      <c r="NS88" s="332"/>
      <c r="NT88" s="332"/>
      <c r="NU88" s="332"/>
      <c r="NV88" s="332"/>
      <c r="NW88" s="332"/>
      <c r="NX88" s="332"/>
      <c r="NY88" s="332"/>
      <c r="NZ88" s="332"/>
      <c r="OA88" s="332"/>
      <c r="OB88" s="332"/>
      <c r="OC88" s="332"/>
      <c r="OD88" s="332"/>
      <c r="OE88" s="332"/>
      <c r="OF88" s="332"/>
      <c r="OG88" s="332"/>
      <c r="OH88" s="332"/>
      <c r="OI88" s="332"/>
      <c r="OJ88" s="332"/>
      <c r="OK88" s="332"/>
      <c r="OL88" s="332"/>
      <c r="OM88" s="332"/>
      <c r="ON88" s="332"/>
      <c r="OO88" s="332"/>
      <c r="OP88" s="332"/>
      <c r="OQ88" s="332"/>
      <c r="OR88" s="332"/>
      <c r="OS88" s="332"/>
      <c r="OT88" s="332"/>
      <c r="OU88" s="332"/>
      <c r="OV88" s="332"/>
      <c r="OW88" s="332"/>
      <c r="OX88" s="332"/>
      <c r="OY88" s="332"/>
      <c r="OZ88" s="332"/>
      <c r="PA88" s="332"/>
      <c r="PB88" s="332"/>
      <c r="PC88" s="332"/>
      <c r="PD88" s="332"/>
      <c r="PE88" s="332"/>
      <c r="PF88" s="332"/>
      <c r="PG88" s="332"/>
      <c r="PH88" s="332"/>
      <c r="PI88" s="332"/>
      <c r="PJ88" s="332"/>
      <c r="PK88" s="332"/>
      <c r="PL88" s="332"/>
      <c r="PM88" s="332"/>
      <c r="PN88" s="332"/>
      <c r="PO88" s="332"/>
      <c r="PP88" s="332"/>
      <c r="PQ88" s="332"/>
      <c r="PR88" s="332"/>
      <c r="PS88" s="332"/>
      <c r="PT88" s="332"/>
      <c r="PU88" s="332"/>
      <c r="PV88" s="332"/>
      <c r="PW88" s="332"/>
      <c r="PX88" s="332"/>
      <c r="PY88" s="332"/>
      <c r="PZ88" s="332"/>
      <c r="QA88" s="332"/>
      <c r="QB88" s="332"/>
      <c r="QC88" s="332"/>
      <c r="QD88" s="332"/>
      <c r="QE88" s="332"/>
      <c r="QF88" s="332"/>
      <c r="QG88" s="332"/>
      <c r="QH88" s="332"/>
      <c r="QI88" s="332"/>
      <c r="QJ88" s="332"/>
      <c r="QK88" s="332"/>
      <c r="QL88" s="332"/>
      <c r="QM88" s="332"/>
      <c r="QN88" s="332"/>
      <c r="QO88" s="332"/>
      <c r="QP88" s="332"/>
      <c r="QQ88" s="332"/>
      <c r="QR88" s="332"/>
      <c r="QS88" s="332"/>
      <c r="QT88" s="332"/>
      <c r="QU88" s="332"/>
      <c r="QV88" s="332"/>
      <c r="QW88" s="332"/>
      <c r="QX88" s="332"/>
      <c r="QY88" s="332"/>
      <c r="QZ88" s="332"/>
      <c r="RA88" s="332"/>
      <c r="RB88" s="332"/>
      <c r="RC88" s="332"/>
      <c r="RD88" s="332"/>
      <c r="RE88" s="332"/>
      <c r="RF88" s="332"/>
      <c r="RG88" s="332"/>
      <c r="RH88" s="332"/>
      <c r="RI88" s="332"/>
      <c r="RJ88" s="332"/>
      <c r="RK88" s="332"/>
      <c r="RL88" s="332"/>
      <c r="RM88" s="332"/>
      <c r="RN88" s="332"/>
      <c r="RO88" s="332"/>
      <c r="RP88" s="332"/>
      <c r="RQ88" s="332"/>
      <c r="RR88" s="332"/>
      <c r="RS88" s="332"/>
      <c r="RT88" s="332"/>
      <c r="RU88" s="332"/>
      <c r="RV88" s="332"/>
      <c r="RW88" s="332"/>
      <c r="RX88" s="332"/>
      <c r="RY88" s="332"/>
      <c r="RZ88" s="332"/>
      <c r="SA88" s="332"/>
      <c r="SB88" s="332"/>
      <c r="SC88" s="332"/>
      <c r="SD88" s="332"/>
      <c r="SE88" s="332"/>
      <c r="SF88" s="332"/>
      <c r="SG88" s="332"/>
      <c r="SH88" s="332"/>
      <c r="SI88" s="332"/>
      <c r="SJ88" s="332"/>
      <c r="SK88" s="332"/>
      <c r="SL88" s="332"/>
      <c r="SM88" s="332"/>
      <c r="SN88" s="332"/>
      <c r="SO88" s="332"/>
      <c r="SP88" s="332"/>
      <c r="SQ88" s="332"/>
      <c r="SR88" s="332"/>
      <c r="SS88" s="332"/>
      <c r="ST88" s="332"/>
      <c r="SU88" s="332"/>
      <c r="SV88" s="332"/>
      <c r="SW88" s="332"/>
      <c r="SX88" s="332"/>
      <c r="SY88" s="332"/>
      <c r="SZ88" s="332"/>
      <c r="TA88" s="332"/>
      <c r="TB88" s="332"/>
      <c r="TC88" s="332"/>
      <c r="TD88" s="332"/>
      <c r="TE88" s="332"/>
      <c r="TF88" s="332"/>
      <c r="TG88" s="332"/>
      <c r="TH88" s="332"/>
      <c r="TI88" s="332"/>
      <c r="TJ88" s="332"/>
      <c r="TK88" s="332"/>
      <c r="TL88" s="332"/>
      <c r="TM88" s="332"/>
      <c r="TN88" s="332"/>
      <c r="TO88" s="332"/>
      <c r="TP88" s="332"/>
      <c r="TQ88" s="332"/>
      <c r="TR88" s="332"/>
      <c r="TS88" s="332"/>
      <c r="TT88" s="332"/>
      <c r="TU88" s="332"/>
      <c r="TV88" s="332"/>
      <c r="TW88" s="332"/>
      <c r="TX88" s="332"/>
      <c r="TY88" s="332"/>
      <c r="TZ88" s="332"/>
      <c r="UA88" s="332"/>
      <c r="UB88" s="332"/>
      <c r="UC88" s="332"/>
      <c r="UD88" s="332"/>
      <c r="UE88" s="332"/>
      <c r="UF88" s="332"/>
      <c r="UG88" s="332"/>
      <c r="UH88" s="332"/>
      <c r="UI88" s="332"/>
      <c r="UJ88" s="332"/>
      <c r="UK88" s="332"/>
      <c r="UL88" s="332"/>
      <c r="UM88" s="332"/>
      <c r="UN88" s="332"/>
      <c r="UO88" s="332"/>
      <c r="UP88" s="332"/>
      <c r="UQ88" s="332"/>
      <c r="UR88" s="332"/>
      <c r="US88" s="332"/>
      <c r="UT88" s="332"/>
      <c r="UU88" s="332"/>
      <c r="UV88" s="332"/>
      <c r="UW88" s="332"/>
      <c r="UX88" s="332"/>
      <c r="UY88" s="332"/>
      <c r="UZ88" s="332"/>
      <c r="VA88" s="332"/>
      <c r="VB88" s="332"/>
      <c r="VC88" s="332"/>
      <c r="VD88" s="332"/>
      <c r="VE88" s="332"/>
      <c r="VF88" s="332"/>
      <c r="VG88" s="332"/>
      <c r="VH88" s="332"/>
      <c r="VI88" s="332"/>
      <c r="VJ88" s="332"/>
      <c r="VK88" s="332"/>
      <c r="VL88" s="332"/>
      <c r="VM88" s="332"/>
      <c r="VN88" s="332"/>
      <c r="VO88" s="332"/>
      <c r="VP88" s="332"/>
      <c r="VQ88" s="332"/>
      <c r="VR88" s="332"/>
      <c r="VS88" s="332"/>
      <c r="VT88" s="332"/>
      <c r="VU88" s="332"/>
      <c r="VV88" s="332"/>
      <c r="VW88" s="332"/>
      <c r="VX88" s="332"/>
      <c r="VY88" s="332"/>
      <c r="VZ88" s="332"/>
      <c r="WA88" s="332"/>
      <c r="WB88" s="332"/>
      <c r="WC88" s="332"/>
      <c r="WD88" s="332"/>
      <c r="WE88" s="332"/>
      <c r="WF88" s="332"/>
      <c r="WG88" s="332"/>
      <c r="WH88" s="332"/>
      <c r="WI88" s="332"/>
      <c r="WJ88" s="332"/>
      <c r="WK88" s="332"/>
      <c r="WL88" s="332"/>
      <c r="WM88" s="332"/>
      <c r="WN88" s="332"/>
      <c r="WO88" s="332"/>
      <c r="WP88" s="332"/>
      <c r="WQ88" s="332"/>
      <c r="WR88" s="332"/>
      <c r="WS88" s="332"/>
      <c r="WT88" s="332"/>
      <c r="WU88" s="332"/>
      <c r="WV88" s="332"/>
      <c r="WW88" s="332"/>
      <c r="WX88" s="332"/>
      <c r="WY88" s="332"/>
      <c r="WZ88" s="332"/>
      <c r="XA88" s="332"/>
      <c r="XB88" s="332"/>
      <c r="XC88" s="332"/>
      <c r="XD88" s="332"/>
      <c r="XE88" s="332"/>
      <c r="XF88" s="332"/>
      <c r="XG88" s="332"/>
      <c r="XH88" s="332"/>
      <c r="XI88" s="332"/>
      <c r="XJ88" s="332"/>
      <c r="XK88" s="332"/>
      <c r="XL88" s="332"/>
      <c r="XM88" s="332"/>
      <c r="XN88" s="332"/>
      <c r="XO88" s="332"/>
      <c r="XP88" s="332"/>
      <c r="XQ88" s="332"/>
      <c r="XR88" s="332"/>
      <c r="XS88" s="332"/>
      <c r="XT88" s="332"/>
      <c r="XU88" s="332"/>
      <c r="XV88" s="332"/>
      <c r="XW88" s="332"/>
      <c r="XX88" s="332"/>
      <c r="XY88" s="332"/>
      <c r="XZ88" s="332"/>
      <c r="YA88" s="332"/>
      <c r="YB88" s="332"/>
      <c r="YC88" s="332"/>
      <c r="YD88" s="332"/>
      <c r="YE88" s="332"/>
      <c r="YF88" s="332"/>
      <c r="YG88" s="332"/>
      <c r="YH88" s="332"/>
      <c r="YI88" s="332"/>
      <c r="YJ88" s="332"/>
      <c r="YK88" s="332"/>
      <c r="YL88" s="332"/>
      <c r="YM88" s="332"/>
      <c r="YN88" s="332"/>
      <c r="YO88" s="332"/>
      <c r="YP88" s="332"/>
      <c r="YQ88" s="332"/>
      <c r="YR88" s="332"/>
      <c r="YS88" s="332"/>
      <c r="YT88" s="332"/>
      <c r="YU88" s="332"/>
      <c r="YV88" s="332"/>
      <c r="YW88" s="332"/>
      <c r="YX88" s="332"/>
      <c r="YY88" s="332"/>
      <c r="YZ88" s="332"/>
      <c r="ZA88" s="332"/>
      <c r="ZB88" s="332"/>
      <c r="ZC88" s="332"/>
      <c r="ZD88" s="332"/>
      <c r="ZE88" s="332"/>
      <c r="ZF88" s="332"/>
      <c r="ZG88" s="332"/>
      <c r="ZH88" s="332"/>
      <c r="ZI88" s="332"/>
      <c r="ZJ88" s="332"/>
      <c r="ZK88" s="332"/>
      <c r="ZL88" s="332"/>
      <c r="ZM88" s="332"/>
      <c r="ZN88" s="332"/>
      <c r="ZO88" s="332"/>
      <c r="ZP88" s="332"/>
      <c r="ZQ88" s="332"/>
      <c r="ZR88" s="332"/>
      <c r="ZS88" s="332"/>
      <c r="ZT88" s="332"/>
      <c r="ZU88" s="332"/>
      <c r="ZV88" s="332"/>
      <c r="ZW88" s="332"/>
      <c r="ZX88" s="332"/>
      <c r="ZY88" s="332"/>
      <c r="ZZ88" s="332"/>
      <c r="AAA88" s="332"/>
      <c r="AAB88" s="332"/>
      <c r="AAC88" s="332"/>
      <c r="AAD88" s="332"/>
      <c r="AAE88" s="332"/>
      <c r="AAF88" s="332"/>
      <c r="AAG88" s="332"/>
      <c r="AAH88" s="332"/>
      <c r="AAI88" s="332"/>
      <c r="AAJ88" s="332"/>
      <c r="AAK88" s="332"/>
      <c r="AAL88" s="332"/>
      <c r="AAM88" s="332"/>
      <c r="AAN88" s="332"/>
      <c r="AAO88" s="332"/>
      <c r="AAP88" s="332"/>
      <c r="AAQ88" s="332"/>
      <c r="AAR88" s="332"/>
      <c r="AAS88" s="332"/>
      <c r="AAT88" s="332"/>
      <c r="AAU88" s="332"/>
      <c r="AAV88" s="332"/>
      <c r="AAW88" s="332"/>
      <c r="AAX88" s="332"/>
      <c r="AAY88" s="332"/>
      <c r="AAZ88" s="332"/>
      <c r="ABA88" s="332"/>
      <c r="ABB88" s="332"/>
      <c r="ABC88" s="332"/>
      <c r="ABD88" s="332"/>
      <c r="ABE88" s="332"/>
      <c r="ABF88" s="332"/>
      <c r="ABG88" s="332"/>
      <c r="ABH88" s="332"/>
      <c r="ABI88" s="332"/>
      <c r="ABJ88" s="332"/>
      <c r="ABK88" s="332"/>
      <c r="ABL88" s="332"/>
      <c r="ABM88" s="332"/>
      <c r="ABN88" s="332"/>
      <c r="ABO88" s="332"/>
      <c r="ABP88" s="332"/>
      <c r="ABQ88" s="332"/>
      <c r="ABR88" s="332"/>
      <c r="ABS88" s="332"/>
      <c r="ABT88" s="332"/>
      <c r="ABU88" s="332"/>
      <c r="ABV88" s="332"/>
      <c r="ABW88" s="332"/>
      <c r="ABX88" s="332"/>
      <c r="ABY88" s="332"/>
      <c r="ABZ88" s="332"/>
      <c r="ACA88" s="332"/>
      <c r="ACB88" s="332"/>
      <c r="ACC88" s="332"/>
      <c r="ACD88" s="332"/>
      <c r="ACE88" s="332"/>
      <c r="ACF88" s="332"/>
      <c r="ACG88" s="332"/>
      <c r="ACH88" s="332"/>
      <c r="ACI88" s="332"/>
      <c r="ACJ88" s="332"/>
      <c r="ACK88" s="332"/>
      <c r="ACL88" s="332"/>
      <c r="ACM88" s="332"/>
      <c r="ACN88" s="332"/>
      <c r="ACO88" s="332"/>
      <c r="ACP88" s="332"/>
      <c r="ACQ88" s="332"/>
      <c r="ACR88" s="332"/>
      <c r="ACS88" s="332"/>
      <c r="ACT88" s="332"/>
      <c r="ACU88" s="332"/>
      <c r="ACV88" s="332"/>
      <c r="ACW88" s="332"/>
      <c r="ACX88" s="332"/>
      <c r="ACY88" s="332"/>
      <c r="ACZ88" s="332"/>
      <c r="ADA88" s="332"/>
      <c r="ADB88" s="332"/>
      <c r="ADC88" s="332"/>
      <c r="ADD88" s="332"/>
      <c r="ADE88" s="332"/>
      <c r="ADF88" s="332"/>
      <c r="ADG88" s="332"/>
      <c r="ADH88" s="332"/>
      <c r="ADI88" s="332"/>
      <c r="ADJ88" s="332"/>
      <c r="ADK88" s="332"/>
      <c r="ADL88" s="332"/>
      <c r="ADM88" s="332"/>
      <c r="ADN88" s="332"/>
      <c r="ADO88" s="332"/>
      <c r="ADP88" s="332"/>
      <c r="ADQ88" s="332"/>
      <c r="ADR88" s="332"/>
      <c r="ADS88" s="332"/>
      <c r="ADT88" s="332"/>
      <c r="ADU88" s="332"/>
      <c r="ADV88" s="332"/>
      <c r="ADW88" s="332"/>
      <c r="ADX88" s="332"/>
      <c r="ADY88" s="332"/>
      <c r="ADZ88" s="332"/>
      <c r="AEA88" s="332"/>
      <c r="AEB88" s="332"/>
      <c r="AEC88" s="332"/>
      <c r="AED88" s="332"/>
      <c r="AEE88" s="332"/>
      <c r="AEF88" s="332"/>
      <c r="AEG88" s="332"/>
      <c r="AEH88" s="332"/>
      <c r="AEI88" s="332"/>
      <c r="AEJ88" s="332"/>
      <c r="AEK88" s="332"/>
      <c r="AEL88" s="332"/>
      <c r="AEM88" s="332"/>
      <c r="AEN88" s="332"/>
      <c r="AEO88" s="332"/>
      <c r="AEP88" s="332"/>
      <c r="AEQ88" s="332"/>
      <c r="AER88" s="332"/>
      <c r="AES88" s="332"/>
      <c r="AET88" s="332"/>
      <c r="AEU88" s="332"/>
      <c r="AEV88" s="332"/>
      <c r="AEW88" s="332"/>
      <c r="AEX88" s="332"/>
      <c r="AEY88" s="332"/>
      <c r="AEZ88" s="332"/>
      <c r="AFA88" s="332"/>
      <c r="AFB88" s="332"/>
      <c r="AFC88" s="332"/>
      <c r="AFD88" s="332"/>
      <c r="AFE88" s="332"/>
      <c r="AFF88" s="332"/>
      <c r="AFG88" s="332"/>
      <c r="AFH88" s="332"/>
      <c r="AFI88" s="332"/>
      <c r="AFJ88" s="332"/>
      <c r="AFK88" s="332"/>
      <c r="AFL88" s="332"/>
      <c r="AFM88" s="332"/>
      <c r="AFN88" s="332"/>
      <c r="AFO88" s="332"/>
      <c r="AFP88" s="332"/>
      <c r="AFQ88" s="332"/>
      <c r="AFR88" s="332"/>
      <c r="AFS88" s="332"/>
      <c r="AFT88" s="332"/>
      <c r="AFU88" s="332"/>
      <c r="AFV88" s="332"/>
      <c r="AFW88" s="332"/>
      <c r="AFX88" s="332"/>
      <c r="AFY88" s="332"/>
      <c r="AFZ88" s="332"/>
      <c r="AGA88" s="332"/>
      <c r="AGB88" s="332"/>
      <c r="AGC88" s="332"/>
      <c r="AGD88" s="332"/>
      <c r="AGE88" s="332"/>
      <c r="AGF88" s="332"/>
      <c r="AGG88" s="332"/>
      <c r="AGH88" s="332"/>
      <c r="AGI88" s="332"/>
      <c r="AGJ88" s="332"/>
      <c r="AGK88" s="332"/>
      <c r="AGL88" s="332"/>
      <c r="AGM88" s="332"/>
      <c r="AGN88" s="332"/>
      <c r="AGO88" s="332"/>
      <c r="AGP88" s="332"/>
      <c r="AGQ88" s="332"/>
      <c r="AGR88" s="332"/>
      <c r="AGS88" s="332"/>
      <c r="AGT88" s="332"/>
      <c r="AGU88" s="332"/>
      <c r="AGV88" s="332"/>
      <c r="AGW88" s="332"/>
      <c r="AGX88" s="332"/>
      <c r="AGY88" s="332"/>
      <c r="AGZ88" s="332"/>
      <c r="AHA88" s="332"/>
      <c r="AHB88" s="332"/>
      <c r="AHC88" s="332"/>
      <c r="AHD88" s="332"/>
      <c r="AHE88" s="332"/>
      <c r="AHF88" s="332"/>
      <c r="AHG88" s="332"/>
      <c r="AHH88" s="332"/>
      <c r="AHI88" s="332"/>
      <c r="AHJ88" s="332"/>
      <c r="AHK88" s="332"/>
      <c r="AHL88" s="332"/>
      <c r="AHM88" s="332"/>
      <c r="AHN88" s="332"/>
      <c r="AHO88" s="332"/>
      <c r="AHP88" s="332"/>
      <c r="AHQ88" s="332"/>
      <c r="AHR88" s="332"/>
      <c r="AHS88" s="332"/>
      <c r="AHT88" s="332"/>
      <c r="AHU88" s="332"/>
      <c r="AHV88" s="332"/>
      <c r="AHW88" s="332"/>
      <c r="AHX88" s="332"/>
      <c r="AHY88" s="332"/>
      <c r="AHZ88" s="332"/>
      <c r="AIA88" s="332"/>
      <c r="AIB88" s="332"/>
      <c r="AIC88" s="332"/>
      <c r="AID88" s="332"/>
      <c r="AIE88" s="332"/>
      <c r="AIF88" s="332"/>
      <c r="AIG88" s="332"/>
      <c r="AIH88" s="332"/>
      <c r="AII88" s="332"/>
      <c r="AIJ88" s="332"/>
      <c r="AIK88" s="332"/>
      <c r="AIL88" s="332"/>
      <c r="AIM88" s="332"/>
      <c r="AIN88" s="332"/>
      <c r="AIO88" s="332"/>
      <c r="AIP88" s="332"/>
      <c r="AIQ88" s="332"/>
      <c r="AIR88" s="332"/>
      <c r="AIS88" s="332"/>
      <c r="AIT88" s="332"/>
      <c r="AIU88" s="332"/>
      <c r="AIV88" s="332"/>
      <c r="AIW88" s="332"/>
      <c r="AIX88" s="332"/>
      <c r="AIY88" s="332"/>
      <c r="AIZ88" s="332"/>
      <c r="AJA88" s="332"/>
      <c r="AJB88" s="332"/>
      <c r="AJC88" s="332"/>
      <c r="AJD88" s="332"/>
      <c r="AJE88" s="332"/>
      <c r="AJF88" s="332"/>
      <c r="AJG88" s="332"/>
      <c r="AJH88" s="332"/>
      <c r="AJI88" s="332"/>
      <c r="AJJ88" s="332"/>
      <c r="AJK88" s="332"/>
      <c r="AJL88" s="332"/>
      <c r="AJM88" s="332"/>
      <c r="AJN88" s="332"/>
      <c r="AJO88" s="332"/>
      <c r="AJP88" s="332"/>
      <c r="AJQ88" s="332"/>
      <c r="AJR88" s="332"/>
      <c r="AJS88" s="332"/>
      <c r="AJT88" s="332"/>
      <c r="AJU88" s="332"/>
      <c r="AJV88" s="332"/>
      <c r="AJW88" s="332"/>
      <c r="AJX88" s="332"/>
      <c r="AJY88" s="332"/>
      <c r="AJZ88" s="332"/>
      <c r="AKA88" s="332"/>
      <c r="AKB88" s="332"/>
      <c r="AKC88" s="332"/>
      <c r="AKD88" s="332"/>
      <c r="AKE88" s="332"/>
      <c r="AKF88" s="332"/>
      <c r="AKG88" s="332"/>
      <c r="AKH88" s="332"/>
      <c r="AKI88" s="332"/>
      <c r="AKJ88" s="332"/>
      <c r="AKK88" s="332"/>
      <c r="AKL88" s="332"/>
      <c r="AKM88" s="332"/>
      <c r="AKN88" s="332"/>
      <c r="AKO88" s="332"/>
      <c r="AKP88" s="332"/>
      <c r="AKQ88" s="332"/>
      <c r="AKR88" s="332"/>
      <c r="AKS88" s="332"/>
      <c r="AKT88" s="332"/>
      <c r="AKU88" s="332"/>
      <c r="AKV88" s="332"/>
      <c r="AKW88" s="332"/>
      <c r="AKX88" s="332"/>
      <c r="AKY88" s="332"/>
      <c r="AKZ88" s="332"/>
      <c r="ALA88" s="332"/>
      <c r="ALB88" s="332"/>
      <c r="ALC88" s="332"/>
      <c r="ALD88" s="332"/>
      <c r="ALE88" s="332"/>
      <c r="ALF88" s="332"/>
      <c r="ALG88" s="332"/>
      <c r="ALH88" s="332"/>
      <c r="ALI88" s="332"/>
      <c r="ALJ88" s="332"/>
      <c r="ALK88" s="332"/>
      <c r="ALL88" s="332"/>
      <c r="ALM88" s="332"/>
      <c r="ALN88" s="332"/>
      <c r="ALO88" s="332"/>
      <c r="ALP88" s="332"/>
      <c r="ALQ88" s="332"/>
      <c r="ALR88" s="332"/>
      <c r="ALS88" s="332"/>
      <c r="ALT88" s="332"/>
      <c r="ALU88" s="332"/>
      <c r="ALV88" s="332"/>
      <c r="ALW88" s="332"/>
      <c r="ALX88" s="332"/>
      <c r="ALY88" s="332"/>
      <c r="ALZ88" s="332"/>
      <c r="AMA88" s="332"/>
      <c r="AMB88" s="332"/>
      <c r="AMC88" s="332"/>
      <c r="AMD88" s="332"/>
      <c r="AME88" s="332"/>
      <c r="AMF88" s="332"/>
      <c r="AMG88" s="332"/>
      <c r="AMH88" s="332"/>
      <c r="AMI88" s="332"/>
      <c r="AMJ88" s="332"/>
    </row>
    <row r="89" spans="1:1024" s="337" customFormat="1" ht="12" customHeight="1" x14ac:dyDescent="0.25">
      <c r="A89" s="340" t="s">
        <v>223</v>
      </c>
      <c r="B89" s="341">
        <v>0</v>
      </c>
      <c r="C89" s="332"/>
      <c r="D89" s="332"/>
      <c r="E89" s="334"/>
      <c r="F89" s="332"/>
      <c r="G89" s="334"/>
      <c r="H89" s="332"/>
      <c r="I89" s="332"/>
      <c r="J89" s="332"/>
      <c r="K89" s="332"/>
      <c r="L89" s="332"/>
      <c r="M89" s="332"/>
      <c r="N89" s="334"/>
      <c r="O89" s="332"/>
      <c r="P89" s="334"/>
      <c r="Q89" s="332"/>
      <c r="R89" s="335"/>
      <c r="S89" s="332"/>
      <c r="T89" s="336"/>
      <c r="U89" s="332"/>
      <c r="V89" s="332"/>
      <c r="W89" s="332"/>
      <c r="X89" s="332"/>
      <c r="Y89" s="332"/>
      <c r="Z89" s="332"/>
      <c r="AA89" s="332"/>
      <c r="AB89" s="332"/>
      <c r="AC89" s="332"/>
      <c r="AD89" s="332"/>
      <c r="AE89" s="332"/>
      <c r="AF89" s="332"/>
      <c r="AG89" s="332"/>
      <c r="AH89" s="332"/>
      <c r="AI89" s="332"/>
      <c r="AJ89" s="332"/>
      <c r="AK89" s="332"/>
      <c r="AL89" s="332"/>
      <c r="AM89" s="332"/>
      <c r="AN89" s="332"/>
      <c r="AO89" s="332"/>
      <c r="AP89" s="332"/>
      <c r="AQ89" s="332"/>
      <c r="AR89" s="332"/>
      <c r="AS89" s="332"/>
      <c r="AT89" s="332"/>
      <c r="AU89" s="332"/>
      <c r="AV89" s="332"/>
      <c r="AW89" s="332"/>
      <c r="AX89" s="332"/>
      <c r="AY89" s="332"/>
      <c r="AZ89" s="332"/>
      <c r="BA89" s="332"/>
      <c r="BB89" s="332"/>
      <c r="BC89" s="332"/>
      <c r="BD89" s="332"/>
      <c r="BE89" s="332"/>
      <c r="BF89" s="332"/>
      <c r="BG89" s="332"/>
      <c r="BH89" s="332"/>
      <c r="BI89" s="332"/>
      <c r="BJ89" s="332"/>
      <c r="BK89" s="332"/>
      <c r="BL89" s="332"/>
      <c r="BM89" s="332"/>
      <c r="BN89" s="332"/>
      <c r="BO89" s="332"/>
      <c r="BP89" s="332"/>
      <c r="BQ89" s="332"/>
      <c r="BR89" s="332"/>
      <c r="BS89" s="332"/>
      <c r="BT89" s="332"/>
      <c r="BU89" s="332"/>
      <c r="BV89" s="332"/>
      <c r="BW89" s="332"/>
      <c r="BX89" s="332"/>
      <c r="BY89" s="332"/>
      <c r="BZ89" s="332"/>
      <c r="CA89" s="332"/>
      <c r="CB89" s="332"/>
      <c r="CC89" s="332"/>
      <c r="CD89" s="332"/>
      <c r="CE89" s="332"/>
      <c r="CF89" s="332"/>
      <c r="CG89" s="332"/>
      <c r="CH89" s="332"/>
      <c r="CI89" s="332"/>
      <c r="CJ89" s="332"/>
      <c r="CK89" s="332"/>
      <c r="CL89" s="332"/>
      <c r="CM89" s="332"/>
      <c r="CN89" s="332"/>
      <c r="CO89" s="332"/>
      <c r="CP89" s="332"/>
      <c r="CQ89" s="332"/>
      <c r="CR89" s="332"/>
      <c r="CS89" s="332"/>
      <c r="CT89" s="332"/>
      <c r="CU89" s="332"/>
      <c r="CV89" s="332"/>
      <c r="CW89" s="332"/>
      <c r="CX89" s="332"/>
      <c r="CY89" s="332"/>
      <c r="CZ89" s="332"/>
      <c r="DA89" s="332"/>
      <c r="DB89" s="332"/>
      <c r="DC89" s="332"/>
      <c r="DD89" s="332"/>
      <c r="DE89" s="332"/>
      <c r="DF89" s="332"/>
      <c r="DG89" s="332"/>
      <c r="DH89" s="332"/>
      <c r="DI89" s="332"/>
      <c r="DJ89" s="332"/>
      <c r="DK89" s="332"/>
      <c r="DL89" s="332"/>
      <c r="DM89" s="332"/>
      <c r="DN89" s="332"/>
      <c r="DO89" s="332"/>
      <c r="DP89" s="332"/>
      <c r="DQ89" s="332"/>
      <c r="DR89" s="332"/>
      <c r="DS89" s="332"/>
      <c r="DT89" s="332"/>
      <c r="DU89" s="332"/>
      <c r="DV89" s="332"/>
      <c r="DW89" s="332"/>
      <c r="DX89" s="332"/>
      <c r="DY89" s="332"/>
      <c r="DZ89" s="332"/>
      <c r="EA89" s="332"/>
      <c r="EB89" s="332"/>
      <c r="EC89" s="332"/>
      <c r="ED89" s="332"/>
      <c r="EE89" s="332"/>
      <c r="EF89" s="332"/>
      <c r="EG89" s="332"/>
      <c r="EH89" s="332"/>
      <c r="EI89" s="332"/>
      <c r="EJ89" s="332"/>
      <c r="EK89" s="332"/>
      <c r="EL89" s="332"/>
      <c r="EM89" s="332"/>
      <c r="EN89" s="332"/>
      <c r="EO89" s="332"/>
      <c r="EP89" s="332"/>
      <c r="EQ89" s="332"/>
      <c r="ER89" s="332"/>
      <c r="ES89" s="332"/>
      <c r="ET89" s="332"/>
      <c r="EU89" s="332"/>
      <c r="EV89" s="332"/>
      <c r="EW89" s="332"/>
      <c r="EX89" s="332"/>
      <c r="EY89" s="332"/>
      <c r="EZ89" s="332"/>
      <c r="FA89" s="332"/>
      <c r="FB89" s="332"/>
      <c r="FC89" s="332"/>
      <c r="FD89" s="332"/>
      <c r="FE89" s="332"/>
      <c r="FF89" s="332"/>
      <c r="FG89" s="332"/>
      <c r="FH89" s="332"/>
      <c r="FI89" s="332"/>
      <c r="FJ89" s="332"/>
      <c r="FK89" s="332"/>
      <c r="FL89" s="332"/>
      <c r="FM89" s="332"/>
      <c r="FN89" s="332"/>
      <c r="FO89" s="332"/>
      <c r="FP89" s="332"/>
      <c r="FQ89" s="332"/>
      <c r="FR89" s="332"/>
      <c r="FS89" s="332"/>
      <c r="FT89" s="332"/>
      <c r="FU89" s="332"/>
      <c r="FV89" s="332"/>
      <c r="FW89" s="332"/>
      <c r="FX89" s="332"/>
      <c r="FY89" s="332"/>
      <c r="FZ89" s="332"/>
      <c r="GA89" s="332"/>
      <c r="GB89" s="332"/>
      <c r="GC89" s="332"/>
      <c r="GD89" s="332"/>
      <c r="GE89" s="332"/>
      <c r="GF89" s="332"/>
      <c r="GG89" s="332"/>
      <c r="GH89" s="332"/>
      <c r="GI89" s="332"/>
      <c r="GJ89" s="332"/>
      <c r="GK89" s="332"/>
      <c r="GL89" s="332"/>
      <c r="GM89" s="332"/>
      <c r="GN89" s="332"/>
      <c r="GO89" s="332"/>
      <c r="GP89" s="332"/>
      <c r="GQ89" s="332"/>
      <c r="GR89" s="332"/>
      <c r="GS89" s="332"/>
      <c r="GT89" s="332"/>
      <c r="GU89" s="332"/>
      <c r="GV89" s="332"/>
      <c r="GW89" s="332"/>
      <c r="GX89" s="332"/>
      <c r="GY89" s="332"/>
      <c r="GZ89" s="332"/>
      <c r="HA89" s="332"/>
      <c r="HB89" s="332"/>
      <c r="HC89" s="332"/>
      <c r="HD89" s="332"/>
      <c r="HE89" s="332"/>
      <c r="HF89" s="332"/>
      <c r="HG89" s="332"/>
      <c r="HH89" s="332"/>
      <c r="HI89" s="332"/>
      <c r="HJ89" s="332"/>
      <c r="HK89" s="332"/>
      <c r="HL89" s="332"/>
      <c r="HM89" s="332"/>
      <c r="HN89" s="332"/>
      <c r="HO89" s="332"/>
      <c r="HP89" s="332"/>
      <c r="HQ89" s="332"/>
      <c r="HR89" s="332"/>
      <c r="HS89" s="332"/>
      <c r="HT89" s="332"/>
      <c r="HU89" s="332"/>
      <c r="HV89" s="332"/>
      <c r="HW89" s="332"/>
      <c r="HX89" s="332"/>
      <c r="HY89" s="332"/>
      <c r="HZ89" s="332"/>
      <c r="IA89" s="332"/>
      <c r="IB89" s="332"/>
      <c r="IC89" s="332"/>
      <c r="ID89" s="332"/>
      <c r="IE89" s="332"/>
      <c r="IF89" s="332"/>
      <c r="IG89" s="332"/>
      <c r="IH89" s="332"/>
      <c r="II89" s="332"/>
      <c r="IJ89" s="332"/>
      <c r="IK89" s="332"/>
      <c r="IL89" s="332"/>
      <c r="IM89" s="332"/>
      <c r="IN89" s="332"/>
      <c r="IO89" s="332"/>
      <c r="IP89" s="332"/>
      <c r="IQ89" s="332"/>
      <c r="IR89" s="332"/>
      <c r="IS89" s="332"/>
      <c r="IT89" s="332"/>
      <c r="IU89" s="332"/>
      <c r="IV89" s="332"/>
      <c r="IW89" s="332"/>
      <c r="IX89" s="332"/>
      <c r="IY89" s="332"/>
      <c r="IZ89" s="332"/>
      <c r="JA89" s="332"/>
      <c r="JB89" s="332"/>
      <c r="JC89" s="332"/>
      <c r="JD89" s="332"/>
      <c r="JE89" s="332"/>
      <c r="JF89" s="332"/>
      <c r="JG89" s="332"/>
      <c r="JH89" s="332"/>
      <c r="JI89" s="332"/>
      <c r="JJ89" s="332"/>
      <c r="JK89" s="332"/>
      <c r="JL89" s="332"/>
      <c r="JM89" s="332"/>
      <c r="JN89" s="332"/>
      <c r="JO89" s="332"/>
      <c r="JP89" s="332"/>
      <c r="JQ89" s="332"/>
      <c r="JR89" s="332"/>
      <c r="JS89" s="332"/>
      <c r="JT89" s="332"/>
      <c r="JU89" s="332"/>
      <c r="JV89" s="332"/>
      <c r="JW89" s="332"/>
      <c r="JX89" s="332"/>
      <c r="JY89" s="332"/>
      <c r="JZ89" s="332"/>
      <c r="KA89" s="332"/>
      <c r="KB89" s="332"/>
      <c r="KC89" s="332"/>
      <c r="KD89" s="332"/>
      <c r="KE89" s="332"/>
      <c r="KF89" s="332"/>
      <c r="KG89" s="332"/>
      <c r="KH89" s="332"/>
      <c r="KI89" s="332"/>
      <c r="KJ89" s="332"/>
      <c r="KK89" s="332"/>
      <c r="KL89" s="332"/>
      <c r="KM89" s="332"/>
      <c r="KN89" s="332"/>
      <c r="KO89" s="332"/>
      <c r="KP89" s="332"/>
      <c r="KQ89" s="332"/>
      <c r="KR89" s="332"/>
      <c r="KS89" s="332"/>
      <c r="KT89" s="332"/>
      <c r="KU89" s="332"/>
      <c r="KV89" s="332"/>
      <c r="KW89" s="332"/>
      <c r="KX89" s="332"/>
      <c r="KY89" s="332"/>
      <c r="KZ89" s="332"/>
      <c r="LA89" s="332"/>
      <c r="LB89" s="332"/>
      <c r="LC89" s="332"/>
      <c r="LD89" s="332"/>
      <c r="LE89" s="332"/>
      <c r="LF89" s="332"/>
      <c r="LG89" s="332"/>
      <c r="LH89" s="332"/>
      <c r="LI89" s="332"/>
      <c r="LJ89" s="332"/>
      <c r="LK89" s="332"/>
      <c r="LL89" s="332"/>
      <c r="LM89" s="332"/>
      <c r="LN89" s="332"/>
      <c r="LO89" s="332"/>
      <c r="LP89" s="332"/>
      <c r="LQ89" s="332"/>
      <c r="LR89" s="332"/>
      <c r="LS89" s="332"/>
      <c r="LT89" s="332"/>
      <c r="LU89" s="332"/>
      <c r="LV89" s="332"/>
      <c r="LW89" s="332"/>
      <c r="LX89" s="332"/>
      <c r="LY89" s="332"/>
      <c r="LZ89" s="332"/>
      <c r="MA89" s="332"/>
      <c r="MB89" s="332"/>
      <c r="MC89" s="332"/>
      <c r="MD89" s="332"/>
      <c r="ME89" s="332"/>
      <c r="MF89" s="332"/>
      <c r="MG89" s="332"/>
      <c r="MH89" s="332"/>
      <c r="MI89" s="332"/>
      <c r="MJ89" s="332"/>
      <c r="MK89" s="332"/>
      <c r="ML89" s="332"/>
      <c r="MM89" s="332"/>
      <c r="MN89" s="332"/>
      <c r="MO89" s="332"/>
      <c r="MP89" s="332"/>
      <c r="MQ89" s="332"/>
      <c r="MR89" s="332"/>
      <c r="MS89" s="332"/>
      <c r="MT89" s="332"/>
      <c r="MU89" s="332"/>
      <c r="MV89" s="332"/>
      <c r="MW89" s="332"/>
      <c r="MX89" s="332"/>
      <c r="MY89" s="332"/>
      <c r="MZ89" s="332"/>
      <c r="NA89" s="332"/>
      <c r="NB89" s="332"/>
      <c r="NC89" s="332"/>
      <c r="ND89" s="332"/>
      <c r="NE89" s="332"/>
      <c r="NF89" s="332"/>
      <c r="NG89" s="332"/>
      <c r="NH89" s="332"/>
      <c r="NI89" s="332"/>
      <c r="NJ89" s="332"/>
      <c r="NK89" s="332"/>
      <c r="NL89" s="332"/>
      <c r="NM89" s="332"/>
      <c r="NN89" s="332"/>
      <c r="NO89" s="332"/>
      <c r="NP89" s="332"/>
      <c r="NQ89" s="332"/>
      <c r="NR89" s="332"/>
      <c r="NS89" s="332"/>
      <c r="NT89" s="332"/>
      <c r="NU89" s="332"/>
      <c r="NV89" s="332"/>
      <c r="NW89" s="332"/>
      <c r="NX89" s="332"/>
      <c r="NY89" s="332"/>
      <c r="NZ89" s="332"/>
      <c r="OA89" s="332"/>
      <c r="OB89" s="332"/>
      <c r="OC89" s="332"/>
      <c r="OD89" s="332"/>
      <c r="OE89" s="332"/>
      <c r="OF89" s="332"/>
      <c r="OG89" s="332"/>
      <c r="OH89" s="332"/>
      <c r="OI89" s="332"/>
      <c r="OJ89" s="332"/>
      <c r="OK89" s="332"/>
      <c r="OL89" s="332"/>
      <c r="OM89" s="332"/>
      <c r="ON89" s="332"/>
      <c r="OO89" s="332"/>
      <c r="OP89" s="332"/>
      <c r="OQ89" s="332"/>
      <c r="OR89" s="332"/>
      <c r="OS89" s="332"/>
      <c r="OT89" s="332"/>
      <c r="OU89" s="332"/>
      <c r="OV89" s="332"/>
      <c r="OW89" s="332"/>
      <c r="OX89" s="332"/>
      <c r="OY89" s="332"/>
      <c r="OZ89" s="332"/>
      <c r="PA89" s="332"/>
      <c r="PB89" s="332"/>
      <c r="PC89" s="332"/>
      <c r="PD89" s="332"/>
      <c r="PE89" s="332"/>
      <c r="PF89" s="332"/>
      <c r="PG89" s="332"/>
      <c r="PH89" s="332"/>
      <c r="PI89" s="332"/>
      <c r="PJ89" s="332"/>
      <c r="PK89" s="332"/>
      <c r="PL89" s="332"/>
      <c r="PM89" s="332"/>
      <c r="PN89" s="332"/>
      <c r="PO89" s="332"/>
      <c r="PP89" s="332"/>
      <c r="PQ89" s="332"/>
      <c r="PR89" s="332"/>
      <c r="PS89" s="332"/>
      <c r="PT89" s="332"/>
      <c r="PU89" s="332"/>
      <c r="PV89" s="332"/>
      <c r="PW89" s="332"/>
      <c r="PX89" s="332"/>
      <c r="PY89" s="332"/>
      <c r="PZ89" s="332"/>
      <c r="QA89" s="332"/>
      <c r="QB89" s="332"/>
      <c r="QC89" s="332"/>
      <c r="QD89" s="332"/>
      <c r="QE89" s="332"/>
      <c r="QF89" s="332"/>
      <c r="QG89" s="332"/>
      <c r="QH89" s="332"/>
      <c r="QI89" s="332"/>
      <c r="QJ89" s="332"/>
      <c r="QK89" s="332"/>
      <c r="QL89" s="332"/>
      <c r="QM89" s="332"/>
      <c r="QN89" s="332"/>
      <c r="QO89" s="332"/>
      <c r="QP89" s="332"/>
      <c r="QQ89" s="332"/>
      <c r="QR89" s="332"/>
      <c r="QS89" s="332"/>
      <c r="QT89" s="332"/>
      <c r="QU89" s="332"/>
      <c r="QV89" s="332"/>
      <c r="QW89" s="332"/>
      <c r="QX89" s="332"/>
      <c r="QY89" s="332"/>
      <c r="QZ89" s="332"/>
      <c r="RA89" s="332"/>
      <c r="RB89" s="332"/>
      <c r="RC89" s="332"/>
      <c r="RD89" s="332"/>
      <c r="RE89" s="332"/>
      <c r="RF89" s="332"/>
      <c r="RG89" s="332"/>
      <c r="RH89" s="332"/>
      <c r="RI89" s="332"/>
      <c r="RJ89" s="332"/>
      <c r="RK89" s="332"/>
      <c r="RL89" s="332"/>
      <c r="RM89" s="332"/>
      <c r="RN89" s="332"/>
      <c r="RO89" s="332"/>
      <c r="RP89" s="332"/>
      <c r="RQ89" s="332"/>
      <c r="RR89" s="332"/>
      <c r="RS89" s="332"/>
      <c r="RT89" s="332"/>
      <c r="RU89" s="332"/>
      <c r="RV89" s="332"/>
      <c r="RW89" s="332"/>
      <c r="RX89" s="332"/>
      <c r="RY89" s="332"/>
      <c r="RZ89" s="332"/>
      <c r="SA89" s="332"/>
      <c r="SB89" s="332"/>
      <c r="SC89" s="332"/>
      <c r="SD89" s="332"/>
      <c r="SE89" s="332"/>
      <c r="SF89" s="332"/>
      <c r="SG89" s="332"/>
      <c r="SH89" s="332"/>
      <c r="SI89" s="332"/>
      <c r="SJ89" s="332"/>
      <c r="SK89" s="332"/>
      <c r="SL89" s="332"/>
      <c r="SM89" s="332"/>
      <c r="SN89" s="332"/>
      <c r="SO89" s="332"/>
      <c r="SP89" s="332"/>
      <c r="SQ89" s="332"/>
      <c r="SR89" s="332"/>
      <c r="SS89" s="332"/>
      <c r="ST89" s="332"/>
      <c r="SU89" s="332"/>
      <c r="SV89" s="332"/>
      <c r="SW89" s="332"/>
      <c r="SX89" s="332"/>
      <c r="SY89" s="332"/>
      <c r="SZ89" s="332"/>
      <c r="TA89" s="332"/>
      <c r="TB89" s="332"/>
      <c r="TC89" s="332"/>
      <c r="TD89" s="332"/>
      <c r="TE89" s="332"/>
      <c r="TF89" s="332"/>
      <c r="TG89" s="332"/>
      <c r="TH89" s="332"/>
      <c r="TI89" s="332"/>
      <c r="TJ89" s="332"/>
      <c r="TK89" s="332"/>
      <c r="TL89" s="332"/>
      <c r="TM89" s="332"/>
      <c r="TN89" s="332"/>
      <c r="TO89" s="332"/>
      <c r="TP89" s="332"/>
      <c r="TQ89" s="332"/>
      <c r="TR89" s="332"/>
      <c r="TS89" s="332"/>
      <c r="TT89" s="332"/>
      <c r="TU89" s="332"/>
      <c r="TV89" s="332"/>
      <c r="TW89" s="332"/>
      <c r="TX89" s="332"/>
      <c r="TY89" s="332"/>
      <c r="TZ89" s="332"/>
      <c r="UA89" s="332"/>
      <c r="UB89" s="332"/>
      <c r="UC89" s="332"/>
      <c r="UD89" s="332"/>
      <c r="UE89" s="332"/>
      <c r="UF89" s="332"/>
      <c r="UG89" s="332"/>
      <c r="UH89" s="332"/>
      <c r="UI89" s="332"/>
      <c r="UJ89" s="332"/>
      <c r="UK89" s="332"/>
      <c r="UL89" s="332"/>
      <c r="UM89" s="332"/>
      <c r="UN89" s="332"/>
      <c r="UO89" s="332"/>
      <c r="UP89" s="332"/>
      <c r="UQ89" s="332"/>
      <c r="UR89" s="332"/>
      <c r="US89" s="332"/>
      <c r="UT89" s="332"/>
      <c r="UU89" s="332"/>
      <c r="UV89" s="332"/>
      <c r="UW89" s="332"/>
      <c r="UX89" s="332"/>
      <c r="UY89" s="332"/>
      <c r="UZ89" s="332"/>
      <c r="VA89" s="332"/>
      <c r="VB89" s="332"/>
      <c r="VC89" s="332"/>
      <c r="VD89" s="332"/>
      <c r="VE89" s="332"/>
      <c r="VF89" s="332"/>
      <c r="VG89" s="332"/>
      <c r="VH89" s="332"/>
      <c r="VI89" s="332"/>
      <c r="VJ89" s="332"/>
      <c r="VK89" s="332"/>
      <c r="VL89" s="332"/>
      <c r="VM89" s="332"/>
      <c r="VN89" s="332"/>
      <c r="VO89" s="332"/>
      <c r="VP89" s="332"/>
      <c r="VQ89" s="332"/>
      <c r="VR89" s="332"/>
      <c r="VS89" s="332"/>
      <c r="VT89" s="332"/>
      <c r="VU89" s="332"/>
      <c r="VV89" s="332"/>
      <c r="VW89" s="332"/>
      <c r="VX89" s="332"/>
      <c r="VY89" s="332"/>
      <c r="VZ89" s="332"/>
      <c r="WA89" s="332"/>
      <c r="WB89" s="332"/>
      <c r="WC89" s="332"/>
      <c r="WD89" s="332"/>
      <c r="WE89" s="332"/>
      <c r="WF89" s="332"/>
      <c r="WG89" s="332"/>
      <c r="WH89" s="332"/>
      <c r="WI89" s="332"/>
      <c r="WJ89" s="332"/>
      <c r="WK89" s="332"/>
      <c r="WL89" s="332"/>
      <c r="WM89" s="332"/>
      <c r="WN89" s="332"/>
      <c r="WO89" s="332"/>
      <c r="WP89" s="332"/>
      <c r="WQ89" s="332"/>
      <c r="WR89" s="332"/>
      <c r="WS89" s="332"/>
      <c r="WT89" s="332"/>
      <c r="WU89" s="332"/>
      <c r="WV89" s="332"/>
      <c r="WW89" s="332"/>
      <c r="WX89" s="332"/>
      <c r="WY89" s="332"/>
      <c r="WZ89" s="332"/>
      <c r="XA89" s="332"/>
      <c r="XB89" s="332"/>
      <c r="XC89" s="332"/>
      <c r="XD89" s="332"/>
      <c r="XE89" s="332"/>
      <c r="XF89" s="332"/>
      <c r="XG89" s="332"/>
      <c r="XH89" s="332"/>
      <c r="XI89" s="332"/>
      <c r="XJ89" s="332"/>
      <c r="XK89" s="332"/>
      <c r="XL89" s="332"/>
      <c r="XM89" s="332"/>
      <c r="XN89" s="332"/>
      <c r="XO89" s="332"/>
      <c r="XP89" s="332"/>
      <c r="XQ89" s="332"/>
      <c r="XR89" s="332"/>
      <c r="XS89" s="332"/>
      <c r="XT89" s="332"/>
      <c r="XU89" s="332"/>
      <c r="XV89" s="332"/>
      <c r="XW89" s="332"/>
      <c r="XX89" s="332"/>
      <c r="XY89" s="332"/>
      <c r="XZ89" s="332"/>
      <c r="YA89" s="332"/>
      <c r="YB89" s="332"/>
      <c r="YC89" s="332"/>
      <c r="YD89" s="332"/>
      <c r="YE89" s="332"/>
      <c r="YF89" s="332"/>
      <c r="YG89" s="332"/>
      <c r="YH89" s="332"/>
      <c r="YI89" s="332"/>
      <c r="YJ89" s="332"/>
      <c r="YK89" s="332"/>
      <c r="YL89" s="332"/>
      <c r="YM89" s="332"/>
      <c r="YN89" s="332"/>
      <c r="YO89" s="332"/>
      <c r="YP89" s="332"/>
      <c r="YQ89" s="332"/>
      <c r="YR89" s="332"/>
      <c r="YS89" s="332"/>
      <c r="YT89" s="332"/>
      <c r="YU89" s="332"/>
      <c r="YV89" s="332"/>
      <c r="YW89" s="332"/>
      <c r="YX89" s="332"/>
      <c r="YY89" s="332"/>
      <c r="YZ89" s="332"/>
      <c r="ZA89" s="332"/>
      <c r="ZB89" s="332"/>
      <c r="ZC89" s="332"/>
      <c r="ZD89" s="332"/>
      <c r="ZE89" s="332"/>
      <c r="ZF89" s="332"/>
      <c r="ZG89" s="332"/>
      <c r="ZH89" s="332"/>
      <c r="ZI89" s="332"/>
      <c r="ZJ89" s="332"/>
      <c r="ZK89" s="332"/>
      <c r="ZL89" s="332"/>
      <c r="ZM89" s="332"/>
      <c r="ZN89" s="332"/>
      <c r="ZO89" s="332"/>
      <c r="ZP89" s="332"/>
      <c r="ZQ89" s="332"/>
      <c r="ZR89" s="332"/>
      <c r="ZS89" s="332"/>
      <c r="ZT89" s="332"/>
      <c r="ZU89" s="332"/>
      <c r="ZV89" s="332"/>
      <c r="ZW89" s="332"/>
      <c r="ZX89" s="332"/>
      <c r="ZY89" s="332"/>
      <c r="ZZ89" s="332"/>
      <c r="AAA89" s="332"/>
      <c r="AAB89" s="332"/>
      <c r="AAC89" s="332"/>
      <c r="AAD89" s="332"/>
      <c r="AAE89" s="332"/>
      <c r="AAF89" s="332"/>
      <c r="AAG89" s="332"/>
      <c r="AAH89" s="332"/>
      <c r="AAI89" s="332"/>
      <c r="AAJ89" s="332"/>
      <c r="AAK89" s="332"/>
      <c r="AAL89" s="332"/>
      <c r="AAM89" s="332"/>
      <c r="AAN89" s="332"/>
      <c r="AAO89" s="332"/>
      <c r="AAP89" s="332"/>
      <c r="AAQ89" s="332"/>
      <c r="AAR89" s="332"/>
      <c r="AAS89" s="332"/>
      <c r="AAT89" s="332"/>
      <c r="AAU89" s="332"/>
      <c r="AAV89" s="332"/>
      <c r="AAW89" s="332"/>
      <c r="AAX89" s="332"/>
      <c r="AAY89" s="332"/>
      <c r="AAZ89" s="332"/>
      <c r="ABA89" s="332"/>
      <c r="ABB89" s="332"/>
      <c r="ABC89" s="332"/>
      <c r="ABD89" s="332"/>
      <c r="ABE89" s="332"/>
      <c r="ABF89" s="332"/>
      <c r="ABG89" s="332"/>
      <c r="ABH89" s="332"/>
      <c r="ABI89" s="332"/>
      <c r="ABJ89" s="332"/>
      <c r="ABK89" s="332"/>
      <c r="ABL89" s="332"/>
      <c r="ABM89" s="332"/>
      <c r="ABN89" s="332"/>
      <c r="ABO89" s="332"/>
      <c r="ABP89" s="332"/>
      <c r="ABQ89" s="332"/>
      <c r="ABR89" s="332"/>
      <c r="ABS89" s="332"/>
      <c r="ABT89" s="332"/>
      <c r="ABU89" s="332"/>
      <c r="ABV89" s="332"/>
      <c r="ABW89" s="332"/>
      <c r="ABX89" s="332"/>
      <c r="ABY89" s="332"/>
      <c r="ABZ89" s="332"/>
      <c r="ACA89" s="332"/>
      <c r="ACB89" s="332"/>
      <c r="ACC89" s="332"/>
      <c r="ACD89" s="332"/>
      <c r="ACE89" s="332"/>
      <c r="ACF89" s="332"/>
      <c r="ACG89" s="332"/>
      <c r="ACH89" s="332"/>
      <c r="ACI89" s="332"/>
      <c r="ACJ89" s="332"/>
      <c r="ACK89" s="332"/>
      <c r="ACL89" s="332"/>
      <c r="ACM89" s="332"/>
      <c r="ACN89" s="332"/>
      <c r="ACO89" s="332"/>
      <c r="ACP89" s="332"/>
      <c r="ACQ89" s="332"/>
      <c r="ACR89" s="332"/>
      <c r="ACS89" s="332"/>
      <c r="ACT89" s="332"/>
      <c r="ACU89" s="332"/>
      <c r="ACV89" s="332"/>
      <c r="ACW89" s="332"/>
      <c r="ACX89" s="332"/>
      <c r="ACY89" s="332"/>
      <c r="ACZ89" s="332"/>
      <c r="ADA89" s="332"/>
      <c r="ADB89" s="332"/>
      <c r="ADC89" s="332"/>
      <c r="ADD89" s="332"/>
      <c r="ADE89" s="332"/>
      <c r="ADF89" s="332"/>
      <c r="ADG89" s="332"/>
      <c r="ADH89" s="332"/>
      <c r="ADI89" s="332"/>
      <c r="ADJ89" s="332"/>
      <c r="ADK89" s="332"/>
      <c r="ADL89" s="332"/>
      <c r="ADM89" s="332"/>
      <c r="ADN89" s="332"/>
      <c r="ADO89" s="332"/>
      <c r="ADP89" s="332"/>
      <c r="ADQ89" s="332"/>
      <c r="ADR89" s="332"/>
      <c r="ADS89" s="332"/>
      <c r="ADT89" s="332"/>
      <c r="ADU89" s="332"/>
      <c r="ADV89" s="332"/>
      <c r="ADW89" s="332"/>
      <c r="ADX89" s="332"/>
      <c r="ADY89" s="332"/>
      <c r="ADZ89" s="332"/>
      <c r="AEA89" s="332"/>
      <c r="AEB89" s="332"/>
      <c r="AEC89" s="332"/>
      <c r="AED89" s="332"/>
      <c r="AEE89" s="332"/>
      <c r="AEF89" s="332"/>
      <c r="AEG89" s="332"/>
      <c r="AEH89" s="332"/>
      <c r="AEI89" s="332"/>
      <c r="AEJ89" s="332"/>
      <c r="AEK89" s="332"/>
      <c r="AEL89" s="332"/>
      <c r="AEM89" s="332"/>
      <c r="AEN89" s="332"/>
      <c r="AEO89" s="332"/>
      <c r="AEP89" s="332"/>
      <c r="AEQ89" s="332"/>
      <c r="AER89" s="332"/>
      <c r="AES89" s="332"/>
      <c r="AET89" s="332"/>
      <c r="AEU89" s="332"/>
      <c r="AEV89" s="332"/>
      <c r="AEW89" s="332"/>
      <c r="AEX89" s="332"/>
      <c r="AEY89" s="332"/>
      <c r="AEZ89" s="332"/>
      <c r="AFA89" s="332"/>
      <c r="AFB89" s="332"/>
      <c r="AFC89" s="332"/>
      <c r="AFD89" s="332"/>
      <c r="AFE89" s="332"/>
      <c r="AFF89" s="332"/>
      <c r="AFG89" s="332"/>
      <c r="AFH89" s="332"/>
      <c r="AFI89" s="332"/>
      <c r="AFJ89" s="332"/>
      <c r="AFK89" s="332"/>
      <c r="AFL89" s="332"/>
      <c r="AFM89" s="332"/>
      <c r="AFN89" s="332"/>
      <c r="AFO89" s="332"/>
      <c r="AFP89" s="332"/>
      <c r="AFQ89" s="332"/>
      <c r="AFR89" s="332"/>
      <c r="AFS89" s="332"/>
      <c r="AFT89" s="332"/>
      <c r="AFU89" s="332"/>
      <c r="AFV89" s="332"/>
      <c r="AFW89" s="332"/>
      <c r="AFX89" s="332"/>
      <c r="AFY89" s="332"/>
      <c r="AFZ89" s="332"/>
      <c r="AGA89" s="332"/>
      <c r="AGB89" s="332"/>
      <c r="AGC89" s="332"/>
      <c r="AGD89" s="332"/>
      <c r="AGE89" s="332"/>
      <c r="AGF89" s="332"/>
      <c r="AGG89" s="332"/>
      <c r="AGH89" s="332"/>
      <c r="AGI89" s="332"/>
      <c r="AGJ89" s="332"/>
      <c r="AGK89" s="332"/>
      <c r="AGL89" s="332"/>
      <c r="AGM89" s="332"/>
      <c r="AGN89" s="332"/>
      <c r="AGO89" s="332"/>
      <c r="AGP89" s="332"/>
      <c r="AGQ89" s="332"/>
      <c r="AGR89" s="332"/>
      <c r="AGS89" s="332"/>
      <c r="AGT89" s="332"/>
      <c r="AGU89" s="332"/>
      <c r="AGV89" s="332"/>
      <c r="AGW89" s="332"/>
      <c r="AGX89" s="332"/>
      <c r="AGY89" s="332"/>
      <c r="AGZ89" s="332"/>
      <c r="AHA89" s="332"/>
      <c r="AHB89" s="332"/>
      <c r="AHC89" s="332"/>
      <c r="AHD89" s="332"/>
      <c r="AHE89" s="332"/>
      <c r="AHF89" s="332"/>
      <c r="AHG89" s="332"/>
      <c r="AHH89" s="332"/>
      <c r="AHI89" s="332"/>
      <c r="AHJ89" s="332"/>
      <c r="AHK89" s="332"/>
      <c r="AHL89" s="332"/>
      <c r="AHM89" s="332"/>
      <c r="AHN89" s="332"/>
      <c r="AHO89" s="332"/>
      <c r="AHP89" s="332"/>
      <c r="AHQ89" s="332"/>
      <c r="AHR89" s="332"/>
      <c r="AHS89" s="332"/>
      <c r="AHT89" s="332"/>
      <c r="AHU89" s="332"/>
      <c r="AHV89" s="332"/>
      <c r="AHW89" s="332"/>
      <c r="AHX89" s="332"/>
      <c r="AHY89" s="332"/>
      <c r="AHZ89" s="332"/>
      <c r="AIA89" s="332"/>
      <c r="AIB89" s="332"/>
      <c r="AIC89" s="332"/>
      <c r="AID89" s="332"/>
      <c r="AIE89" s="332"/>
      <c r="AIF89" s="332"/>
      <c r="AIG89" s="332"/>
      <c r="AIH89" s="332"/>
      <c r="AII89" s="332"/>
      <c r="AIJ89" s="332"/>
      <c r="AIK89" s="332"/>
      <c r="AIL89" s="332"/>
      <c r="AIM89" s="332"/>
      <c r="AIN89" s="332"/>
      <c r="AIO89" s="332"/>
      <c r="AIP89" s="332"/>
      <c r="AIQ89" s="332"/>
      <c r="AIR89" s="332"/>
      <c r="AIS89" s="332"/>
      <c r="AIT89" s="332"/>
      <c r="AIU89" s="332"/>
      <c r="AIV89" s="332"/>
      <c r="AIW89" s="332"/>
      <c r="AIX89" s="332"/>
      <c r="AIY89" s="332"/>
      <c r="AIZ89" s="332"/>
      <c r="AJA89" s="332"/>
      <c r="AJB89" s="332"/>
      <c r="AJC89" s="332"/>
      <c r="AJD89" s="332"/>
      <c r="AJE89" s="332"/>
      <c r="AJF89" s="332"/>
      <c r="AJG89" s="332"/>
      <c r="AJH89" s="332"/>
      <c r="AJI89" s="332"/>
      <c r="AJJ89" s="332"/>
      <c r="AJK89" s="332"/>
      <c r="AJL89" s="332"/>
      <c r="AJM89" s="332"/>
      <c r="AJN89" s="332"/>
      <c r="AJO89" s="332"/>
      <c r="AJP89" s="332"/>
      <c r="AJQ89" s="332"/>
      <c r="AJR89" s="332"/>
      <c r="AJS89" s="332"/>
      <c r="AJT89" s="332"/>
      <c r="AJU89" s="332"/>
      <c r="AJV89" s="332"/>
      <c r="AJW89" s="332"/>
      <c r="AJX89" s="332"/>
      <c r="AJY89" s="332"/>
      <c r="AJZ89" s="332"/>
      <c r="AKA89" s="332"/>
      <c r="AKB89" s="332"/>
      <c r="AKC89" s="332"/>
      <c r="AKD89" s="332"/>
      <c r="AKE89" s="332"/>
      <c r="AKF89" s="332"/>
      <c r="AKG89" s="332"/>
      <c r="AKH89" s="332"/>
      <c r="AKI89" s="332"/>
      <c r="AKJ89" s="332"/>
      <c r="AKK89" s="332"/>
      <c r="AKL89" s="332"/>
      <c r="AKM89" s="332"/>
      <c r="AKN89" s="332"/>
      <c r="AKO89" s="332"/>
      <c r="AKP89" s="332"/>
      <c r="AKQ89" s="332"/>
      <c r="AKR89" s="332"/>
      <c r="AKS89" s="332"/>
      <c r="AKT89" s="332"/>
      <c r="AKU89" s="332"/>
      <c r="AKV89" s="332"/>
      <c r="AKW89" s="332"/>
      <c r="AKX89" s="332"/>
      <c r="AKY89" s="332"/>
      <c r="AKZ89" s="332"/>
      <c r="ALA89" s="332"/>
      <c r="ALB89" s="332"/>
      <c r="ALC89" s="332"/>
      <c r="ALD89" s="332"/>
      <c r="ALE89" s="332"/>
      <c r="ALF89" s="332"/>
      <c r="ALG89" s="332"/>
      <c r="ALH89" s="332"/>
      <c r="ALI89" s="332"/>
      <c r="ALJ89" s="332"/>
      <c r="ALK89" s="332"/>
      <c r="ALL89" s="332"/>
      <c r="ALM89" s="332"/>
      <c r="ALN89" s="332"/>
      <c r="ALO89" s="332"/>
      <c r="ALP89" s="332"/>
      <c r="ALQ89" s="332"/>
      <c r="ALR89" s="332"/>
      <c r="ALS89" s="332"/>
      <c r="ALT89" s="332"/>
      <c r="ALU89" s="332"/>
      <c r="ALV89" s="332"/>
      <c r="ALW89" s="332"/>
      <c r="ALX89" s="332"/>
      <c r="ALY89" s="332"/>
      <c r="ALZ89" s="332"/>
      <c r="AMA89" s="332"/>
      <c r="AMB89" s="332"/>
      <c r="AMC89" s="332"/>
      <c r="AMD89" s="332"/>
      <c r="AME89" s="332"/>
      <c r="AMF89" s="332"/>
      <c r="AMG89" s="332"/>
      <c r="AMH89" s="332"/>
      <c r="AMI89" s="332"/>
      <c r="AMJ89" s="332"/>
    </row>
    <row r="90" spans="1:1024" s="337" customFormat="1" ht="12" customHeight="1" x14ac:dyDescent="0.25">
      <c r="A90" s="340" t="s">
        <v>428</v>
      </c>
      <c r="B90" s="342">
        <v>10122768</v>
      </c>
      <c r="C90" s="332"/>
      <c r="D90" s="332"/>
      <c r="E90" s="334"/>
      <c r="F90" s="332"/>
      <c r="G90" s="334"/>
      <c r="H90" s="332"/>
      <c r="I90" s="332"/>
      <c r="J90" s="332"/>
      <c r="K90" s="332"/>
      <c r="L90" s="332"/>
      <c r="M90" s="332"/>
      <c r="N90" s="334"/>
      <c r="O90" s="332"/>
      <c r="P90" s="334"/>
      <c r="Q90" s="332"/>
      <c r="R90" s="335"/>
      <c r="S90" s="332"/>
      <c r="T90" s="336"/>
      <c r="U90" s="332"/>
      <c r="V90" s="332"/>
      <c r="W90" s="332"/>
      <c r="X90" s="332"/>
      <c r="Y90" s="332"/>
      <c r="Z90" s="332"/>
      <c r="AA90" s="332"/>
      <c r="AB90" s="332"/>
      <c r="AC90" s="332"/>
      <c r="AD90" s="332"/>
      <c r="AE90" s="332"/>
      <c r="AF90" s="332"/>
      <c r="AG90" s="332"/>
      <c r="AH90" s="332"/>
      <c r="AI90" s="332"/>
      <c r="AJ90" s="332"/>
      <c r="AK90" s="332"/>
      <c r="AL90" s="332"/>
      <c r="AM90" s="332"/>
      <c r="AN90" s="332"/>
      <c r="AO90" s="332"/>
      <c r="AP90" s="332"/>
      <c r="AQ90" s="332"/>
      <c r="AR90" s="332"/>
      <c r="AS90" s="332"/>
      <c r="AT90" s="332"/>
      <c r="AU90" s="332"/>
      <c r="AV90" s="332"/>
      <c r="AW90" s="332"/>
      <c r="AX90" s="332"/>
      <c r="AY90" s="332"/>
      <c r="AZ90" s="332"/>
      <c r="BA90" s="332"/>
      <c r="BB90" s="332"/>
      <c r="BC90" s="332"/>
      <c r="BD90" s="332"/>
      <c r="BE90" s="332"/>
      <c r="BF90" s="332"/>
      <c r="BG90" s="332"/>
      <c r="BH90" s="332"/>
      <c r="BI90" s="332"/>
      <c r="BJ90" s="332"/>
      <c r="BK90" s="332"/>
      <c r="BL90" s="332"/>
      <c r="BM90" s="332"/>
      <c r="BN90" s="332"/>
      <c r="BO90" s="332"/>
      <c r="BP90" s="332"/>
      <c r="BQ90" s="332"/>
      <c r="BR90" s="332"/>
      <c r="BS90" s="332"/>
      <c r="BT90" s="332"/>
      <c r="BU90" s="332"/>
      <c r="BV90" s="332"/>
      <c r="BW90" s="332"/>
      <c r="BX90" s="332"/>
      <c r="BY90" s="332"/>
      <c r="BZ90" s="332"/>
      <c r="CA90" s="332"/>
      <c r="CB90" s="332"/>
      <c r="CC90" s="332"/>
      <c r="CD90" s="332"/>
      <c r="CE90" s="332"/>
      <c r="CF90" s="332"/>
      <c r="CG90" s="332"/>
      <c r="CH90" s="332"/>
      <c r="CI90" s="332"/>
      <c r="CJ90" s="332"/>
      <c r="CK90" s="332"/>
      <c r="CL90" s="332"/>
      <c r="CM90" s="332"/>
      <c r="CN90" s="332"/>
      <c r="CO90" s="332"/>
      <c r="CP90" s="332"/>
      <c r="CQ90" s="332"/>
      <c r="CR90" s="332"/>
      <c r="CS90" s="332"/>
      <c r="CT90" s="332"/>
      <c r="CU90" s="332"/>
      <c r="CV90" s="332"/>
      <c r="CW90" s="332"/>
      <c r="CX90" s="332"/>
      <c r="CY90" s="332"/>
      <c r="CZ90" s="332"/>
      <c r="DA90" s="332"/>
      <c r="DB90" s="332"/>
      <c r="DC90" s="332"/>
      <c r="DD90" s="332"/>
      <c r="DE90" s="332"/>
      <c r="DF90" s="332"/>
      <c r="DG90" s="332"/>
      <c r="DH90" s="332"/>
      <c r="DI90" s="332"/>
      <c r="DJ90" s="332"/>
      <c r="DK90" s="332"/>
      <c r="DL90" s="332"/>
      <c r="DM90" s="332"/>
      <c r="DN90" s="332"/>
      <c r="DO90" s="332"/>
      <c r="DP90" s="332"/>
      <c r="DQ90" s="332"/>
      <c r="DR90" s="332"/>
      <c r="DS90" s="332"/>
      <c r="DT90" s="332"/>
      <c r="DU90" s="332"/>
      <c r="DV90" s="332"/>
      <c r="DW90" s="332"/>
      <c r="DX90" s="332"/>
      <c r="DY90" s="332"/>
      <c r="DZ90" s="332"/>
      <c r="EA90" s="332"/>
      <c r="EB90" s="332"/>
      <c r="EC90" s="332"/>
      <c r="ED90" s="332"/>
      <c r="EE90" s="332"/>
      <c r="EF90" s="332"/>
      <c r="EG90" s="332"/>
      <c r="EH90" s="332"/>
      <c r="EI90" s="332"/>
      <c r="EJ90" s="332"/>
      <c r="EK90" s="332"/>
      <c r="EL90" s="332"/>
      <c r="EM90" s="332"/>
      <c r="EN90" s="332"/>
      <c r="EO90" s="332"/>
      <c r="EP90" s="332"/>
      <c r="EQ90" s="332"/>
      <c r="ER90" s="332"/>
      <c r="ES90" s="332"/>
      <c r="ET90" s="332"/>
      <c r="EU90" s="332"/>
      <c r="EV90" s="332"/>
      <c r="EW90" s="332"/>
      <c r="EX90" s="332"/>
      <c r="EY90" s="332"/>
      <c r="EZ90" s="332"/>
      <c r="FA90" s="332"/>
      <c r="FB90" s="332"/>
      <c r="FC90" s="332"/>
      <c r="FD90" s="332"/>
      <c r="FE90" s="332"/>
      <c r="FF90" s="332"/>
      <c r="FG90" s="332"/>
      <c r="FH90" s="332"/>
      <c r="FI90" s="332"/>
      <c r="FJ90" s="332"/>
      <c r="FK90" s="332"/>
      <c r="FL90" s="332"/>
      <c r="FM90" s="332"/>
      <c r="FN90" s="332"/>
      <c r="FO90" s="332"/>
      <c r="FP90" s="332"/>
      <c r="FQ90" s="332"/>
      <c r="FR90" s="332"/>
      <c r="FS90" s="332"/>
      <c r="FT90" s="332"/>
      <c r="FU90" s="332"/>
      <c r="FV90" s="332"/>
      <c r="FW90" s="332"/>
      <c r="FX90" s="332"/>
      <c r="FY90" s="332"/>
      <c r="FZ90" s="332"/>
      <c r="GA90" s="332"/>
      <c r="GB90" s="332"/>
      <c r="GC90" s="332"/>
      <c r="GD90" s="332"/>
      <c r="GE90" s="332"/>
      <c r="GF90" s="332"/>
      <c r="GG90" s="332"/>
      <c r="GH90" s="332"/>
      <c r="GI90" s="332"/>
      <c r="GJ90" s="332"/>
      <c r="GK90" s="332"/>
      <c r="GL90" s="332"/>
      <c r="GM90" s="332"/>
      <c r="GN90" s="332"/>
      <c r="GO90" s="332"/>
      <c r="GP90" s="332"/>
      <c r="GQ90" s="332"/>
      <c r="GR90" s="332"/>
      <c r="GS90" s="332"/>
      <c r="GT90" s="332"/>
      <c r="GU90" s="332"/>
      <c r="GV90" s="332"/>
      <c r="GW90" s="332"/>
      <c r="GX90" s="332"/>
      <c r="GY90" s="332"/>
      <c r="GZ90" s="332"/>
      <c r="HA90" s="332"/>
      <c r="HB90" s="332"/>
      <c r="HC90" s="332"/>
      <c r="HD90" s="332"/>
      <c r="HE90" s="332"/>
      <c r="HF90" s="332"/>
      <c r="HG90" s="332"/>
      <c r="HH90" s="332"/>
      <c r="HI90" s="332"/>
      <c r="HJ90" s="332"/>
      <c r="HK90" s="332"/>
      <c r="HL90" s="332"/>
      <c r="HM90" s="332"/>
      <c r="HN90" s="332"/>
      <c r="HO90" s="332"/>
      <c r="HP90" s="332"/>
      <c r="HQ90" s="332"/>
      <c r="HR90" s="332"/>
      <c r="HS90" s="332"/>
      <c r="HT90" s="332"/>
      <c r="HU90" s="332"/>
      <c r="HV90" s="332"/>
      <c r="HW90" s="332"/>
      <c r="HX90" s="332"/>
      <c r="HY90" s="332"/>
      <c r="HZ90" s="332"/>
      <c r="IA90" s="332"/>
      <c r="IB90" s="332"/>
      <c r="IC90" s="332"/>
      <c r="ID90" s="332"/>
      <c r="IE90" s="332"/>
      <c r="IF90" s="332"/>
      <c r="IG90" s="332"/>
      <c r="IH90" s="332"/>
      <c r="II90" s="332"/>
      <c r="IJ90" s="332"/>
      <c r="IK90" s="332"/>
      <c r="IL90" s="332"/>
      <c r="IM90" s="332"/>
      <c r="IN90" s="332"/>
      <c r="IO90" s="332"/>
      <c r="IP90" s="332"/>
      <c r="IQ90" s="332"/>
      <c r="IR90" s="332"/>
      <c r="IS90" s="332"/>
      <c r="IT90" s="332"/>
      <c r="IU90" s="332"/>
      <c r="IV90" s="332"/>
      <c r="IW90" s="332"/>
      <c r="IX90" s="332"/>
      <c r="IY90" s="332"/>
      <c r="IZ90" s="332"/>
      <c r="JA90" s="332"/>
      <c r="JB90" s="332"/>
      <c r="JC90" s="332"/>
      <c r="JD90" s="332"/>
      <c r="JE90" s="332"/>
      <c r="JF90" s="332"/>
      <c r="JG90" s="332"/>
      <c r="JH90" s="332"/>
      <c r="JI90" s="332"/>
      <c r="JJ90" s="332"/>
      <c r="JK90" s="332"/>
      <c r="JL90" s="332"/>
      <c r="JM90" s="332"/>
      <c r="JN90" s="332"/>
      <c r="JO90" s="332"/>
      <c r="JP90" s="332"/>
      <c r="JQ90" s="332"/>
      <c r="JR90" s="332"/>
      <c r="JS90" s="332"/>
      <c r="JT90" s="332"/>
      <c r="JU90" s="332"/>
      <c r="JV90" s="332"/>
      <c r="JW90" s="332"/>
      <c r="JX90" s="332"/>
      <c r="JY90" s="332"/>
      <c r="JZ90" s="332"/>
      <c r="KA90" s="332"/>
      <c r="KB90" s="332"/>
      <c r="KC90" s="332"/>
      <c r="KD90" s="332"/>
      <c r="KE90" s="332"/>
      <c r="KF90" s="332"/>
      <c r="KG90" s="332"/>
      <c r="KH90" s="332"/>
      <c r="KI90" s="332"/>
      <c r="KJ90" s="332"/>
      <c r="KK90" s="332"/>
      <c r="KL90" s="332"/>
      <c r="KM90" s="332"/>
      <c r="KN90" s="332"/>
      <c r="KO90" s="332"/>
      <c r="KP90" s="332"/>
      <c r="KQ90" s="332"/>
      <c r="KR90" s="332"/>
      <c r="KS90" s="332"/>
      <c r="KT90" s="332"/>
      <c r="KU90" s="332"/>
      <c r="KV90" s="332"/>
      <c r="KW90" s="332"/>
      <c r="KX90" s="332"/>
      <c r="KY90" s="332"/>
      <c r="KZ90" s="332"/>
      <c r="LA90" s="332"/>
      <c r="LB90" s="332"/>
      <c r="LC90" s="332"/>
      <c r="LD90" s="332"/>
      <c r="LE90" s="332"/>
      <c r="LF90" s="332"/>
      <c r="LG90" s="332"/>
      <c r="LH90" s="332"/>
      <c r="LI90" s="332"/>
      <c r="LJ90" s="332"/>
      <c r="LK90" s="332"/>
      <c r="LL90" s="332"/>
      <c r="LM90" s="332"/>
      <c r="LN90" s="332"/>
      <c r="LO90" s="332"/>
      <c r="LP90" s="332"/>
      <c r="LQ90" s="332"/>
      <c r="LR90" s="332"/>
      <c r="LS90" s="332"/>
      <c r="LT90" s="332"/>
      <c r="LU90" s="332"/>
      <c r="LV90" s="332"/>
      <c r="LW90" s="332"/>
      <c r="LX90" s="332"/>
      <c r="LY90" s="332"/>
      <c r="LZ90" s="332"/>
      <c r="MA90" s="332"/>
      <c r="MB90" s="332"/>
      <c r="MC90" s="332"/>
      <c r="MD90" s="332"/>
      <c r="ME90" s="332"/>
      <c r="MF90" s="332"/>
      <c r="MG90" s="332"/>
      <c r="MH90" s="332"/>
      <c r="MI90" s="332"/>
      <c r="MJ90" s="332"/>
      <c r="MK90" s="332"/>
      <c r="ML90" s="332"/>
      <c r="MM90" s="332"/>
      <c r="MN90" s="332"/>
      <c r="MO90" s="332"/>
      <c r="MP90" s="332"/>
      <c r="MQ90" s="332"/>
      <c r="MR90" s="332"/>
      <c r="MS90" s="332"/>
      <c r="MT90" s="332"/>
      <c r="MU90" s="332"/>
      <c r="MV90" s="332"/>
      <c r="MW90" s="332"/>
      <c r="MX90" s="332"/>
      <c r="MY90" s="332"/>
      <c r="MZ90" s="332"/>
      <c r="NA90" s="332"/>
      <c r="NB90" s="332"/>
      <c r="NC90" s="332"/>
      <c r="ND90" s="332"/>
      <c r="NE90" s="332"/>
      <c r="NF90" s="332"/>
      <c r="NG90" s="332"/>
      <c r="NH90" s="332"/>
      <c r="NI90" s="332"/>
      <c r="NJ90" s="332"/>
      <c r="NK90" s="332"/>
      <c r="NL90" s="332"/>
      <c r="NM90" s="332"/>
      <c r="NN90" s="332"/>
      <c r="NO90" s="332"/>
      <c r="NP90" s="332"/>
      <c r="NQ90" s="332"/>
      <c r="NR90" s="332"/>
      <c r="NS90" s="332"/>
      <c r="NT90" s="332"/>
      <c r="NU90" s="332"/>
      <c r="NV90" s="332"/>
      <c r="NW90" s="332"/>
      <c r="NX90" s="332"/>
      <c r="NY90" s="332"/>
      <c r="NZ90" s="332"/>
      <c r="OA90" s="332"/>
      <c r="OB90" s="332"/>
      <c r="OC90" s="332"/>
      <c r="OD90" s="332"/>
      <c r="OE90" s="332"/>
      <c r="OF90" s="332"/>
      <c r="OG90" s="332"/>
      <c r="OH90" s="332"/>
      <c r="OI90" s="332"/>
      <c r="OJ90" s="332"/>
      <c r="OK90" s="332"/>
      <c r="OL90" s="332"/>
      <c r="OM90" s="332"/>
      <c r="ON90" s="332"/>
      <c r="OO90" s="332"/>
      <c r="OP90" s="332"/>
      <c r="OQ90" s="332"/>
      <c r="OR90" s="332"/>
      <c r="OS90" s="332"/>
      <c r="OT90" s="332"/>
      <c r="OU90" s="332"/>
      <c r="OV90" s="332"/>
      <c r="OW90" s="332"/>
      <c r="OX90" s="332"/>
      <c r="OY90" s="332"/>
      <c r="OZ90" s="332"/>
      <c r="PA90" s="332"/>
      <c r="PB90" s="332"/>
      <c r="PC90" s="332"/>
      <c r="PD90" s="332"/>
      <c r="PE90" s="332"/>
      <c r="PF90" s="332"/>
      <c r="PG90" s="332"/>
      <c r="PH90" s="332"/>
      <c r="PI90" s="332"/>
      <c r="PJ90" s="332"/>
      <c r="PK90" s="332"/>
      <c r="PL90" s="332"/>
      <c r="PM90" s="332"/>
      <c r="PN90" s="332"/>
      <c r="PO90" s="332"/>
      <c r="PP90" s="332"/>
      <c r="PQ90" s="332"/>
      <c r="PR90" s="332"/>
      <c r="PS90" s="332"/>
      <c r="PT90" s="332"/>
      <c r="PU90" s="332"/>
      <c r="PV90" s="332"/>
      <c r="PW90" s="332"/>
      <c r="PX90" s="332"/>
      <c r="PY90" s="332"/>
      <c r="PZ90" s="332"/>
      <c r="QA90" s="332"/>
      <c r="QB90" s="332"/>
      <c r="QC90" s="332"/>
      <c r="QD90" s="332"/>
      <c r="QE90" s="332"/>
      <c r="QF90" s="332"/>
      <c r="QG90" s="332"/>
      <c r="QH90" s="332"/>
      <c r="QI90" s="332"/>
      <c r="QJ90" s="332"/>
      <c r="QK90" s="332"/>
      <c r="QL90" s="332"/>
      <c r="QM90" s="332"/>
      <c r="QN90" s="332"/>
      <c r="QO90" s="332"/>
      <c r="QP90" s="332"/>
      <c r="QQ90" s="332"/>
      <c r="QR90" s="332"/>
      <c r="QS90" s="332"/>
      <c r="QT90" s="332"/>
      <c r="QU90" s="332"/>
      <c r="QV90" s="332"/>
      <c r="QW90" s="332"/>
      <c r="QX90" s="332"/>
      <c r="QY90" s="332"/>
      <c r="QZ90" s="332"/>
      <c r="RA90" s="332"/>
      <c r="RB90" s="332"/>
      <c r="RC90" s="332"/>
      <c r="RD90" s="332"/>
      <c r="RE90" s="332"/>
      <c r="RF90" s="332"/>
      <c r="RG90" s="332"/>
      <c r="RH90" s="332"/>
      <c r="RI90" s="332"/>
      <c r="RJ90" s="332"/>
      <c r="RK90" s="332"/>
      <c r="RL90" s="332"/>
      <c r="RM90" s="332"/>
      <c r="RN90" s="332"/>
      <c r="RO90" s="332"/>
      <c r="RP90" s="332"/>
      <c r="RQ90" s="332"/>
      <c r="RR90" s="332"/>
      <c r="RS90" s="332"/>
      <c r="RT90" s="332"/>
      <c r="RU90" s="332"/>
      <c r="RV90" s="332"/>
      <c r="RW90" s="332"/>
      <c r="RX90" s="332"/>
      <c r="RY90" s="332"/>
      <c r="RZ90" s="332"/>
      <c r="SA90" s="332"/>
      <c r="SB90" s="332"/>
      <c r="SC90" s="332"/>
      <c r="SD90" s="332"/>
      <c r="SE90" s="332"/>
      <c r="SF90" s="332"/>
      <c r="SG90" s="332"/>
      <c r="SH90" s="332"/>
      <c r="SI90" s="332"/>
      <c r="SJ90" s="332"/>
      <c r="SK90" s="332"/>
      <c r="SL90" s="332"/>
      <c r="SM90" s="332"/>
      <c r="SN90" s="332"/>
      <c r="SO90" s="332"/>
      <c r="SP90" s="332"/>
      <c r="SQ90" s="332"/>
      <c r="SR90" s="332"/>
      <c r="SS90" s="332"/>
      <c r="ST90" s="332"/>
      <c r="SU90" s="332"/>
      <c r="SV90" s="332"/>
      <c r="SW90" s="332"/>
      <c r="SX90" s="332"/>
      <c r="SY90" s="332"/>
      <c r="SZ90" s="332"/>
      <c r="TA90" s="332"/>
      <c r="TB90" s="332"/>
      <c r="TC90" s="332"/>
      <c r="TD90" s="332"/>
      <c r="TE90" s="332"/>
      <c r="TF90" s="332"/>
      <c r="TG90" s="332"/>
      <c r="TH90" s="332"/>
      <c r="TI90" s="332"/>
      <c r="TJ90" s="332"/>
      <c r="TK90" s="332"/>
      <c r="TL90" s="332"/>
      <c r="TM90" s="332"/>
      <c r="TN90" s="332"/>
      <c r="TO90" s="332"/>
      <c r="TP90" s="332"/>
      <c r="TQ90" s="332"/>
      <c r="TR90" s="332"/>
      <c r="TS90" s="332"/>
      <c r="TT90" s="332"/>
      <c r="TU90" s="332"/>
      <c r="TV90" s="332"/>
      <c r="TW90" s="332"/>
      <c r="TX90" s="332"/>
      <c r="TY90" s="332"/>
      <c r="TZ90" s="332"/>
      <c r="UA90" s="332"/>
      <c r="UB90" s="332"/>
      <c r="UC90" s="332"/>
      <c r="UD90" s="332"/>
      <c r="UE90" s="332"/>
      <c r="UF90" s="332"/>
      <c r="UG90" s="332"/>
      <c r="UH90" s="332"/>
      <c r="UI90" s="332"/>
      <c r="UJ90" s="332"/>
      <c r="UK90" s="332"/>
      <c r="UL90" s="332"/>
      <c r="UM90" s="332"/>
      <c r="UN90" s="332"/>
      <c r="UO90" s="332"/>
      <c r="UP90" s="332"/>
      <c r="UQ90" s="332"/>
      <c r="UR90" s="332"/>
      <c r="US90" s="332"/>
      <c r="UT90" s="332"/>
      <c r="UU90" s="332"/>
      <c r="UV90" s="332"/>
      <c r="UW90" s="332"/>
      <c r="UX90" s="332"/>
      <c r="UY90" s="332"/>
      <c r="UZ90" s="332"/>
      <c r="VA90" s="332"/>
      <c r="VB90" s="332"/>
      <c r="VC90" s="332"/>
      <c r="VD90" s="332"/>
      <c r="VE90" s="332"/>
      <c r="VF90" s="332"/>
      <c r="VG90" s="332"/>
      <c r="VH90" s="332"/>
      <c r="VI90" s="332"/>
      <c r="VJ90" s="332"/>
      <c r="VK90" s="332"/>
      <c r="VL90" s="332"/>
      <c r="VM90" s="332"/>
      <c r="VN90" s="332"/>
      <c r="VO90" s="332"/>
      <c r="VP90" s="332"/>
      <c r="VQ90" s="332"/>
      <c r="VR90" s="332"/>
      <c r="VS90" s="332"/>
      <c r="VT90" s="332"/>
      <c r="VU90" s="332"/>
      <c r="VV90" s="332"/>
      <c r="VW90" s="332"/>
      <c r="VX90" s="332"/>
      <c r="VY90" s="332"/>
      <c r="VZ90" s="332"/>
      <c r="WA90" s="332"/>
      <c r="WB90" s="332"/>
      <c r="WC90" s="332"/>
      <c r="WD90" s="332"/>
      <c r="WE90" s="332"/>
      <c r="WF90" s="332"/>
      <c r="WG90" s="332"/>
      <c r="WH90" s="332"/>
      <c r="WI90" s="332"/>
      <c r="WJ90" s="332"/>
      <c r="WK90" s="332"/>
      <c r="WL90" s="332"/>
      <c r="WM90" s="332"/>
      <c r="WN90" s="332"/>
      <c r="WO90" s="332"/>
      <c r="WP90" s="332"/>
      <c r="WQ90" s="332"/>
      <c r="WR90" s="332"/>
      <c r="WS90" s="332"/>
      <c r="WT90" s="332"/>
      <c r="WU90" s="332"/>
      <c r="WV90" s="332"/>
      <c r="WW90" s="332"/>
      <c r="WX90" s="332"/>
      <c r="WY90" s="332"/>
      <c r="WZ90" s="332"/>
      <c r="XA90" s="332"/>
      <c r="XB90" s="332"/>
      <c r="XC90" s="332"/>
      <c r="XD90" s="332"/>
      <c r="XE90" s="332"/>
      <c r="XF90" s="332"/>
      <c r="XG90" s="332"/>
      <c r="XH90" s="332"/>
      <c r="XI90" s="332"/>
      <c r="XJ90" s="332"/>
      <c r="XK90" s="332"/>
      <c r="XL90" s="332"/>
      <c r="XM90" s="332"/>
      <c r="XN90" s="332"/>
      <c r="XO90" s="332"/>
      <c r="XP90" s="332"/>
      <c r="XQ90" s="332"/>
      <c r="XR90" s="332"/>
      <c r="XS90" s="332"/>
      <c r="XT90" s="332"/>
      <c r="XU90" s="332"/>
      <c r="XV90" s="332"/>
      <c r="XW90" s="332"/>
      <c r="XX90" s="332"/>
      <c r="XY90" s="332"/>
      <c r="XZ90" s="332"/>
      <c r="YA90" s="332"/>
      <c r="YB90" s="332"/>
      <c r="YC90" s="332"/>
      <c r="YD90" s="332"/>
      <c r="YE90" s="332"/>
      <c r="YF90" s="332"/>
      <c r="YG90" s="332"/>
      <c r="YH90" s="332"/>
      <c r="YI90" s="332"/>
      <c r="YJ90" s="332"/>
      <c r="YK90" s="332"/>
      <c r="YL90" s="332"/>
      <c r="YM90" s="332"/>
      <c r="YN90" s="332"/>
      <c r="YO90" s="332"/>
      <c r="YP90" s="332"/>
      <c r="YQ90" s="332"/>
      <c r="YR90" s="332"/>
      <c r="YS90" s="332"/>
      <c r="YT90" s="332"/>
      <c r="YU90" s="332"/>
      <c r="YV90" s="332"/>
      <c r="YW90" s="332"/>
      <c r="YX90" s="332"/>
      <c r="YY90" s="332"/>
      <c r="YZ90" s="332"/>
      <c r="ZA90" s="332"/>
      <c r="ZB90" s="332"/>
      <c r="ZC90" s="332"/>
      <c r="ZD90" s="332"/>
      <c r="ZE90" s="332"/>
      <c r="ZF90" s="332"/>
      <c r="ZG90" s="332"/>
      <c r="ZH90" s="332"/>
      <c r="ZI90" s="332"/>
      <c r="ZJ90" s="332"/>
      <c r="ZK90" s="332"/>
      <c r="ZL90" s="332"/>
      <c r="ZM90" s="332"/>
      <c r="ZN90" s="332"/>
      <c r="ZO90" s="332"/>
      <c r="ZP90" s="332"/>
      <c r="ZQ90" s="332"/>
      <c r="ZR90" s="332"/>
      <c r="ZS90" s="332"/>
      <c r="ZT90" s="332"/>
      <c r="ZU90" s="332"/>
      <c r="ZV90" s="332"/>
      <c r="ZW90" s="332"/>
      <c r="ZX90" s="332"/>
      <c r="ZY90" s="332"/>
      <c r="ZZ90" s="332"/>
      <c r="AAA90" s="332"/>
      <c r="AAB90" s="332"/>
      <c r="AAC90" s="332"/>
      <c r="AAD90" s="332"/>
      <c r="AAE90" s="332"/>
      <c r="AAF90" s="332"/>
      <c r="AAG90" s="332"/>
      <c r="AAH90" s="332"/>
      <c r="AAI90" s="332"/>
      <c r="AAJ90" s="332"/>
      <c r="AAK90" s="332"/>
      <c r="AAL90" s="332"/>
      <c r="AAM90" s="332"/>
      <c r="AAN90" s="332"/>
      <c r="AAO90" s="332"/>
      <c r="AAP90" s="332"/>
      <c r="AAQ90" s="332"/>
      <c r="AAR90" s="332"/>
      <c r="AAS90" s="332"/>
      <c r="AAT90" s="332"/>
      <c r="AAU90" s="332"/>
      <c r="AAV90" s="332"/>
      <c r="AAW90" s="332"/>
      <c r="AAX90" s="332"/>
      <c r="AAY90" s="332"/>
      <c r="AAZ90" s="332"/>
      <c r="ABA90" s="332"/>
      <c r="ABB90" s="332"/>
      <c r="ABC90" s="332"/>
      <c r="ABD90" s="332"/>
      <c r="ABE90" s="332"/>
      <c r="ABF90" s="332"/>
      <c r="ABG90" s="332"/>
      <c r="ABH90" s="332"/>
      <c r="ABI90" s="332"/>
      <c r="ABJ90" s="332"/>
      <c r="ABK90" s="332"/>
      <c r="ABL90" s="332"/>
      <c r="ABM90" s="332"/>
      <c r="ABN90" s="332"/>
      <c r="ABO90" s="332"/>
      <c r="ABP90" s="332"/>
      <c r="ABQ90" s="332"/>
      <c r="ABR90" s="332"/>
      <c r="ABS90" s="332"/>
      <c r="ABT90" s="332"/>
      <c r="ABU90" s="332"/>
      <c r="ABV90" s="332"/>
      <c r="ABW90" s="332"/>
      <c r="ABX90" s="332"/>
      <c r="ABY90" s="332"/>
      <c r="ABZ90" s="332"/>
      <c r="ACA90" s="332"/>
      <c r="ACB90" s="332"/>
      <c r="ACC90" s="332"/>
      <c r="ACD90" s="332"/>
      <c r="ACE90" s="332"/>
      <c r="ACF90" s="332"/>
      <c r="ACG90" s="332"/>
      <c r="ACH90" s="332"/>
      <c r="ACI90" s="332"/>
      <c r="ACJ90" s="332"/>
      <c r="ACK90" s="332"/>
      <c r="ACL90" s="332"/>
      <c r="ACM90" s="332"/>
      <c r="ACN90" s="332"/>
      <c r="ACO90" s="332"/>
      <c r="ACP90" s="332"/>
      <c r="ACQ90" s="332"/>
      <c r="ACR90" s="332"/>
      <c r="ACS90" s="332"/>
      <c r="ACT90" s="332"/>
      <c r="ACU90" s="332"/>
      <c r="ACV90" s="332"/>
      <c r="ACW90" s="332"/>
      <c r="ACX90" s="332"/>
      <c r="ACY90" s="332"/>
      <c r="ACZ90" s="332"/>
      <c r="ADA90" s="332"/>
      <c r="ADB90" s="332"/>
      <c r="ADC90" s="332"/>
      <c r="ADD90" s="332"/>
      <c r="ADE90" s="332"/>
      <c r="ADF90" s="332"/>
      <c r="ADG90" s="332"/>
      <c r="ADH90" s="332"/>
      <c r="ADI90" s="332"/>
      <c r="ADJ90" s="332"/>
      <c r="ADK90" s="332"/>
      <c r="ADL90" s="332"/>
      <c r="ADM90" s="332"/>
      <c r="ADN90" s="332"/>
      <c r="ADO90" s="332"/>
      <c r="ADP90" s="332"/>
      <c r="ADQ90" s="332"/>
      <c r="ADR90" s="332"/>
      <c r="ADS90" s="332"/>
      <c r="ADT90" s="332"/>
      <c r="ADU90" s="332"/>
      <c r="ADV90" s="332"/>
      <c r="ADW90" s="332"/>
      <c r="ADX90" s="332"/>
      <c r="ADY90" s="332"/>
      <c r="ADZ90" s="332"/>
      <c r="AEA90" s="332"/>
      <c r="AEB90" s="332"/>
      <c r="AEC90" s="332"/>
      <c r="AED90" s="332"/>
      <c r="AEE90" s="332"/>
      <c r="AEF90" s="332"/>
      <c r="AEG90" s="332"/>
      <c r="AEH90" s="332"/>
      <c r="AEI90" s="332"/>
      <c r="AEJ90" s="332"/>
      <c r="AEK90" s="332"/>
      <c r="AEL90" s="332"/>
      <c r="AEM90" s="332"/>
      <c r="AEN90" s="332"/>
      <c r="AEO90" s="332"/>
      <c r="AEP90" s="332"/>
      <c r="AEQ90" s="332"/>
      <c r="AER90" s="332"/>
      <c r="AES90" s="332"/>
      <c r="AET90" s="332"/>
      <c r="AEU90" s="332"/>
      <c r="AEV90" s="332"/>
      <c r="AEW90" s="332"/>
      <c r="AEX90" s="332"/>
      <c r="AEY90" s="332"/>
      <c r="AEZ90" s="332"/>
      <c r="AFA90" s="332"/>
      <c r="AFB90" s="332"/>
      <c r="AFC90" s="332"/>
      <c r="AFD90" s="332"/>
      <c r="AFE90" s="332"/>
      <c r="AFF90" s="332"/>
      <c r="AFG90" s="332"/>
      <c r="AFH90" s="332"/>
      <c r="AFI90" s="332"/>
      <c r="AFJ90" s="332"/>
      <c r="AFK90" s="332"/>
      <c r="AFL90" s="332"/>
      <c r="AFM90" s="332"/>
      <c r="AFN90" s="332"/>
      <c r="AFO90" s="332"/>
      <c r="AFP90" s="332"/>
      <c r="AFQ90" s="332"/>
      <c r="AFR90" s="332"/>
      <c r="AFS90" s="332"/>
      <c r="AFT90" s="332"/>
      <c r="AFU90" s="332"/>
      <c r="AFV90" s="332"/>
      <c r="AFW90" s="332"/>
      <c r="AFX90" s="332"/>
      <c r="AFY90" s="332"/>
      <c r="AFZ90" s="332"/>
      <c r="AGA90" s="332"/>
      <c r="AGB90" s="332"/>
      <c r="AGC90" s="332"/>
      <c r="AGD90" s="332"/>
      <c r="AGE90" s="332"/>
      <c r="AGF90" s="332"/>
      <c r="AGG90" s="332"/>
      <c r="AGH90" s="332"/>
      <c r="AGI90" s="332"/>
      <c r="AGJ90" s="332"/>
      <c r="AGK90" s="332"/>
      <c r="AGL90" s="332"/>
      <c r="AGM90" s="332"/>
      <c r="AGN90" s="332"/>
      <c r="AGO90" s="332"/>
      <c r="AGP90" s="332"/>
      <c r="AGQ90" s="332"/>
      <c r="AGR90" s="332"/>
      <c r="AGS90" s="332"/>
      <c r="AGT90" s="332"/>
      <c r="AGU90" s="332"/>
      <c r="AGV90" s="332"/>
      <c r="AGW90" s="332"/>
      <c r="AGX90" s="332"/>
      <c r="AGY90" s="332"/>
      <c r="AGZ90" s="332"/>
      <c r="AHA90" s="332"/>
      <c r="AHB90" s="332"/>
      <c r="AHC90" s="332"/>
      <c r="AHD90" s="332"/>
      <c r="AHE90" s="332"/>
      <c r="AHF90" s="332"/>
      <c r="AHG90" s="332"/>
      <c r="AHH90" s="332"/>
      <c r="AHI90" s="332"/>
      <c r="AHJ90" s="332"/>
      <c r="AHK90" s="332"/>
      <c r="AHL90" s="332"/>
      <c r="AHM90" s="332"/>
      <c r="AHN90" s="332"/>
      <c r="AHO90" s="332"/>
      <c r="AHP90" s="332"/>
      <c r="AHQ90" s="332"/>
      <c r="AHR90" s="332"/>
      <c r="AHS90" s="332"/>
      <c r="AHT90" s="332"/>
      <c r="AHU90" s="332"/>
      <c r="AHV90" s="332"/>
      <c r="AHW90" s="332"/>
      <c r="AHX90" s="332"/>
      <c r="AHY90" s="332"/>
      <c r="AHZ90" s="332"/>
      <c r="AIA90" s="332"/>
      <c r="AIB90" s="332"/>
      <c r="AIC90" s="332"/>
      <c r="AID90" s="332"/>
      <c r="AIE90" s="332"/>
      <c r="AIF90" s="332"/>
      <c r="AIG90" s="332"/>
      <c r="AIH90" s="332"/>
      <c r="AII90" s="332"/>
      <c r="AIJ90" s="332"/>
      <c r="AIK90" s="332"/>
      <c r="AIL90" s="332"/>
      <c r="AIM90" s="332"/>
      <c r="AIN90" s="332"/>
      <c r="AIO90" s="332"/>
      <c r="AIP90" s="332"/>
      <c r="AIQ90" s="332"/>
      <c r="AIR90" s="332"/>
      <c r="AIS90" s="332"/>
      <c r="AIT90" s="332"/>
      <c r="AIU90" s="332"/>
      <c r="AIV90" s="332"/>
      <c r="AIW90" s="332"/>
      <c r="AIX90" s="332"/>
      <c r="AIY90" s="332"/>
      <c r="AIZ90" s="332"/>
      <c r="AJA90" s="332"/>
      <c r="AJB90" s="332"/>
      <c r="AJC90" s="332"/>
      <c r="AJD90" s="332"/>
      <c r="AJE90" s="332"/>
      <c r="AJF90" s="332"/>
      <c r="AJG90" s="332"/>
      <c r="AJH90" s="332"/>
      <c r="AJI90" s="332"/>
      <c r="AJJ90" s="332"/>
      <c r="AJK90" s="332"/>
      <c r="AJL90" s="332"/>
      <c r="AJM90" s="332"/>
      <c r="AJN90" s="332"/>
      <c r="AJO90" s="332"/>
      <c r="AJP90" s="332"/>
      <c r="AJQ90" s="332"/>
      <c r="AJR90" s="332"/>
      <c r="AJS90" s="332"/>
      <c r="AJT90" s="332"/>
      <c r="AJU90" s="332"/>
      <c r="AJV90" s="332"/>
      <c r="AJW90" s="332"/>
      <c r="AJX90" s="332"/>
      <c r="AJY90" s="332"/>
      <c r="AJZ90" s="332"/>
      <c r="AKA90" s="332"/>
      <c r="AKB90" s="332"/>
      <c r="AKC90" s="332"/>
      <c r="AKD90" s="332"/>
      <c r="AKE90" s="332"/>
      <c r="AKF90" s="332"/>
      <c r="AKG90" s="332"/>
      <c r="AKH90" s="332"/>
      <c r="AKI90" s="332"/>
      <c r="AKJ90" s="332"/>
      <c r="AKK90" s="332"/>
      <c r="AKL90" s="332"/>
      <c r="AKM90" s="332"/>
      <c r="AKN90" s="332"/>
      <c r="AKO90" s="332"/>
      <c r="AKP90" s="332"/>
      <c r="AKQ90" s="332"/>
      <c r="AKR90" s="332"/>
      <c r="AKS90" s="332"/>
      <c r="AKT90" s="332"/>
      <c r="AKU90" s="332"/>
      <c r="AKV90" s="332"/>
      <c r="AKW90" s="332"/>
      <c r="AKX90" s="332"/>
      <c r="AKY90" s="332"/>
      <c r="AKZ90" s="332"/>
      <c r="ALA90" s="332"/>
      <c r="ALB90" s="332"/>
      <c r="ALC90" s="332"/>
      <c r="ALD90" s="332"/>
      <c r="ALE90" s="332"/>
      <c r="ALF90" s="332"/>
      <c r="ALG90" s="332"/>
      <c r="ALH90" s="332"/>
      <c r="ALI90" s="332"/>
      <c r="ALJ90" s="332"/>
      <c r="ALK90" s="332"/>
      <c r="ALL90" s="332"/>
      <c r="ALM90" s="332"/>
      <c r="ALN90" s="332"/>
      <c r="ALO90" s="332"/>
      <c r="ALP90" s="332"/>
      <c r="ALQ90" s="332"/>
      <c r="ALR90" s="332"/>
      <c r="ALS90" s="332"/>
      <c r="ALT90" s="332"/>
      <c r="ALU90" s="332"/>
      <c r="ALV90" s="332"/>
      <c r="ALW90" s="332"/>
      <c r="ALX90" s="332"/>
      <c r="ALY90" s="332"/>
      <c r="ALZ90" s="332"/>
      <c r="AMA90" s="332"/>
      <c r="AMB90" s="332"/>
      <c r="AMC90" s="332"/>
      <c r="AMD90" s="332"/>
      <c r="AME90" s="332"/>
      <c r="AMF90" s="332"/>
      <c r="AMG90" s="332"/>
      <c r="AMH90" s="332"/>
      <c r="AMI90" s="332"/>
      <c r="AMJ90" s="332"/>
    </row>
    <row r="91" spans="1:1024" s="337" customFormat="1" ht="12" customHeight="1" x14ac:dyDescent="0.25">
      <c r="A91" s="343" t="s">
        <v>224</v>
      </c>
      <c r="B91" s="344">
        <v>2564404</v>
      </c>
      <c r="C91" s="332"/>
      <c r="D91" s="332"/>
      <c r="E91" s="334"/>
      <c r="F91" s="332"/>
      <c r="G91" s="334"/>
      <c r="H91" s="332"/>
      <c r="I91" s="332"/>
      <c r="J91" s="332"/>
      <c r="K91" s="332"/>
      <c r="L91" s="332"/>
      <c r="M91" s="332"/>
      <c r="N91" s="334"/>
      <c r="O91" s="332"/>
      <c r="P91" s="334"/>
      <c r="Q91" s="332"/>
      <c r="R91" s="335"/>
      <c r="S91" s="332"/>
      <c r="T91" s="336"/>
      <c r="U91" s="332"/>
      <c r="V91" s="332"/>
      <c r="W91" s="332"/>
      <c r="X91" s="332"/>
      <c r="Y91" s="332"/>
      <c r="Z91" s="332"/>
      <c r="AA91" s="332"/>
      <c r="AB91" s="332"/>
      <c r="AC91" s="332"/>
      <c r="AD91" s="332"/>
      <c r="AE91" s="332"/>
      <c r="AF91" s="332"/>
      <c r="AG91" s="332"/>
      <c r="AH91" s="332"/>
      <c r="AI91" s="332"/>
      <c r="AJ91" s="332"/>
      <c r="AK91" s="332"/>
      <c r="AL91" s="332"/>
      <c r="AM91" s="332"/>
      <c r="AN91" s="332"/>
      <c r="AO91" s="332"/>
      <c r="AP91" s="332"/>
      <c r="AQ91" s="332"/>
      <c r="AR91" s="332"/>
      <c r="AS91" s="332"/>
      <c r="AT91" s="332"/>
      <c r="AU91" s="332"/>
      <c r="AV91" s="332"/>
      <c r="AW91" s="332"/>
      <c r="AX91" s="332"/>
      <c r="AY91" s="332"/>
      <c r="AZ91" s="332"/>
      <c r="BA91" s="332"/>
      <c r="BB91" s="332"/>
      <c r="BC91" s="332"/>
      <c r="BD91" s="332"/>
      <c r="BE91" s="332"/>
      <c r="BF91" s="332"/>
      <c r="BG91" s="332"/>
      <c r="BH91" s="332"/>
      <c r="BI91" s="332"/>
      <c r="BJ91" s="332"/>
      <c r="BK91" s="332"/>
      <c r="BL91" s="332"/>
      <c r="BM91" s="332"/>
      <c r="BN91" s="332"/>
      <c r="BO91" s="332"/>
      <c r="BP91" s="332"/>
      <c r="BQ91" s="332"/>
      <c r="BR91" s="332"/>
      <c r="BS91" s="332"/>
      <c r="BT91" s="332"/>
      <c r="BU91" s="332"/>
      <c r="BV91" s="332"/>
      <c r="BW91" s="332"/>
      <c r="BX91" s="332"/>
      <c r="BY91" s="332"/>
      <c r="BZ91" s="332"/>
      <c r="CA91" s="332"/>
      <c r="CB91" s="332"/>
      <c r="CC91" s="332"/>
      <c r="CD91" s="332"/>
      <c r="CE91" s="332"/>
      <c r="CF91" s="332"/>
      <c r="CG91" s="332"/>
      <c r="CH91" s="332"/>
      <c r="CI91" s="332"/>
      <c r="CJ91" s="332"/>
      <c r="CK91" s="332"/>
      <c r="CL91" s="332"/>
      <c r="CM91" s="332"/>
      <c r="CN91" s="332"/>
      <c r="CO91" s="332"/>
      <c r="CP91" s="332"/>
      <c r="CQ91" s="332"/>
      <c r="CR91" s="332"/>
      <c r="CS91" s="332"/>
      <c r="CT91" s="332"/>
      <c r="CU91" s="332"/>
      <c r="CV91" s="332"/>
      <c r="CW91" s="332"/>
      <c r="CX91" s="332"/>
      <c r="CY91" s="332"/>
      <c r="CZ91" s="332"/>
      <c r="DA91" s="332"/>
      <c r="DB91" s="332"/>
      <c r="DC91" s="332"/>
      <c r="DD91" s="332"/>
      <c r="DE91" s="332"/>
      <c r="DF91" s="332"/>
      <c r="DG91" s="332"/>
      <c r="DH91" s="332"/>
      <c r="DI91" s="332"/>
      <c r="DJ91" s="332"/>
      <c r="DK91" s="332"/>
      <c r="DL91" s="332"/>
      <c r="DM91" s="332"/>
      <c r="DN91" s="332"/>
      <c r="DO91" s="332"/>
      <c r="DP91" s="332"/>
      <c r="DQ91" s="332"/>
      <c r="DR91" s="332"/>
      <c r="DS91" s="332"/>
      <c r="DT91" s="332"/>
      <c r="DU91" s="332"/>
      <c r="DV91" s="332"/>
      <c r="DW91" s="332"/>
      <c r="DX91" s="332"/>
      <c r="DY91" s="332"/>
      <c r="DZ91" s="332"/>
      <c r="EA91" s="332"/>
      <c r="EB91" s="332"/>
      <c r="EC91" s="332"/>
      <c r="ED91" s="332"/>
      <c r="EE91" s="332"/>
      <c r="EF91" s="332"/>
      <c r="EG91" s="332"/>
      <c r="EH91" s="332"/>
      <c r="EI91" s="332"/>
      <c r="EJ91" s="332"/>
      <c r="EK91" s="332"/>
      <c r="EL91" s="332"/>
      <c r="EM91" s="332"/>
      <c r="EN91" s="332"/>
      <c r="EO91" s="332"/>
      <c r="EP91" s="332"/>
      <c r="EQ91" s="332"/>
      <c r="ER91" s="332"/>
      <c r="ES91" s="332"/>
      <c r="ET91" s="332"/>
      <c r="EU91" s="332"/>
      <c r="EV91" s="332"/>
      <c r="EW91" s="332"/>
      <c r="EX91" s="332"/>
      <c r="EY91" s="332"/>
      <c r="EZ91" s="332"/>
      <c r="FA91" s="332"/>
      <c r="FB91" s="332"/>
      <c r="FC91" s="332"/>
      <c r="FD91" s="332"/>
      <c r="FE91" s="332"/>
      <c r="FF91" s="332"/>
      <c r="FG91" s="332"/>
      <c r="FH91" s="332"/>
      <c r="FI91" s="332"/>
      <c r="FJ91" s="332"/>
      <c r="FK91" s="332"/>
      <c r="FL91" s="332"/>
      <c r="FM91" s="332"/>
      <c r="FN91" s="332"/>
      <c r="FO91" s="332"/>
      <c r="FP91" s="332"/>
      <c r="FQ91" s="332"/>
      <c r="FR91" s="332"/>
      <c r="FS91" s="332"/>
      <c r="FT91" s="332"/>
      <c r="FU91" s="332"/>
      <c r="FV91" s="332"/>
      <c r="FW91" s="332"/>
      <c r="FX91" s="332"/>
      <c r="FY91" s="332"/>
      <c r="FZ91" s="332"/>
      <c r="GA91" s="332"/>
      <c r="GB91" s="332"/>
      <c r="GC91" s="332"/>
      <c r="GD91" s="332"/>
      <c r="GE91" s="332"/>
      <c r="GF91" s="332"/>
      <c r="GG91" s="332"/>
      <c r="GH91" s="332"/>
      <c r="GI91" s="332"/>
      <c r="GJ91" s="332"/>
      <c r="GK91" s="332"/>
      <c r="GL91" s="332"/>
      <c r="GM91" s="332"/>
      <c r="GN91" s="332"/>
      <c r="GO91" s="332"/>
      <c r="GP91" s="332"/>
      <c r="GQ91" s="332"/>
      <c r="GR91" s="332"/>
      <c r="GS91" s="332"/>
      <c r="GT91" s="332"/>
      <c r="GU91" s="332"/>
      <c r="GV91" s="332"/>
      <c r="GW91" s="332"/>
      <c r="GX91" s="332"/>
      <c r="GY91" s="332"/>
      <c r="GZ91" s="332"/>
      <c r="HA91" s="332"/>
      <c r="HB91" s="332"/>
      <c r="HC91" s="332"/>
      <c r="HD91" s="332"/>
      <c r="HE91" s="332"/>
      <c r="HF91" s="332"/>
      <c r="HG91" s="332"/>
      <c r="HH91" s="332"/>
      <c r="HI91" s="332"/>
      <c r="HJ91" s="332"/>
      <c r="HK91" s="332"/>
      <c r="HL91" s="332"/>
      <c r="HM91" s="332"/>
      <c r="HN91" s="332"/>
      <c r="HO91" s="332"/>
      <c r="HP91" s="332"/>
      <c r="HQ91" s="332"/>
      <c r="HR91" s="332"/>
      <c r="HS91" s="332"/>
      <c r="HT91" s="332"/>
      <c r="HU91" s="332"/>
      <c r="HV91" s="332"/>
      <c r="HW91" s="332"/>
      <c r="HX91" s="332"/>
      <c r="HY91" s="332"/>
      <c r="HZ91" s="332"/>
      <c r="IA91" s="332"/>
      <c r="IB91" s="332"/>
      <c r="IC91" s="332"/>
      <c r="ID91" s="332"/>
      <c r="IE91" s="332"/>
      <c r="IF91" s="332"/>
      <c r="IG91" s="332"/>
      <c r="IH91" s="332"/>
      <c r="II91" s="332"/>
      <c r="IJ91" s="332"/>
      <c r="IK91" s="332"/>
      <c r="IL91" s="332"/>
      <c r="IM91" s="332"/>
      <c r="IN91" s="332"/>
      <c r="IO91" s="332"/>
      <c r="IP91" s="332"/>
      <c r="IQ91" s="332"/>
      <c r="IR91" s="332"/>
      <c r="IS91" s="332"/>
      <c r="IT91" s="332"/>
      <c r="IU91" s="332"/>
      <c r="IV91" s="332"/>
      <c r="IW91" s="332"/>
      <c r="IX91" s="332"/>
      <c r="IY91" s="332"/>
      <c r="IZ91" s="332"/>
      <c r="JA91" s="332"/>
      <c r="JB91" s="332"/>
      <c r="JC91" s="332"/>
      <c r="JD91" s="332"/>
      <c r="JE91" s="332"/>
      <c r="JF91" s="332"/>
      <c r="JG91" s="332"/>
      <c r="JH91" s="332"/>
      <c r="JI91" s="332"/>
      <c r="JJ91" s="332"/>
      <c r="JK91" s="332"/>
      <c r="JL91" s="332"/>
      <c r="JM91" s="332"/>
      <c r="JN91" s="332"/>
      <c r="JO91" s="332"/>
      <c r="JP91" s="332"/>
      <c r="JQ91" s="332"/>
      <c r="JR91" s="332"/>
      <c r="JS91" s="332"/>
      <c r="JT91" s="332"/>
      <c r="JU91" s="332"/>
      <c r="JV91" s="332"/>
      <c r="JW91" s="332"/>
      <c r="JX91" s="332"/>
      <c r="JY91" s="332"/>
      <c r="JZ91" s="332"/>
      <c r="KA91" s="332"/>
      <c r="KB91" s="332"/>
      <c r="KC91" s="332"/>
      <c r="KD91" s="332"/>
      <c r="KE91" s="332"/>
      <c r="KF91" s="332"/>
      <c r="KG91" s="332"/>
      <c r="KH91" s="332"/>
      <c r="KI91" s="332"/>
      <c r="KJ91" s="332"/>
      <c r="KK91" s="332"/>
      <c r="KL91" s="332"/>
      <c r="KM91" s="332"/>
      <c r="KN91" s="332"/>
      <c r="KO91" s="332"/>
      <c r="KP91" s="332"/>
      <c r="KQ91" s="332"/>
      <c r="KR91" s="332"/>
      <c r="KS91" s="332"/>
      <c r="KT91" s="332"/>
      <c r="KU91" s="332"/>
      <c r="KV91" s="332"/>
      <c r="KW91" s="332"/>
      <c r="KX91" s="332"/>
      <c r="KY91" s="332"/>
      <c r="KZ91" s="332"/>
      <c r="LA91" s="332"/>
      <c r="LB91" s="332"/>
      <c r="LC91" s="332"/>
      <c r="LD91" s="332"/>
      <c r="LE91" s="332"/>
      <c r="LF91" s="332"/>
      <c r="LG91" s="332"/>
      <c r="LH91" s="332"/>
      <c r="LI91" s="332"/>
      <c r="LJ91" s="332"/>
      <c r="LK91" s="332"/>
      <c r="LL91" s="332"/>
      <c r="LM91" s="332"/>
      <c r="LN91" s="332"/>
      <c r="LO91" s="332"/>
      <c r="LP91" s="332"/>
      <c r="LQ91" s="332"/>
      <c r="LR91" s="332"/>
      <c r="LS91" s="332"/>
      <c r="LT91" s="332"/>
      <c r="LU91" s="332"/>
      <c r="LV91" s="332"/>
      <c r="LW91" s="332"/>
      <c r="LX91" s="332"/>
      <c r="LY91" s="332"/>
      <c r="LZ91" s="332"/>
      <c r="MA91" s="332"/>
      <c r="MB91" s="332"/>
      <c r="MC91" s="332"/>
      <c r="MD91" s="332"/>
      <c r="ME91" s="332"/>
      <c r="MF91" s="332"/>
      <c r="MG91" s="332"/>
      <c r="MH91" s="332"/>
      <c r="MI91" s="332"/>
      <c r="MJ91" s="332"/>
      <c r="MK91" s="332"/>
      <c r="ML91" s="332"/>
      <c r="MM91" s="332"/>
      <c r="MN91" s="332"/>
      <c r="MO91" s="332"/>
      <c r="MP91" s="332"/>
      <c r="MQ91" s="332"/>
      <c r="MR91" s="332"/>
      <c r="MS91" s="332"/>
      <c r="MT91" s="332"/>
      <c r="MU91" s="332"/>
      <c r="MV91" s="332"/>
      <c r="MW91" s="332"/>
      <c r="MX91" s="332"/>
      <c r="MY91" s="332"/>
      <c r="MZ91" s="332"/>
      <c r="NA91" s="332"/>
      <c r="NB91" s="332"/>
      <c r="NC91" s="332"/>
      <c r="ND91" s="332"/>
      <c r="NE91" s="332"/>
      <c r="NF91" s="332"/>
      <c r="NG91" s="332"/>
      <c r="NH91" s="332"/>
      <c r="NI91" s="332"/>
      <c r="NJ91" s="332"/>
      <c r="NK91" s="332"/>
      <c r="NL91" s="332"/>
      <c r="NM91" s="332"/>
      <c r="NN91" s="332"/>
      <c r="NO91" s="332"/>
      <c r="NP91" s="332"/>
      <c r="NQ91" s="332"/>
      <c r="NR91" s="332"/>
      <c r="NS91" s="332"/>
      <c r="NT91" s="332"/>
      <c r="NU91" s="332"/>
      <c r="NV91" s="332"/>
      <c r="NW91" s="332"/>
      <c r="NX91" s="332"/>
      <c r="NY91" s="332"/>
      <c r="NZ91" s="332"/>
      <c r="OA91" s="332"/>
      <c r="OB91" s="332"/>
      <c r="OC91" s="332"/>
      <c r="OD91" s="332"/>
      <c r="OE91" s="332"/>
      <c r="OF91" s="332"/>
      <c r="OG91" s="332"/>
      <c r="OH91" s="332"/>
      <c r="OI91" s="332"/>
      <c r="OJ91" s="332"/>
      <c r="OK91" s="332"/>
      <c r="OL91" s="332"/>
      <c r="OM91" s="332"/>
      <c r="ON91" s="332"/>
      <c r="OO91" s="332"/>
      <c r="OP91" s="332"/>
      <c r="OQ91" s="332"/>
      <c r="OR91" s="332"/>
      <c r="OS91" s="332"/>
      <c r="OT91" s="332"/>
      <c r="OU91" s="332"/>
      <c r="OV91" s="332"/>
      <c r="OW91" s="332"/>
      <c r="OX91" s="332"/>
      <c r="OY91" s="332"/>
      <c r="OZ91" s="332"/>
      <c r="PA91" s="332"/>
      <c r="PB91" s="332"/>
      <c r="PC91" s="332"/>
      <c r="PD91" s="332"/>
      <c r="PE91" s="332"/>
      <c r="PF91" s="332"/>
      <c r="PG91" s="332"/>
      <c r="PH91" s="332"/>
      <c r="PI91" s="332"/>
      <c r="PJ91" s="332"/>
      <c r="PK91" s="332"/>
      <c r="PL91" s="332"/>
      <c r="PM91" s="332"/>
      <c r="PN91" s="332"/>
      <c r="PO91" s="332"/>
      <c r="PP91" s="332"/>
      <c r="PQ91" s="332"/>
      <c r="PR91" s="332"/>
      <c r="PS91" s="332"/>
      <c r="PT91" s="332"/>
      <c r="PU91" s="332"/>
      <c r="PV91" s="332"/>
      <c r="PW91" s="332"/>
      <c r="PX91" s="332"/>
      <c r="PY91" s="332"/>
      <c r="PZ91" s="332"/>
      <c r="QA91" s="332"/>
      <c r="QB91" s="332"/>
      <c r="QC91" s="332"/>
      <c r="QD91" s="332"/>
      <c r="QE91" s="332"/>
      <c r="QF91" s="332"/>
      <c r="QG91" s="332"/>
      <c r="QH91" s="332"/>
      <c r="QI91" s="332"/>
      <c r="QJ91" s="332"/>
      <c r="QK91" s="332"/>
      <c r="QL91" s="332"/>
      <c r="QM91" s="332"/>
      <c r="QN91" s="332"/>
      <c r="QO91" s="332"/>
      <c r="QP91" s="332"/>
      <c r="QQ91" s="332"/>
      <c r="QR91" s="332"/>
      <c r="QS91" s="332"/>
      <c r="QT91" s="332"/>
      <c r="QU91" s="332"/>
      <c r="QV91" s="332"/>
      <c r="QW91" s="332"/>
      <c r="QX91" s="332"/>
      <c r="QY91" s="332"/>
      <c r="QZ91" s="332"/>
      <c r="RA91" s="332"/>
      <c r="RB91" s="332"/>
      <c r="RC91" s="332"/>
      <c r="RD91" s="332"/>
      <c r="RE91" s="332"/>
      <c r="RF91" s="332"/>
      <c r="RG91" s="332"/>
      <c r="RH91" s="332"/>
      <c r="RI91" s="332"/>
      <c r="RJ91" s="332"/>
      <c r="RK91" s="332"/>
      <c r="RL91" s="332"/>
      <c r="RM91" s="332"/>
      <c r="RN91" s="332"/>
      <c r="RO91" s="332"/>
      <c r="RP91" s="332"/>
      <c r="RQ91" s="332"/>
      <c r="RR91" s="332"/>
      <c r="RS91" s="332"/>
      <c r="RT91" s="332"/>
      <c r="RU91" s="332"/>
      <c r="RV91" s="332"/>
      <c r="RW91" s="332"/>
      <c r="RX91" s="332"/>
      <c r="RY91" s="332"/>
      <c r="RZ91" s="332"/>
      <c r="SA91" s="332"/>
      <c r="SB91" s="332"/>
      <c r="SC91" s="332"/>
      <c r="SD91" s="332"/>
      <c r="SE91" s="332"/>
      <c r="SF91" s="332"/>
      <c r="SG91" s="332"/>
      <c r="SH91" s="332"/>
      <c r="SI91" s="332"/>
      <c r="SJ91" s="332"/>
      <c r="SK91" s="332"/>
      <c r="SL91" s="332"/>
      <c r="SM91" s="332"/>
      <c r="SN91" s="332"/>
      <c r="SO91" s="332"/>
      <c r="SP91" s="332"/>
      <c r="SQ91" s="332"/>
      <c r="SR91" s="332"/>
      <c r="SS91" s="332"/>
      <c r="ST91" s="332"/>
      <c r="SU91" s="332"/>
      <c r="SV91" s="332"/>
      <c r="SW91" s="332"/>
      <c r="SX91" s="332"/>
      <c r="SY91" s="332"/>
      <c r="SZ91" s="332"/>
      <c r="TA91" s="332"/>
      <c r="TB91" s="332"/>
      <c r="TC91" s="332"/>
      <c r="TD91" s="332"/>
      <c r="TE91" s="332"/>
      <c r="TF91" s="332"/>
      <c r="TG91" s="332"/>
      <c r="TH91" s="332"/>
      <c r="TI91" s="332"/>
      <c r="TJ91" s="332"/>
      <c r="TK91" s="332"/>
      <c r="TL91" s="332"/>
      <c r="TM91" s="332"/>
      <c r="TN91" s="332"/>
      <c r="TO91" s="332"/>
      <c r="TP91" s="332"/>
      <c r="TQ91" s="332"/>
      <c r="TR91" s="332"/>
      <c r="TS91" s="332"/>
      <c r="TT91" s="332"/>
      <c r="TU91" s="332"/>
      <c r="TV91" s="332"/>
      <c r="TW91" s="332"/>
      <c r="TX91" s="332"/>
      <c r="TY91" s="332"/>
      <c r="TZ91" s="332"/>
      <c r="UA91" s="332"/>
      <c r="UB91" s="332"/>
      <c r="UC91" s="332"/>
      <c r="UD91" s="332"/>
      <c r="UE91" s="332"/>
      <c r="UF91" s="332"/>
      <c r="UG91" s="332"/>
      <c r="UH91" s="332"/>
      <c r="UI91" s="332"/>
      <c r="UJ91" s="332"/>
      <c r="UK91" s="332"/>
      <c r="UL91" s="332"/>
      <c r="UM91" s="332"/>
      <c r="UN91" s="332"/>
      <c r="UO91" s="332"/>
      <c r="UP91" s="332"/>
      <c r="UQ91" s="332"/>
      <c r="UR91" s="332"/>
      <c r="US91" s="332"/>
      <c r="UT91" s="332"/>
      <c r="UU91" s="332"/>
      <c r="UV91" s="332"/>
      <c r="UW91" s="332"/>
      <c r="UX91" s="332"/>
      <c r="UY91" s="332"/>
      <c r="UZ91" s="332"/>
      <c r="VA91" s="332"/>
      <c r="VB91" s="332"/>
      <c r="VC91" s="332"/>
      <c r="VD91" s="332"/>
      <c r="VE91" s="332"/>
      <c r="VF91" s="332"/>
      <c r="VG91" s="332"/>
      <c r="VH91" s="332"/>
      <c r="VI91" s="332"/>
      <c r="VJ91" s="332"/>
      <c r="VK91" s="332"/>
      <c r="VL91" s="332"/>
      <c r="VM91" s="332"/>
      <c r="VN91" s="332"/>
      <c r="VO91" s="332"/>
      <c r="VP91" s="332"/>
      <c r="VQ91" s="332"/>
      <c r="VR91" s="332"/>
      <c r="VS91" s="332"/>
      <c r="VT91" s="332"/>
      <c r="VU91" s="332"/>
      <c r="VV91" s="332"/>
      <c r="VW91" s="332"/>
      <c r="VX91" s="332"/>
      <c r="VY91" s="332"/>
      <c r="VZ91" s="332"/>
      <c r="WA91" s="332"/>
      <c r="WB91" s="332"/>
      <c r="WC91" s="332"/>
      <c r="WD91" s="332"/>
      <c r="WE91" s="332"/>
      <c r="WF91" s="332"/>
      <c r="WG91" s="332"/>
      <c r="WH91" s="332"/>
      <c r="WI91" s="332"/>
      <c r="WJ91" s="332"/>
      <c r="WK91" s="332"/>
      <c r="WL91" s="332"/>
      <c r="WM91" s="332"/>
      <c r="WN91" s="332"/>
      <c r="WO91" s="332"/>
      <c r="WP91" s="332"/>
      <c r="WQ91" s="332"/>
      <c r="WR91" s="332"/>
      <c r="WS91" s="332"/>
      <c r="WT91" s="332"/>
      <c r="WU91" s="332"/>
      <c r="WV91" s="332"/>
      <c r="WW91" s="332"/>
      <c r="WX91" s="332"/>
      <c r="WY91" s="332"/>
      <c r="WZ91" s="332"/>
      <c r="XA91" s="332"/>
      <c r="XB91" s="332"/>
      <c r="XC91" s="332"/>
      <c r="XD91" s="332"/>
      <c r="XE91" s="332"/>
      <c r="XF91" s="332"/>
      <c r="XG91" s="332"/>
      <c r="XH91" s="332"/>
      <c r="XI91" s="332"/>
      <c r="XJ91" s="332"/>
      <c r="XK91" s="332"/>
      <c r="XL91" s="332"/>
      <c r="XM91" s="332"/>
      <c r="XN91" s="332"/>
      <c r="XO91" s="332"/>
      <c r="XP91" s="332"/>
      <c r="XQ91" s="332"/>
      <c r="XR91" s="332"/>
      <c r="XS91" s="332"/>
      <c r="XT91" s="332"/>
      <c r="XU91" s="332"/>
      <c r="XV91" s="332"/>
      <c r="XW91" s="332"/>
      <c r="XX91" s="332"/>
      <c r="XY91" s="332"/>
      <c r="XZ91" s="332"/>
      <c r="YA91" s="332"/>
      <c r="YB91" s="332"/>
      <c r="YC91" s="332"/>
      <c r="YD91" s="332"/>
      <c r="YE91" s="332"/>
      <c r="YF91" s="332"/>
      <c r="YG91" s="332"/>
      <c r="YH91" s="332"/>
      <c r="YI91" s="332"/>
      <c r="YJ91" s="332"/>
      <c r="YK91" s="332"/>
      <c r="YL91" s="332"/>
      <c r="YM91" s="332"/>
      <c r="YN91" s="332"/>
      <c r="YO91" s="332"/>
      <c r="YP91" s="332"/>
      <c r="YQ91" s="332"/>
      <c r="YR91" s="332"/>
      <c r="YS91" s="332"/>
      <c r="YT91" s="332"/>
      <c r="YU91" s="332"/>
      <c r="YV91" s="332"/>
      <c r="YW91" s="332"/>
      <c r="YX91" s="332"/>
      <c r="YY91" s="332"/>
      <c r="YZ91" s="332"/>
      <c r="ZA91" s="332"/>
      <c r="ZB91" s="332"/>
      <c r="ZC91" s="332"/>
      <c r="ZD91" s="332"/>
      <c r="ZE91" s="332"/>
      <c r="ZF91" s="332"/>
      <c r="ZG91" s="332"/>
      <c r="ZH91" s="332"/>
      <c r="ZI91" s="332"/>
      <c r="ZJ91" s="332"/>
      <c r="ZK91" s="332"/>
      <c r="ZL91" s="332"/>
      <c r="ZM91" s="332"/>
      <c r="ZN91" s="332"/>
      <c r="ZO91" s="332"/>
      <c r="ZP91" s="332"/>
      <c r="ZQ91" s="332"/>
      <c r="ZR91" s="332"/>
      <c r="ZS91" s="332"/>
      <c r="ZT91" s="332"/>
      <c r="ZU91" s="332"/>
      <c r="ZV91" s="332"/>
      <c r="ZW91" s="332"/>
      <c r="ZX91" s="332"/>
      <c r="ZY91" s="332"/>
      <c r="ZZ91" s="332"/>
      <c r="AAA91" s="332"/>
      <c r="AAB91" s="332"/>
      <c r="AAC91" s="332"/>
      <c r="AAD91" s="332"/>
      <c r="AAE91" s="332"/>
      <c r="AAF91" s="332"/>
      <c r="AAG91" s="332"/>
      <c r="AAH91" s="332"/>
      <c r="AAI91" s="332"/>
      <c r="AAJ91" s="332"/>
      <c r="AAK91" s="332"/>
      <c r="AAL91" s="332"/>
      <c r="AAM91" s="332"/>
      <c r="AAN91" s="332"/>
      <c r="AAO91" s="332"/>
      <c r="AAP91" s="332"/>
      <c r="AAQ91" s="332"/>
      <c r="AAR91" s="332"/>
      <c r="AAS91" s="332"/>
      <c r="AAT91" s="332"/>
      <c r="AAU91" s="332"/>
      <c r="AAV91" s="332"/>
      <c r="AAW91" s="332"/>
      <c r="AAX91" s="332"/>
      <c r="AAY91" s="332"/>
      <c r="AAZ91" s="332"/>
      <c r="ABA91" s="332"/>
      <c r="ABB91" s="332"/>
      <c r="ABC91" s="332"/>
      <c r="ABD91" s="332"/>
      <c r="ABE91" s="332"/>
      <c r="ABF91" s="332"/>
      <c r="ABG91" s="332"/>
      <c r="ABH91" s="332"/>
      <c r="ABI91" s="332"/>
      <c r="ABJ91" s="332"/>
      <c r="ABK91" s="332"/>
      <c r="ABL91" s="332"/>
      <c r="ABM91" s="332"/>
      <c r="ABN91" s="332"/>
      <c r="ABO91" s="332"/>
      <c r="ABP91" s="332"/>
      <c r="ABQ91" s="332"/>
      <c r="ABR91" s="332"/>
      <c r="ABS91" s="332"/>
      <c r="ABT91" s="332"/>
      <c r="ABU91" s="332"/>
      <c r="ABV91" s="332"/>
      <c r="ABW91" s="332"/>
      <c r="ABX91" s="332"/>
      <c r="ABY91" s="332"/>
      <c r="ABZ91" s="332"/>
      <c r="ACA91" s="332"/>
      <c r="ACB91" s="332"/>
      <c r="ACC91" s="332"/>
      <c r="ACD91" s="332"/>
      <c r="ACE91" s="332"/>
      <c r="ACF91" s="332"/>
      <c r="ACG91" s="332"/>
      <c r="ACH91" s="332"/>
      <c r="ACI91" s="332"/>
      <c r="ACJ91" s="332"/>
      <c r="ACK91" s="332"/>
      <c r="ACL91" s="332"/>
      <c r="ACM91" s="332"/>
      <c r="ACN91" s="332"/>
      <c r="ACO91" s="332"/>
      <c r="ACP91" s="332"/>
      <c r="ACQ91" s="332"/>
      <c r="ACR91" s="332"/>
      <c r="ACS91" s="332"/>
      <c r="ACT91" s="332"/>
      <c r="ACU91" s="332"/>
      <c r="ACV91" s="332"/>
      <c r="ACW91" s="332"/>
      <c r="ACX91" s="332"/>
      <c r="ACY91" s="332"/>
      <c r="ACZ91" s="332"/>
      <c r="ADA91" s="332"/>
      <c r="ADB91" s="332"/>
      <c r="ADC91" s="332"/>
      <c r="ADD91" s="332"/>
      <c r="ADE91" s="332"/>
      <c r="ADF91" s="332"/>
      <c r="ADG91" s="332"/>
      <c r="ADH91" s="332"/>
      <c r="ADI91" s="332"/>
      <c r="ADJ91" s="332"/>
      <c r="ADK91" s="332"/>
      <c r="ADL91" s="332"/>
      <c r="ADM91" s="332"/>
      <c r="ADN91" s="332"/>
      <c r="ADO91" s="332"/>
      <c r="ADP91" s="332"/>
      <c r="ADQ91" s="332"/>
      <c r="ADR91" s="332"/>
      <c r="ADS91" s="332"/>
      <c r="ADT91" s="332"/>
      <c r="ADU91" s="332"/>
      <c r="ADV91" s="332"/>
      <c r="ADW91" s="332"/>
      <c r="ADX91" s="332"/>
      <c r="ADY91" s="332"/>
      <c r="ADZ91" s="332"/>
      <c r="AEA91" s="332"/>
      <c r="AEB91" s="332"/>
      <c r="AEC91" s="332"/>
      <c r="AED91" s="332"/>
      <c r="AEE91" s="332"/>
      <c r="AEF91" s="332"/>
      <c r="AEG91" s="332"/>
      <c r="AEH91" s="332"/>
      <c r="AEI91" s="332"/>
      <c r="AEJ91" s="332"/>
      <c r="AEK91" s="332"/>
      <c r="AEL91" s="332"/>
      <c r="AEM91" s="332"/>
      <c r="AEN91" s="332"/>
      <c r="AEO91" s="332"/>
      <c r="AEP91" s="332"/>
      <c r="AEQ91" s="332"/>
      <c r="AER91" s="332"/>
      <c r="AES91" s="332"/>
      <c r="AET91" s="332"/>
      <c r="AEU91" s="332"/>
      <c r="AEV91" s="332"/>
      <c r="AEW91" s="332"/>
      <c r="AEX91" s="332"/>
      <c r="AEY91" s="332"/>
      <c r="AEZ91" s="332"/>
      <c r="AFA91" s="332"/>
      <c r="AFB91" s="332"/>
      <c r="AFC91" s="332"/>
      <c r="AFD91" s="332"/>
      <c r="AFE91" s="332"/>
      <c r="AFF91" s="332"/>
      <c r="AFG91" s="332"/>
      <c r="AFH91" s="332"/>
      <c r="AFI91" s="332"/>
      <c r="AFJ91" s="332"/>
      <c r="AFK91" s="332"/>
      <c r="AFL91" s="332"/>
      <c r="AFM91" s="332"/>
      <c r="AFN91" s="332"/>
      <c r="AFO91" s="332"/>
      <c r="AFP91" s="332"/>
      <c r="AFQ91" s="332"/>
      <c r="AFR91" s="332"/>
      <c r="AFS91" s="332"/>
      <c r="AFT91" s="332"/>
      <c r="AFU91" s="332"/>
      <c r="AFV91" s="332"/>
      <c r="AFW91" s="332"/>
      <c r="AFX91" s="332"/>
      <c r="AFY91" s="332"/>
      <c r="AFZ91" s="332"/>
      <c r="AGA91" s="332"/>
      <c r="AGB91" s="332"/>
      <c r="AGC91" s="332"/>
      <c r="AGD91" s="332"/>
      <c r="AGE91" s="332"/>
      <c r="AGF91" s="332"/>
      <c r="AGG91" s="332"/>
      <c r="AGH91" s="332"/>
      <c r="AGI91" s="332"/>
      <c r="AGJ91" s="332"/>
      <c r="AGK91" s="332"/>
      <c r="AGL91" s="332"/>
      <c r="AGM91" s="332"/>
      <c r="AGN91" s="332"/>
      <c r="AGO91" s="332"/>
      <c r="AGP91" s="332"/>
      <c r="AGQ91" s="332"/>
      <c r="AGR91" s="332"/>
      <c r="AGS91" s="332"/>
      <c r="AGT91" s="332"/>
      <c r="AGU91" s="332"/>
      <c r="AGV91" s="332"/>
      <c r="AGW91" s="332"/>
      <c r="AGX91" s="332"/>
      <c r="AGY91" s="332"/>
      <c r="AGZ91" s="332"/>
      <c r="AHA91" s="332"/>
      <c r="AHB91" s="332"/>
      <c r="AHC91" s="332"/>
      <c r="AHD91" s="332"/>
      <c r="AHE91" s="332"/>
      <c r="AHF91" s="332"/>
      <c r="AHG91" s="332"/>
      <c r="AHH91" s="332"/>
      <c r="AHI91" s="332"/>
      <c r="AHJ91" s="332"/>
      <c r="AHK91" s="332"/>
      <c r="AHL91" s="332"/>
      <c r="AHM91" s="332"/>
      <c r="AHN91" s="332"/>
      <c r="AHO91" s="332"/>
      <c r="AHP91" s="332"/>
      <c r="AHQ91" s="332"/>
      <c r="AHR91" s="332"/>
      <c r="AHS91" s="332"/>
      <c r="AHT91" s="332"/>
      <c r="AHU91" s="332"/>
      <c r="AHV91" s="332"/>
      <c r="AHW91" s="332"/>
      <c r="AHX91" s="332"/>
      <c r="AHY91" s="332"/>
      <c r="AHZ91" s="332"/>
      <c r="AIA91" s="332"/>
      <c r="AIB91" s="332"/>
      <c r="AIC91" s="332"/>
      <c r="AID91" s="332"/>
      <c r="AIE91" s="332"/>
      <c r="AIF91" s="332"/>
      <c r="AIG91" s="332"/>
      <c r="AIH91" s="332"/>
      <c r="AII91" s="332"/>
      <c r="AIJ91" s="332"/>
      <c r="AIK91" s="332"/>
      <c r="AIL91" s="332"/>
      <c r="AIM91" s="332"/>
      <c r="AIN91" s="332"/>
      <c r="AIO91" s="332"/>
      <c r="AIP91" s="332"/>
      <c r="AIQ91" s="332"/>
      <c r="AIR91" s="332"/>
      <c r="AIS91" s="332"/>
      <c r="AIT91" s="332"/>
      <c r="AIU91" s="332"/>
      <c r="AIV91" s="332"/>
      <c r="AIW91" s="332"/>
      <c r="AIX91" s="332"/>
      <c r="AIY91" s="332"/>
      <c r="AIZ91" s="332"/>
      <c r="AJA91" s="332"/>
      <c r="AJB91" s="332"/>
      <c r="AJC91" s="332"/>
      <c r="AJD91" s="332"/>
      <c r="AJE91" s="332"/>
      <c r="AJF91" s="332"/>
      <c r="AJG91" s="332"/>
      <c r="AJH91" s="332"/>
      <c r="AJI91" s="332"/>
      <c r="AJJ91" s="332"/>
      <c r="AJK91" s="332"/>
      <c r="AJL91" s="332"/>
      <c r="AJM91" s="332"/>
      <c r="AJN91" s="332"/>
      <c r="AJO91" s="332"/>
      <c r="AJP91" s="332"/>
      <c r="AJQ91" s="332"/>
      <c r="AJR91" s="332"/>
      <c r="AJS91" s="332"/>
      <c r="AJT91" s="332"/>
      <c r="AJU91" s="332"/>
      <c r="AJV91" s="332"/>
      <c r="AJW91" s="332"/>
      <c r="AJX91" s="332"/>
      <c r="AJY91" s="332"/>
      <c r="AJZ91" s="332"/>
      <c r="AKA91" s="332"/>
      <c r="AKB91" s="332"/>
      <c r="AKC91" s="332"/>
      <c r="AKD91" s="332"/>
      <c r="AKE91" s="332"/>
      <c r="AKF91" s="332"/>
      <c r="AKG91" s="332"/>
      <c r="AKH91" s="332"/>
      <c r="AKI91" s="332"/>
      <c r="AKJ91" s="332"/>
      <c r="AKK91" s="332"/>
      <c r="AKL91" s="332"/>
      <c r="AKM91" s="332"/>
      <c r="AKN91" s="332"/>
      <c r="AKO91" s="332"/>
      <c r="AKP91" s="332"/>
      <c r="AKQ91" s="332"/>
      <c r="AKR91" s="332"/>
      <c r="AKS91" s="332"/>
      <c r="AKT91" s="332"/>
      <c r="AKU91" s="332"/>
      <c r="AKV91" s="332"/>
      <c r="AKW91" s="332"/>
      <c r="AKX91" s="332"/>
      <c r="AKY91" s="332"/>
      <c r="AKZ91" s="332"/>
      <c r="ALA91" s="332"/>
      <c r="ALB91" s="332"/>
      <c r="ALC91" s="332"/>
      <c r="ALD91" s="332"/>
      <c r="ALE91" s="332"/>
      <c r="ALF91" s="332"/>
      <c r="ALG91" s="332"/>
      <c r="ALH91" s="332"/>
      <c r="ALI91" s="332"/>
      <c r="ALJ91" s="332"/>
      <c r="ALK91" s="332"/>
      <c r="ALL91" s="332"/>
      <c r="ALM91" s="332"/>
      <c r="ALN91" s="332"/>
      <c r="ALO91" s="332"/>
      <c r="ALP91" s="332"/>
      <c r="ALQ91" s="332"/>
      <c r="ALR91" s="332"/>
      <c r="ALS91" s="332"/>
      <c r="ALT91" s="332"/>
      <c r="ALU91" s="332"/>
      <c r="ALV91" s="332"/>
      <c r="ALW91" s="332"/>
      <c r="ALX91" s="332"/>
      <c r="ALY91" s="332"/>
      <c r="ALZ91" s="332"/>
      <c r="AMA91" s="332"/>
      <c r="AMB91" s="332"/>
      <c r="AMC91" s="332"/>
      <c r="AMD91" s="332"/>
      <c r="AME91" s="332"/>
      <c r="AMF91" s="332"/>
      <c r="AMG91" s="332"/>
      <c r="AMH91" s="332"/>
      <c r="AMI91" s="332"/>
      <c r="AMJ91" s="332"/>
    </row>
    <row r="92" spans="1:1024" s="337" customFormat="1" ht="12" customHeight="1" x14ac:dyDescent="0.25">
      <c r="A92" s="345" t="s">
        <v>214</v>
      </c>
      <c r="B92" s="344">
        <f>+B89+B91+B90</f>
        <v>12687172</v>
      </c>
      <c r="C92" s="332"/>
      <c r="D92" s="332"/>
      <c r="E92" s="334"/>
      <c r="F92" s="332"/>
      <c r="G92" s="334"/>
      <c r="H92" s="332"/>
      <c r="I92" s="332"/>
      <c r="J92" s="332"/>
      <c r="K92" s="332"/>
      <c r="L92" s="332"/>
      <c r="M92" s="332"/>
      <c r="N92" s="334"/>
      <c r="O92" s="332"/>
      <c r="P92" s="334"/>
      <c r="Q92" s="332"/>
      <c r="R92" s="335"/>
      <c r="S92" s="332"/>
      <c r="T92" s="336"/>
      <c r="U92" s="332"/>
      <c r="V92" s="332"/>
      <c r="W92" s="332"/>
      <c r="X92" s="332"/>
      <c r="Y92" s="332"/>
      <c r="Z92" s="332"/>
      <c r="AA92" s="332"/>
      <c r="AB92" s="332"/>
      <c r="AC92" s="332"/>
      <c r="AD92" s="332"/>
      <c r="AE92" s="332"/>
      <c r="AF92" s="332"/>
      <c r="AG92" s="332"/>
      <c r="AH92" s="332"/>
      <c r="AI92" s="332"/>
      <c r="AJ92" s="332"/>
      <c r="AK92" s="332"/>
      <c r="AL92" s="332"/>
      <c r="AM92" s="332"/>
      <c r="AN92" s="332"/>
      <c r="AO92" s="332"/>
      <c r="AP92" s="332"/>
      <c r="AQ92" s="332"/>
      <c r="AR92" s="332"/>
      <c r="AS92" s="332"/>
      <c r="AT92" s="332"/>
      <c r="AU92" s="332"/>
      <c r="AV92" s="332"/>
      <c r="AW92" s="332"/>
      <c r="AX92" s="332"/>
      <c r="AY92" s="332"/>
      <c r="AZ92" s="332"/>
      <c r="BA92" s="332"/>
      <c r="BB92" s="332"/>
      <c r="BC92" s="332"/>
      <c r="BD92" s="332"/>
      <c r="BE92" s="332"/>
      <c r="BF92" s="332"/>
      <c r="BG92" s="332"/>
      <c r="BH92" s="332"/>
      <c r="BI92" s="332"/>
      <c r="BJ92" s="332"/>
      <c r="BK92" s="332"/>
      <c r="BL92" s="332"/>
      <c r="BM92" s="332"/>
      <c r="BN92" s="332"/>
      <c r="BO92" s="332"/>
      <c r="BP92" s="332"/>
      <c r="BQ92" s="332"/>
      <c r="BR92" s="332"/>
      <c r="BS92" s="332"/>
      <c r="BT92" s="332"/>
      <c r="BU92" s="332"/>
      <c r="BV92" s="332"/>
      <c r="BW92" s="332"/>
      <c r="BX92" s="332"/>
      <c r="BY92" s="332"/>
      <c r="BZ92" s="332"/>
      <c r="CA92" s="332"/>
      <c r="CB92" s="332"/>
      <c r="CC92" s="332"/>
      <c r="CD92" s="332"/>
      <c r="CE92" s="332"/>
      <c r="CF92" s="332"/>
      <c r="CG92" s="332"/>
      <c r="CH92" s="332"/>
      <c r="CI92" s="332"/>
      <c r="CJ92" s="332"/>
      <c r="CK92" s="332"/>
      <c r="CL92" s="332"/>
      <c r="CM92" s="332"/>
      <c r="CN92" s="332"/>
      <c r="CO92" s="332"/>
      <c r="CP92" s="332"/>
      <c r="CQ92" s="332"/>
      <c r="CR92" s="332"/>
      <c r="CS92" s="332"/>
      <c r="CT92" s="332"/>
      <c r="CU92" s="332"/>
      <c r="CV92" s="332"/>
      <c r="CW92" s="332"/>
      <c r="CX92" s="332"/>
      <c r="CY92" s="332"/>
      <c r="CZ92" s="332"/>
      <c r="DA92" s="332"/>
      <c r="DB92" s="332"/>
      <c r="DC92" s="332"/>
      <c r="DD92" s="332"/>
      <c r="DE92" s="332"/>
      <c r="DF92" s="332"/>
      <c r="DG92" s="332"/>
      <c r="DH92" s="332"/>
      <c r="DI92" s="332"/>
      <c r="DJ92" s="332"/>
      <c r="DK92" s="332"/>
      <c r="DL92" s="332"/>
      <c r="DM92" s="332"/>
      <c r="DN92" s="332"/>
      <c r="DO92" s="332"/>
      <c r="DP92" s="332"/>
      <c r="DQ92" s="332"/>
      <c r="DR92" s="332"/>
      <c r="DS92" s="332"/>
      <c r="DT92" s="332"/>
      <c r="DU92" s="332"/>
      <c r="DV92" s="332"/>
      <c r="DW92" s="332"/>
      <c r="DX92" s="332"/>
      <c r="DY92" s="332"/>
      <c r="DZ92" s="332"/>
      <c r="EA92" s="332"/>
      <c r="EB92" s="332"/>
      <c r="EC92" s="332"/>
      <c r="ED92" s="332"/>
      <c r="EE92" s="332"/>
      <c r="EF92" s="332"/>
      <c r="EG92" s="332"/>
      <c r="EH92" s="332"/>
      <c r="EI92" s="332"/>
      <c r="EJ92" s="332"/>
      <c r="EK92" s="332"/>
      <c r="EL92" s="332"/>
      <c r="EM92" s="332"/>
      <c r="EN92" s="332"/>
      <c r="EO92" s="332"/>
      <c r="EP92" s="332"/>
      <c r="EQ92" s="332"/>
      <c r="ER92" s="332"/>
      <c r="ES92" s="332"/>
      <c r="ET92" s="332"/>
      <c r="EU92" s="332"/>
      <c r="EV92" s="332"/>
      <c r="EW92" s="332"/>
      <c r="EX92" s="332"/>
      <c r="EY92" s="332"/>
      <c r="EZ92" s="332"/>
      <c r="FA92" s="332"/>
      <c r="FB92" s="332"/>
      <c r="FC92" s="332"/>
      <c r="FD92" s="332"/>
      <c r="FE92" s="332"/>
      <c r="FF92" s="332"/>
      <c r="FG92" s="332"/>
      <c r="FH92" s="332"/>
      <c r="FI92" s="332"/>
      <c r="FJ92" s="332"/>
      <c r="FK92" s="332"/>
      <c r="FL92" s="332"/>
      <c r="FM92" s="332"/>
      <c r="FN92" s="332"/>
      <c r="FO92" s="332"/>
      <c r="FP92" s="332"/>
      <c r="FQ92" s="332"/>
      <c r="FR92" s="332"/>
      <c r="FS92" s="332"/>
      <c r="FT92" s="332"/>
      <c r="FU92" s="332"/>
      <c r="FV92" s="332"/>
      <c r="FW92" s="332"/>
      <c r="FX92" s="332"/>
      <c r="FY92" s="332"/>
      <c r="FZ92" s="332"/>
      <c r="GA92" s="332"/>
      <c r="GB92" s="332"/>
      <c r="GC92" s="332"/>
      <c r="GD92" s="332"/>
      <c r="GE92" s="332"/>
      <c r="GF92" s="332"/>
      <c r="GG92" s="332"/>
      <c r="GH92" s="332"/>
      <c r="GI92" s="332"/>
      <c r="GJ92" s="332"/>
      <c r="GK92" s="332"/>
      <c r="GL92" s="332"/>
      <c r="GM92" s="332"/>
      <c r="GN92" s="332"/>
      <c r="GO92" s="332"/>
      <c r="GP92" s="332"/>
      <c r="GQ92" s="332"/>
      <c r="GR92" s="332"/>
      <c r="GS92" s="332"/>
      <c r="GT92" s="332"/>
      <c r="GU92" s="332"/>
      <c r="GV92" s="332"/>
      <c r="GW92" s="332"/>
      <c r="GX92" s="332"/>
      <c r="GY92" s="332"/>
      <c r="GZ92" s="332"/>
      <c r="HA92" s="332"/>
      <c r="HB92" s="332"/>
      <c r="HC92" s="332"/>
      <c r="HD92" s="332"/>
      <c r="HE92" s="332"/>
      <c r="HF92" s="332"/>
      <c r="HG92" s="332"/>
      <c r="HH92" s="332"/>
      <c r="HI92" s="332"/>
      <c r="HJ92" s="332"/>
      <c r="HK92" s="332"/>
      <c r="HL92" s="332"/>
      <c r="HM92" s="332"/>
      <c r="HN92" s="332"/>
      <c r="HO92" s="332"/>
      <c r="HP92" s="332"/>
      <c r="HQ92" s="332"/>
      <c r="HR92" s="332"/>
      <c r="HS92" s="332"/>
      <c r="HT92" s="332"/>
      <c r="HU92" s="332"/>
      <c r="HV92" s="332"/>
      <c r="HW92" s="332"/>
      <c r="HX92" s="332"/>
      <c r="HY92" s="332"/>
      <c r="HZ92" s="332"/>
      <c r="IA92" s="332"/>
      <c r="IB92" s="332"/>
      <c r="IC92" s="332"/>
      <c r="ID92" s="332"/>
      <c r="IE92" s="332"/>
      <c r="IF92" s="332"/>
      <c r="IG92" s="332"/>
      <c r="IH92" s="332"/>
      <c r="II92" s="332"/>
      <c r="IJ92" s="332"/>
      <c r="IK92" s="332"/>
      <c r="IL92" s="332"/>
      <c r="IM92" s="332"/>
      <c r="IN92" s="332"/>
      <c r="IO92" s="332"/>
      <c r="IP92" s="332"/>
      <c r="IQ92" s="332"/>
      <c r="IR92" s="332"/>
      <c r="IS92" s="332"/>
      <c r="IT92" s="332"/>
      <c r="IU92" s="332"/>
      <c r="IV92" s="332"/>
      <c r="IW92" s="332"/>
      <c r="IX92" s="332"/>
      <c r="IY92" s="332"/>
      <c r="IZ92" s="332"/>
      <c r="JA92" s="332"/>
      <c r="JB92" s="332"/>
      <c r="JC92" s="332"/>
      <c r="JD92" s="332"/>
      <c r="JE92" s="332"/>
      <c r="JF92" s="332"/>
      <c r="JG92" s="332"/>
      <c r="JH92" s="332"/>
      <c r="JI92" s="332"/>
      <c r="JJ92" s="332"/>
      <c r="JK92" s="332"/>
      <c r="JL92" s="332"/>
      <c r="JM92" s="332"/>
      <c r="JN92" s="332"/>
      <c r="JO92" s="332"/>
      <c r="JP92" s="332"/>
      <c r="JQ92" s="332"/>
      <c r="JR92" s="332"/>
      <c r="JS92" s="332"/>
      <c r="JT92" s="332"/>
      <c r="JU92" s="332"/>
      <c r="JV92" s="332"/>
      <c r="JW92" s="332"/>
      <c r="JX92" s="332"/>
      <c r="JY92" s="332"/>
      <c r="JZ92" s="332"/>
      <c r="KA92" s="332"/>
      <c r="KB92" s="332"/>
      <c r="KC92" s="332"/>
      <c r="KD92" s="332"/>
      <c r="KE92" s="332"/>
      <c r="KF92" s="332"/>
      <c r="KG92" s="332"/>
      <c r="KH92" s="332"/>
      <c r="KI92" s="332"/>
      <c r="KJ92" s="332"/>
      <c r="KK92" s="332"/>
      <c r="KL92" s="332"/>
      <c r="KM92" s="332"/>
      <c r="KN92" s="332"/>
      <c r="KO92" s="332"/>
      <c r="KP92" s="332"/>
      <c r="KQ92" s="332"/>
      <c r="KR92" s="332"/>
      <c r="KS92" s="332"/>
      <c r="KT92" s="332"/>
      <c r="KU92" s="332"/>
      <c r="KV92" s="332"/>
      <c r="KW92" s="332"/>
      <c r="KX92" s="332"/>
      <c r="KY92" s="332"/>
      <c r="KZ92" s="332"/>
      <c r="LA92" s="332"/>
      <c r="LB92" s="332"/>
      <c r="LC92" s="332"/>
      <c r="LD92" s="332"/>
      <c r="LE92" s="332"/>
      <c r="LF92" s="332"/>
      <c r="LG92" s="332"/>
      <c r="LH92" s="332"/>
      <c r="LI92" s="332"/>
      <c r="LJ92" s="332"/>
      <c r="LK92" s="332"/>
      <c r="LL92" s="332"/>
      <c r="LM92" s="332"/>
      <c r="LN92" s="332"/>
      <c r="LO92" s="332"/>
      <c r="LP92" s="332"/>
      <c r="LQ92" s="332"/>
      <c r="LR92" s="332"/>
      <c r="LS92" s="332"/>
      <c r="LT92" s="332"/>
      <c r="LU92" s="332"/>
      <c r="LV92" s="332"/>
      <c r="LW92" s="332"/>
      <c r="LX92" s="332"/>
      <c r="LY92" s="332"/>
      <c r="LZ92" s="332"/>
      <c r="MA92" s="332"/>
      <c r="MB92" s="332"/>
      <c r="MC92" s="332"/>
      <c r="MD92" s="332"/>
      <c r="ME92" s="332"/>
      <c r="MF92" s="332"/>
      <c r="MG92" s="332"/>
      <c r="MH92" s="332"/>
      <c r="MI92" s="332"/>
      <c r="MJ92" s="332"/>
      <c r="MK92" s="332"/>
      <c r="ML92" s="332"/>
      <c r="MM92" s="332"/>
      <c r="MN92" s="332"/>
      <c r="MO92" s="332"/>
      <c r="MP92" s="332"/>
      <c r="MQ92" s="332"/>
      <c r="MR92" s="332"/>
      <c r="MS92" s="332"/>
      <c r="MT92" s="332"/>
      <c r="MU92" s="332"/>
      <c r="MV92" s="332"/>
      <c r="MW92" s="332"/>
      <c r="MX92" s="332"/>
      <c r="MY92" s="332"/>
      <c r="MZ92" s="332"/>
      <c r="NA92" s="332"/>
      <c r="NB92" s="332"/>
      <c r="NC92" s="332"/>
      <c r="ND92" s="332"/>
      <c r="NE92" s="332"/>
      <c r="NF92" s="332"/>
      <c r="NG92" s="332"/>
      <c r="NH92" s="332"/>
      <c r="NI92" s="332"/>
      <c r="NJ92" s="332"/>
      <c r="NK92" s="332"/>
      <c r="NL92" s="332"/>
      <c r="NM92" s="332"/>
      <c r="NN92" s="332"/>
      <c r="NO92" s="332"/>
      <c r="NP92" s="332"/>
      <c r="NQ92" s="332"/>
      <c r="NR92" s="332"/>
      <c r="NS92" s="332"/>
      <c r="NT92" s="332"/>
      <c r="NU92" s="332"/>
      <c r="NV92" s="332"/>
      <c r="NW92" s="332"/>
      <c r="NX92" s="332"/>
      <c r="NY92" s="332"/>
      <c r="NZ92" s="332"/>
      <c r="OA92" s="332"/>
      <c r="OB92" s="332"/>
      <c r="OC92" s="332"/>
      <c r="OD92" s="332"/>
      <c r="OE92" s="332"/>
      <c r="OF92" s="332"/>
      <c r="OG92" s="332"/>
      <c r="OH92" s="332"/>
      <c r="OI92" s="332"/>
      <c r="OJ92" s="332"/>
      <c r="OK92" s="332"/>
      <c r="OL92" s="332"/>
      <c r="OM92" s="332"/>
      <c r="ON92" s="332"/>
      <c r="OO92" s="332"/>
      <c r="OP92" s="332"/>
      <c r="OQ92" s="332"/>
      <c r="OR92" s="332"/>
      <c r="OS92" s="332"/>
      <c r="OT92" s="332"/>
      <c r="OU92" s="332"/>
      <c r="OV92" s="332"/>
      <c r="OW92" s="332"/>
      <c r="OX92" s="332"/>
      <c r="OY92" s="332"/>
      <c r="OZ92" s="332"/>
      <c r="PA92" s="332"/>
      <c r="PB92" s="332"/>
      <c r="PC92" s="332"/>
      <c r="PD92" s="332"/>
      <c r="PE92" s="332"/>
      <c r="PF92" s="332"/>
      <c r="PG92" s="332"/>
      <c r="PH92" s="332"/>
      <c r="PI92" s="332"/>
      <c r="PJ92" s="332"/>
      <c r="PK92" s="332"/>
      <c r="PL92" s="332"/>
      <c r="PM92" s="332"/>
      <c r="PN92" s="332"/>
      <c r="PO92" s="332"/>
      <c r="PP92" s="332"/>
      <c r="PQ92" s="332"/>
      <c r="PR92" s="332"/>
      <c r="PS92" s="332"/>
      <c r="PT92" s="332"/>
      <c r="PU92" s="332"/>
      <c r="PV92" s="332"/>
      <c r="PW92" s="332"/>
      <c r="PX92" s="332"/>
      <c r="PY92" s="332"/>
      <c r="PZ92" s="332"/>
      <c r="QA92" s="332"/>
      <c r="QB92" s="332"/>
      <c r="QC92" s="332"/>
      <c r="QD92" s="332"/>
      <c r="QE92" s="332"/>
      <c r="QF92" s="332"/>
      <c r="QG92" s="332"/>
      <c r="QH92" s="332"/>
      <c r="QI92" s="332"/>
      <c r="QJ92" s="332"/>
      <c r="QK92" s="332"/>
      <c r="QL92" s="332"/>
      <c r="QM92" s="332"/>
      <c r="QN92" s="332"/>
      <c r="QO92" s="332"/>
      <c r="QP92" s="332"/>
      <c r="QQ92" s="332"/>
      <c r="QR92" s="332"/>
      <c r="QS92" s="332"/>
      <c r="QT92" s="332"/>
      <c r="QU92" s="332"/>
      <c r="QV92" s="332"/>
      <c r="QW92" s="332"/>
      <c r="QX92" s="332"/>
      <c r="QY92" s="332"/>
      <c r="QZ92" s="332"/>
      <c r="RA92" s="332"/>
      <c r="RB92" s="332"/>
      <c r="RC92" s="332"/>
      <c r="RD92" s="332"/>
      <c r="RE92" s="332"/>
      <c r="RF92" s="332"/>
      <c r="RG92" s="332"/>
      <c r="RH92" s="332"/>
      <c r="RI92" s="332"/>
      <c r="RJ92" s="332"/>
      <c r="RK92" s="332"/>
      <c r="RL92" s="332"/>
      <c r="RM92" s="332"/>
      <c r="RN92" s="332"/>
      <c r="RO92" s="332"/>
      <c r="RP92" s="332"/>
      <c r="RQ92" s="332"/>
      <c r="RR92" s="332"/>
      <c r="RS92" s="332"/>
      <c r="RT92" s="332"/>
      <c r="RU92" s="332"/>
      <c r="RV92" s="332"/>
      <c r="RW92" s="332"/>
      <c r="RX92" s="332"/>
      <c r="RY92" s="332"/>
      <c r="RZ92" s="332"/>
      <c r="SA92" s="332"/>
      <c r="SB92" s="332"/>
      <c r="SC92" s="332"/>
      <c r="SD92" s="332"/>
      <c r="SE92" s="332"/>
      <c r="SF92" s="332"/>
      <c r="SG92" s="332"/>
      <c r="SH92" s="332"/>
      <c r="SI92" s="332"/>
      <c r="SJ92" s="332"/>
      <c r="SK92" s="332"/>
      <c r="SL92" s="332"/>
      <c r="SM92" s="332"/>
      <c r="SN92" s="332"/>
      <c r="SO92" s="332"/>
      <c r="SP92" s="332"/>
      <c r="SQ92" s="332"/>
      <c r="SR92" s="332"/>
      <c r="SS92" s="332"/>
      <c r="ST92" s="332"/>
      <c r="SU92" s="332"/>
      <c r="SV92" s="332"/>
      <c r="SW92" s="332"/>
      <c r="SX92" s="332"/>
      <c r="SY92" s="332"/>
      <c r="SZ92" s="332"/>
      <c r="TA92" s="332"/>
      <c r="TB92" s="332"/>
      <c r="TC92" s="332"/>
      <c r="TD92" s="332"/>
      <c r="TE92" s="332"/>
      <c r="TF92" s="332"/>
      <c r="TG92" s="332"/>
      <c r="TH92" s="332"/>
      <c r="TI92" s="332"/>
      <c r="TJ92" s="332"/>
      <c r="TK92" s="332"/>
      <c r="TL92" s="332"/>
      <c r="TM92" s="332"/>
      <c r="TN92" s="332"/>
      <c r="TO92" s="332"/>
      <c r="TP92" s="332"/>
      <c r="TQ92" s="332"/>
      <c r="TR92" s="332"/>
      <c r="TS92" s="332"/>
      <c r="TT92" s="332"/>
      <c r="TU92" s="332"/>
      <c r="TV92" s="332"/>
      <c r="TW92" s="332"/>
      <c r="TX92" s="332"/>
      <c r="TY92" s="332"/>
      <c r="TZ92" s="332"/>
      <c r="UA92" s="332"/>
      <c r="UB92" s="332"/>
      <c r="UC92" s="332"/>
      <c r="UD92" s="332"/>
      <c r="UE92" s="332"/>
      <c r="UF92" s="332"/>
      <c r="UG92" s="332"/>
      <c r="UH92" s="332"/>
      <c r="UI92" s="332"/>
      <c r="UJ92" s="332"/>
      <c r="UK92" s="332"/>
      <c r="UL92" s="332"/>
      <c r="UM92" s="332"/>
      <c r="UN92" s="332"/>
      <c r="UO92" s="332"/>
      <c r="UP92" s="332"/>
      <c r="UQ92" s="332"/>
      <c r="UR92" s="332"/>
      <c r="US92" s="332"/>
      <c r="UT92" s="332"/>
      <c r="UU92" s="332"/>
      <c r="UV92" s="332"/>
      <c r="UW92" s="332"/>
      <c r="UX92" s="332"/>
      <c r="UY92" s="332"/>
      <c r="UZ92" s="332"/>
      <c r="VA92" s="332"/>
      <c r="VB92" s="332"/>
      <c r="VC92" s="332"/>
      <c r="VD92" s="332"/>
      <c r="VE92" s="332"/>
      <c r="VF92" s="332"/>
      <c r="VG92" s="332"/>
      <c r="VH92" s="332"/>
      <c r="VI92" s="332"/>
      <c r="VJ92" s="332"/>
      <c r="VK92" s="332"/>
      <c r="VL92" s="332"/>
      <c r="VM92" s="332"/>
      <c r="VN92" s="332"/>
      <c r="VO92" s="332"/>
      <c r="VP92" s="332"/>
      <c r="VQ92" s="332"/>
      <c r="VR92" s="332"/>
      <c r="VS92" s="332"/>
      <c r="VT92" s="332"/>
      <c r="VU92" s="332"/>
      <c r="VV92" s="332"/>
      <c r="VW92" s="332"/>
      <c r="VX92" s="332"/>
      <c r="VY92" s="332"/>
      <c r="VZ92" s="332"/>
      <c r="WA92" s="332"/>
      <c r="WB92" s="332"/>
      <c r="WC92" s="332"/>
      <c r="WD92" s="332"/>
      <c r="WE92" s="332"/>
      <c r="WF92" s="332"/>
      <c r="WG92" s="332"/>
      <c r="WH92" s="332"/>
      <c r="WI92" s="332"/>
      <c r="WJ92" s="332"/>
      <c r="WK92" s="332"/>
      <c r="WL92" s="332"/>
      <c r="WM92" s="332"/>
      <c r="WN92" s="332"/>
      <c r="WO92" s="332"/>
      <c r="WP92" s="332"/>
      <c r="WQ92" s="332"/>
      <c r="WR92" s="332"/>
      <c r="WS92" s="332"/>
      <c r="WT92" s="332"/>
      <c r="WU92" s="332"/>
      <c r="WV92" s="332"/>
      <c r="WW92" s="332"/>
      <c r="WX92" s="332"/>
      <c r="WY92" s="332"/>
      <c r="WZ92" s="332"/>
      <c r="XA92" s="332"/>
      <c r="XB92" s="332"/>
      <c r="XC92" s="332"/>
      <c r="XD92" s="332"/>
      <c r="XE92" s="332"/>
      <c r="XF92" s="332"/>
      <c r="XG92" s="332"/>
      <c r="XH92" s="332"/>
      <c r="XI92" s="332"/>
      <c r="XJ92" s="332"/>
      <c r="XK92" s="332"/>
      <c r="XL92" s="332"/>
      <c r="XM92" s="332"/>
      <c r="XN92" s="332"/>
      <c r="XO92" s="332"/>
      <c r="XP92" s="332"/>
      <c r="XQ92" s="332"/>
      <c r="XR92" s="332"/>
      <c r="XS92" s="332"/>
      <c r="XT92" s="332"/>
      <c r="XU92" s="332"/>
      <c r="XV92" s="332"/>
      <c r="XW92" s="332"/>
      <c r="XX92" s="332"/>
      <c r="XY92" s="332"/>
      <c r="XZ92" s="332"/>
      <c r="YA92" s="332"/>
      <c r="YB92" s="332"/>
      <c r="YC92" s="332"/>
      <c r="YD92" s="332"/>
      <c r="YE92" s="332"/>
      <c r="YF92" s="332"/>
      <c r="YG92" s="332"/>
      <c r="YH92" s="332"/>
      <c r="YI92" s="332"/>
      <c r="YJ92" s="332"/>
      <c r="YK92" s="332"/>
      <c r="YL92" s="332"/>
      <c r="YM92" s="332"/>
      <c r="YN92" s="332"/>
      <c r="YO92" s="332"/>
      <c r="YP92" s="332"/>
      <c r="YQ92" s="332"/>
      <c r="YR92" s="332"/>
      <c r="YS92" s="332"/>
      <c r="YT92" s="332"/>
      <c r="YU92" s="332"/>
      <c r="YV92" s="332"/>
      <c r="YW92" s="332"/>
      <c r="YX92" s="332"/>
      <c r="YY92" s="332"/>
      <c r="YZ92" s="332"/>
      <c r="ZA92" s="332"/>
      <c r="ZB92" s="332"/>
      <c r="ZC92" s="332"/>
      <c r="ZD92" s="332"/>
      <c r="ZE92" s="332"/>
      <c r="ZF92" s="332"/>
      <c r="ZG92" s="332"/>
      <c r="ZH92" s="332"/>
      <c r="ZI92" s="332"/>
      <c r="ZJ92" s="332"/>
      <c r="ZK92" s="332"/>
      <c r="ZL92" s="332"/>
      <c r="ZM92" s="332"/>
      <c r="ZN92" s="332"/>
      <c r="ZO92" s="332"/>
      <c r="ZP92" s="332"/>
      <c r="ZQ92" s="332"/>
      <c r="ZR92" s="332"/>
      <c r="ZS92" s="332"/>
      <c r="ZT92" s="332"/>
      <c r="ZU92" s="332"/>
      <c r="ZV92" s="332"/>
      <c r="ZW92" s="332"/>
      <c r="ZX92" s="332"/>
      <c r="ZY92" s="332"/>
      <c r="ZZ92" s="332"/>
      <c r="AAA92" s="332"/>
      <c r="AAB92" s="332"/>
      <c r="AAC92" s="332"/>
      <c r="AAD92" s="332"/>
      <c r="AAE92" s="332"/>
      <c r="AAF92" s="332"/>
      <c r="AAG92" s="332"/>
      <c r="AAH92" s="332"/>
      <c r="AAI92" s="332"/>
      <c r="AAJ92" s="332"/>
      <c r="AAK92" s="332"/>
      <c r="AAL92" s="332"/>
      <c r="AAM92" s="332"/>
      <c r="AAN92" s="332"/>
      <c r="AAO92" s="332"/>
      <c r="AAP92" s="332"/>
      <c r="AAQ92" s="332"/>
      <c r="AAR92" s="332"/>
      <c r="AAS92" s="332"/>
      <c r="AAT92" s="332"/>
      <c r="AAU92" s="332"/>
      <c r="AAV92" s="332"/>
      <c r="AAW92" s="332"/>
      <c r="AAX92" s="332"/>
      <c r="AAY92" s="332"/>
      <c r="AAZ92" s="332"/>
      <c r="ABA92" s="332"/>
      <c r="ABB92" s="332"/>
      <c r="ABC92" s="332"/>
      <c r="ABD92" s="332"/>
      <c r="ABE92" s="332"/>
      <c r="ABF92" s="332"/>
      <c r="ABG92" s="332"/>
      <c r="ABH92" s="332"/>
      <c r="ABI92" s="332"/>
      <c r="ABJ92" s="332"/>
      <c r="ABK92" s="332"/>
      <c r="ABL92" s="332"/>
      <c r="ABM92" s="332"/>
      <c r="ABN92" s="332"/>
      <c r="ABO92" s="332"/>
      <c r="ABP92" s="332"/>
      <c r="ABQ92" s="332"/>
      <c r="ABR92" s="332"/>
      <c r="ABS92" s="332"/>
      <c r="ABT92" s="332"/>
      <c r="ABU92" s="332"/>
      <c r="ABV92" s="332"/>
      <c r="ABW92" s="332"/>
      <c r="ABX92" s="332"/>
      <c r="ABY92" s="332"/>
      <c r="ABZ92" s="332"/>
      <c r="ACA92" s="332"/>
      <c r="ACB92" s="332"/>
      <c r="ACC92" s="332"/>
      <c r="ACD92" s="332"/>
      <c r="ACE92" s="332"/>
      <c r="ACF92" s="332"/>
      <c r="ACG92" s="332"/>
      <c r="ACH92" s="332"/>
      <c r="ACI92" s="332"/>
      <c r="ACJ92" s="332"/>
      <c r="ACK92" s="332"/>
      <c r="ACL92" s="332"/>
      <c r="ACM92" s="332"/>
      <c r="ACN92" s="332"/>
      <c r="ACO92" s="332"/>
      <c r="ACP92" s="332"/>
      <c r="ACQ92" s="332"/>
      <c r="ACR92" s="332"/>
      <c r="ACS92" s="332"/>
      <c r="ACT92" s="332"/>
      <c r="ACU92" s="332"/>
      <c r="ACV92" s="332"/>
      <c r="ACW92" s="332"/>
      <c r="ACX92" s="332"/>
      <c r="ACY92" s="332"/>
      <c r="ACZ92" s="332"/>
      <c r="ADA92" s="332"/>
      <c r="ADB92" s="332"/>
      <c r="ADC92" s="332"/>
      <c r="ADD92" s="332"/>
      <c r="ADE92" s="332"/>
      <c r="ADF92" s="332"/>
      <c r="ADG92" s="332"/>
      <c r="ADH92" s="332"/>
      <c r="ADI92" s="332"/>
      <c r="ADJ92" s="332"/>
      <c r="ADK92" s="332"/>
      <c r="ADL92" s="332"/>
      <c r="ADM92" s="332"/>
      <c r="ADN92" s="332"/>
      <c r="ADO92" s="332"/>
      <c r="ADP92" s="332"/>
      <c r="ADQ92" s="332"/>
      <c r="ADR92" s="332"/>
      <c r="ADS92" s="332"/>
      <c r="ADT92" s="332"/>
      <c r="ADU92" s="332"/>
      <c r="ADV92" s="332"/>
      <c r="ADW92" s="332"/>
      <c r="ADX92" s="332"/>
      <c r="ADY92" s="332"/>
      <c r="ADZ92" s="332"/>
      <c r="AEA92" s="332"/>
      <c r="AEB92" s="332"/>
      <c r="AEC92" s="332"/>
      <c r="AED92" s="332"/>
      <c r="AEE92" s="332"/>
      <c r="AEF92" s="332"/>
      <c r="AEG92" s="332"/>
      <c r="AEH92" s="332"/>
      <c r="AEI92" s="332"/>
      <c r="AEJ92" s="332"/>
      <c r="AEK92" s="332"/>
      <c r="AEL92" s="332"/>
      <c r="AEM92" s="332"/>
      <c r="AEN92" s="332"/>
      <c r="AEO92" s="332"/>
      <c r="AEP92" s="332"/>
      <c r="AEQ92" s="332"/>
      <c r="AER92" s="332"/>
      <c r="AES92" s="332"/>
      <c r="AET92" s="332"/>
      <c r="AEU92" s="332"/>
      <c r="AEV92" s="332"/>
      <c r="AEW92" s="332"/>
      <c r="AEX92" s="332"/>
      <c r="AEY92" s="332"/>
      <c r="AEZ92" s="332"/>
      <c r="AFA92" s="332"/>
      <c r="AFB92" s="332"/>
      <c r="AFC92" s="332"/>
      <c r="AFD92" s="332"/>
      <c r="AFE92" s="332"/>
      <c r="AFF92" s="332"/>
      <c r="AFG92" s="332"/>
      <c r="AFH92" s="332"/>
      <c r="AFI92" s="332"/>
      <c r="AFJ92" s="332"/>
      <c r="AFK92" s="332"/>
      <c r="AFL92" s="332"/>
      <c r="AFM92" s="332"/>
      <c r="AFN92" s="332"/>
      <c r="AFO92" s="332"/>
      <c r="AFP92" s="332"/>
      <c r="AFQ92" s="332"/>
      <c r="AFR92" s="332"/>
      <c r="AFS92" s="332"/>
      <c r="AFT92" s="332"/>
      <c r="AFU92" s="332"/>
      <c r="AFV92" s="332"/>
      <c r="AFW92" s="332"/>
      <c r="AFX92" s="332"/>
      <c r="AFY92" s="332"/>
      <c r="AFZ92" s="332"/>
      <c r="AGA92" s="332"/>
      <c r="AGB92" s="332"/>
      <c r="AGC92" s="332"/>
      <c r="AGD92" s="332"/>
      <c r="AGE92" s="332"/>
      <c r="AGF92" s="332"/>
      <c r="AGG92" s="332"/>
      <c r="AGH92" s="332"/>
      <c r="AGI92" s="332"/>
      <c r="AGJ92" s="332"/>
      <c r="AGK92" s="332"/>
      <c r="AGL92" s="332"/>
      <c r="AGM92" s="332"/>
      <c r="AGN92" s="332"/>
      <c r="AGO92" s="332"/>
      <c r="AGP92" s="332"/>
      <c r="AGQ92" s="332"/>
      <c r="AGR92" s="332"/>
      <c r="AGS92" s="332"/>
      <c r="AGT92" s="332"/>
      <c r="AGU92" s="332"/>
      <c r="AGV92" s="332"/>
      <c r="AGW92" s="332"/>
      <c r="AGX92" s="332"/>
      <c r="AGY92" s="332"/>
      <c r="AGZ92" s="332"/>
      <c r="AHA92" s="332"/>
      <c r="AHB92" s="332"/>
      <c r="AHC92" s="332"/>
      <c r="AHD92" s="332"/>
      <c r="AHE92" s="332"/>
      <c r="AHF92" s="332"/>
      <c r="AHG92" s="332"/>
      <c r="AHH92" s="332"/>
      <c r="AHI92" s="332"/>
      <c r="AHJ92" s="332"/>
      <c r="AHK92" s="332"/>
      <c r="AHL92" s="332"/>
      <c r="AHM92" s="332"/>
      <c r="AHN92" s="332"/>
      <c r="AHO92" s="332"/>
      <c r="AHP92" s="332"/>
      <c r="AHQ92" s="332"/>
      <c r="AHR92" s="332"/>
      <c r="AHS92" s="332"/>
      <c r="AHT92" s="332"/>
      <c r="AHU92" s="332"/>
      <c r="AHV92" s="332"/>
      <c r="AHW92" s="332"/>
      <c r="AHX92" s="332"/>
      <c r="AHY92" s="332"/>
      <c r="AHZ92" s="332"/>
      <c r="AIA92" s="332"/>
      <c r="AIB92" s="332"/>
      <c r="AIC92" s="332"/>
      <c r="AID92" s="332"/>
      <c r="AIE92" s="332"/>
      <c r="AIF92" s="332"/>
      <c r="AIG92" s="332"/>
      <c r="AIH92" s="332"/>
      <c r="AII92" s="332"/>
      <c r="AIJ92" s="332"/>
      <c r="AIK92" s="332"/>
      <c r="AIL92" s="332"/>
      <c r="AIM92" s="332"/>
      <c r="AIN92" s="332"/>
      <c r="AIO92" s="332"/>
      <c r="AIP92" s="332"/>
      <c r="AIQ92" s="332"/>
      <c r="AIR92" s="332"/>
      <c r="AIS92" s="332"/>
      <c r="AIT92" s="332"/>
      <c r="AIU92" s="332"/>
      <c r="AIV92" s="332"/>
      <c r="AIW92" s="332"/>
      <c r="AIX92" s="332"/>
      <c r="AIY92" s="332"/>
      <c r="AIZ92" s="332"/>
      <c r="AJA92" s="332"/>
      <c r="AJB92" s="332"/>
      <c r="AJC92" s="332"/>
      <c r="AJD92" s="332"/>
      <c r="AJE92" s="332"/>
      <c r="AJF92" s="332"/>
      <c r="AJG92" s="332"/>
      <c r="AJH92" s="332"/>
      <c r="AJI92" s="332"/>
      <c r="AJJ92" s="332"/>
      <c r="AJK92" s="332"/>
      <c r="AJL92" s="332"/>
      <c r="AJM92" s="332"/>
      <c r="AJN92" s="332"/>
      <c r="AJO92" s="332"/>
      <c r="AJP92" s="332"/>
      <c r="AJQ92" s="332"/>
      <c r="AJR92" s="332"/>
      <c r="AJS92" s="332"/>
      <c r="AJT92" s="332"/>
      <c r="AJU92" s="332"/>
      <c r="AJV92" s="332"/>
      <c r="AJW92" s="332"/>
      <c r="AJX92" s="332"/>
      <c r="AJY92" s="332"/>
      <c r="AJZ92" s="332"/>
      <c r="AKA92" s="332"/>
      <c r="AKB92" s="332"/>
      <c r="AKC92" s="332"/>
      <c r="AKD92" s="332"/>
      <c r="AKE92" s="332"/>
      <c r="AKF92" s="332"/>
      <c r="AKG92" s="332"/>
      <c r="AKH92" s="332"/>
      <c r="AKI92" s="332"/>
      <c r="AKJ92" s="332"/>
      <c r="AKK92" s="332"/>
      <c r="AKL92" s="332"/>
      <c r="AKM92" s="332"/>
      <c r="AKN92" s="332"/>
      <c r="AKO92" s="332"/>
      <c r="AKP92" s="332"/>
      <c r="AKQ92" s="332"/>
      <c r="AKR92" s="332"/>
      <c r="AKS92" s="332"/>
      <c r="AKT92" s="332"/>
      <c r="AKU92" s="332"/>
      <c r="AKV92" s="332"/>
      <c r="AKW92" s="332"/>
      <c r="AKX92" s="332"/>
      <c r="AKY92" s="332"/>
      <c r="AKZ92" s="332"/>
      <c r="ALA92" s="332"/>
      <c r="ALB92" s="332"/>
      <c r="ALC92" s="332"/>
      <c r="ALD92" s="332"/>
      <c r="ALE92" s="332"/>
      <c r="ALF92" s="332"/>
      <c r="ALG92" s="332"/>
      <c r="ALH92" s="332"/>
      <c r="ALI92" s="332"/>
      <c r="ALJ92" s="332"/>
      <c r="ALK92" s="332"/>
      <c r="ALL92" s="332"/>
      <c r="ALM92" s="332"/>
      <c r="ALN92" s="332"/>
      <c r="ALO92" s="332"/>
      <c r="ALP92" s="332"/>
      <c r="ALQ92" s="332"/>
      <c r="ALR92" s="332"/>
      <c r="ALS92" s="332"/>
      <c r="ALT92" s="332"/>
      <c r="ALU92" s="332"/>
      <c r="ALV92" s="332"/>
      <c r="ALW92" s="332"/>
      <c r="ALX92" s="332"/>
      <c r="ALY92" s="332"/>
      <c r="ALZ92" s="332"/>
      <c r="AMA92" s="332"/>
      <c r="AMB92" s="332"/>
      <c r="AMC92" s="332"/>
      <c r="AMD92" s="332"/>
      <c r="AME92" s="332"/>
      <c r="AMF92" s="332"/>
      <c r="AMG92" s="332"/>
      <c r="AMH92" s="332"/>
      <c r="AMI92" s="332"/>
      <c r="AMJ92" s="332"/>
    </row>
    <row r="93" spans="1:1024" s="337" customFormat="1" ht="12" customHeight="1" x14ac:dyDescent="0.25">
      <c r="A93" s="343"/>
      <c r="B93" s="342">
        <f>+B92-C9-C20</f>
        <v>0</v>
      </c>
      <c r="C93" s="332"/>
      <c r="D93" s="332"/>
      <c r="E93" s="334"/>
      <c r="F93" s="332"/>
      <c r="G93" s="334"/>
      <c r="H93" s="332"/>
      <c r="I93" s="332"/>
      <c r="J93" s="332"/>
      <c r="K93" s="332"/>
      <c r="L93" s="332"/>
      <c r="M93" s="332"/>
      <c r="N93" s="334"/>
      <c r="O93" s="332"/>
      <c r="P93" s="334"/>
      <c r="Q93" s="332"/>
      <c r="R93" s="335"/>
      <c r="S93" s="332"/>
      <c r="T93" s="336"/>
      <c r="U93" s="332"/>
      <c r="V93" s="332"/>
      <c r="W93" s="332"/>
      <c r="X93" s="332"/>
      <c r="Y93" s="332"/>
      <c r="Z93" s="332"/>
      <c r="AA93" s="332"/>
      <c r="AB93" s="332"/>
      <c r="AC93" s="332"/>
      <c r="AD93" s="332"/>
      <c r="AE93" s="332"/>
      <c r="AF93" s="332"/>
      <c r="AG93" s="332"/>
      <c r="AH93" s="332"/>
      <c r="AI93" s="332"/>
      <c r="AJ93" s="332"/>
      <c r="AK93" s="332"/>
      <c r="AL93" s="332"/>
      <c r="AM93" s="332"/>
      <c r="AN93" s="332"/>
      <c r="AO93" s="332"/>
      <c r="AP93" s="332"/>
      <c r="AQ93" s="332"/>
      <c r="AR93" s="332"/>
      <c r="AS93" s="332"/>
      <c r="AT93" s="332"/>
      <c r="AU93" s="332"/>
      <c r="AV93" s="332"/>
      <c r="AW93" s="332"/>
      <c r="AX93" s="332"/>
      <c r="AY93" s="332"/>
      <c r="AZ93" s="332"/>
      <c r="BA93" s="332"/>
      <c r="BB93" s="332"/>
      <c r="BC93" s="332"/>
      <c r="BD93" s="332"/>
      <c r="BE93" s="332"/>
      <c r="BF93" s="332"/>
      <c r="BG93" s="332"/>
      <c r="BH93" s="332"/>
      <c r="BI93" s="332"/>
      <c r="BJ93" s="332"/>
      <c r="BK93" s="332"/>
      <c r="BL93" s="332"/>
      <c r="BM93" s="332"/>
      <c r="BN93" s="332"/>
      <c r="BO93" s="332"/>
      <c r="BP93" s="332"/>
      <c r="BQ93" s="332"/>
      <c r="BR93" s="332"/>
      <c r="BS93" s="332"/>
      <c r="BT93" s="332"/>
      <c r="BU93" s="332"/>
      <c r="BV93" s="332"/>
      <c r="BW93" s="332"/>
      <c r="BX93" s="332"/>
      <c r="BY93" s="332"/>
      <c r="BZ93" s="332"/>
      <c r="CA93" s="332"/>
      <c r="CB93" s="332"/>
      <c r="CC93" s="332"/>
      <c r="CD93" s="332"/>
      <c r="CE93" s="332"/>
      <c r="CF93" s="332"/>
      <c r="CG93" s="332"/>
      <c r="CH93" s="332"/>
      <c r="CI93" s="332"/>
      <c r="CJ93" s="332"/>
      <c r="CK93" s="332"/>
      <c r="CL93" s="332"/>
      <c r="CM93" s="332"/>
      <c r="CN93" s="332"/>
      <c r="CO93" s="332"/>
      <c r="CP93" s="332"/>
      <c r="CQ93" s="332"/>
      <c r="CR93" s="332"/>
      <c r="CS93" s="332"/>
      <c r="CT93" s="332"/>
      <c r="CU93" s="332"/>
      <c r="CV93" s="332"/>
      <c r="CW93" s="332"/>
      <c r="CX93" s="332"/>
      <c r="CY93" s="332"/>
      <c r="CZ93" s="332"/>
      <c r="DA93" s="332"/>
      <c r="DB93" s="332"/>
      <c r="DC93" s="332"/>
      <c r="DD93" s="332"/>
      <c r="DE93" s="332"/>
      <c r="DF93" s="332"/>
      <c r="DG93" s="332"/>
      <c r="DH93" s="332"/>
      <c r="DI93" s="332"/>
      <c r="DJ93" s="332"/>
      <c r="DK93" s="332"/>
      <c r="DL93" s="332"/>
      <c r="DM93" s="332"/>
      <c r="DN93" s="332"/>
      <c r="DO93" s="332"/>
      <c r="DP93" s="332"/>
      <c r="DQ93" s="332"/>
      <c r="DR93" s="332"/>
      <c r="DS93" s="332"/>
      <c r="DT93" s="332"/>
      <c r="DU93" s="332"/>
      <c r="DV93" s="332"/>
      <c r="DW93" s="332"/>
      <c r="DX93" s="332"/>
      <c r="DY93" s="332"/>
      <c r="DZ93" s="332"/>
      <c r="EA93" s="332"/>
      <c r="EB93" s="332"/>
      <c r="EC93" s="332"/>
      <c r="ED93" s="332"/>
      <c r="EE93" s="332"/>
      <c r="EF93" s="332"/>
      <c r="EG93" s="332"/>
      <c r="EH93" s="332"/>
      <c r="EI93" s="332"/>
      <c r="EJ93" s="332"/>
      <c r="EK93" s="332"/>
      <c r="EL93" s="332"/>
      <c r="EM93" s="332"/>
      <c r="EN93" s="332"/>
      <c r="EO93" s="332"/>
      <c r="EP93" s="332"/>
      <c r="EQ93" s="332"/>
      <c r="ER93" s="332"/>
      <c r="ES93" s="332"/>
      <c r="ET93" s="332"/>
      <c r="EU93" s="332"/>
      <c r="EV93" s="332"/>
      <c r="EW93" s="332"/>
      <c r="EX93" s="332"/>
      <c r="EY93" s="332"/>
      <c r="EZ93" s="332"/>
      <c r="FA93" s="332"/>
      <c r="FB93" s="332"/>
      <c r="FC93" s="332"/>
      <c r="FD93" s="332"/>
      <c r="FE93" s="332"/>
      <c r="FF93" s="332"/>
      <c r="FG93" s="332"/>
      <c r="FH93" s="332"/>
      <c r="FI93" s="332"/>
      <c r="FJ93" s="332"/>
      <c r="FK93" s="332"/>
      <c r="FL93" s="332"/>
      <c r="FM93" s="332"/>
      <c r="FN93" s="332"/>
      <c r="FO93" s="332"/>
      <c r="FP93" s="332"/>
      <c r="FQ93" s="332"/>
      <c r="FR93" s="332"/>
      <c r="FS93" s="332"/>
      <c r="FT93" s="332"/>
      <c r="FU93" s="332"/>
      <c r="FV93" s="332"/>
      <c r="FW93" s="332"/>
      <c r="FX93" s="332"/>
      <c r="FY93" s="332"/>
      <c r="FZ93" s="332"/>
      <c r="GA93" s="332"/>
      <c r="GB93" s="332"/>
      <c r="GC93" s="332"/>
      <c r="GD93" s="332"/>
      <c r="GE93" s="332"/>
      <c r="GF93" s="332"/>
      <c r="GG93" s="332"/>
      <c r="GH93" s="332"/>
      <c r="GI93" s="332"/>
      <c r="GJ93" s="332"/>
      <c r="GK93" s="332"/>
      <c r="GL93" s="332"/>
      <c r="GM93" s="332"/>
      <c r="GN93" s="332"/>
      <c r="GO93" s="332"/>
      <c r="GP93" s="332"/>
      <c r="GQ93" s="332"/>
      <c r="GR93" s="332"/>
      <c r="GS93" s="332"/>
      <c r="GT93" s="332"/>
      <c r="GU93" s="332"/>
      <c r="GV93" s="332"/>
      <c r="GW93" s="332"/>
      <c r="GX93" s="332"/>
      <c r="GY93" s="332"/>
      <c r="GZ93" s="332"/>
      <c r="HA93" s="332"/>
      <c r="HB93" s="332"/>
      <c r="HC93" s="332"/>
      <c r="HD93" s="332"/>
      <c r="HE93" s="332"/>
      <c r="HF93" s="332"/>
      <c r="HG93" s="332"/>
      <c r="HH93" s="332"/>
      <c r="HI93" s="332"/>
      <c r="HJ93" s="332"/>
      <c r="HK93" s="332"/>
      <c r="HL93" s="332"/>
      <c r="HM93" s="332"/>
      <c r="HN93" s="332"/>
      <c r="HO93" s="332"/>
      <c r="HP93" s="332"/>
      <c r="HQ93" s="332"/>
      <c r="HR93" s="332"/>
      <c r="HS93" s="332"/>
      <c r="HT93" s="332"/>
      <c r="HU93" s="332"/>
      <c r="HV93" s="332"/>
      <c r="HW93" s="332"/>
      <c r="HX93" s="332"/>
      <c r="HY93" s="332"/>
      <c r="HZ93" s="332"/>
      <c r="IA93" s="332"/>
      <c r="IB93" s="332"/>
      <c r="IC93" s="332"/>
      <c r="ID93" s="332"/>
      <c r="IE93" s="332"/>
      <c r="IF93" s="332"/>
      <c r="IG93" s="332"/>
      <c r="IH93" s="332"/>
      <c r="II93" s="332"/>
      <c r="IJ93" s="332"/>
      <c r="IK93" s="332"/>
      <c r="IL93" s="332"/>
      <c r="IM93" s="332"/>
      <c r="IN93" s="332"/>
      <c r="IO93" s="332"/>
      <c r="IP93" s="332"/>
      <c r="IQ93" s="332"/>
      <c r="IR93" s="332"/>
      <c r="IS93" s="332"/>
      <c r="IT93" s="332"/>
      <c r="IU93" s="332"/>
      <c r="IV93" s="332"/>
      <c r="IW93" s="332"/>
      <c r="IX93" s="332"/>
      <c r="IY93" s="332"/>
      <c r="IZ93" s="332"/>
      <c r="JA93" s="332"/>
      <c r="JB93" s="332"/>
      <c r="JC93" s="332"/>
      <c r="JD93" s="332"/>
      <c r="JE93" s="332"/>
      <c r="JF93" s="332"/>
      <c r="JG93" s="332"/>
      <c r="JH93" s="332"/>
      <c r="JI93" s="332"/>
      <c r="JJ93" s="332"/>
      <c r="JK93" s="332"/>
      <c r="JL93" s="332"/>
      <c r="JM93" s="332"/>
      <c r="JN93" s="332"/>
      <c r="JO93" s="332"/>
      <c r="JP93" s="332"/>
      <c r="JQ93" s="332"/>
      <c r="JR93" s="332"/>
      <c r="JS93" s="332"/>
      <c r="JT93" s="332"/>
      <c r="JU93" s="332"/>
      <c r="JV93" s="332"/>
      <c r="JW93" s="332"/>
      <c r="JX93" s="332"/>
      <c r="JY93" s="332"/>
      <c r="JZ93" s="332"/>
      <c r="KA93" s="332"/>
      <c r="KB93" s="332"/>
      <c r="KC93" s="332"/>
      <c r="KD93" s="332"/>
      <c r="KE93" s="332"/>
      <c r="KF93" s="332"/>
      <c r="KG93" s="332"/>
      <c r="KH93" s="332"/>
      <c r="KI93" s="332"/>
      <c r="KJ93" s="332"/>
      <c r="KK93" s="332"/>
      <c r="KL93" s="332"/>
      <c r="KM93" s="332"/>
      <c r="KN93" s="332"/>
      <c r="KO93" s="332"/>
      <c r="KP93" s="332"/>
      <c r="KQ93" s="332"/>
      <c r="KR93" s="332"/>
      <c r="KS93" s="332"/>
      <c r="KT93" s="332"/>
      <c r="KU93" s="332"/>
      <c r="KV93" s="332"/>
      <c r="KW93" s="332"/>
      <c r="KX93" s="332"/>
      <c r="KY93" s="332"/>
      <c r="KZ93" s="332"/>
      <c r="LA93" s="332"/>
      <c r="LB93" s="332"/>
      <c r="LC93" s="332"/>
      <c r="LD93" s="332"/>
      <c r="LE93" s="332"/>
      <c r="LF93" s="332"/>
      <c r="LG93" s="332"/>
      <c r="LH93" s="332"/>
      <c r="LI93" s="332"/>
      <c r="LJ93" s="332"/>
      <c r="LK93" s="332"/>
      <c r="LL93" s="332"/>
      <c r="LM93" s="332"/>
      <c r="LN93" s="332"/>
      <c r="LO93" s="332"/>
      <c r="LP93" s="332"/>
      <c r="LQ93" s="332"/>
      <c r="LR93" s="332"/>
      <c r="LS93" s="332"/>
      <c r="LT93" s="332"/>
      <c r="LU93" s="332"/>
      <c r="LV93" s="332"/>
      <c r="LW93" s="332"/>
      <c r="LX93" s="332"/>
      <c r="LY93" s="332"/>
      <c r="LZ93" s="332"/>
      <c r="MA93" s="332"/>
      <c r="MB93" s="332"/>
      <c r="MC93" s="332"/>
      <c r="MD93" s="332"/>
      <c r="ME93" s="332"/>
      <c r="MF93" s="332"/>
      <c r="MG93" s="332"/>
      <c r="MH93" s="332"/>
      <c r="MI93" s="332"/>
      <c r="MJ93" s="332"/>
      <c r="MK93" s="332"/>
      <c r="ML93" s="332"/>
      <c r="MM93" s="332"/>
      <c r="MN93" s="332"/>
      <c r="MO93" s="332"/>
      <c r="MP93" s="332"/>
      <c r="MQ93" s="332"/>
      <c r="MR93" s="332"/>
      <c r="MS93" s="332"/>
      <c r="MT93" s="332"/>
      <c r="MU93" s="332"/>
      <c r="MV93" s="332"/>
      <c r="MW93" s="332"/>
      <c r="MX93" s="332"/>
      <c r="MY93" s="332"/>
      <c r="MZ93" s="332"/>
      <c r="NA93" s="332"/>
      <c r="NB93" s="332"/>
      <c r="NC93" s="332"/>
      <c r="ND93" s="332"/>
      <c r="NE93" s="332"/>
      <c r="NF93" s="332"/>
      <c r="NG93" s="332"/>
      <c r="NH93" s="332"/>
      <c r="NI93" s="332"/>
      <c r="NJ93" s="332"/>
      <c r="NK93" s="332"/>
      <c r="NL93" s="332"/>
      <c r="NM93" s="332"/>
      <c r="NN93" s="332"/>
      <c r="NO93" s="332"/>
      <c r="NP93" s="332"/>
      <c r="NQ93" s="332"/>
      <c r="NR93" s="332"/>
      <c r="NS93" s="332"/>
      <c r="NT93" s="332"/>
      <c r="NU93" s="332"/>
      <c r="NV93" s="332"/>
      <c r="NW93" s="332"/>
      <c r="NX93" s="332"/>
      <c r="NY93" s="332"/>
      <c r="NZ93" s="332"/>
      <c r="OA93" s="332"/>
      <c r="OB93" s="332"/>
      <c r="OC93" s="332"/>
      <c r="OD93" s="332"/>
      <c r="OE93" s="332"/>
      <c r="OF93" s="332"/>
      <c r="OG93" s="332"/>
      <c r="OH93" s="332"/>
      <c r="OI93" s="332"/>
      <c r="OJ93" s="332"/>
      <c r="OK93" s="332"/>
      <c r="OL93" s="332"/>
      <c r="OM93" s="332"/>
      <c r="ON93" s="332"/>
      <c r="OO93" s="332"/>
      <c r="OP93" s="332"/>
      <c r="OQ93" s="332"/>
      <c r="OR93" s="332"/>
      <c r="OS93" s="332"/>
      <c r="OT93" s="332"/>
      <c r="OU93" s="332"/>
      <c r="OV93" s="332"/>
      <c r="OW93" s="332"/>
      <c r="OX93" s="332"/>
      <c r="OY93" s="332"/>
      <c r="OZ93" s="332"/>
      <c r="PA93" s="332"/>
      <c r="PB93" s="332"/>
      <c r="PC93" s="332"/>
      <c r="PD93" s="332"/>
      <c r="PE93" s="332"/>
      <c r="PF93" s="332"/>
      <c r="PG93" s="332"/>
      <c r="PH93" s="332"/>
      <c r="PI93" s="332"/>
      <c r="PJ93" s="332"/>
      <c r="PK93" s="332"/>
      <c r="PL93" s="332"/>
      <c r="PM93" s="332"/>
      <c r="PN93" s="332"/>
      <c r="PO93" s="332"/>
      <c r="PP93" s="332"/>
      <c r="PQ93" s="332"/>
      <c r="PR93" s="332"/>
      <c r="PS93" s="332"/>
      <c r="PT93" s="332"/>
      <c r="PU93" s="332"/>
      <c r="PV93" s="332"/>
      <c r="PW93" s="332"/>
      <c r="PX93" s="332"/>
      <c r="PY93" s="332"/>
      <c r="PZ93" s="332"/>
      <c r="QA93" s="332"/>
      <c r="QB93" s="332"/>
      <c r="QC93" s="332"/>
      <c r="QD93" s="332"/>
      <c r="QE93" s="332"/>
      <c r="QF93" s="332"/>
      <c r="QG93" s="332"/>
      <c r="QH93" s="332"/>
      <c r="QI93" s="332"/>
      <c r="QJ93" s="332"/>
      <c r="QK93" s="332"/>
      <c r="QL93" s="332"/>
      <c r="QM93" s="332"/>
      <c r="QN93" s="332"/>
      <c r="QO93" s="332"/>
      <c r="QP93" s="332"/>
      <c r="QQ93" s="332"/>
      <c r="QR93" s="332"/>
      <c r="QS93" s="332"/>
      <c r="QT93" s="332"/>
      <c r="QU93" s="332"/>
      <c r="QV93" s="332"/>
      <c r="QW93" s="332"/>
      <c r="QX93" s="332"/>
      <c r="QY93" s="332"/>
      <c r="QZ93" s="332"/>
      <c r="RA93" s="332"/>
      <c r="RB93" s="332"/>
      <c r="RC93" s="332"/>
      <c r="RD93" s="332"/>
      <c r="RE93" s="332"/>
      <c r="RF93" s="332"/>
      <c r="RG93" s="332"/>
      <c r="RH93" s="332"/>
      <c r="RI93" s="332"/>
      <c r="RJ93" s="332"/>
      <c r="RK93" s="332"/>
      <c r="RL93" s="332"/>
      <c r="RM93" s="332"/>
      <c r="RN93" s="332"/>
      <c r="RO93" s="332"/>
      <c r="RP93" s="332"/>
      <c r="RQ93" s="332"/>
      <c r="RR93" s="332"/>
      <c r="RS93" s="332"/>
      <c r="RT93" s="332"/>
      <c r="RU93" s="332"/>
      <c r="RV93" s="332"/>
      <c r="RW93" s="332"/>
      <c r="RX93" s="332"/>
      <c r="RY93" s="332"/>
      <c r="RZ93" s="332"/>
      <c r="SA93" s="332"/>
      <c r="SB93" s="332"/>
      <c r="SC93" s="332"/>
      <c r="SD93" s="332"/>
      <c r="SE93" s="332"/>
      <c r="SF93" s="332"/>
      <c r="SG93" s="332"/>
      <c r="SH93" s="332"/>
      <c r="SI93" s="332"/>
      <c r="SJ93" s="332"/>
      <c r="SK93" s="332"/>
      <c r="SL93" s="332"/>
      <c r="SM93" s="332"/>
      <c r="SN93" s="332"/>
      <c r="SO93" s="332"/>
      <c r="SP93" s="332"/>
      <c r="SQ93" s="332"/>
      <c r="SR93" s="332"/>
      <c r="SS93" s="332"/>
      <c r="ST93" s="332"/>
      <c r="SU93" s="332"/>
      <c r="SV93" s="332"/>
      <c r="SW93" s="332"/>
      <c r="SX93" s="332"/>
      <c r="SY93" s="332"/>
      <c r="SZ93" s="332"/>
      <c r="TA93" s="332"/>
      <c r="TB93" s="332"/>
      <c r="TC93" s="332"/>
      <c r="TD93" s="332"/>
      <c r="TE93" s="332"/>
      <c r="TF93" s="332"/>
      <c r="TG93" s="332"/>
      <c r="TH93" s="332"/>
      <c r="TI93" s="332"/>
      <c r="TJ93" s="332"/>
      <c r="TK93" s="332"/>
      <c r="TL93" s="332"/>
      <c r="TM93" s="332"/>
      <c r="TN93" s="332"/>
      <c r="TO93" s="332"/>
      <c r="TP93" s="332"/>
      <c r="TQ93" s="332"/>
      <c r="TR93" s="332"/>
      <c r="TS93" s="332"/>
      <c r="TT93" s="332"/>
      <c r="TU93" s="332"/>
      <c r="TV93" s="332"/>
      <c r="TW93" s="332"/>
      <c r="TX93" s="332"/>
      <c r="TY93" s="332"/>
      <c r="TZ93" s="332"/>
      <c r="UA93" s="332"/>
      <c r="UB93" s="332"/>
      <c r="UC93" s="332"/>
      <c r="UD93" s="332"/>
      <c r="UE93" s="332"/>
      <c r="UF93" s="332"/>
      <c r="UG93" s="332"/>
      <c r="UH93" s="332"/>
      <c r="UI93" s="332"/>
      <c r="UJ93" s="332"/>
      <c r="UK93" s="332"/>
      <c r="UL93" s="332"/>
      <c r="UM93" s="332"/>
      <c r="UN93" s="332"/>
      <c r="UO93" s="332"/>
      <c r="UP93" s="332"/>
      <c r="UQ93" s="332"/>
      <c r="UR93" s="332"/>
      <c r="US93" s="332"/>
      <c r="UT93" s="332"/>
      <c r="UU93" s="332"/>
      <c r="UV93" s="332"/>
      <c r="UW93" s="332"/>
      <c r="UX93" s="332"/>
      <c r="UY93" s="332"/>
      <c r="UZ93" s="332"/>
      <c r="VA93" s="332"/>
      <c r="VB93" s="332"/>
      <c r="VC93" s="332"/>
      <c r="VD93" s="332"/>
      <c r="VE93" s="332"/>
      <c r="VF93" s="332"/>
      <c r="VG93" s="332"/>
      <c r="VH93" s="332"/>
      <c r="VI93" s="332"/>
      <c r="VJ93" s="332"/>
      <c r="VK93" s="332"/>
      <c r="VL93" s="332"/>
      <c r="VM93" s="332"/>
      <c r="VN93" s="332"/>
      <c r="VO93" s="332"/>
      <c r="VP93" s="332"/>
      <c r="VQ93" s="332"/>
      <c r="VR93" s="332"/>
      <c r="VS93" s="332"/>
      <c r="VT93" s="332"/>
      <c r="VU93" s="332"/>
      <c r="VV93" s="332"/>
      <c r="VW93" s="332"/>
      <c r="VX93" s="332"/>
      <c r="VY93" s="332"/>
      <c r="VZ93" s="332"/>
      <c r="WA93" s="332"/>
      <c r="WB93" s="332"/>
      <c r="WC93" s="332"/>
      <c r="WD93" s="332"/>
      <c r="WE93" s="332"/>
      <c r="WF93" s="332"/>
      <c r="WG93" s="332"/>
      <c r="WH93" s="332"/>
      <c r="WI93" s="332"/>
      <c r="WJ93" s="332"/>
      <c r="WK93" s="332"/>
      <c r="WL93" s="332"/>
      <c r="WM93" s="332"/>
      <c r="WN93" s="332"/>
      <c r="WO93" s="332"/>
      <c r="WP93" s="332"/>
      <c r="WQ93" s="332"/>
      <c r="WR93" s="332"/>
      <c r="WS93" s="332"/>
      <c r="WT93" s="332"/>
      <c r="WU93" s="332"/>
      <c r="WV93" s="332"/>
      <c r="WW93" s="332"/>
      <c r="WX93" s="332"/>
      <c r="WY93" s="332"/>
      <c r="WZ93" s="332"/>
      <c r="XA93" s="332"/>
      <c r="XB93" s="332"/>
      <c r="XC93" s="332"/>
      <c r="XD93" s="332"/>
      <c r="XE93" s="332"/>
      <c r="XF93" s="332"/>
      <c r="XG93" s="332"/>
      <c r="XH93" s="332"/>
      <c r="XI93" s="332"/>
      <c r="XJ93" s="332"/>
      <c r="XK93" s="332"/>
      <c r="XL93" s="332"/>
      <c r="XM93" s="332"/>
      <c r="XN93" s="332"/>
      <c r="XO93" s="332"/>
      <c r="XP93" s="332"/>
      <c r="XQ93" s="332"/>
      <c r="XR93" s="332"/>
      <c r="XS93" s="332"/>
      <c r="XT93" s="332"/>
      <c r="XU93" s="332"/>
      <c r="XV93" s="332"/>
      <c r="XW93" s="332"/>
      <c r="XX93" s="332"/>
      <c r="XY93" s="332"/>
      <c r="XZ93" s="332"/>
      <c r="YA93" s="332"/>
      <c r="YB93" s="332"/>
      <c r="YC93" s="332"/>
      <c r="YD93" s="332"/>
      <c r="YE93" s="332"/>
      <c r="YF93" s="332"/>
      <c r="YG93" s="332"/>
      <c r="YH93" s="332"/>
      <c r="YI93" s="332"/>
      <c r="YJ93" s="332"/>
      <c r="YK93" s="332"/>
      <c r="YL93" s="332"/>
      <c r="YM93" s="332"/>
      <c r="YN93" s="332"/>
      <c r="YO93" s="332"/>
      <c r="YP93" s="332"/>
      <c r="YQ93" s="332"/>
      <c r="YR93" s="332"/>
      <c r="YS93" s="332"/>
      <c r="YT93" s="332"/>
      <c r="YU93" s="332"/>
      <c r="YV93" s="332"/>
      <c r="YW93" s="332"/>
      <c r="YX93" s="332"/>
      <c r="YY93" s="332"/>
      <c r="YZ93" s="332"/>
      <c r="ZA93" s="332"/>
      <c r="ZB93" s="332"/>
      <c r="ZC93" s="332"/>
      <c r="ZD93" s="332"/>
      <c r="ZE93" s="332"/>
      <c r="ZF93" s="332"/>
      <c r="ZG93" s="332"/>
      <c r="ZH93" s="332"/>
      <c r="ZI93" s="332"/>
      <c r="ZJ93" s="332"/>
      <c r="ZK93" s="332"/>
      <c r="ZL93" s="332"/>
      <c r="ZM93" s="332"/>
      <c r="ZN93" s="332"/>
      <c r="ZO93" s="332"/>
      <c r="ZP93" s="332"/>
      <c r="ZQ93" s="332"/>
      <c r="ZR93" s="332"/>
      <c r="ZS93" s="332"/>
      <c r="ZT93" s="332"/>
      <c r="ZU93" s="332"/>
      <c r="ZV93" s="332"/>
      <c r="ZW93" s="332"/>
      <c r="ZX93" s="332"/>
      <c r="ZY93" s="332"/>
      <c r="ZZ93" s="332"/>
      <c r="AAA93" s="332"/>
      <c r="AAB93" s="332"/>
      <c r="AAC93" s="332"/>
      <c r="AAD93" s="332"/>
      <c r="AAE93" s="332"/>
      <c r="AAF93" s="332"/>
      <c r="AAG93" s="332"/>
      <c r="AAH93" s="332"/>
      <c r="AAI93" s="332"/>
      <c r="AAJ93" s="332"/>
      <c r="AAK93" s="332"/>
      <c r="AAL93" s="332"/>
      <c r="AAM93" s="332"/>
      <c r="AAN93" s="332"/>
      <c r="AAO93" s="332"/>
      <c r="AAP93" s="332"/>
      <c r="AAQ93" s="332"/>
      <c r="AAR93" s="332"/>
      <c r="AAS93" s="332"/>
      <c r="AAT93" s="332"/>
      <c r="AAU93" s="332"/>
      <c r="AAV93" s="332"/>
      <c r="AAW93" s="332"/>
      <c r="AAX93" s="332"/>
      <c r="AAY93" s="332"/>
      <c r="AAZ93" s="332"/>
      <c r="ABA93" s="332"/>
      <c r="ABB93" s="332"/>
      <c r="ABC93" s="332"/>
      <c r="ABD93" s="332"/>
      <c r="ABE93" s="332"/>
      <c r="ABF93" s="332"/>
      <c r="ABG93" s="332"/>
      <c r="ABH93" s="332"/>
      <c r="ABI93" s="332"/>
      <c r="ABJ93" s="332"/>
      <c r="ABK93" s="332"/>
      <c r="ABL93" s="332"/>
      <c r="ABM93" s="332"/>
      <c r="ABN93" s="332"/>
      <c r="ABO93" s="332"/>
      <c r="ABP93" s="332"/>
      <c r="ABQ93" s="332"/>
      <c r="ABR93" s="332"/>
      <c r="ABS93" s="332"/>
      <c r="ABT93" s="332"/>
      <c r="ABU93" s="332"/>
      <c r="ABV93" s="332"/>
      <c r="ABW93" s="332"/>
      <c r="ABX93" s="332"/>
      <c r="ABY93" s="332"/>
      <c r="ABZ93" s="332"/>
      <c r="ACA93" s="332"/>
      <c r="ACB93" s="332"/>
      <c r="ACC93" s="332"/>
      <c r="ACD93" s="332"/>
      <c r="ACE93" s="332"/>
      <c r="ACF93" s="332"/>
      <c r="ACG93" s="332"/>
      <c r="ACH93" s="332"/>
      <c r="ACI93" s="332"/>
      <c r="ACJ93" s="332"/>
      <c r="ACK93" s="332"/>
      <c r="ACL93" s="332"/>
      <c r="ACM93" s="332"/>
      <c r="ACN93" s="332"/>
      <c r="ACO93" s="332"/>
      <c r="ACP93" s="332"/>
      <c r="ACQ93" s="332"/>
      <c r="ACR93" s="332"/>
      <c r="ACS93" s="332"/>
      <c r="ACT93" s="332"/>
      <c r="ACU93" s="332"/>
      <c r="ACV93" s="332"/>
      <c r="ACW93" s="332"/>
      <c r="ACX93" s="332"/>
      <c r="ACY93" s="332"/>
      <c r="ACZ93" s="332"/>
      <c r="ADA93" s="332"/>
      <c r="ADB93" s="332"/>
      <c r="ADC93" s="332"/>
      <c r="ADD93" s="332"/>
      <c r="ADE93" s="332"/>
      <c r="ADF93" s="332"/>
      <c r="ADG93" s="332"/>
      <c r="ADH93" s="332"/>
      <c r="ADI93" s="332"/>
      <c r="ADJ93" s="332"/>
      <c r="ADK93" s="332"/>
      <c r="ADL93" s="332"/>
      <c r="ADM93" s="332"/>
      <c r="ADN93" s="332"/>
      <c r="ADO93" s="332"/>
      <c r="ADP93" s="332"/>
      <c r="ADQ93" s="332"/>
      <c r="ADR93" s="332"/>
      <c r="ADS93" s="332"/>
      <c r="ADT93" s="332"/>
      <c r="ADU93" s="332"/>
      <c r="ADV93" s="332"/>
      <c r="ADW93" s="332"/>
      <c r="ADX93" s="332"/>
      <c r="ADY93" s="332"/>
      <c r="ADZ93" s="332"/>
      <c r="AEA93" s="332"/>
      <c r="AEB93" s="332"/>
      <c r="AEC93" s="332"/>
      <c r="AED93" s="332"/>
      <c r="AEE93" s="332"/>
      <c r="AEF93" s="332"/>
      <c r="AEG93" s="332"/>
      <c r="AEH93" s="332"/>
      <c r="AEI93" s="332"/>
      <c r="AEJ93" s="332"/>
      <c r="AEK93" s="332"/>
      <c r="AEL93" s="332"/>
      <c r="AEM93" s="332"/>
      <c r="AEN93" s="332"/>
      <c r="AEO93" s="332"/>
      <c r="AEP93" s="332"/>
      <c r="AEQ93" s="332"/>
      <c r="AER93" s="332"/>
      <c r="AES93" s="332"/>
      <c r="AET93" s="332"/>
      <c r="AEU93" s="332"/>
      <c r="AEV93" s="332"/>
      <c r="AEW93" s="332"/>
      <c r="AEX93" s="332"/>
      <c r="AEY93" s="332"/>
      <c r="AEZ93" s="332"/>
      <c r="AFA93" s="332"/>
      <c r="AFB93" s="332"/>
      <c r="AFC93" s="332"/>
      <c r="AFD93" s="332"/>
      <c r="AFE93" s="332"/>
      <c r="AFF93" s="332"/>
      <c r="AFG93" s="332"/>
      <c r="AFH93" s="332"/>
      <c r="AFI93" s="332"/>
      <c r="AFJ93" s="332"/>
      <c r="AFK93" s="332"/>
      <c r="AFL93" s="332"/>
      <c r="AFM93" s="332"/>
      <c r="AFN93" s="332"/>
      <c r="AFO93" s="332"/>
      <c r="AFP93" s="332"/>
      <c r="AFQ93" s="332"/>
      <c r="AFR93" s="332"/>
      <c r="AFS93" s="332"/>
      <c r="AFT93" s="332"/>
      <c r="AFU93" s="332"/>
      <c r="AFV93" s="332"/>
      <c r="AFW93" s="332"/>
      <c r="AFX93" s="332"/>
      <c r="AFY93" s="332"/>
      <c r="AFZ93" s="332"/>
      <c r="AGA93" s="332"/>
      <c r="AGB93" s="332"/>
      <c r="AGC93" s="332"/>
      <c r="AGD93" s="332"/>
      <c r="AGE93" s="332"/>
      <c r="AGF93" s="332"/>
      <c r="AGG93" s="332"/>
      <c r="AGH93" s="332"/>
      <c r="AGI93" s="332"/>
      <c r="AGJ93" s="332"/>
      <c r="AGK93" s="332"/>
      <c r="AGL93" s="332"/>
      <c r="AGM93" s="332"/>
      <c r="AGN93" s="332"/>
      <c r="AGO93" s="332"/>
      <c r="AGP93" s="332"/>
      <c r="AGQ93" s="332"/>
      <c r="AGR93" s="332"/>
      <c r="AGS93" s="332"/>
      <c r="AGT93" s="332"/>
      <c r="AGU93" s="332"/>
      <c r="AGV93" s="332"/>
      <c r="AGW93" s="332"/>
      <c r="AGX93" s="332"/>
      <c r="AGY93" s="332"/>
      <c r="AGZ93" s="332"/>
      <c r="AHA93" s="332"/>
      <c r="AHB93" s="332"/>
      <c r="AHC93" s="332"/>
      <c r="AHD93" s="332"/>
      <c r="AHE93" s="332"/>
      <c r="AHF93" s="332"/>
      <c r="AHG93" s="332"/>
      <c r="AHH93" s="332"/>
      <c r="AHI93" s="332"/>
      <c r="AHJ93" s="332"/>
      <c r="AHK93" s="332"/>
      <c r="AHL93" s="332"/>
      <c r="AHM93" s="332"/>
      <c r="AHN93" s="332"/>
      <c r="AHO93" s="332"/>
      <c r="AHP93" s="332"/>
      <c r="AHQ93" s="332"/>
      <c r="AHR93" s="332"/>
      <c r="AHS93" s="332"/>
      <c r="AHT93" s="332"/>
      <c r="AHU93" s="332"/>
      <c r="AHV93" s="332"/>
      <c r="AHW93" s="332"/>
      <c r="AHX93" s="332"/>
      <c r="AHY93" s="332"/>
      <c r="AHZ93" s="332"/>
      <c r="AIA93" s="332"/>
      <c r="AIB93" s="332"/>
      <c r="AIC93" s="332"/>
      <c r="AID93" s="332"/>
      <c r="AIE93" s="332"/>
      <c r="AIF93" s="332"/>
      <c r="AIG93" s="332"/>
      <c r="AIH93" s="332"/>
      <c r="AII93" s="332"/>
      <c r="AIJ93" s="332"/>
      <c r="AIK93" s="332"/>
      <c r="AIL93" s="332"/>
      <c r="AIM93" s="332"/>
      <c r="AIN93" s="332"/>
      <c r="AIO93" s="332"/>
      <c r="AIP93" s="332"/>
      <c r="AIQ93" s="332"/>
      <c r="AIR93" s="332"/>
      <c r="AIS93" s="332"/>
      <c r="AIT93" s="332"/>
      <c r="AIU93" s="332"/>
      <c r="AIV93" s="332"/>
      <c r="AIW93" s="332"/>
      <c r="AIX93" s="332"/>
      <c r="AIY93" s="332"/>
      <c r="AIZ93" s="332"/>
      <c r="AJA93" s="332"/>
      <c r="AJB93" s="332"/>
      <c r="AJC93" s="332"/>
      <c r="AJD93" s="332"/>
      <c r="AJE93" s="332"/>
      <c r="AJF93" s="332"/>
      <c r="AJG93" s="332"/>
      <c r="AJH93" s="332"/>
      <c r="AJI93" s="332"/>
      <c r="AJJ93" s="332"/>
      <c r="AJK93" s="332"/>
      <c r="AJL93" s="332"/>
      <c r="AJM93" s="332"/>
      <c r="AJN93" s="332"/>
      <c r="AJO93" s="332"/>
      <c r="AJP93" s="332"/>
      <c r="AJQ93" s="332"/>
      <c r="AJR93" s="332"/>
      <c r="AJS93" s="332"/>
      <c r="AJT93" s="332"/>
      <c r="AJU93" s="332"/>
      <c r="AJV93" s="332"/>
      <c r="AJW93" s="332"/>
      <c r="AJX93" s="332"/>
      <c r="AJY93" s="332"/>
      <c r="AJZ93" s="332"/>
      <c r="AKA93" s="332"/>
      <c r="AKB93" s="332"/>
      <c r="AKC93" s="332"/>
      <c r="AKD93" s="332"/>
      <c r="AKE93" s="332"/>
      <c r="AKF93" s="332"/>
      <c r="AKG93" s="332"/>
      <c r="AKH93" s="332"/>
      <c r="AKI93" s="332"/>
      <c r="AKJ93" s="332"/>
      <c r="AKK93" s="332"/>
      <c r="AKL93" s="332"/>
      <c r="AKM93" s="332"/>
      <c r="AKN93" s="332"/>
      <c r="AKO93" s="332"/>
      <c r="AKP93" s="332"/>
      <c r="AKQ93" s="332"/>
      <c r="AKR93" s="332"/>
      <c r="AKS93" s="332"/>
      <c r="AKT93" s="332"/>
      <c r="AKU93" s="332"/>
      <c r="AKV93" s="332"/>
      <c r="AKW93" s="332"/>
      <c r="AKX93" s="332"/>
      <c r="AKY93" s="332"/>
      <c r="AKZ93" s="332"/>
      <c r="ALA93" s="332"/>
      <c r="ALB93" s="332"/>
      <c r="ALC93" s="332"/>
      <c r="ALD93" s="332"/>
      <c r="ALE93" s="332"/>
      <c r="ALF93" s="332"/>
      <c r="ALG93" s="332"/>
      <c r="ALH93" s="332"/>
      <c r="ALI93" s="332"/>
      <c r="ALJ93" s="332"/>
      <c r="ALK93" s="332"/>
      <c r="ALL93" s="332"/>
      <c r="ALM93" s="332"/>
      <c r="ALN93" s="332"/>
      <c r="ALO93" s="332"/>
      <c r="ALP93" s="332"/>
      <c r="ALQ93" s="332"/>
      <c r="ALR93" s="332"/>
      <c r="ALS93" s="332"/>
      <c r="ALT93" s="332"/>
      <c r="ALU93" s="332"/>
      <c r="ALV93" s="332"/>
      <c r="ALW93" s="332"/>
      <c r="ALX93" s="332"/>
      <c r="ALY93" s="332"/>
      <c r="ALZ93" s="332"/>
      <c r="AMA93" s="332"/>
      <c r="AMB93" s="332"/>
      <c r="AMC93" s="332"/>
      <c r="AMD93" s="332"/>
      <c r="AME93" s="332"/>
      <c r="AMF93" s="332"/>
      <c r="AMG93" s="332"/>
      <c r="AMH93" s="332"/>
      <c r="AMI93" s="332"/>
      <c r="AMJ93" s="332"/>
    </row>
    <row r="94" spans="1:1024" ht="12" customHeight="1" x14ac:dyDescent="0.25">
      <c r="B94" s="156"/>
      <c r="K94" s="66"/>
      <c r="T94" s="138"/>
    </row>
    <row r="95" spans="1:1024" ht="12" customHeight="1" x14ac:dyDescent="0.25">
      <c r="A95" s="149" t="s">
        <v>225</v>
      </c>
      <c r="B95" s="150"/>
      <c r="K95" s="66"/>
      <c r="T95" s="138"/>
    </row>
    <row r="96" spans="1:1024" ht="12" customHeight="1" x14ac:dyDescent="0.25">
      <c r="A96" s="153" t="s">
        <v>226</v>
      </c>
      <c r="B96" s="326">
        <f>+EFE!I21</f>
        <v>0</v>
      </c>
      <c r="K96" s="66"/>
      <c r="T96" s="138"/>
    </row>
    <row r="97" spans="1:2" ht="12" customHeight="1" x14ac:dyDescent="0.25">
      <c r="A97" s="155" t="s">
        <v>218</v>
      </c>
      <c r="B97" s="132">
        <f>-B96+C28</f>
        <v>-1571924.1851480007</v>
      </c>
    </row>
    <row r="98" spans="1:2" ht="12" customHeight="1" x14ac:dyDescent="0.25">
      <c r="A98" s="159" t="s">
        <v>214</v>
      </c>
      <c r="B98" s="132">
        <f>+B96+B97</f>
        <v>-1571924.1851480007</v>
      </c>
    </row>
    <row r="99" spans="1:2" ht="12" customHeight="1" x14ac:dyDescent="0.25">
      <c r="B99" s="166">
        <f>+B98-C28</f>
        <v>0</v>
      </c>
    </row>
    <row r="100" spans="1:2" ht="12" customHeight="1" x14ac:dyDescent="0.25">
      <c r="A100" s="149" t="s">
        <v>227</v>
      </c>
      <c r="B100" s="150"/>
    </row>
    <row r="101" spans="1:2" ht="12" customHeight="1" x14ac:dyDescent="0.25">
      <c r="A101" s="153" t="s">
        <v>442</v>
      </c>
      <c r="B101" s="97">
        <v>-1307540</v>
      </c>
    </row>
    <row r="102" spans="1:2" ht="12" customHeight="1" x14ac:dyDescent="0.25">
      <c r="A102" s="153" t="s">
        <v>228</v>
      </c>
      <c r="B102" s="97">
        <v>0</v>
      </c>
    </row>
    <row r="103" spans="1:2" ht="12" customHeight="1" x14ac:dyDescent="0.25">
      <c r="A103" s="155" t="s">
        <v>218</v>
      </c>
      <c r="B103" s="132">
        <v>-519230</v>
      </c>
    </row>
    <row r="104" spans="1:2" ht="12" customHeight="1" x14ac:dyDescent="0.25">
      <c r="A104" s="159" t="s">
        <v>214</v>
      </c>
      <c r="B104" s="132">
        <f>SUM(B101:B103)</f>
        <v>-1826770</v>
      </c>
    </row>
    <row r="105" spans="1:2" ht="12" customHeight="1" x14ac:dyDescent="0.25">
      <c r="B105" s="166">
        <f>+B104-L13-L26</f>
        <v>0</v>
      </c>
    </row>
    <row r="106" spans="1:2" ht="12" customHeight="1" x14ac:dyDescent="0.25"/>
    <row r="107" spans="1:2" ht="12" customHeight="1" x14ac:dyDescent="0.25"/>
    <row r="108" spans="1:2" ht="12" customHeight="1" x14ac:dyDescent="0.25"/>
    <row r="109" spans="1:2" ht="12" customHeight="1" x14ac:dyDescent="0.25"/>
    <row r="110" spans="1:2" ht="12" customHeight="1" x14ac:dyDescent="0.25"/>
    <row r="111" spans="1:2" ht="12" customHeight="1" x14ac:dyDescent="0.25"/>
    <row r="112" spans="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sheetData>
  <pageMargins left="0.7" right="0.7" top="0.75" bottom="0.75"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E7E6E6"/>
  </sheetPr>
  <dimension ref="A1:L201"/>
  <sheetViews>
    <sheetView topLeftCell="B6" zoomScaleNormal="100" workbookViewId="0">
      <pane xSplit="4" ySplit="15" topLeftCell="F151" activePane="bottomRight" state="frozen"/>
      <selection activeCell="B6" sqref="B6"/>
      <selection pane="topRight" activeCell="F6" sqref="F6"/>
      <selection pane="bottomLeft" activeCell="B21" sqref="B21"/>
      <selection pane="bottomRight" activeCell="F157" sqref="F157"/>
    </sheetView>
  </sheetViews>
  <sheetFormatPr defaultColWidth="11.5703125" defaultRowHeight="15" outlineLevelRow="1" x14ac:dyDescent="0.25"/>
  <cols>
    <col min="1" max="1" width="2.85546875" customWidth="1"/>
    <col min="2" max="4" width="11.42578125" style="8" customWidth="1"/>
    <col min="5" max="5" width="12.140625" style="8" customWidth="1"/>
    <col min="6" max="7" width="12.7109375" style="2" customWidth="1"/>
    <col min="8" max="8" width="12.5703125" customWidth="1"/>
    <col min="9" max="9" width="13.42578125" customWidth="1"/>
    <col min="10" max="10" width="13.140625" customWidth="1"/>
    <col min="11" max="11" width="13.42578125" bestFit="1" customWidth="1"/>
    <col min="12" max="12" width="12.28515625" customWidth="1"/>
  </cols>
  <sheetData>
    <row r="1" spans="1:10" x14ac:dyDescent="0.25">
      <c r="A1" s="3" t="s">
        <v>12</v>
      </c>
    </row>
    <row r="2" spans="1:10" x14ac:dyDescent="0.25">
      <c r="A2" s="4" t="s">
        <v>229</v>
      </c>
    </row>
    <row r="3" spans="1:10" x14ac:dyDescent="0.25">
      <c r="A3" s="4" t="s">
        <v>230</v>
      </c>
    </row>
    <row r="4" spans="1:10" x14ac:dyDescent="0.25">
      <c r="A4" s="8" t="s">
        <v>14</v>
      </c>
      <c r="F4" s="6"/>
      <c r="G4" s="6"/>
      <c r="H4" s="17"/>
      <c r="I4" s="17"/>
      <c r="J4" s="17"/>
    </row>
    <row r="5" spans="1:10" x14ac:dyDescent="0.25">
      <c r="F5" s="10"/>
      <c r="G5" s="10"/>
      <c r="H5" s="18"/>
      <c r="I5" s="37" t="s">
        <v>15</v>
      </c>
      <c r="J5" s="37"/>
    </row>
    <row r="6" spans="1:10" x14ac:dyDescent="0.25">
      <c r="F6" s="14" t="s">
        <v>16</v>
      </c>
      <c r="G6" s="14" t="s">
        <v>17</v>
      </c>
      <c r="H6" s="39" t="s">
        <v>18</v>
      </c>
      <c r="I6" s="40" t="s">
        <v>19</v>
      </c>
      <c r="J6" s="39" t="s">
        <v>20</v>
      </c>
    </row>
    <row r="7" spans="1:10" x14ac:dyDescent="0.25">
      <c r="B7" s="168" t="s">
        <v>231</v>
      </c>
      <c r="C7" s="50"/>
      <c r="D7" s="50"/>
      <c r="E7" s="50"/>
      <c r="F7" s="10"/>
      <c r="G7" s="10"/>
      <c r="H7" s="18"/>
      <c r="I7" s="18"/>
      <c r="J7" s="18"/>
    </row>
    <row r="8" spans="1:10" hidden="1" outlineLevel="1" x14ac:dyDescent="0.25">
      <c r="B8" s="30" t="s">
        <v>232</v>
      </c>
      <c r="C8" s="54"/>
      <c r="D8" s="54"/>
      <c r="E8" s="54"/>
      <c r="F8" s="10">
        <v>11061874</v>
      </c>
      <c r="G8" s="10">
        <v>4032283</v>
      </c>
      <c r="H8" s="10">
        <f t="shared" ref="H8:H15" si="0">+F8+G8</f>
        <v>15094157</v>
      </c>
      <c r="I8" s="10"/>
      <c r="J8" s="10">
        <f t="shared" ref="J8:J15" si="1">+H8+I8</f>
        <v>15094157</v>
      </c>
    </row>
    <row r="9" spans="1:10" hidden="1" outlineLevel="1" x14ac:dyDescent="0.25">
      <c r="B9" s="30" t="s">
        <v>233</v>
      </c>
      <c r="C9" s="54"/>
      <c r="D9" s="54"/>
      <c r="E9" s="54"/>
      <c r="F9" s="10">
        <f>+F8</f>
        <v>11061874</v>
      </c>
      <c r="G9" s="10">
        <f>+G8</f>
        <v>4032283</v>
      </c>
      <c r="H9" s="10">
        <f t="shared" si="0"/>
        <v>15094157</v>
      </c>
      <c r="I9" s="10"/>
      <c r="J9" s="10">
        <f t="shared" si="1"/>
        <v>15094157</v>
      </c>
    </row>
    <row r="10" spans="1:10" hidden="1" outlineLevel="1" x14ac:dyDescent="0.25">
      <c r="B10" s="30" t="s">
        <v>234</v>
      </c>
      <c r="C10" s="54"/>
      <c r="D10" s="54"/>
      <c r="E10" s="54"/>
      <c r="F10" s="10"/>
      <c r="G10" s="10">
        <v>1228319</v>
      </c>
      <c r="H10" s="10">
        <f t="shared" si="0"/>
        <v>1228319</v>
      </c>
      <c r="I10" s="10"/>
      <c r="J10" s="10">
        <f t="shared" si="1"/>
        <v>1228319</v>
      </c>
    </row>
    <row r="11" spans="1:10" hidden="1" outlineLevel="1" x14ac:dyDescent="0.25">
      <c r="B11" s="30" t="s">
        <v>235</v>
      </c>
      <c r="C11" s="54"/>
      <c r="D11" s="54"/>
      <c r="E11" s="54"/>
      <c r="F11" s="10">
        <v>7077000</v>
      </c>
      <c r="G11" s="10"/>
      <c r="H11" s="10">
        <f t="shared" si="0"/>
        <v>7077000</v>
      </c>
      <c r="I11" s="10"/>
      <c r="J11" s="10">
        <f t="shared" si="1"/>
        <v>7077000</v>
      </c>
    </row>
    <row r="12" spans="1:10" hidden="1" outlineLevel="1" x14ac:dyDescent="0.25">
      <c r="B12" s="30" t="s">
        <v>236</v>
      </c>
      <c r="C12" s="54"/>
      <c r="D12" s="54"/>
      <c r="E12" s="54"/>
      <c r="F12" s="10">
        <v>5470478</v>
      </c>
      <c r="G12" s="10"/>
      <c r="H12" s="10">
        <f t="shared" si="0"/>
        <v>5470478</v>
      </c>
      <c r="I12" s="10"/>
      <c r="J12" s="10">
        <f t="shared" si="1"/>
        <v>5470478</v>
      </c>
    </row>
    <row r="13" spans="1:10" hidden="1" outlineLevel="1" x14ac:dyDescent="0.25">
      <c r="B13" s="30" t="s">
        <v>237</v>
      </c>
      <c r="C13" s="54"/>
      <c r="D13" s="54"/>
      <c r="E13" s="54"/>
      <c r="F13" s="10">
        <v>270000</v>
      </c>
      <c r="G13" s="10"/>
      <c r="H13" s="10">
        <f t="shared" si="0"/>
        <v>270000</v>
      </c>
      <c r="I13" s="10"/>
      <c r="J13" s="10">
        <f t="shared" si="1"/>
        <v>270000</v>
      </c>
    </row>
    <row r="14" spans="1:10" hidden="1" outlineLevel="1" x14ac:dyDescent="0.25">
      <c r="B14" s="30" t="s">
        <v>238</v>
      </c>
      <c r="C14" s="54"/>
      <c r="D14" s="54"/>
      <c r="E14" s="54"/>
      <c r="F14" s="10">
        <v>23879352</v>
      </c>
      <c r="G14" s="10">
        <f>+G9+G10</f>
        <v>5260602</v>
      </c>
      <c r="H14" s="10">
        <f t="shared" si="0"/>
        <v>29139954</v>
      </c>
      <c r="I14" s="10"/>
      <c r="J14" s="10">
        <f t="shared" si="1"/>
        <v>29139954</v>
      </c>
    </row>
    <row r="15" spans="1:10" hidden="1" outlineLevel="1" x14ac:dyDescent="0.25">
      <c r="B15" s="30" t="s">
        <v>239</v>
      </c>
      <c r="C15" s="54"/>
      <c r="D15" s="54"/>
      <c r="E15" s="54"/>
      <c r="F15" s="24">
        <v>0</v>
      </c>
      <c r="G15" s="24">
        <v>2340607</v>
      </c>
      <c r="H15" s="24">
        <f t="shared" si="0"/>
        <v>2340607</v>
      </c>
      <c r="I15" s="24"/>
      <c r="J15" s="24">
        <f t="shared" si="1"/>
        <v>2340607</v>
      </c>
    </row>
    <row r="16" spans="1:10" hidden="1" collapsed="1" x14ac:dyDescent="0.25">
      <c r="B16" s="30" t="s">
        <v>240</v>
      </c>
      <c r="C16" s="54"/>
      <c r="D16" s="54"/>
      <c r="E16" s="54"/>
      <c r="F16" s="6">
        <f>+F14+F15</f>
        <v>23879352</v>
      </c>
      <c r="G16" s="6">
        <f>+G14+G15</f>
        <v>7601209</v>
      </c>
      <c r="H16" s="6">
        <f>+H14+H15</f>
        <v>31480561</v>
      </c>
      <c r="I16" s="6">
        <f>+I14+I15</f>
        <v>0</v>
      </c>
      <c r="J16" s="6">
        <f>+J14+J15</f>
        <v>31480561</v>
      </c>
    </row>
    <row r="17" spans="2:10" hidden="1" x14ac:dyDescent="0.25">
      <c r="B17" s="30" t="s">
        <v>241</v>
      </c>
      <c r="C17" s="54"/>
      <c r="D17" s="54"/>
      <c r="E17" s="54"/>
      <c r="F17" s="10">
        <v>6127345</v>
      </c>
      <c r="G17" s="10">
        <v>0</v>
      </c>
      <c r="H17" s="10">
        <f>+F17+G17</f>
        <v>6127345</v>
      </c>
      <c r="I17" s="10"/>
      <c r="J17" s="10">
        <f>+H17+I17</f>
        <v>6127345</v>
      </c>
    </row>
    <row r="18" spans="2:10" hidden="1" x14ac:dyDescent="0.25">
      <c r="B18" s="30" t="s">
        <v>239</v>
      </c>
      <c r="C18" s="54"/>
      <c r="D18" s="54"/>
      <c r="E18" s="54"/>
      <c r="F18" s="24">
        <v>0</v>
      </c>
      <c r="G18" s="24">
        <v>3414354</v>
      </c>
      <c r="H18" s="10">
        <f>+F18+G18</f>
        <v>3414354</v>
      </c>
      <c r="I18" s="24"/>
      <c r="J18" s="10">
        <f>+H18+I18</f>
        <v>3414354</v>
      </c>
    </row>
    <row r="19" spans="2:10" hidden="1" x14ac:dyDescent="0.25">
      <c r="B19" s="30" t="s">
        <v>242</v>
      </c>
      <c r="C19" s="54"/>
      <c r="D19" s="54"/>
      <c r="E19" s="54"/>
      <c r="F19" s="6">
        <f>+F16+F17</f>
        <v>30006697</v>
      </c>
      <c r="G19" s="6">
        <f>+G16+G17+G18</f>
        <v>11015563</v>
      </c>
      <c r="H19" s="6">
        <f>+H16+H17+H18</f>
        <v>41022260</v>
      </c>
      <c r="I19" s="6"/>
      <c r="J19" s="6">
        <f>+J16+J17+J18</f>
        <v>41022260</v>
      </c>
    </row>
    <row r="20" spans="2:10" hidden="1" x14ac:dyDescent="0.25">
      <c r="B20" s="30" t="s">
        <v>239</v>
      </c>
      <c r="C20" s="54"/>
      <c r="D20" s="54"/>
      <c r="E20" s="54"/>
      <c r="F20" s="10">
        <v>5035990</v>
      </c>
      <c r="G20" s="10">
        <v>2143739</v>
      </c>
      <c r="H20" s="10">
        <f>+F20+G20</f>
        <v>7179729</v>
      </c>
      <c r="I20" s="10"/>
      <c r="J20" s="10">
        <f>+H20+I20</f>
        <v>7179729</v>
      </c>
    </row>
    <row r="21" spans="2:10" x14ac:dyDescent="0.25">
      <c r="B21" s="30" t="s">
        <v>243</v>
      </c>
      <c r="C21" s="54"/>
      <c r="D21" s="54"/>
      <c r="E21" s="54"/>
      <c r="F21" s="6">
        <f>SUM(F19:F20)</f>
        <v>35042687</v>
      </c>
      <c r="G21" s="6">
        <f>SUM(G19:G20)</f>
        <v>13159302</v>
      </c>
      <c r="H21" s="6">
        <f>SUM(H19:H20)</f>
        <v>48201989</v>
      </c>
      <c r="I21" s="6">
        <f>SUM(I19:I20)</f>
        <v>0</v>
      </c>
      <c r="J21" s="6">
        <f>SUM(J19:J20)</f>
        <v>48201989</v>
      </c>
    </row>
    <row r="22" spans="2:10" x14ac:dyDescent="0.25">
      <c r="B22" s="30" t="s">
        <v>244</v>
      </c>
      <c r="C22" s="54"/>
      <c r="D22" s="54"/>
      <c r="E22" s="54"/>
      <c r="F22" s="10">
        <v>8215675</v>
      </c>
      <c r="G22" s="10"/>
      <c r="H22" s="10">
        <f>+F22+G22</f>
        <v>8215675</v>
      </c>
      <c r="I22" s="10"/>
      <c r="J22" s="10">
        <f>+H22+I22</f>
        <v>8215675</v>
      </c>
    </row>
    <row r="23" spans="2:10" x14ac:dyDescent="0.25">
      <c r="B23" s="30" t="s">
        <v>245</v>
      </c>
      <c r="C23" s="54"/>
      <c r="D23" s="54"/>
      <c r="E23" s="54"/>
      <c r="F23" s="10">
        <v>-6115000</v>
      </c>
      <c r="G23" s="10"/>
      <c r="H23" s="10">
        <f>+F23+G23</f>
        <v>-6115000</v>
      </c>
      <c r="I23" s="10"/>
      <c r="J23" s="10">
        <f>+H23+I23</f>
        <v>-6115000</v>
      </c>
    </row>
    <row r="24" spans="2:10" x14ac:dyDescent="0.25">
      <c r="B24" s="30" t="s">
        <v>246</v>
      </c>
      <c r="C24" s="54"/>
      <c r="D24" s="54"/>
      <c r="E24" s="54"/>
      <c r="F24" s="232">
        <f>SUM(F21:F23)</f>
        <v>37143362</v>
      </c>
      <c r="G24" s="232">
        <f>SUM(G21:G23)</f>
        <v>13159302</v>
      </c>
      <c r="H24" s="234">
        <f>SUM(H21:H23)</f>
        <v>50302664</v>
      </c>
      <c r="I24" s="232">
        <f>SUM(I21:I23)</f>
        <v>0</v>
      </c>
      <c r="J24" s="232">
        <f>SUM(J21:J23)</f>
        <v>50302664</v>
      </c>
    </row>
    <row r="25" spans="2:10" x14ac:dyDescent="0.25">
      <c r="B25" s="30" t="s">
        <v>428</v>
      </c>
      <c r="C25" s="54"/>
      <c r="D25" s="54"/>
      <c r="E25" s="54"/>
      <c r="F25" s="233">
        <v>-21629181</v>
      </c>
      <c r="G25" s="233"/>
      <c r="H25" s="2">
        <f>+F25+G25</f>
        <v>-21629181</v>
      </c>
      <c r="I25" s="233"/>
      <c r="J25" s="233">
        <f t="shared" ref="J25:J26" si="2">+H25+I25</f>
        <v>-21629181</v>
      </c>
    </row>
    <row r="26" spans="2:10" x14ac:dyDescent="0.25">
      <c r="B26" s="30" t="s">
        <v>429</v>
      </c>
      <c r="C26" s="54"/>
      <c r="D26" s="54"/>
      <c r="E26" s="54"/>
      <c r="F26" s="24">
        <v>6115000</v>
      </c>
      <c r="G26" s="24">
        <v>5404856</v>
      </c>
      <c r="H26" s="2">
        <f>+F26+G26</f>
        <v>11519856</v>
      </c>
      <c r="I26" s="24"/>
      <c r="J26" s="24">
        <f t="shared" si="2"/>
        <v>11519856</v>
      </c>
    </row>
    <row r="27" spans="2:10" x14ac:dyDescent="0.25">
      <c r="B27" s="30" t="s">
        <v>248</v>
      </c>
      <c r="C27" s="54"/>
      <c r="D27" s="54"/>
      <c r="E27" s="54"/>
      <c r="F27" s="169">
        <f>SUM(F24:F26)</f>
        <v>21629181</v>
      </c>
      <c r="G27" s="169">
        <f>SUM(G24:G26)</f>
        <v>18564158</v>
      </c>
      <c r="H27" s="169">
        <f>SUM(H24:H26)</f>
        <v>40193339</v>
      </c>
      <c r="I27" s="169">
        <f>SUM(I24:I26)</f>
        <v>0</v>
      </c>
      <c r="J27" s="169">
        <f>SUM(J24:J26)</f>
        <v>40193339</v>
      </c>
    </row>
    <row r="28" spans="2:10" x14ac:dyDescent="0.25">
      <c r="B28" s="30"/>
      <c r="C28" s="54"/>
      <c r="D28" s="54"/>
      <c r="E28" s="54"/>
      <c r="F28" s="10"/>
      <c r="G28" s="10"/>
      <c r="H28" s="10"/>
      <c r="I28" s="10"/>
      <c r="J28" s="10"/>
    </row>
    <row r="29" spans="2:10" x14ac:dyDescent="0.25">
      <c r="B29" s="170" t="s">
        <v>249</v>
      </c>
      <c r="C29" s="54"/>
      <c r="D29" s="54"/>
      <c r="E29" s="54"/>
      <c r="F29" s="10"/>
      <c r="G29" s="10"/>
      <c r="H29" s="10"/>
      <c r="I29" s="10"/>
      <c r="J29" s="10"/>
    </row>
    <row r="30" spans="2:10" hidden="1" outlineLevel="1" x14ac:dyDescent="0.25">
      <c r="B30" s="30" t="s">
        <v>250</v>
      </c>
      <c r="C30" s="54"/>
      <c r="D30" s="54"/>
      <c r="E30" s="54"/>
      <c r="F30" s="10">
        <v>9572420</v>
      </c>
      <c r="G30" s="10"/>
      <c r="H30" s="10">
        <f t="shared" ref="H30:H38" si="3">+F30+G30</f>
        <v>9572420</v>
      </c>
      <c r="I30" s="10"/>
      <c r="J30" s="10">
        <f t="shared" ref="J30:J38" si="4">+H30+I30</f>
        <v>9572420</v>
      </c>
    </row>
    <row r="31" spans="2:10" hidden="1" outlineLevel="1" x14ac:dyDescent="0.25">
      <c r="B31" s="30" t="s">
        <v>251</v>
      </c>
      <c r="C31" s="54"/>
      <c r="D31" s="54"/>
      <c r="E31" s="54"/>
      <c r="F31" s="10">
        <v>1304919</v>
      </c>
      <c r="G31" s="10"/>
      <c r="H31" s="10">
        <f t="shared" si="3"/>
        <v>1304919</v>
      </c>
      <c r="I31" s="10"/>
      <c r="J31" s="10">
        <f t="shared" si="4"/>
        <v>1304919</v>
      </c>
    </row>
    <row r="32" spans="2:10" hidden="1" outlineLevel="1" x14ac:dyDescent="0.25">
      <c r="B32" s="30" t="s">
        <v>233</v>
      </c>
      <c r="C32" s="54"/>
      <c r="D32" s="54"/>
      <c r="E32" s="54"/>
      <c r="F32" s="10">
        <f>+F30+F31</f>
        <v>10877339</v>
      </c>
      <c r="G32" s="10"/>
      <c r="H32" s="10">
        <f t="shared" si="3"/>
        <v>10877339</v>
      </c>
      <c r="I32" s="10"/>
      <c r="J32" s="10">
        <f t="shared" si="4"/>
        <v>10877339</v>
      </c>
    </row>
    <row r="33" spans="2:10" hidden="1" outlineLevel="1" x14ac:dyDescent="0.25">
      <c r="B33" s="30" t="s">
        <v>252</v>
      </c>
      <c r="C33" s="54"/>
      <c r="D33" s="54"/>
      <c r="E33" s="54"/>
      <c r="F33" s="10">
        <v>-3094403</v>
      </c>
      <c r="G33" s="10"/>
      <c r="H33" s="10">
        <f t="shared" si="3"/>
        <v>-3094403</v>
      </c>
      <c r="I33" s="18"/>
      <c r="J33" s="10">
        <f t="shared" si="4"/>
        <v>-3094403</v>
      </c>
    </row>
    <row r="34" spans="2:10" hidden="1" outlineLevel="1" x14ac:dyDescent="0.25">
      <c r="B34" s="30" t="s">
        <v>235</v>
      </c>
      <c r="C34" s="54"/>
      <c r="D34" s="54"/>
      <c r="E34" s="54"/>
      <c r="F34" s="10">
        <v>-7077000</v>
      </c>
      <c r="G34" s="10"/>
      <c r="H34" s="10">
        <f t="shared" si="3"/>
        <v>-7077000</v>
      </c>
      <c r="I34" s="18"/>
      <c r="J34" s="10">
        <f t="shared" si="4"/>
        <v>-7077000</v>
      </c>
    </row>
    <row r="35" spans="2:10" hidden="1" outlineLevel="1" x14ac:dyDescent="0.25">
      <c r="B35" s="30" t="s">
        <v>238</v>
      </c>
      <c r="C35" s="54"/>
      <c r="D35" s="54"/>
      <c r="E35" s="54"/>
      <c r="F35" s="24">
        <f>SUM(F32:F34)</f>
        <v>705936</v>
      </c>
      <c r="G35" s="24">
        <v>0</v>
      </c>
      <c r="H35" s="24">
        <f t="shared" si="3"/>
        <v>705936</v>
      </c>
      <c r="I35" s="27"/>
      <c r="J35" s="24">
        <f t="shared" si="4"/>
        <v>705936</v>
      </c>
    </row>
    <row r="36" spans="2:10" hidden="1" collapsed="1" x14ac:dyDescent="0.25">
      <c r="B36" s="30" t="s">
        <v>240</v>
      </c>
      <c r="C36" s="54"/>
      <c r="D36" s="54"/>
      <c r="E36" s="54"/>
      <c r="F36" s="6">
        <f>+F35</f>
        <v>705936</v>
      </c>
      <c r="G36" s="6">
        <v>0</v>
      </c>
      <c r="H36" s="6">
        <f t="shared" si="3"/>
        <v>705936</v>
      </c>
      <c r="I36" s="17"/>
      <c r="J36" s="6">
        <f t="shared" si="4"/>
        <v>705936</v>
      </c>
    </row>
    <row r="37" spans="2:10" ht="42.75" hidden="1" customHeight="1" x14ac:dyDescent="0.25">
      <c r="B37" s="314" t="s">
        <v>253</v>
      </c>
      <c r="C37" s="314"/>
      <c r="D37" s="314"/>
      <c r="E37" s="314"/>
      <c r="F37" s="24">
        <v>-705016</v>
      </c>
      <c r="G37" s="24">
        <v>0</v>
      </c>
      <c r="H37" s="24">
        <f t="shared" si="3"/>
        <v>-705016</v>
      </c>
      <c r="I37" s="27"/>
      <c r="J37" s="24">
        <f t="shared" si="4"/>
        <v>-705016</v>
      </c>
    </row>
    <row r="38" spans="2:10" hidden="1" x14ac:dyDescent="0.25">
      <c r="B38" s="315" t="s">
        <v>242</v>
      </c>
      <c r="C38" s="315"/>
      <c r="D38" s="315"/>
      <c r="E38" s="315"/>
      <c r="F38" s="6">
        <f>+F36+F37</f>
        <v>920</v>
      </c>
      <c r="G38" s="6">
        <v>0</v>
      </c>
      <c r="H38" s="6">
        <f t="shared" si="3"/>
        <v>920</v>
      </c>
      <c r="I38" s="17"/>
      <c r="J38" s="6">
        <f t="shared" si="4"/>
        <v>920</v>
      </c>
    </row>
    <row r="39" spans="2:10" x14ac:dyDescent="0.25">
      <c r="B39" s="315" t="s">
        <v>243</v>
      </c>
      <c r="C39" s="315"/>
      <c r="D39" s="315"/>
      <c r="E39" s="315"/>
      <c r="F39" s="6">
        <f>SUM(F38:F38)</f>
        <v>920</v>
      </c>
      <c r="G39" s="6">
        <f>SUM(G38:G38)</f>
        <v>0</v>
      </c>
      <c r="H39" s="6">
        <f>SUM(H38:H38)</f>
        <v>920</v>
      </c>
      <c r="I39" s="6">
        <f>SUM(I38:I38)</f>
        <v>0</v>
      </c>
      <c r="J39" s="6">
        <f>SUM(J38:J38)</f>
        <v>920</v>
      </c>
    </row>
    <row r="40" spans="2:10" x14ac:dyDescent="0.25">
      <c r="B40" s="315" t="s">
        <v>254</v>
      </c>
      <c r="C40" s="315"/>
      <c r="D40" s="315"/>
      <c r="E40" s="315"/>
      <c r="F40" s="10">
        <v>6115000</v>
      </c>
      <c r="G40" s="10"/>
      <c r="H40" s="10">
        <f>+F40+G40</f>
        <v>6115000</v>
      </c>
      <c r="I40" s="10"/>
      <c r="J40" s="10">
        <f>+H40+I40</f>
        <v>6115000</v>
      </c>
    </row>
    <row r="41" spans="2:10" x14ac:dyDescent="0.25">
      <c r="B41" s="30" t="s">
        <v>246</v>
      </c>
      <c r="C41" s="54"/>
      <c r="D41" s="54"/>
      <c r="E41" s="54"/>
      <c r="F41" s="232">
        <f>+F39+F40</f>
        <v>6115920</v>
      </c>
      <c r="G41" s="232">
        <f>+G39+G40</f>
        <v>0</v>
      </c>
      <c r="H41" s="234">
        <f>+H39+H40</f>
        <v>6115920</v>
      </c>
      <c r="I41" s="232">
        <f>+I39+I40</f>
        <v>0</v>
      </c>
      <c r="J41" s="232">
        <f>+J39+J40</f>
        <v>6115920</v>
      </c>
    </row>
    <row r="42" spans="2:10" x14ac:dyDescent="0.25">
      <c r="B42" s="30" t="s">
        <v>430</v>
      </c>
      <c r="C42" s="54"/>
      <c r="D42" s="54"/>
      <c r="E42" s="54"/>
      <c r="F42" s="10">
        <v>-6115000</v>
      </c>
      <c r="G42" s="10"/>
      <c r="H42" s="2">
        <f>+F42+G42</f>
        <v>-6115000</v>
      </c>
      <c r="I42" s="24"/>
      <c r="J42" s="24">
        <f>+H42+I42</f>
        <v>-6115000</v>
      </c>
    </row>
    <row r="43" spans="2:10" ht="15.75" thickBot="1" x14ac:dyDescent="0.3">
      <c r="B43" s="30" t="s">
        <v>248</v>
      </c>
      <c r="C43" s="54"/>
      <c r="D43" s="54"/>
      <c r="E43" s="54"/>
      <c r="F43" s="169">
        <f>SUM(F41:F42)</f>
        <v>920</v>
      </c>
      <c r="G43" s="169">
        <f>SUM(G41:G42)</f>
        <v>0</v>
      </c>
      <c r="H43" s="19">
        <f>SUM(H41:H42)</f>
        <v>920</v>
      </c>
      <c r="I43" s="19">
        <f>SUM(I41:I42)</f>
        <v>0</v>
      </c>
      <c r="J43" s="19">
        <f>SUM(J41:J42)</f>
        <v>920</v>
      </c>
    </row>
    <row r="44" spans="2:10" ht="15.75" thickTop="1" x14ac:dyDescent="0.25">
      <c r="B44" s="30"/>
      <c r="C44" s="54"/>
      <c r="D44" s="54"/>
      <c r="E44" s="54"/>
      <c r="F44" s="10"/>
      <c r="G44" s="10"/>
      <c r="H44" s="26"/>
      <c r="I44" s="10"/>
      <c r="J44" s="10"/>
    </row>
    <row r="45" spans="2:10" x14ac:dyDescent="0.25">
      <c r="B45" s="170" t="s">
        <v>255</v>
      </c>
      <c r="C45" s="54"/>
      <c r="D45" s="54"/>
      <c r="E45" s="54"/>
      <c r="F45" s="24"/>
      <c r="G45" s="24"/>
      <c r="H45" s="26"/>
      <c r="I45" s="18"/>
      <c r="J45" s="18"/>
    </row>
    <row r="46" spans="2:10" hidden="1" outlineLevel="1" x14ac:dyDescent="0.25">
      <c r="B46" s="30" t="s">
        <v>250</v>
      </c>
      <c r="C46" s="54"/>
      <c r="D46" s="54"/>
      <c r="E46" s="54"/>
      <c r="F46" s="10">
        <v>570206</v>
      </c>
      <c r="G46" s="10">
        <v>516352</v>
      </c>
      <c r="H46" s="10">
        <f>+F46+G46</f>
        <v>1086558</v>
      </c>
      <c r="I46" s="18"/>
      <c r="J46" s="60">
        <f>+H46+I46</f>
        <v>1086558</v>
      </c>
    </row>
    <row r="47" spans="2:10" hidden="1" outlineLevel="1" x14ac:dyDescent="0.25">
      <c r="B47" s="30" t="s">
        <v>256</v>
      </c>
      <c r="C47" s="54"/>
      <c r="D47" s="54"/>
      <c r="E47" s="54"/>
      <c r="F47" s="10">
        <v>359244</v>
      </c>
      <c r="G47" s="10"/>
      <c r="H47" s="10">
        <f>+F47+G47</f>
        <v>359244</v>
      </c>
      <c r="I47" s="18"/>
      <c r="J47" s="10">
        <f>+H47+I47</f>
        <v>359244</v>
      </c>
    </row>
    <row r="48" spans="2:10" hidden="1" outlineLevel="1" x14ac:dyDescent="0.25">
      <c r="B48" s="30" t="s">
        <v>233</v>
      </c>
      <c r="C48" s="54"/>
      <c r="D48" s="54"/>
      <c r="E48" s="54"/>
      <c r="F48" s="10">
        <f>+F47+F46</f>
        <v>929450</v>
      </c>
      <c r="G48" s="10">
        <f>+G46+G47</f>
        <v>516352</v>
      </c>
      <c r="H48" s="10">
        <f>+F48+G48</f>
        <v>1445802</v>
      </c>
      <c r="I48" s="18"/>
      <c r="J48" s="10">
        <f>+H48+I48</f>
        <v>1445802</v>
      </c>
    </row>
    <row r="49" spans="2:11" hidden="1" outlineLevel="1" x14ac:dyDescent="0.25">
      <c r="B49" s="30" t="s">
        <v>257</v>
      </c>
      <c r="C49" s="54"/>
      <c r="D49" s="54"/>
      <c r="E49" s="54"/>
      <c r="F49" s="10">
        <v>1710803</v>
      </c>
      <c r="G49" s="10">
        <v>136481</v>
      </c>
      <c r="H49" s="10">
        <f>+F49+G49</f>
        <v>1847284</v>
      </c>
      <c r="I49" s="18"/>
      <c r="J49" s="10">
        <f>+H49+I49</f>
        <v>1847284</v>
      </c>
    </row>
    <row r="50" spans="2:11" hidden="1" outlineLevel="1" x14ac:dyDescent="0.25">
      <c r="B50" s="30" t="s">
        <v>238</v>
      </c>
      <c r="C50" s="54"/>
      <c r="D50" s="54"/>
      <c r="E50" s="54"/>
      <c r="F50" s="10">
        <f>+F49+F48</f>
        <v>2640253</v>
      </c>
      <c r="G50" s="10">
        <f>+G49+G48</f>
        <v>652833</v>
      </c>
      <c r="H50" s="10">
        <f>+F50+G50</f>
        <v>3293086</v>
      </c>
      <c r="I50" s="18"/>
      <c r="J50" s="10">
        <f>+H50+I50</f>
        <v>3293086</v>
      </c>
    </row>
    <row r="51" spans="2:11" hidden="1" outlineLevel="1" x14ac:dyDescent="0.25">
      <c r="B51" s="30" t="s">
        <v>258</v>
      </c>
      <c r="C51" s="54"/>
      <c r="D51" s="54"/>
      <c r="E51" s="54"/>
      <c r="F51" s="6">
        <f>+F50</f>
        <v>2640253</v>
      </c>
      <c r="G51" s="6">
        <f>+G50</f>
        <v>652833</v>
      </c>
      <c r="H51" s="6">
        <f>+H50</f>
        <v>3293086</v>
      </c>
      <c r="I51" s="6">
        <f>+I50</f>
        <v>0</v>
      </c>
      <c r="J51" s="6">
        <f>+J50</f>
        <v>3293086</v>
      </c>
    </row>
    <row r="52" spans="2:11" hidden="1" outlineLevel="1" x14ac:dyDescent="0.25">
      <c r="B52" s="30" t="s">
        <v>257</v>
      </c>
      <c r="C52" s="54"/>
      <c r="D52" s="54"/>
      <c r="E52" s="54"/>
      <c r="F52" s="26">
        <v>1341885</v>
      </c>
      <c r="G52" s="26">
        <v>260067</v>
      </c>
      <c r="H52" s="10">
        <f>+F52+G52</f>
        <v>1601952</v>
      </c>
      <c r="I52" s="18"/>
      <c r="J52" s="10">
        <f>+H52+I52</f>
        <v>1601952</v>
      </c>
    </row>
    <row r="53" spans="2:11" hidden="1" outlineLevel="1" x14ac:dyDescent="0.25">
      <c r="B53" s="53" t="s">
        <v>259</v>
      </c>
      <c r="C53" s="54"/>
      <c r="D53" s="54"/>
      <c r="E53" s="54"/>
      <c r="F53" s="10"/>
      <c r="G53" s="171">
        <v>379372</v>
      </c>
      <c r="H53" s="10">
        <f>+F53+G53</f>
        <v>379372</v>
      </c>
      <c r="I53" s="18"/>
      <c r="J53" s="10">
        <f>+H53+I53</f>
        <v>379372</v>
      </c>
    </row>
    <row r="54" spans="2:11" hidden="1" x14ac:dyDescent="0.25">
      <c r="B54" s="30" t="s">
        <v>260</v>
      </c>
      <c r="C54" s="54"/>
      <c r="D54" s="54"/>
      <c r="E54" s="54"/>
      <c r="F54" s="6">
        <f>+F50+F52</f>
        <v>3982138</v>
      </c>
      <c r="G54" s="6">
        <f>+G51+G52+G53</f>
        <v>1292272</v>
      </c>
      <c r="H54" s="6">
        <f>+H51+H52+H53</f>
        <v>5274410</v>
      </c>
      <c r="I54" s="6">
        <f>+I50+I52</f>
        <v>0</v>
      </c>
      <c r="J54" s="6">
        <f>+J51+J52+J53</f>
        <v>5274410</v>
      </c>
    </row>
    <row r="55" spans="2:11" hidden="1" x14ac:dyDescent="0.25">
      <c r="B55" s="30" t="s">
        <v>247</v>
      </c>
      <c r="C55" s="54"/>
      <c r="D55" s="54"/>
      <c r="E55" s="54"/>
      <c r="F55" s="10">
        <v>680816</v>
      </c>
      <c r="G55" s="10">
        <v>259368</v>
      </c>
      <c r="H55" s="10">
        <f>+F55+G55</f>
        <v>940184</v>
      </c>
      <c r="I55" s="10"/>
      <c r="J55" s="10">
        <f>+H55+I55</f>
        <v>940184</v>
      </c>
    </row>
    <row r="56" spans="2:11" hidden="1" x14ac:dyDescent="0.25">
      <c r="B56" s="30" t="s">
        <v>261</v>
      </c>
      <c r="C56" s="54"/>
      <c r="D56" s="54"/>
      <c r="E56" s="54"/>
      <c r="F56" s="6">
        <v>4662954</v>
      </c>
      <c r="G56" s="6">
        <f>+G54+G55</f>
        <v>1551640</v>
      </c>
      <c r="H56" s="6">
        <f>+H54+H55</f>
        <v>6214594</v>
      </c>
      <c r="I56" s="6"/>
      <c r="J56" s="6">
        <f>+J54+J55</f>
        <v>6214594</v>
      </c>
    </row>
    <row r="57" spans="2:11" hidden="1" x14ac:dyDescent="0.25">
      <c r="B57" s="30" t="s">
        <v>262</v>
      </c>
      <c r="C57" s="54"/>
      <c r="D57" s="54"/>
      <c r="E57" s="48"/>
      <c r="F57" s="10">
        <v>559555</v>
      </c>
      <c r="G57" s="10"/>
      <c r="H57" s="10">
        <f>+F57+G57</f>
        <v>559555</v>
      </c>
      <c r="I57" s="18"/>
      <c r="J57" s="60">
        <f>+H57+I57</f>
        <v>559555</v>
      </c>
    </row>
    <row r="58" spans="2:11" x14ac:dyDescent="0.25">
      <c r="B58" s="30" t="s">
        <v>243</v>
      </c>
      <c r="C58" s="54"/>
      <c r="D58" s="54"/>
      <c r="E58" s="54"/>
      <c r="F58" s="6">
        <f>SUM(F56:F57)</f>
        <v>5222509</v>
      </c>
      <c r="G58" s="6">
        <f>SUM(G56:G57)</f>
        <v>1551640</v>
      </c>
      <c r="H58" s="6">
        <f>SUM(H56:H57)</f>
        <v>6774149</v>
      </c>
      <c r="I58" s="6">
        <f>SUM(I56:I57)</f>
        <v>0</v>
      </c>
      <c r="J58" s="6">
        <f>SUM(J56:J57)</f>
        <v>6774149</v>
      </c>
      <c r="K58" s="32"/>
    </row>
    <row r="59" spans="2:11" x14ac:dyDescent="0.25">
      <c r="B59" s="30" t="s">
        <v>257</v>
      </c>
      <c r="C59" s="54"/>
      <c r="D59" s="54"/>
      <c r="E59" s="54"/>
      <c r="F59" s="10">
        <v>912853</v>
      </c>
      <c r="G59" s="10">
        <v>374781</v>
      </c>
      <c r="H59" s="10">
        <f>+F59+G59</f>
        <v>1287634</v>
      </c>
      <c r="I59" s="10"/>
      <c r="J59" s="10">
        <f>+H59+I59</f>
        <v>1287634</v>
      </c>
      <c r="K59" s="32"/>
    </row>
    <row r="60" spans="2:11" x14ac:dyDescent="0.25">
      <c r="B60" s="30" t="s">
        <v>246</v>
      </c>
      <c r="C60" s="54"/>
      <c r="D60" s="54"/>
      <c r="E60" s="54"/>
      <c r="F60" s="6">
        <f>+F58+F59</f>
        <v>6135362</v>
      </c>
      <c r="G60" s="6">
        <f>+G58+G59</f>
        <v>1926421</v>
      </c>
      <c r="H60" s="6">
        <f>+H58+H59</f>
        <v>8061783</v>
      </c>
      <c r="I60" s="6">
        <f>+I58+I59</f>
        <v>0</v>
      </c>
      <c r="J60" s="6">
        <f>+J58+J59</f>
        <v>8061783</v>
      </c>
      <c r="K60" s="32"/>
    </row>
    <row r="61" spans="2:11" x14ac:dyDescent="0.25">
      <c r="B61" s="30" t="s">
        <v>244</v>
      </c>
      <c r="C61" s="54"/>
      <c r="D61" s="54"/>
      <c r="E61" s="54"/>
      <c r="F61" s="10">
        <v>0</v>
      </c>
      <c r="G61" s="235">
        <v>709264</v>
      </c>
      <c r="H61" s="10">
        <f>+F61+G61</f>
        <v>709264</v>
      </c>
      <c r="I61" s="182"/>
      <c r="J61" s="10">
        <f>+H61+I61</f>
        <v>709264</v>
      </c>
      <c r="K61" s="32"/>
    </row>
    <row r="62" spans="2:11" ht="15.75" thickBot="1" x14ac:dyDescent="0.3">
      <c r="B62" s="30" t="s">
        <v>248</v>
      </c>
      <c r="C62" s="54"/>
      <c r="D62" s="54"/>
      <c r="E62" s="54"/>
      <c r="F62" s="169">
        <f>SUM(F60:F61)</f>
        <v>6135362</v>
      </c>
      <c r="G62" s="169">
        <f>SUM(G60:G61)</f>
        <v>2635685</v>
      </c>
      <c r="H62" s="169">
        <f>SUM(H60:H61)</f>
        <v>8771047</v>
      </c>
      <c r="I62" s="169">
        <f>SUM(I60:I61)</f>
        <v>0</v>
      </c>
      <c r="J62" s="169">
        <f>SUM(J60:J61)</f>
        <v>8771047</v>
      </c>
      <c r="K62" s="32"/>
    </row>
    <row r="63" spans="2:11" x14ac:dyDescent="0.25">
      <c r="B63" s="30"/>
      <c r="C63" s="54"/>
      <c r="D63" s="54"/>
      <c r="E63" s="48"/>
      <c r="F63" s="10"/>
      <c r="G63" s="10"/>
      <c r="H63" s="10"/>
      <c r="I63" s="18"/>
      <c r="J63" s="18"/>
    </row>
    <row r="64" spans="2:11" x14ac:dyDescent="0.25">
      <c r="B64" s="170" t="s">
        <v>263</v>
      </c>
      <c r="C64" s="54"/>
      <c r="D64" s="54"/>
      <c r="E64" s="54"/>
      <c r="F64" s="10"/>
      <c r="G64" s="10"/>
      <c r="H64" s="10">
        <f t="shared" ref="H64:H70" si="5">+F64+G64</f>
        <v>0</v>
      </c>
      <c r="I64" s="18"/>
      <c r="J64" s="18"/>
    </row>
    <row r="65" spans="2:11" hidden="1" outlineLevel="1" x14ac:dyDescent="0.25">
      <c r="B65" s="30" t="s">
        <v>264</v>
      </c>
      <c r="C65" s="54"/>
      <c r="D65" s="54"/>
      <c r="E65" s="54"/>
      <c r="F65" s="24">
        <v>34797</v>
      </c>
      <c r="G65" s="24">
        <v>14436</v>
      </c>
      <c r="H65" s="10">
        <f t="shared" si="5"/>
        <v>49233</v>
      </c>
      <c r="I65" s="27"/>
      <c r="J65" s="24">
        <f t="shared" ref="J65:J70" si="6">+H65+I65</f>
        <v>49233</v>
      </c>
    </row>
    <row r="66" spans="2:11" hidden="1" outlineLevel="1" x14ac:dyDescent="0.25">
      <c r="B66" s="30" t="s">
        <v>265</v>
      </c>
      <c r="C66" s="54"/>
      <c r="D66" s="54"/>
      <c r="E66" s="54"/>
      <c r="F66" s="19">
        <f t="shared" ref="F66:G70" si="7">+F65</f>
        <v>34797</v>
      </c>
      <c r="G66" s="19">
        <f t="shared" si="7"/>
        <v>14436</v>
      </c>
      <c r="H66" s="10">
        <f t="shared" si="5"/>
        <v>49233</v>
      </c>
      <c r="I66" s="172"/>
      <c r="J66" s="19">
        <f t="shared" si="6"/>
        <v>49233</v>
      </c>
    </row>
    <row r="67" spans="2:11" hidden="1" x14ac:dyDescent="0.25">
      <c r="B67" s="30" t="s">
        <v>260</v>
      </c>
      <c r="C67" s="54"/>
      <c r="D67" s="54"/>
      <c r="E67" s="54"/>
      <c r="F67" s="19">
        <f t="shared" si="7"/>
        <v>34797</v>
      </c>
      <c r="G67" s="19">
        <f t="shared" si="7"/>
        <v>14436</v>
      </c>
      <c r="H67" s="10">
        <f t="shared" si="5"/>
        <v>49233</v>
      </c>
      <c r="I67" s="172"/>
      <c r="J67" s="19">
        <f t="shared" si="6"/>
        <v>49233</v>
      </c>
    </row>
    <row r="68" spans="2:11" hidden="1" x14ac:dyDescent="0.25">
      <c r="B68" s="30" t="s">
        <v>242</v>
      </c>
      <c r="C68" s="54"/>
      <c r="D68" s="54"/>
      <c r="E68" s="54"/>
      <c r="F68" s="19">
        <f t="shared" si="7"/>
        <v>34797</v>
      </c>
      <c r="G68" s="19">
        <f t="shared" si="7"/>
        <v>14436</v>
      </c>
      <c r="H68" s="10">
        <f t="shared" si="5"/>
        <v>49233</v>
      </c>
      <c r="I68" s="172"/>
      <c r="J68" s="19">
        <f t="shared" si="6"/>
        <v>49233</v>
      </c>
    </row>
    <row r="69" spans="2:11" x14ac:dyDescent="0.25">
      <c r="B69" s="30" t="s">
        <v>243</v>
      </c>
      <c r="C69" s="54"/>
      <c r="D69" s="54"/>
      <c r="E69" s="54"/>
      <c r="F69" s="10">
        <f t="shared" si="7"/>
        <v>34797</v>
      </c>
      <c r="G69" s="10">
        <f t="shared" si="7"/>
        <v>14436</v>
      </c>
      <c r="H69" s="24">
        <f t="shared" si="5"/>
        <v>49233</v>
      </c>
      <c r="I69" s="18"/>
      <c r="J69" s="10">
        <f t="shared" si="6"/>
        <v>49233</v>
      </c>
    </row>
    <row r="70" spans="2:11" x14ac:dyDescent="0.25">
      <c r="B70" s="30" t="s">
        <v>246</v>
      </c>
      <c r="C70" s="54"/>
      <c r="D70" s="54"/>
      <c r="E70" s="54"/>
      <c r="F70" s="19">
        <f t="shared" si="7"/>
        <v>34797</v>
      </c>
      <c r="G70" s="19">
        <f t="shared" si="7"/>
        <v>14436</v>
      </c>
      <c r="H70" s="19">
        <f t="shared" si="5"/>
        <v>49233</v>
      </c>
      <c r="I70" s="172"/>
      <c r="J70" s="19">
        <f t="shared" si="6"/>
        <v>49233</v>
      </c>
    </row>
    <row r="71" spans="2:11" ht="15.75" thickBot="1" x14ac:dyDescent="0.3">
      <c r="B71" s="30" t="s">
        <v>248</v>
      </c>
      <c r="C71" s="54"/>
      <c r="D71" s="54"/>
      <c r="E71" s="54"/>
      <c r="F71" s="237">
        <f>SUM(F70:F70)</f>
        <v>34797</v>
      </c>
      <c r="G71" s="237">
        <f>SUM(G70:G70)</f>
        <v>14436</v>
      </c>
      <c r="H71" s="237">
        <f>SUM(H70:H70)</f>
        <v>49233</v>
      </c>
      <c r="I71" s="237">
        <f>SUM(I70:I70)</f>
        <v>0</v>
      </c>
      <c r="J71" s="237">
        <f>SUM(J70:J70)</f>
        <v>49233</v>
      </c>
      <c r="K71" s="32"/>
    </row>
    <row r="72" spans="2:11" x14ac:dyDescent="0.25">
      <c r="B72" s="173" t="s">
        <v>266</v>
      </c>
      <c r="C72" s="174"/>
      <c r="D72" s="174"/>
      <c r="E72" s="174"/>
      <c r="F72" s="175">
        <f>+F62+F71</f>
        <v>6170159</v>
      </c>
      <c r="G72" s="175">
        <f t="shared" ref="G72:H72" si="8">+G62+G71</f>
        <v>2650121</v>
      </c>
      <c r="H72" s="175">
        <f t="shared" si="8"/>
        <v>8820280</v>
      </c>
      <c r="I72" s="175">
        <f>+I60+I70</f>
        <v>0</v>
      </c>
      <c r="J72" s="175">
        <f>+J62+J71</f>
        <v>8820280</v>
      </c>
    </row>
    <row r="73" spans="2:11" x14ac:dyDescent="0.25">
      <c r="B73" s="30"/>
      <c r="C73" s="54"/>
      <c r="D73" s="54"/>
      <c r="E73" s="54"/>
      <c r="F73" s="10"/>
      <c r="G73" s="10"/>
      <c r="H73" s="10">
        <f t="shared" ref="H73:H80" si="9">+F73+G73</f>
        <v>0</v>
      </c>
      <c r="I73" s="18"/>
      <c r="J73" s="18"/>
    </row>
    <row r="74" spans="2:11" x14ac:dyDescent="0.25">
      <c r="B74" s="170" t="s">
        <v>267</v>
      </c>
      <c r="C74" s="54"/>
      <c r="D74" s="54"/>
      <c r="E74" s="54"/>
      <c r="F74" s="10"/>
      <c r="G74" s="10"/>
      <c r="H74" s="10">
        <f t="shared" si="9"/>
        <v>0</v>
      </c>
      <c r="I74" s="18"/>
      <c r="J74" s="18"/>
    </row>
    <row r="75" spans="2:11" hidden="1" outlineLevel="1" x14ac:dyDescent="0.25">
      <c r="B75" s="30" t="s">
        <v>264</v>
      </c>
      <c r="C75" s="54"/>
      <c r="D75" s="54"/>
      <c r="E75" s="54"/>
      <c r="F75" s="24">
        <v>227072</v>
      </c>
      <c r="G75" s="24">
        <v>85174</v>
      </c>
      <c r="H75" s="24">
        <f t="shared" si="9"/>
        <v>312246</v>
      </c>
      <c r="I75" s="27"/>
      <c r="J75" s="24">
        <f t="shared" ref="J75:J80" si="10">+H75+I75</f>
        <v>312246</v>
      </c>
    </row>
    <row r="76" spans="2:11" hidden="1" outlineLevel="1" x14ac:dyDescent="0.25">
      <c r="B76" s="30" t="s">
        <v>265</v>
      </c>
      <c r="C76" s="54"/>
      <c r="D76" s="54"/>
      <c r="E76" s="54"/>
      <c r="F76" s="19">
        <f t="shared" ref="F76:G80" si="11">+F75</f>
        <v>227072</v>
      </c>
      <c r="G76" s="19">
        <f t="shared" si="11"/>
        <v>85174</v>
      </c>
      <c r="H76" s="19">
        <f t="shared" si="9"/>
        <v>312246</v>
      </c>
      <c r="I76" s="172"/>
      <c r="J76" s="19">
        <f t="shared" si="10"/>
        <v>312246</v>
      </c>
    </row>
    <row r="77" spans="2:11" hidden="1" x14ac:dyDescent="0.25">
      <c r="B77" s="30" t="s">
        <v>260</v>
      </c>
      <c r="C77" s="54"/>
      <c r="D77" s="54"/>
      <c r="E77" s="54"/>
      <c r="F77" s="19">
        <f t="shared" si="11"/>
        <v>227072</v>
      </c>
      <c r="G77" s="19">
        <f t="shared" si="11"/>
        <v>85174</v>
      </c>
      <c r="H77" s="19">
        <f t="shared" si="9"/>
        <v>312246</v>
      </c>
      <c r="I77" s="172"/>
      <c r="J77" s="19">
        <f t="shared" si="10"/>
        <v>312246</v>
      </c>
    </row>
    <row r="78" spans="2:11" hidden="1" x14ac:dyDescent="0.25">
      <c r="B78" s="30" t="s">
        <v>261</v>
      </c>
      <c r="C78" s="54"/>
      <c r="D78" s="54"/>
      <c r="E78" s="54"/>
      <c r="F78" s="19">
        <f t="shared" si="11"/>
        <v>227072</v>
      </c>
      <c r="G78" s="19">
        <f t="shared" si="11"/>
        <v>85174</v>
      </c>
      <c r="H78" s="19">
        <f t="shared" si="9"/>
        <v>312246</v>
      </c>
      <c r="I78" s="172"/>
      <c r="J78" s="19">
        <f t="shared" si="10"/>
        <v>312246</v>
      </c>
    </row>
    <row r="79" spans="2:11" x14ac:dyDescent="0.25">
      <c r="B79" s="30" t="s">
        <v>268</v>
      </c>
      <c r="C79" s="54"/>
      <c r="D79" s="54"/>
      <c r="E79" s="54"/>
      <c r="F79" s="6">
        <f t="shared" si="11"/>
        <v>227072</v>
      </c>
      <c r="G79" s="6">
        <f t="shared" si="11"/>
        <v>85174</v>
      </c>
      <c r="H79" s="6">
        <f t="shared" si="9"/>
        <v>312246</v>
      </c>
      <c r="I79" s="6"/>
      <c r="J79" s="6">
        <f t="shared" si="10"/>
        <v>312246</v>
      </c>
    </row>
    <row r="80" spans="2:11" x14ac:dyDescent="0.25">
      <c r="B80" s="30" t="s">
        <v>269</v>
      </c>
      <c r="C80" s="54"/>
      <c r="D80" s="54"/>
      <c r="E80" s="54"/>
      <c r="F80" s="19">
        <f t="shared" si="11"/>
        <v>227072</v>
      </c>
      <c r="G80" s="19">
        <f t="shared" si="11"/>
        <v>85174</v>
      </c>
      <c r="H80" s="19">
        <f t="shared" si="9"/>
        <v>312246</v>
      </c>
      <c r="I80" s="19"/>
      <c r="J80" s="19">
        <f t="shared" si="10"/>
        <v>312246</v>
      </c>
    </row>
    <row r="81" spans="2:11" ht="15.75" thickBot="1" x14ac:dyDescent="0.3">
      <c r="B81" s="30" t="s">
        <v>248</v>
      </c>
      <c r="C81" s="54"/>
      <c r="D81" s="54"/>
      <c r="E81" s="54"/>
      <c r="F81" s="237">
        <f>SUM(F80:F80)</f>
        <v>227072</v>
      </c>
      <c r="G81" s="237">
        <f>SUM(G80:G80)</f>
        <v>85174</v>
      </c>
      <c r="H81" s="237">
        <f>SUM(H80:H80)</f>
        <v>312246</v>
      </c>
      <c r="I81" s="237">
        <f>SUM(I80:I80)</f>
        <v>0</v>
      </c>
      <c r="J81" s="237">
        <f>SUM(J80:J80)</f>
        <v>312246</v>
      </c>
      <c r="K81" s="32"/>
    </row>
    <row r="82" spans="2:11" x14ac:dyDescent="0.25">
      <c r="B82" s="30"/>
      <c r="C82" s="54"/>
      <c r="D82" s="54"/>
      <c r="E82" s="54"/>
      <c r="F82" s="10"/>
      <c r="G82" s="10"/>
      <c r="H82" s="10"/>
      <c r="I82" s="18"/>
      <c r="J82" s="18"/>
    </row>
    <row r="83" spans="2:11" x14ac:dyDescent="0.25">
      <c r="B83" s="170" t="s">
        <v>270</v>
      </c>
      <c r="C83" s="54"/>
      <c r="D83" s="54"/>
      <c r="E83" s="54"/>
      <c r="F83" s="10"/>
      <c r="G83" s="10"/>
      <c r="H83" s="10">
        <f t="shared" ref="H83:H88" si="12">+F83+G83</f>
        <v>0</v>
      </c>
      <c r="I83" s="18"/>
      <c r="J83" s="18"/>
    </row>
    <row r="84" spans="2:11" hidden="1" outlineLevel="1" x14ac:dyDescent="0.25">
      <c r="B84" s="30" t="s">
        <v>232</v>
      </c>
      <c r="C84" s="54"/>
      <c r="D84" s="54"/>
      <c r="E84" s="54"/>
      <c r="F84" s="24">
        <v>-3202431</v>
      </c>
      <c r="G84" s="24">
        <v>-24915</v>
      </c>
      <c r="H84" s="24">
        <f t="shared" si="12"/>
        <v>-3227346</v>
      </c>
      <c r="I84" s="27"/>
      <c r="J84" s="24">
        <f>+H84+I84</f>
        <v>-3227346</v>
      </c>
    </row>
    <row r="85" spans="2:11" hidden="1" outlineLevel="1" x14ac:dyDescent="0.25">
      <c r="B85" s="30" t="s">
        <v>271</v>
      </c>
      <c r="C85" s="54"/>
      <c r="D85" s="54"/>
      <c r="E85" s="54"/>
      <c r="F85" s="19">
        <f t="shared" ref="F85:G89" si="13">+F84</f>
        <v>-3202431</v>
      </c>
      <c r="G85" s="19">
        <f t="shared" si="13"/>
        <v>-24915</v>
      </c>
      <c r="H85" s="19">
        <f t="shared" si="12"/>
        <v>-3227346</v>
      </c>
      <c r="I85" s="172"/>
      <c r="J85" s="19">
        <f>+H85+I85</f>
        <v>-3227346</v>
      </c>
    </row>
    <row r="86" spans="2:11" hidden="1" x14ac:dyDescent="0.25">
      <c r="B86" s="30" t="s">
        <v>260</v>
      </c>
      <c r="C86" s="54"/>
      <c r="D86" s="54"/>
      <c r="E86" s="54"/>
      <c r="F86" s="19">
        <f t="shared" si="13"/>
        <v>-3202431</v>
      </c>
      <c r="G86" s="19">
        <f t="shared" si="13"/>
        <v>-24915</v>
      </c>
      <c r="H86" s="19">
        <f t="shared" si="12"/>
        <v>-3227346</v>
      </c>
      <c r="I86" s="172"/>
      <c r="J86" s="19">
        <f>+H86+I86</f>
        <v>-3227346</v>
      </c>
    </row>
    <row r="87" spans="2:11" hidden="1" x14ac:dyDescent="0.25">
      <c r="B87" s="30" t="s">
        <v>261</v>
      </c>
      <c r="C87" s="54"/>
      <c r="D87" s="54"/>
      <c r="E87" s="54"/>
      <c r="F87" s="6">
        <f t="shared" si="13"/>
        <v>-3202431</v>
      </c>
      <c r="G87" s="6">
        <f t="shared" si="13"/>
        <v>-24915</v>
      </c>
      <c r="H87" s="19">
        <f t="shared" si="12"/>
        <v>-3227346</v>
      </c>
      <c r="I87" s="17"/>
      <c r="J87" s="19">
        <f>+H87+I87</f>
        <v>-3227346</v>
      </c>
    </row>
    <row r="88" spans="2:11" x14ac:dyDescent="0.25">
      <c r="B88" s="30" t="s">
        <v>268</v>
      </c>
      <c r="C88" s="54"/>
      <c r="D88" s="54"/>
      <c r="E88" s="54"/>
      <c r="F88" s="19">
        <f t="shared" si="13"/>
        <v>-3202431</v>
      </c>
      <c r="G88" s="19">
        <f t="shared" si="13"/>
        <v>-24915</v>
      </c>
      <c r="H88" s="19">
        <f t="shared" si="12"/>
        <v>-3227346</v>
      </c>
      <c r="I88" s="172"/>
      <c r="J88" s="19">
        <f>+H88+I88</f>
        <v>-3227346</v>
      </c>
    </row>
    <row r="89" spans="2:11" x14ac:dyDescent="0.25">
      <c r="B89" s="30" t="s">
        <v>269</v>
      </c>
      <c r="C89" s="54"/>
      <c r="D89" s="54"/>
      <c r="E89" s="54"/>
      <c r="F89" s="19">
        <f t="shared" si="13"/>
        <v>-3202431</v>
      </c>
      <c r="G89" s="19">
        <f t="shared" si="13"/>
        <v>-24915</v>
      </c>
      <c r="H89" s="19">
        <f>+H88</f>
        <v>-3227346</v>
      </c>
      <c r="I89" s="19">
        <f>+I88</f>
        <v>0</v>
      </c>
      <c r="J89" s="19">
        <f>+J88</f>
        <v>-3227346</v>
      </c>
    </row>
    <row r="90" spans="2:11" ht="15.75" thickBot="1" x14ac:dyDescent="0.3">
      <c r="B90" s="30" t="s">
        <v>248</v>
      </c>
      <c r="C90" s="54"/>
      <c r="D90" s="54"/>
      <c r="E90" s="54"/>
      <c r="F90" s="237">
        <f>SUM(F89:F89)</f>
        <v>-3202431</v>
      </c>
      <c r="G90" s="237">
        <f>SUM(G89:G89)</f>
        <v>-24915</v>
      </c>
      <c r="H90" s="237">
        <f>SUM(H89:H89)</f>
        <v>-3227346</v>
      </c>
      <c r="I90" s="237">
        <f>SUM(I89:I89)</f>
        <v>0</v>
      </c>
      <c r="J90" s="237">
        <f>SUM(J89:J89)</f>
        <v>-3227346</v>
      </c>
      <c r="K90" s="32"/>
    </row>
    <row r="91" spans="2:11" x14ac:dyDescent="0.25">
      <c r="B91" s="30"/>
      <c r="C91" s="54"/>
      <c r="D91" s="54"/>
      <c r="E91" s="54"/>
      <c r="F91" s="10"/>
      <c r="G91" s="10"/>
      <c r="H91" s="10">
        <f>+F91+G91</f>
        <v>0</v>
      </c>
      <c r="I91" s="18"/>
      <c r="J91" s="18"/>
    </row>
    <row r="92" spans="2:11" x14ac:dyDescent="0.25">
      <c r="B92" s="170" t="s">
        <v>272</v>
      </c>
      <c r="C92" s="54"/>
      <c r="D92" s="54"/>
      <c r="E92" s="54"/>
      <c r="F92" s="10"/>
      <c r="G92" s="10"/>
      <c r="H92" s="10">
        <f>+F92+G92</f>
        <v>0</v>
      </c>
      <c r="I92" s="18"/>
      <c r="J92" s="18"/>
    </row>
    <row r="93" spans="2:11" hidden="1" outlineLevel="1" x14ac:dyDescent="0.25">
      <c r="B93" s="30" t="s">
        <v>232</v>
      </c>
      <c r="C93" s="54"/>
      <c r="D93" s="54"/>
      <c r="E93" s="54"/>
      <c r="F93" s="10"/>
      <c r="G93" s="10"/>
      <c r="H93" s="10"/>
      <c r="I93" s="18"/>
      <c r="J93" s="18"/>
    </row>
    <row r="94" spans="2:11" hidden="1" outlineLevel="1" x14ac:dyDescent="0.25">
      <c r="B94" s="30" t="s">
        <v>273</v>
      </c>
      <c r="C94" s="54"/>
      <c r="D94" s="54"/>
      <c r="E94" s="54"/>
      <c r="F94" s="10"/>
      <c r="G94" s="10">
        <v>-164317</v>
      </c>
      <c r="H94" s="10">
        <f>F94+G94</f>
        <v>-164317</v>
      </c>
      <c r="I94" s="18"/>
      <c r="J94" s="18"/>
    </row>
    <row r="95" spans="2:11" hidden="1" outlineLevel="1" x14ac:dyDescent="0.25">
      <c r="B95" s="176" t="s">
        <v>274</v>
      </c>
      <c r="C95" s="54"/>
      <c r="D95" s="54"/>
      <c r="E95" s="54"/>
      <c r="F95" s="10">
        <v>0</v>
      </c>
      <c r="G95" s="10">
        <v>-164317</v>
      </c>
      <c r="H95" s="10">
        <f>F95+G95</f>
        <v>-164317</v>
      </c>
      <c r="I95" s="18"/>
      <c r="J95" s="10">
        <f t="shared" ref="J95:J104" si="14">+H95+I95</f>
        <v>-164317</v>
      </c>
    </row>
    <row r="96" spans="2:11" hidden="1" outlineLevel="1" x14ac:dyDescent="0.25">
      <c r="B96" s="30" t="s">
        <v>275</v>
      </c>
      <c r="C96" s="54"/>
      <c r="D96" s="54"/>
      <c r="E96" s="54"/>
      <c r="F96" s="24">
        <v>0</v>
      </c>
      <c r="G96" s="24">
        <v>44500</v>
      </c>
      <c r="H96" s="24">
        <f>+F96+G96</f>
        <v>44500</v>
      </c>
      <c r="I96" s="27"/>
      <c r="J96" s="24">
        <f t="shared" si="14"/>
        <v>44500</v>
      </c>
    </row>
    <row r="97" spans="2:11" hidden="1" outlineLevel="1" x14ac:dyDescent="0.25">
      <c r="B97" s="30" t="s">
        <v>264</v>
      </c>
      <c r="C97" s="54"/>
      <c r="D97" s="54"/>
      <c r="E97" s="54"/>
      <c r="F97" s="6">
        <v>0</v>
      </c>
      <c r="G97" s="6">
        <f>G95+G96</f>
        <v>-119817</v>
      </c>
      <c r="H97" s="6">
        <f>+F97+G97</f>
        <v>-119817</v>
      </c>
      <c r="I97" s="17"/>
      <c r="J97" s="6">
        <f t="shared" si="14"/>
        <v>-119817</v>
      </c>
    </row>
    <row r="98" spans="2:11" hidden="1" outlineLevel="1" x14ac:dyDescent="0.25">
      <c r="B98" s="30" t="s">
        <v>275</v>
      </c>
      <c r="C98" s="54"/>
      <c r="D98" s="54"/>
      <c r="E98" s="54"/>
      <c r="F98" s="24">
        <v>0</v>
      </c>
      <c r="G98" s="24">
        <v>16673</v>
      </c>
      <c r="H98" s="24">
        <v>16673</v>
      </c>
      <c r="I98" s="27"/>
      <c r="J98" s="24">
        <f t="shared" si="14"/>
        <v>16673</v>
      </c>
    </row>
    <row r="99" spans="2:11" hidden="1" x14ac:dyDescent="0.25">
      <c r="B99" s="30" t="s">
        <v>260</v>
      </c>
      <c r="C99" s="54"/>
      <c r="D99" s="54"/>
      <c r="E99" s="54"/>
      <c r="F99" s="177">
        <v>-495802</v>
      </c>
      <c r="G99" s="6">
        <f>G97+G98</f>
        <v>-103144</v>
      </c>
      <c r="H99" s="6">
        <f t="shared" ref="H99:H104" si="15">+F99+G99</f>
        <v>-598946</v>
      </c>
      <c r="I99" s="17"/>
      <c r="J99" s="6">
        <f t="shared" si="14"/>
        <v>-598946</v>
      </c>
    </row>
    <row r="100" spans="2:11" hidden="1" x14ac:dyDescent="0.25">
      <c r="B100" s="30" t="s">
        <v>275</v>
      </c>
      <c r="C100" s="54"/>
      <c r="D100" s="54"/>
      <c r="E100" s="54"/>
      <c r="F100" s="178">
        <v>1849659</v>
      </c>
      <c r="G100" s="24">
        <v>-26254</v>
      </c>
      <c r="H100" s="24">
        <f t="shared" si="15"/>
        <v>1823405</v>
      </c>
      <c r="I100" s="27"/>
      <c r="J100" s="24">
        <f t="shared" si="14"/>
        <v>1823405</v>
      </c>
    </row>
    <row r="101" spans="2:11" hidden="1" x14ac:dyDescent="0.25">
      <c r="B101" s="30" t="s">
        <v>261</v>
      </c>
      <c r="C101" s="54"/>
      <c r="D101" s="54"/>
      <c r="E101" s="54"/>
      <c r="F101" s="177">
        <f>+F99+F100</f>
        <v>1353857</v>
      </c>
      <c r="G101" s="6">
        <f>+G99+G100</f>
        <v>-129398</v>
      </c>
      <c r="H101" s="6">
        <f t="shared" si="15"/>
        <v>1224459</v>
      </c>
      <c r="I101" s="17"/>
      <c r="J101" s="6">
        <f t="shared" si="14"/>
        <v>1224459</v>
      </c>
    </row>
    <row r="102" spans="2:11" hidden="1" x14ac:dyDescent="0.25">
      <c r="B102" s="30" t="s">
        <v>275</v>
      </c>
      <c r="C102" s="54"/>
      <c r="D102" s="54"/>
      <c r="E102" s="54"/>
      <c r="F102" s="178">
        <v>70086</v>
      </c>
      <c r="G102" s="24">
        <v>-16606</v>
      </c>
      <c r="H102" s="24">
        <f t="shared" si="15"/>
        <v>53480</v>
      </c>
      <c r="I102" s="27"/>
      <c r="J102" s="24">
        <f t="shared" si="14"/>
        <v>53480</v>
      </c>
    </row>
    <row r="103" spans="2:11" x14ac:dyDescent="0.25">
      <c r="B103" s="30" t="s">
        <v>268</v>
      </c>
      <c r="C103" s="54"/>
      <c r="D103" s="54"/>
      <c r="E103" s="54"/>
      <c r="F103" s="177">
        <f>+F101+F102</f>
        <v>1423943</v>
      </c>
      <c r="G103" s="6">
        <f>+G101+G102</f>
        <v>-146004</v>
      </c>
      <c r="H103" s="6">
        <f t="shared" si="15"/>
        <v>1277939</v>
      </c>
      <c r="I103" s="17"/>
      <c r="J103" s="6">
        <f t="shared" si="14"/>
        <v>1277939</v>
      </c>
    </row>
    <row r="104" spans="2:11" x14ac:dyDescent="0.25">
      <c r="B104" s="30" t="s">
        <v>275</v>
      </c>
      <c r="C104" s="54"/>
      <c r="D104" s="54"/>
      <c r="E104" s="54"/>
      <c r="F104" s="179">
        <v>-1099700</v>
      </c>
      <c r="G104" s="10">
        <v>-15737</v>
      </c>
      <c r="H104" s="10">
        <f t="shared" si="15"/>
        <v>-1115437</v>
      </c>
      <c r="I104" s="18"/>
      <c r="J104" s="10">
        <f t="shared" si="14"/>
        <v>-1115437</v>
      </c>
    </row>
    <row r="105" spans="2:11" x14ac:dyDescent="0.25">
      <c r="B105" s="30" t="s">
        <v>269</v>
      </c>
      <c r="C105" s="54"/>
      <c r="D105" s="54"/>
      <c r="E105" s="54"/>
      <c r="F105" s="6">
        <f>+F103+F104</f>
        <v>324243</v>
      </c>
      <c r="G105" s="6">
        <f>+G103+G104</f>
        <v>-161741</v>
      </c>
      <c r="H105" s="6">
        <f>+H103+H104</f>
        <v>162502</v>
      </c>
      <c r="I105" s="6">
        <f>+I103+I104</f>
        <v>0</v>
      </c>
      <c r="J105" s="6">
        <f>+J103+J104</f>
        <v>162502</v>
      </c>
    </row>
    <row r="106" spans="2:11" x14ac:dyDescent="0.25">
      <c r="B106" s="30" t="s">
        <v>275</v>
      </c>
      <c r="C106" s="54"/>
      <c r="D106" s="54"/>
      <c r="E106" s="54"/>
      <c r="F106" s="23"/>
      <c r="G106" s="246">
        <v>-139500</v>
      </c>
      <c r="H106" s="10">
        <f>+F106+G106</f>
        <v>-139500</v>
      </c>
      <c r="I106" s="64"/>
      <c r="J106" s="10">
        <f>+H106+I106</f>
        <v>-139500</v>
      </c>
      <c r="K106" s="32"/>
    </row>
    <row r="107" spans="2:11" ht="15.75" thickBot="1" x14ac:dyDescent="0.3">
      <c r="B107" s="30" t="s">
        <v>248</v>
      </c>
      <c r="C107" s="54"/>
      <c r="D107" s="54"/>
      <c r="E107" s="54"/>
      <c r="F107" s="169">
        <f>SUM(F105:F106)</f>
        <v>324243</v>
      </c>
      <c r="G107" s="169">
        <f>SUM(G105:G106)</f>
        <v>-301241</v>
      </c>
      <c r="H107" s="169">
        <f>SUM(H105:H106)</f>
        <v>23002</v>
      </c>
      <c r="I107" s="169">
        <f>SUM(I105:I106)</f>
        <v>0</v>
      </c>
      <c r="J107" s="169">
        <f>SUM(J105:J106)</f>
        <v>23002</v>
      </c>
      <c r="K107" s="32"/>
    </row>
    <row r="108" spans="2:11" x14ac:dyDescent="0.25">
      <c r="B108" s="30"/>
      <c r="C108" s="54"/>
      <c r="D108" s="54"/>
      <c r="E108" s="54"/>
      <c r="F108" s="10"/>
      <c r="G108" s="10"/>
      <c r="H108" s="10"/>
      <c r="I108" s="18"/>
      <c r="J108" s="18"/>
    </row>
    <row r="109" spans="2:11" x14ac:dyDescent="0.25">
      <c r="B109" s="170" t="s">
        <v>276</v>
      </c>
      <c r="C109" s="54"/>
      <c r="D109" s="54"/>
      <c r="E109" s="54"/>
      <c r="F109" s="10"/>
      <c r="G109" s="10"/>
      <c r="H109" s="10">
        <f>+F109+G109</f>
        <v>0</v>
      </c>
      <c r="I109" s="18"/>
      <c r="J109" s="18"/>
    </row>
    <row r="110" spans="2:11" hidden="1" outlineLevel="1" x14ac:dyDescent="0.25">
      <c r="B110" s="30" t="s">
        <v>232</v>
      </c>
      <c r="C110" s="54"/>
      <c r="D110" s="54"/>
      <c r="E110" s="54"/>
      <c r="F110" s="10">
        <v>21286279</v>
      </c>
      <c r="G110" s="10">
        <v>801209</v>
      </c>
      <c r="H110" s="10">
        <f>+F110+G110</f>
        <v>22087488</v>
      </c>
      <c r="I110" s="10"/>
      <c r="J110" s="10">
        <f>+H110+I110</f>
        <v>22087488</v>
      </c>
    </row>
    <row r="111" spans="2:11" hidden="1" outlineLevel="1" x14ac:dyDescent="0.25">
      <c r="B111" s="30" t="s">
        <v>277</v>
      </c>
      <c r="C111" s="54"/>
      <c r="D111" s="54"/>
      <c r="E111" s="54"/>
      <c r="F111" s="10">
        <v>-10113380</v>
      </c>
      <c r="G111" s="10"/>
      <c r="H111" s="10">
        <f>+F111+G111</f>
        <v>-10113380</v>
      </c>
      <c r="I111" s="10"/>
      <c r="J111" s="10">
        <f>+H111+I111</f>
        <v>-10113380</v>
      </c>
    </row>
    <row r="112" spans="2:11" hidden="1" outlineLevel="1" x14ac:dyDescent="0.25">
      <c r="B112" s="30" t="s">
        <v>278</v>
      </c>
      <c r="C112" s="54"/>
      <c r="D112" s="54"/>
      <c r="E112" s="54"/>
      <c r="F112" s="6">
        <f>+F110+F111</f>
        <v>11172899</v>
      </c>
      <c r="G112" s="6">
        <f>+G110+G111</f>
        <v>801209</v>
      </c>
      <c r="H112" s="6">
        <f>+H110+H111</f>
        <v>11974108</v>
      </c>
      <c r="I112" s="6">
        <f>+I110+I111</f>
        <v>0</v>
      </c>
      <c r="J112" s="6">
        <f>+J110+J111</f>
        <v>11974108</v>
      </c>
    </row>
    <row r="113" spans="2:12" hidden="1" outlineLevel="1" x14ac:dyDescent="0.25">
      <c r="B113" s="30" t="s">
        <v>279</v>
      </c>
      <c r="C113" s="54"/>
      <c r="D113" s="54"/>
      <c r="E113" s="54"/>
      <c r="F113" s="10">
        <v>-359244</v>
      </c>
      <c r="G113" s="10"/>
      <c r="H113" s="10">
        <f>+F113+G113</f>
        <v>-359244</v>
      </c>
      <c r="I113" s="18"/>
      <c r="J113" s="10">
        <f>+H113+I113</f>
        <v>-359244</v>
      </c>
    </row>
    <row r="114" spans="2:12" hidden="1" outlineLevel="1" x14ac:dyDescent="0.25">
      <c r="B114" s="30" t="s">
        <v>107</v>
      </c>
      <c r="C114" s="54"/>
      <c r="D114" s="54"/>
      <c r="E114" s="54"/>
      <c r="F114" s="10">
        <v>24778671</v>
      </c>
      <c r="G114" s="10"/>
      <c r="H114" s="10">
        <f>+F114+G114</f>
        <v>24778671</v>
      </c>
      <c r="I114" s="10"/>
      <c r="J114" s="10">
        <f>+H114+I114</f>
        <v>24778671</v>
      </c>
    </row>
    <row r="115" spans="2:12" hidden="1" outlineLevel="1" x14ac:dyDescent="0.25">
      <c r="B115" s="30" t="s">
        <v>232</v>
      </c>
      <c r="C115" s="54"/>
      <c r="D115" s="54"/>
      <c r="E115" s="54"/>
      <c r="F115" s="10">
        <f>SUM(F112:F114)</f>
        <v>35592326</v>
      </c>
      <c r="G115" s="10">
        <f>SUM(G112:G114)</f>
        <v>801209</v>
      </c>
      <c r="H115" s="10">
        <f>SUM(H112:H114)</f>
        <v>36393535</v>
      </c>
      <c r="I115" s="10" t="e">
        <f>-AD!Q66</f>
        <v>#REF!</v>
      </c>
      <c r="J115" s="10" t="e">
        <f>+H115+I115</f>
        <v>#REF!</v>
      </c>
    </row>
    <row r="116" spans="2:12" hidden="1" outlineLevel="1" x14ac:dyDescent="0.25">
      <c r="B116" s="30" t="s">
        <v>280</v>
      </c>
      <c r="C116" s="54"/>
      <c r="D116" s="54"/>
      <c r="E116" s="54"/>
      <c r="F116" s="10">
        <v>0</v>
      </c>
      <c r="G116" s="10">
        <v>10139</v>
      </c>
      <c r="H116" s="10">
        <f>+F116+G116</f>
        <v>10139</v>
      </c>
      <c r="I116" s="18"/>
      <c r="J116" s="10">
        <f>+H116+I116</f>
        <v>10139</v>
      </c>
    </row>
    <row r="117" spans="2:12" hidden="1" outlineLevel="1" x14ac:dyDescent="0.25">
      <c r="B117" s="30" t="s">
        <v>281</v>
      </c>
      <c r="C117" s="54"/>
      <c r="D117" s="54"/>
      <c r="E117" s="54"/>
      <c r="F117" s="24">
        <v>-5585599</v>
      </c>
      <c r="G117" s="24">
        <v>0</v>
      </c>
      <c r="H117" s="24">
        <f>+F117+G117</f>
        <v>-5585599</v>
      </c>
      <c r="I117" s="24"/>
      <c r="J117" s="24">
        <f>+H117+I117</f>
        <v>-5585599</v>
      </c>
      <c r="K117" s="32"/>
    </row>
    <row r="118" spans="2:12" hidden="1" outlineLevel="1" x14ac:dyDescent="0.25">
      <c r="B118" s="30" t="s">
        <v>282</v>
      </c>
      <c r="C118" s="54"/>
      <c r="D118" s="54"/>
      <c r="E118" s="54"/>
      <c r="F118" s="10">
        <f>+F115+F117+F116</f>
        <v>30006727</v>
      </c>
      <c r="G118" s="10">
        <f>+G115+G117+G116</f>
        <v>811348</v>
      </c>
      <c r="H118" s="10">
        <f>+H115+H117+H116</f>
        <v>30818075</v>
      </c>
      <c r="I118" s="10" t="e">
        <f>+I115+I117+I116</f>
        <v>#REF!</v>
      </c>
      <c r="J118" s="10" t="e">
        <f>+J115+J117+J116</f>
        <v>#REF!</v>
      </c>
      <c r="K118" s="8"/>
    </row>
    <row r="119" spans="2:12" hidden="1" outlineLevel="1" x14ac:dyDescent="0.25">
      <c r="B119" s="30" t="s">
        <v>283</v>
      </c>
      <c r="C119" s="54"/>
      <c r="D119" s="54"/>
      <c r="E119" s="54"/>
      <c r="F119" s="10">
        <v>0</v>
      </c>
      <c r="G119" s="10">
        <v>-1228319</v>
      </c>
      <c r="H119" s="10">
        <f>+F119+G119</f>
        <v>-1228319</v>
      </c>
      <c r="I119" s="18"/>
      <c r="J119" s="10">
        <f>+H119+I119</f>
        <v>-1228319</v>
      </c>
      <c r="K119" s="8"/>
    </row>
    <row r="120" spans="2:12" hidden="1" outlineLevel="1" x14ac:dyDescent="0.25">
      <c r="B120" s="30" t="s">
        <v>236</v>
      </c>
      <c r="C120" s="54"/>
      <c r="D120" s="54"/>
      <c r="E120" s="54"/>
      <c r="F120" s="10">
        <v>-5470478</v>
      </c>
      <c r="G120" s="10">
        <v>0</v>
      </c>
      <c r="H120" s="10">
        <f>+F120+G120</f>
        <v>-5470478</v>
      </c>
      <c r="I120" s="18"/>
      <c r="J120" s="10">
        <f>+H120+I120</f>
        <v>-5470478</v>
      </c>
      <c r="K120" s="8"/>
    </row>
    <row r="121" spans="2:12" hidden="1" outlineLevel="1" x14ac:dyDescent="0.25">
      <c r="B121" s="30" t="s">
        <v>237</v>
      </c>
      <c r="C121" s="54"/>
      <c r="D121" s="54"/>
      <c r="E121" s="54"/>
      <c r="F121" s="10">
        <v>-270000</v>
      </c>
      <c r="G121" s="10">
        <v>0</v>
      </c>
      <c r="H121" s="10">
        <f>+F121+G121</f>
        <v>-270000</v>
      </c>
      <c r="I121" s="18"/>
      <c r="J121" s="10">
        <f>+H121+I121</f>
        <v>-270000</v>
      </c>
      <c r="K121" s="8"/>
    </row>
    <row r="122" spans="2:12" hidden="1" outlineLevel="1" x14ac:dyDescent="0.25">
      <c r="B122" s="30" t="str">
        <f>+B113</f>
        <v>Transferencia a Reserva Legal</v>
      </c>
      <c r="C122" s="54"/>
      <c r="D122" s="54"/>
      <c r="E122" s="54"/>
      <c r="F122" s="10">
        <f>-F49</f>
        <v>-1710803</v>
      </c>
      <c r="G122" s="10">
        <v>-136481</v>
      </c>
      <c r="H122" s="10">
        <f>+F122+G122</f>
        <v>-1847284</v>
      </c>
      <c r="I122" s="18"/>
      <c r="J122" s="10">
        <f>+H122+I122</f>
        <v>-1847284</v>
      </c>
      <c r="K122" s="8"/>
    </row>
    <row r="123" spans="2:12" hidden="1" outlineLevel="1" x14ac:dyDescent="0.25">
      <c r="B123" s="30" t="s">
        <v>284</v>
      </c>
      <c r="C123" s="54"/>
      <c r="D123" s="54"/>
      <c r="E123" s="54"/>
      <c r="F123" s="24">
        <v>13423797</v>
      </c>
      <c r="G123" s="24">
        <v>2558818</v>
      </c>
      <c r="H123" s="24">
        <f>+F123+G123</f>
        <v>15982615</v>
      </c>
      <c r="I123" s="24" t="e">
        <f>-AD!O66+AD!Q66</f>
        <v>#REF!</v>
      </c>
      <c r="J123" s="24" t="e">
        <f>+H123+I123</f>
        <v>#REF!</v>
      </c>
      <c r="K123" s="32"/>
    </row>
    <row r="124" spans="2:12" hidden="1" outlineLevel="1" x14ac:dyDescent="0.25">
      <c r="B124" s="30" t="s">
        <v>271</v>
      </c>
      <c r="C124" s="54"/>
      <c r="D124" s="54"/>
      <c r="E124" s="54"/>
      <c r="F124" s="6">
        <v>35993633</v>
      </c>
      <c r="G124" s="6">
        <f>SUM(G118:G123)</f>
        <v>2005366</v>
      </c>
      <c r="H124" s="6">
        <f>SUM(H118:H123)</f>
        <v>37984609</v>
      </c>
      <c r="I124" s="6">
        <f>-AD!M17-AD!M42</f>
        <v>-16446314.003400002</v>
      </c>
      <c r="J124" s="6" t="e">
        <f>SUM(J118:J123)</f>
        <v>#REF!</v>
      </c>
      <c r="K124" s="32"/>
      <c r="L124" s="2"/>
    </row>
    <row r="125" spans="2:12" hidden="1" outlineLevel="1" x14ac:dyDescent="0.25">
      <c r="B125" s="30" t="s">
        <v>285</v>
      </c>
      <c r="C125" s="54"/>
      <c r="D125" s="54"/>
      <c r="E125" s="54"/>
      <c r="F125" s="10">
        <v>-2936828</v>
      </c>
      <c r="G125" s="10">
        <v>0</v>
      </c>
      <c r="H125" s="10">
        <f>+F125+G125</f>
        <v>-2936828</v>
      </c>
      <c r="I125" s="10"/>
      <c r="J125" s="10">
        <f>+H125+I125</f>
        <v>-2936828</v>
      </c>
      <c r="K125" s="32"/>
      <c r="L125" s="2"/>
    </row>
    <row r="126" spans="2:12" hidden="1" outlineLevel="1" x14ac:dyDescent="0.25">
      <c r="B126" s="30" t="s">
        <v>286</v>
      </c>
      <c r="C126" s="54"/>
      <c r="D126" s="54"/>
      <c r="E126" s="54"/>
      <c r="F126" s="6">
        <f>+F124+F125</f>
        <v>33056805</v>
      </c>
      <c r="G126" s="6">
        <f>+G124+G125</f>
        <v>2005366</v>
      </c>
      <c r="H126" s="180">
        <f>+H124+H125</f>
        <v>35047781</v>
      </c>
      <c r="I126" s="6">
        <f>+I124+I125</f>
        <v>-16446314.003400002</v>
      </c>
      <c r="J126" s="6" t="e">
        <f>+J124+J125</f>
        <v>#REF!</v>
      </c>
      <c r="K126" s="32"/>
      <c r="L126" s="2"/>
    </row>
    <row r="127" spans="2:12" hidden="1" outlineLevel="1" x14ac:dyDescent="0.25">
      <c r="B127" s="30" t="s">
        <v>287</v>
      </c>
      <c r="C127" s="54"/>
      <c r="D127" s="54"/>
      <c r="E127" s="54"/>
      <c r="F127" s="10">
        <v>0</v>
      </c>
      <c r="G127" s="10">
        <v>-2340607</v>
      </c>
      <c r="H127" s="10">
        <f t="shared" ref="H127:H148" si="16">+F127+G127</f>
        <v>-2340607</v>
      </c>
      <c r="I127" s="18"/>
      <c r="J127" s="10">
        <f>+H127+I127</f>
        <v>-2340607</v>
      </c>
      <c r="L127" s="2"/>
    </row>
    <row r="128" spans="2:12" hidden="1" outlineLevel="1" x14ac:dyDescent="0.25">
      <c r="B128" s="30" t="s">
        <v>279</v>
      </c>
      <c r="C128" s="54"/>
      <c r="D128" s="54"/>
      <c r="E128" s="54"/>
      <c r="F128" s="10">
        <v>-1341885</v>
      </c>
      <c r="G128" s="10">
        <v>-260067</v>
      </c>
      <c r="H128" s="10">
        <f t="shared" si="16"/>
        <v>-1601952</v>
      </c>
      <c r="I128" s="10"/>
      <c r="J128" s="10">
        <f>+H128+I128</f>
        <v>-1601952</v>
      </c>
      <c r="L128" s="2"/>
    </row>
    <row r="129" spans="2:12" hidden="1" outlineLevel="1" x14ac:dyDescent="0.25">
      <c r="B129" s="30" t="s">
        <v>107</v>
      </c>
      <c r="C129" s="54"/>
      <c r="D129" s="54"/>
      <c r="E129" s="54"/>
      <c r="F129" s="10">
        <v>6808164</v>
      </c>
      <c r="G129" s="10">
        <v>3793728</v>
      </c>
      <c r="H129" s="10">
        <f t="shared" si="16"/>
        <v>10601892</v>
      </c>
      <c r="I129" s="10"/>
      <c r="J129" s="10">
        <f>+H129+I129</f>
        <v>10601892</v>
      </c>
      <c r="L129" s="2"/>
    </row>
    <row r="130" spans="2:12" hidden="1" x14ac:dyDescent="0.25">
      <c r="B130" s="30" t="s">
        <v>260</v>
      </c>
      <c r="C130" s="54"/>
      <c r="D130" s="54"/>
      <c r="E130" s="54"/>
      <c r="F130" s="19">
        <f>SUM(F126:F129)</f>
        <v>38523084</v>
      </c>
      <c r="G130" s="19">
        <f>SUM(G126:G129)</f>
        <v>3198420</v>
      </c>
      <c r="H130" s="19">
        <f t="shared" si="16"/>
        <v>41721504</v>
      </c>
      <c r="I130" s="19">
        <f>SUM(I126:I129)</f>
        <v>-16446314.003400002</v>
      </c>
      <c r="J130" s="19" t="e">
        <f>SUM(J126:J129)</f>
        <v>#REF!</v>
      </c>
      <c r="K130" s="32"/>
      <c r="L130" s="2"/>
    </row>
    <row r="131" spans="2:12" hidden="1" x14ac:dyDescent="0.25">
      <c r="B131" s="30" t="s">
        <v>288</v>
      </c>
      <c r="C131" s="54"/>
      <c r="D131" s="54"/>
      <c r="E131" s="54"/>
      <c r="F131" s="10">
        <v>-6127345</v>
      </c>
      <c r="G131" s="10"/>
      <c r="H131" s="10">
        <f t="shared" si="16"/>
        <v>-6127345</v>
      </c>
      <c r="I131" s="10"/>
      <c r="J131" s="10">
        <f t="shared" ref="J131:J153" si="17">+H131+I131</f>
        <v>-6127345</v>
      </c>
      <c r="K131" s="32"/>
      <c r="L131" s="2"/>
    </row>
    <row r="132" spans="2:12" hidden="1" x14ac:dyDescent="0.25">
      <c r="B132" s="30" t="s">
        <v>247</v>
      </c>
      <c r="C132" s="54"/>
      <c r="D132" s="54"/>
      <c r="E132" s="54"/>
      <c r="F132" s="10">
        <v>-680816</v>
      </c>
      <c r="G132" s="10">
        <f>-259368-379372</f>
        <v>-638740</v>
      </c>
      <c r="H132" s="10">
        <f t="shared" si="16"/>
        <v>-1319556</v>
      </c>
      <c r="I132" s="10"/>
      <c r="J132" s="10">
        <f t="shared" si="17"/>
        <v>-1319556</v>
      </c>
      <c r="L132" s="2"/>
    </row>
    <row r="133" spans="2:12" hidden="1" x14ac:dyDescent="0.25">
      <c r="B133" s="30" t="s">
        <v>289</v>
      </c>
      <c r="C133" s="54"/>
      <c r="D133" s="54"/>
      <c r="E133" s="54"/>
      <c r="F133" s="10">
        <f>446968</f>
        <v>446968</v>
      </c>
      <c r="G133" s="10"/>
      <c r="H133" s="10">
        <f t="shared" si="16"/>
        <v>446968</v>
      </c>
      <c r="I133" s="10"/>
      <c r="J133" s="10">
        <f t="shared" si="17"/>
        <v>446968</v>
      </c>
      <c r="L133" s="2"/>
    </row>
    <row r="134" spans="2:12" hidden="1" x14ac:dyDescent="0.25">
      <c r="B134" s="30" t="s">
        <v>107</v>
      </c>
      <c r="C134" s="54"/>
      <c r="D134" s="54"/>
      <c r="E134" s="54"/>
      <c r="F134" s="10">
        <v>5595545</v>
      </c>
      <c r="G134" s="10">
        <v>2593677</v>
      </c>
      <c r="H134" s="10">
        <f t="shared" si="16"/>
        <v>8189222</v>
      </c>
      <c r="I134" s="10">
        <f>+ER!S40</f>
        <v>1836936.4151480002</v>
      </c>
      <c r="J134" s="10">
        <f t="shared" si="17"/>
        <v>10026158.415148001</v>
      </c>
      <c r="K134" s="32">
        <f>+F134-5595545</f>
        <v>0</v>
      </c>
      <c r="L134" s="2"/>
    </row>
    <row r="135" spans="2:12" hidden="1" x14ac:dyDescent="0.25">
      <c r="B135" s="30" t="s">
        <v>287</v>
      </c>
      <c r="C135" s="54"/>
      <c r="D135" s="54"/>
      <c r="E135" s="54"/>
      <c r="F135" s="10"/>
      <c r="G135" s="10">
        <v>-3414354</v>
      </c>
      <c r="H135" s="10">
        <f t="shared" si="16"/>
        <v>-3414354</v>
      </c>
      <c r="I135" s="10"/>
      <c r="J135" s="10">
        <f t="shared" si="17"/>
        <v>-3414354</v>
      </c>
      <c r="L135" s="2"/>
    </row>
    <row r="136" spans="2:12" hidden="1" x14ac:dyDescent="0.25">
      <c r="B136" s="30" t="s">
        <v>261</v>
      </c>
      <c r="C136" s="54"/>
      <c r="D136" s="54"/>
      <c r="E136" s="54"/>
      <c r="F136" s="19">
        <f>SUM(F130:F135)</f>
        <v>37757436</v>
      </c>
      <c r="G136" s="181">
        <f>SUM(G130:G135)</f>
        <v>1739003</v>
      </c>
      <c r="H136" s="181">
        <f t="shared" si="16"/>
        <v>39496439</v>
      </c>
      <c r="I136" s="19">
        <f>SUM(I130:I135)</f>
        <v>-14609377.588252001</v>
      </c>
      <c r="J136" s="19">
        <f t="shared" si="17"/>
        <v>24887061.411747999</v>
      </c>
      <c r="K136" s="32"/>
      <c r="L136" s="2"/>
    </row>
    <row r="137" spans="2:12" hidden="1" x14ac:dyDescent="0.25">
      <c r="B137" s="30" t="s">
        <v>289</v>
      </c>
      <c r="C137" s="54"/>
      <c r="D137" s="54"/>
      <c r="E137" s="54"/>
      <c r="F137" s="10">
        <v>251108</v>
      </c>
      <c r="G137" s="179">
        <v>-48910</v>
      </c>
      <c r="H137" s="179">
        <f t="shared" si="16"/>
        <v>202198</v>
      </c>
      <c r="I137" s="10"/>
      <c r="J137" s="10">
        <f t="shared" si="17"/>
        <v>202198</v>
      </c>
      <c r="L137" s="2"/>
    </row>
    <row r="138" spans="2:12" hidden="1" x14ac:dyDescent="0.25">
      <c r="B138" s="30" t="s">
        <v>290</v>
      </c>
      <c r="C138" s="54"/>
      <c r="D138" s="54"/>
      <c r="E138" s="54"/>
      <c r="F138" s="10">
        <v>854455</v>
      </c>
      <c r="G138" s="179">
        <v>-334309</v>
      </c>
      <c r="H138" s="179">
        <f t="shared" si="16"/>
        <v>520146</v>
      </c>
      <c r="I138" s="10"/>
      <c r="J138" s="10">
        <f t="shared" si="17"/>
        <v>520146</v>
      </c>
      <c r="L138" s="2"/>
    </row>
    <row r="139" spans="2:12" hidden="1" x14ac:dyDescent="0.25">
      <c r="B139" s="30" t="s">
        <v>287</v>
      </c>
      <c r="C139" s="54"/>
      <c r="D139" s="54"/>
      <c r="E139" s="26"/>
      <c r="F139" s="10">
        <v>-5035990</v>
      </c>
      <c r="G139" s="179">
        <v>-2143739</v>
      </c>
      <c r="H139" s="179">
        <f t="shared" si="16"/>
        <v>-7179729</v>
      </c>
      <c r="I139" s="10"/>
      <c r="J139" s="10">
        <f t="shared" si="17"/>
        <v>-7179729</v>
      </c>
      <c r="L139" s="2"/>
    </row>
    <row r="140" spans="2:12" hidden="1" x14ac:dyDescent="0.25">
      <c r="B140" s="30" t="s">
        <v>247</v>
      </c>
      <c r="C140" s="54"/>
      <c r="D140" s="54"/>
      <c r="E140" s="2"/>
      <c r="F140" s="10">
        <v>-559555</v>
      </c>
      <c r="G140" s="179"/>
      <c r="H140" s="179">
        <f t="shared" si="16"/>
        <v>-559555</v>
      </c>
      <c r="I140" s="10"/>
      <c r="J140" s="10">
        <f t="shared" si="17"/>
        <v>-559555</v>
      </c>
      <c r="L140" s="2"/>
    </row>
    <row r="141" spans="2:12" hidden="1" x14ac:dyDescent="0.25">
      <c r="B141" s="30" t="s">
        <v>291</v>
      </c>
      <c r="C141" s="54"/>
      <c r="D141" s="54"/>
      <c r="E141" s="54"/>
      <c r="F141" s="10"/>
      <c r="G141" s="179">
        <v>-190570</v>
      </c>
      <c r="H141" s="179">
        <f t="shared" si="16"/>
        <v>-190570</v>
      </c>
      <c r="I141" s="10"/>
      <c r="J141" s="10">
        <f t="shared" si="17"/>
        <v>-190570</v>
      </c>
      <c r="L141" s="2"/>
    </row>
    <row r="142" spans="2:12" hidden="1" x14ac:dyDescent="0.25">
      <c r="B142" s="30" t="s">
        <v>292</v>
      </c>
      <c r="C142" s="54"/>
      <c r="D142" s="54"/>
      <c r="E142" s="54"/>
      <c r="F142" s="10">
        <v>9390028</v>
      </c>
      <c r="G142" s="179">
        <v>3747805</v>
      </c>
      <c r="H142" s="179">
        <f t="shared" si="16"/>
        <v>13137833</v>
      </c>
      <c r="I142" s="10">
        <f>+ER!M36</f>
        <v>1762103.75</v>
      </c>
      <c r="J142" s="10">
        <f t="shared" si="17"/>
        <v>14899936.75</v>
      </c>
      <c r="L142" s="2"/>
    </row>
    <row r="143" spans="2:12" x14ac:dyDescent="0.25">
      <c r="B143" s="30" t="s">
        <v>268</v>
      </c>
      <c r="C143" s="54"/>
      <c r="D143" s="54"/>
      <c r="E143" s="54"/>
      <c r="F143" s="6">
        <f>SUM(F136:F142)</f>
        <v>42657482</v>
      </c>
      <c r="G143" s="177">
        <f>SUM(G136:G142)</f>
        <v>2769280</v>
      </c>
      <c r="H143" s="177">
        <f t="shared" si="16"/>
        <v>45426762</v>
      </c>
      <c r="I143" s="6">
        <v>-11525237</v>
      </c>
      <c r="J143" s="6">
        <f t="shared" si="17"/>
        <v>33901525</v>
      </c>
      <c r="K143" s="32"/>
      <c r="L143" s="2"/>
    </row>
    <row r="144" spans="2:12" x14ac:dyDescent="0.25">
      <c r="B144" s="30" t="s">
        <v>293</v>
      </c>
      <c r="C144" s="54"/>
      <c r="D144" s="54"/>
      <c r="E144" s="54"/>
      <c r="F144" s="10">
        <f>-42657482+40887284</f>
        <v>-1770198</v>
      </c>
      <c r="G144" s="179">
        <v>-111739</v>
      </c>
      <c r="H144" s="179">
        <f t="shared" si="16"/>
        <v>-1881937</v>
      </c>
      <c r="I144" s="10"/>
      <c r="J144" s="10">
        <f t="shared" si="17"/>
        <v>-1881937</v>
      </c>
      <c r="K144" s="32"/>
      <c r="L144" s="2"/>
    </row>
    <row r="145" spans="2:12" x14ac:dyDescent="0.25">
      <c r="B145" s="30" t="s">
        <v>294</v>
      </c>
      <c r="C145" s="54"/>
      <c r="D145" s="54"/>
      <c r="E145" s="54"/>
      <c r="F145" s="10">
        <v>-8215675</v>
      </c>
      <c r="G145" s="179"/>
      <c r="H145" s="179">
        <f t="shared" si="16"/>
        <v>-8215675</v>
      </c>
      <c r="I145" s="10"/>
      <c r="J145" s="10">
        <f t="shared" si="17"/>
        <v>-8215675</v>
      </c>
      <c r="K145" s="32"/>
      <c r="L145" s="2"/>
    </row>
    <row r="146" spans="2:12" x14ac:dyDescent="0.25">
      <c r="B146" s="30" t="s">
        <v>247</v>
      </c>
      <c r="C146" s="54"/>
      <c r="D146" s="54"/>
      <c r="E146" s="54"/>
      <c r="F146" s="10">
        <v>-912853</v>
      </c>
      <c r="G146" s="179">
        <v>-374781</v>
      </c>
      <c r="H146" s="179">
        <f t="shared" si="16"/>
        <v>-1287634</v>
      </c>
      <c r="I146" s="10"/>
      <c r="J146" s="10">
        <f t="shared" si="17"/>
        <v>-1287634</v>
      </c>
      <c r="K146" s="32"/>
      <c r="L146" s="2"/>
    </row>
    <row r="147" spans="2:12" x14ac:dyDescent="0.25">
      <c r="B147" s="30" t="s">
        <v>291</v>
      </c>
      <c r="C147" s="54"/>
      <c r="D147" s="54"/>
      <c r="E147" s="54"/>
      <c r="F147" s="10">
        <v>-5488035</v>
      </c>
      <c r="G147" s="179">
        <v>-3373023</v>
      </c>
      <c r="H147" s="179">
        <f t="shared" si="16"/>
        <v>-8861058</v>
      </c>
      <c r="I147" s="10"/>
      <c r="J147" s="10">
        <f t="shared" si="17"/>
        <v>-8861058</v>
      </c>
      <c r="K147" s="32"/>
      <c r="L147" s="2"/>
    </row>
    <row r="148" spans="2:12" x14ac:dyDescent="0.25">
      <c r="B148" s="30" t="s">
        <v>292</v>
      </c>
      <c r="C148" s="54"/>
      <c r="D148" s="54"/>
      <c r="E148" s="54"/>
      <c r="F148" s="10">
        <v>15216635</v>
      </c>
      <c r="G148" s="179">
        <v>7092645</v>
      </c>
      <c r="H148" s="179">
        <f t="shared" si="16"/>
        <v>22309280</v>
      </c>
      <c r="I148" s="10">
        <f>+ER!M40</f>
        <v>1762103.75</v>
      </c>
      <c r="J148" s="24">
        <f t="shared" si="17"/>
        <v>24071383.75</v>
      </c>
      <c r="K148" s="32"/>
      <c r="L148" s="2"/>
    </row>
    <row r="149" spans="2:12" x14ac:dyDescent="0.25">
      <c r="B149" s="30" t="s">
        <v>269</v>
      </c>
      <c r="C149" s="54"/>
      <c r="D149" s="54"/>
      <c r="E149" s="54"/>
      <c r="F149" s="177">
        <f>SUM(F143:F148)</f>
        <v>41487356</v>
      </c>
      <c r="G149" s="177">
        <f>SUM(G143:G148)</f>
        <v>6002382</v>
      </c>
      <c r="H149" s="177">
        <f>SUM(H143:H148)</f>
        <v>47489738</v>
      </c>
      <c r="I149" s="177">
        <f>-AD!G42+AD!H17</f>
        <v>-9763133.7534000017</v>
      </c>
      <c r="J149" s="177">
        <f>SUM(J143:J148)</f>
        <v>37726604.75</v>
      </c>
      <c r="K149" s="254">
        <f>+I143+I148-I149</f>
        <v>0.50340000167489052</v>
      </c>
      <c r="L149" s="2"/>
    </row>
    <row r="150" spans="2:12" x14ac:dyDescent="0.25">
      <c r="B150" s="243" t="s">
        <v>247</v>
      </c>
      <c r="C150" s="244"/>
      <c r="D150" s="244"/>
      <c r="E150" s="244"/>
      <c r="F150" s="247"/>
      <c r="G150" s="247">
        <v>-709264</v>
      </c>
      <c r="H150" s="6">
        <f>+F150+G150</f>
        <v>-709264</v>
      </c>
      <c r="I150" s="6"/>
      <c r="J150" s="6">
        <f t="shared" si="17"/>
        <v>-709264</v>
      </c>
      <c r="K150" s="32"/>
    </row>
    <row r="151" spans="2:12" x14ac:dyDescent="0.25">
      <c r="B151" s="30" t="s">
        <v>431</v>
      </c>
      <c r="C151" s="54"/>
      <c r="D151" s="54"/>
      <c r="E151" s="54"/>
      <c r="F151" s="10">
        <f>1859768+660505</f>
        <v>2520273</v>
      </c>
      <c r="G151" s="245">
        <v>63402</v>
      </c>
      <c r="H151" s="10">
        <f t="shared" ref="H151:H152" si="18">+F151+G151</f>
        <v>2583675</v>
      </c>
      <c r="I151" s="10"/>
      <c r="J151" s="10">
        <f t="shared" si="17"/>
        <v>2583675</v>
      </c>
      <c r="K151" s="32"/>
    </row>
    <row r="152" spans="2:12" x14ac:dyDescent="0.25">
      <c r="B152" s="243" t="s">
        <v>294</v>
      </c>
      <c r="C152" s="244"/>
      <c r="D152" s="244"/>
      <c r="E152" s="244"/>
      <c r="F152" s="245"/>
      <c r="G152" s="245">
        <v>-5404856</v>
      </c>
      <c r="H152" s="10">
        <f t="shared" si="18"/>
        <v>-5404856</v>
      </c>
      <c r="I152" s="10"/>
      <c r="J152" s="10">
        <f t="shared" si="17"/>
        <v>-5404856</v>
      </c>
      <c r="K152" s="32"/>
    </row>
    <row r="153" spans="2:12" x14ac:dyDescent="0.25">
      <c r="B153" s="243" t="s">
        <v>292</v>
      </c>
      <c r="C153" s="244"/>
      <c r="D153" s="244"/>
      <c r="E153" s="244"/>
      <c r="F153" s="246">
        <f>ER!D40</f>
        <v>15361151</v>
      </c>
      <c r="G153" s="246">
        <f>ER!E36</f>
        <v>14579979</v>
      </c>
      <c r="H153" s="24">
        <f>+F153+G153</f>
        <v>29941130</v>
      </c>
      <c r="I153" s="24">
        <f>+ER!G40</f>
        <v>4653361</v>
      </c>
      <c r="J153" s="24">
        <f t="shared" si="17"/>
        <v>34594491</v>
      </c>
      <c r="K153" s="32"/>
    </row>
    <row r="154" spans="2:12" x14ac:dyDescent="0.25">
      <c r="B154" s="30" t="s">
        <v>248</v>
      </c>
      <c r="C154" s="54"/>
      <c r="D154" s="54"/>
      <c r="E154" s="54"/>
      <c r="F154" s="169">
        <f>SUM(F149:F153)</f>
        <v>59368780</v>
      </c>
      <c r="G154" s="169">
        <f>SUM(G149:G153)</f>
        <v>14531643</v>
      </c>
      <c r="H154" s="169">
        <f>SUM(H149:H153)</f>
        <v>73900423</v>
      </c>
      <c r="I154" s="169">
        <f>SUM(I149:I153)</f>
        <v>-5109772.7534000017</v>
      </c>
      <c r="J154" s="169">
        <f>SUM(J149:J153)</f>
        <v>68790650.75</v>
      </c>
      <c r="K154" s="32"/>
    </row>
    <row r="155" spans="2:12" x14ac:dyDescent="0.25">
      <c r="B155" s="173" t="s">
        <v>295</v>
      </c>
      <c r="C155" s="174"/>
      <c r="D155" s="174"/>
      <c r="E155" s="174"/>
      <c r="F155" s="175">
        <f>F154+F107+F90+F81</f>
        <v>56717664</v>
      </c>
      <c r="G155" s="175">
        <f>G154+G107+G90+G81</f>
        <v>14290661</v>
      </c>
      <c r="H155" s="175">
        <f>H154+H107+H90+H81</f>
        <v>71008325</v>
      </c>
      <c r="I155" s="175">
        <f>I154+I107+I90+I81</f>
        <v>-5109772.7534000017</v>
      </c>
      <c r="J155" s="175">
        <f>J154+J107+J90+J81</f>
        <v>65898552.75</v>
      </c>
      <c r="K155" s="32"/>
      <c r="L155" s="2"/>
    </row>
    <row r="156" spans="2:12" x14ac:dyDescent="0.25">
      <c r="B156" s="173"/>
      <c r="C156" s="174"/>
      <c r="D156" s="174"/>
      <c r="E156" s="174"/>
      <c r="F156" s="175"/>
      <c r="G156" s="175"/>
      <c r="H156" s="175"/>
      <c r="I156" s="175"/>
      <c r="J156" s="175"/>
      <c r="K156" s="32"/>
      <c r="L156" s="2"/>
    </row>
    <row r="157" spans="2:12" ht="13.15" customHeight="1" x14ac:dyDescent="0.25">
      <c r="B157" s="170" t="s">
        <v>296</v>
      </c>
      <c r="C157" s="54"/>
      <c r="D157" s="54"/>
      <c r="E157" s="54"/>
      <c r="F157" s="10"/>
      <c r="G157" s="10"/>
      <c r="H157" s="10"/>
      <c r="I157" s="18"/>
      <c r="J157" s="18"/>
      <c r="L157" s="2"/>
    </row>
    <row r="158" spans="2:12" hidden="1" outlineLevel="1" x14ac:dyDescent="0.25">
      <c r="B158" s="30" t="s">
        <v>250</v>
      </c>
      <c r="C158" s="54"/>
      <c r="D158" s="54"/>
      <c r="E158" s="54"/>
      <c r="F158" s="10">
        <f>+F8+F30+F46+F65+F75+F84+F110</f>
        <v>39550217</v>
      </c>
      <c r="G158" s="10">
        <f>+G8+G30+G46+G65+G75+G84+G110</f>
        <v>5424539</v>
      </c>
      <c r="H158" s="10">
        <f>+F158+G158</f>
        <v>44974756</v>
      </c>
      <c r="I158" s="18"/>
      <c r="J158" s="10">
        <f>+H158+I158</f>
        <v>44974756</v>
      </c>
      <c r="L158" s="2"/>
    </row>
    <row r="159" spans="2:12" hidden="1" outlineLevel="1" x14ac:dyDescent="0.25">
      <c r="B159" s="30" t="s">
        <v>280</v>
      </c>
      <c r="C159" s="54"/>
      <c r="D159" s="54"/>
      <c r="E159" s="54"/>
      <c r="F159" s="10"/>
      <c r="G159" s="10">
        <v>-154178</v>
      </c>
      <c r="H159" s="10"/>
      <c r="I159" s="18"/>
      <c r="J159" s="10"/>
      <c r="L159" s="2"/>
    </row>
    <row r="160" spans="2:12" hidden="1" outlineLevel="1" x14ac:dyDescent="0.25">
      <c r="B160" s="30" t="s">
        <v>277</v>
      </c>
      <c r="C160" s="54"/>
      <c r="D160" s="54"/>
      <c r="E160" s="54"/>
      <c r="F160" s="10">
        <f>+F111</f>
        <v>-10113380</v>
      </c>
      <c r="G160" s="10"/>
      <c r="H160" s="10">
        <f>+F160+G160</f>
        <v>-10113380</v>
      </c>
      <c r="I160" s="18"/>
      <c r="J160" s="10">
        <f>+H160+I160</f>
        <v>-10113380</v>
      </c>
      <c r="L160" s="2"/>
    </row>
    <row r="161" spans="2:12" hidden="1" outlineLevel="1" x14ac:dyDescent="0.25">
      <c r="B161" s="30" t="s">
        <v>282</v>
      </c>
      <c r="C161" s="54"/>
      <c r="D161" s="54"/>
      <c r="E161" s="54"/>
      <c r="F161" s="10">
        <f>+F115+F84+F75+F65+F48+F32+F9</f>
        <v>55520427</v>
      </c>
      <c r="G161" s="10">
        <f>+G158+G159</f>
        <v>5270361</v>
      </c>
      <c r="H161" s="10">
        <f>+F161+G161</f>
        <v>60790788</v>
      </c>
      <c r="I161" s="60" t="e">
        <f>+I115</f>
        <v>#REF!</v>
      </c>
      <c r="J161" s="10" t="e">
        <f>+H161+I161</f>
        <v>#REF!</v>
      </c>
      <c r="L161" s="2"/>
    </row>
    <row r="162" spans="2:12" hidden="1" outlineLevel="1" x14ac:dyDescent="0.25">
      <c r="B162" s="30" t="s">
        <v>281</v>
      </c>
      <c r="C162" s="54"/>
      <c r="D162" s="54"/>
      <c r="E162" s="54"/>
      <c r="F162" s="10">
        <f>+F117</f>
        <v>-5585599</v>
      </c>
      <c r="G162" s="10">
        <f>+G117</f>
        <v>0</v>
      </c>
      <c r="H162" s="10">
        <f>+H117</f>
        <v>-5585599</v>
      </c>
      <c r="I162" s="10">
        <f>+I117</f>
        <v>0</v>
      </c>
      <c r="J162" s="10">
        <f>+J117</f>
        <v>-5585599</v>
      </c>
      <c r="L162" s="2"/>
    </row>
    <row r="163" spans="2:12" hidden="1" outlineLevel="1" x14ac:dyDescent="0.25">
      <c r="B163" s="30" t="s">
        <v>282</v>
      </c>
      <c r="C163" s="54"/>
      <c r="D163" s="54"/>
      <c r="E163" s="54"/>
      <c r="F163" s="10">
        <f>SUM(F161:F162)</f>
        <v>49934828</v>
      </c>
      <c r="G163" s="10">
        <f>SUM(G161:G162)</f>
        <v>5270361</v>
      </c>
      <c r="H163" s="10">
        <f>SUM(H161:H162)</f>
        <v>55205189</v>
      </c>
      <c r="I163" s="10" t="e">
        <f>SUM(I161:I162)</f>
        <v>#REF!</v>
      </c>
      <c r="J163" s="10" t="e">
        <f>SUM(J161:J162)</f>
        <v>#REF!</v>
      </c>
      <c r="L163" s="2"/>
    </row>
    <row r="164" spans="2:12" hidden="1" outlineLevel="1" x14ac:dyDescent="0.25">
      <c r="B164" s="30" t="str">
        <f>+B33</f>
        <v>Devolución de aporte de accionistas 13 enero 2015</v>
      </c>
      <c r="C164" s="54"/>
      <c r="D164" s="54"/>
      <c r="E164" s="54"/>
      <c r="F164" s="60">
        <f>+F33</f>
        <v>-3094403</v>
      </c>
      <c r="G164" s="10"/>
      <c r="H164" s="10">
        <f t="shared" ref="H164:H169" si="19">+F164+G164</f>
        <v>-3094403</v>
      </c>
      <c r="I164" s="18"/>
      <c r="J164" s="10">
        <f t="shared" ref="J164:J169" si="20">+H164+I164</f>
        <v>-3094403</v>
      </c>
      <c r="L164" s="2"/>
    </row>
    <row r="165" spans="2:12" hidden="1" outlineLevel="1" x14ac:dyDescent="0.25">
      <c r="B165" s="30" t="s">
        <v>235</v>
      </c>
      <c r="C165" s="54"/>
      <c r="D165" s="54"/>
      <c r="E165" s="54"/>
      <c r="F165" s="10"/>
      <c r="G165" s="10"/>
      <c r="H165" s="10">
        <f t="shared" si="19"/>
        <v>0</v>
      </c>
      <c r="I165" s="18"/>
      <c r="J165" s="10">
        <f t="shared" si="20"/>
        <v>0</v>
      </c>
      <c r="L165" s="2"/>
    </row>
    <row r="166" spans="2:12" hidden="1" outlineLevel="1" x14ac:dyDescent="0.25">
      <c r="B166" s="30" t="s">
        <v>236</v>
      </c>
      <c r="C166" s="54"/>
      <c r="D166" s="54"/>
      <c r="E166" s="54"/>
      <c r="F166" s="10"/>
      <c r="G166" s="10"/>
      <c r="H166" s="10">
        <f t="shared" si="19"/>
        <v>0</v>
      </c>
      <c r="I166" s="18"/>
      <c r="J166" s="10">
        <f t="shared" si="20"/>
        <v>0</v>
      </c>
      <c r="L166" s="2"/>
    </row>
    <row r="167" spans="2:12" hidden="1" outlineLevel="1" x14ac:dyDescent="0.25">
      <c r="B167" s="30" t="s">
        <v>237</v>
      </c>
      <c r="C167" s="54"/>
      <c r="D167" s="54"/>
      <c r="E167" s="54"/>
      <c r="F167" s="10"/>
      <c r="G167" s="10"/>
      <c r="H167" s="10">
        <f t="shared" si="19"/>
        <v>0</v>
      </c>
      <c r="I167" s="18"/>
      <c r="J167" s="10">
        <f t="shared" si="20"/>
        <v>0</v>
      </c>
      <c r="L167" s="2"/>
    </row>
    <row r="168" spans="2:12" hidden="1" outlineLevel="1" x14ac:dyDescent="0.25">
      <c r="B168" s="30" t="s">
        <v>256</v>
      </c>
      <c r="C168" s="54"/>
      <c r="D168" s="54"/>
      <c r="E168" s="54"/>
      <c r="F168" s="10"/>
      <c r="G168" s="10"/>
      <c r="H168" s="10">
        <f t="shared" si="19"/>
        <v>0</v>
      </c>
      <c r="I168" s="18"/>
      <c r="J168" s="10">
        <f t="shared" si="20"/>
        <v>0</v>
      </c>
      <c r="L168" s="2"/>
    </row>
    <row r="169" spans="2:12" hidden="1" outlineLevel="1" x14ac:dyDescent="0.25">
      <c r="B169" s="30" t="s">
        <v>297</v>
      </c>
      <c r="C169" s="54"/>
      <c r="D169" s="54"/>
      <c r="E169" s="54"/>
      <c r="F169" s="10">
        <v>14390</v>
      </c>
      <c r="G169" s="10">
        <v>0</v>
      </c>
      <c r="H169" s="10">
        <f t="shared" si="19"/>
        <v>14390</v>
      </c>
      <c r="I169" s="18"/>
      <c r="J169" s="10">
        <f t="shared" si="20"/>
        <v>14390</v>
      </c>
      <c r="K169" s="8"/>
      <c r="L169" s="2"/>
    </row>
    <row r="170" spans="2:12" hidden="1" outlineLevel="1" x14ac:dyDescent="0.25">
      <c r="B170" s="30" t="s">
        <v>107</v>
      </c>
      <c r="C170" s="54"/>
      <c r="D170" s="54"/>
      <c r="E170" s="54"/>
      <c r="F170" s="10">
        <f>+F123+F96</f>
        <v>13423797</v>
      </c>
      <c r="G170" s="10">
        <f>+G123+G96</f>
        <v>2603318</v>
      </c>
      <c r="H170" s="10">
        <f>+H123+H96</f>
        <v>16027115</v>
      </c>
      <c r="I170" s="10" t="e">
        <f>+I123+I96</f>
        <v>#REF!</v>
      </c>
      <c r="J170" s="10" t="e">
        <f>+J123+J96</f>
        <v>#REF!</v>
      </c>
      <c r="L170" s="2"/>
    </row>
    <row r="171" spans="2:12" hidden="1" outlineLevel="1" x14ac:dyDescent="0.25">
      <c r="B171" s="30" t="s">
        <v>298</v>
      </c>
      <c r="C171" s="54"/>
      <c r="D171" s="54"/>
      <c r="E171" s="54"/>
      <c r="F171" s="10">
        <f>SUM(F163:F170)</f>
        <v>60278612</v>
      </c>
      <c r="G171" s="10">
        <f>SUM(G163:G170)</f>
        <v>7873679</v>
      </c>
      <c r="H171" s="10">
        <f>+F171+G171</f>
        <v>68152291</v>
      </c>
      <c r="I171" s="10">
        <f>+I124</f>
        <v>-16446314.003400002</v>
      </c>
      <c r="J171" s="10">
        <f t="shared" ref="J171:J184" si="21">+H171+I171</f>
        <v>51705976.996600002</v>
      </c>
      <c r="L171" s="2"/>
    </row>
    <row r="172" spans="2:12" hidden="1" outlineLevel="1" x14ac:dyDescent="0.25">
      <c r="B172" s="65" t="s">
        <v>285</v>
      </c>
      <c r="C172" s="36"/>
      <c r="D172" s="36"/>
      <c r="E172" s="36"/>
      <c r="F172" s="24">
        <v>-2936828</v>
      </c>
      <c r="G172" s="24">
        <v>0</v>
      </c>
      <c r="H172" s="24">
        <f>+F172+G172</f>
        <v>-2936828</v>
      </c>
      <c r="I172" s="24"/>
      <c r="J172" s="24">
        <f t="shared" si="21"/>
        <v>-2936828</v>
      </c>
      <c r="K172" s="32"/>
      <c r="L172" s="2"/>
    </row>
    <row r="173" spans="2:12" hidden="1" outlineLevel="1" x14ac:dyDescent="0.25">
      <c r="B173" s="30" t="s">
        <v>286</v>
      </c>
      <c r="C173" s="54"/>
      <c r="D173" s="54"/>
      <c r="E173" s="54"/>
      <c r="F173" s="10">
        <f>+F171+F172</f>
        <v>57341784</v>
      </c>
      <c r="G173" s="10">
        <f>+G171+G172</f>
        <v>7873679</v>
      </c>
      <c r="H173" s="10">
        <f>+H171+H172</f>
        <v>65215463</v>
      </c>
      <c r="I173" s="10">
        <f>+I171+I172</f>
        <v>-16446314.003400002</v>
      </c>
      <c r="J173" s="10">
        <f t="shared" si="21"/>
        <v>48769148.996600002</v>
      </c>
      <c r="K173" s="32"/>
      <c r="L173" s="2"/>
    </row>
    <row r="174" spans="2:12" hidden="1" outlineLevel="1" x14ac:dyDescent="0.25">
      <c r="B174" s="30" t="s">
        <v>277</v>
      </c>
      <c r="C174" s="54"/>
      <c r="D174" s="54"/>
      <c r="E174" s="54"/>
      <c r="F174" s="10">
        <v>0</v>
      </c>
      <c r="G174" s="10">
        <v>0</v>
      </c>
      <c r="H174" s="10">
        <f>+F174+G174</f>
        <v>0</v>
      </c>
      <c r="I174" s="10"/>
      <c r="J174" s="10">
        <f t="shared" si="21"/>
        <v>0</v>
      </c>
      <c r="K174" s="32"/>
      <c r="L174" s="2"/>
    </row>
    <row r="175" spans="2:12" hidden="1" outlineLevel="1" x14ac:dyDescent="0.25">
      <c r="B175" s="30" t="s">
        <v>107</v>
      </c>
      <c r="C175" s="54"/>
      <c r="D175" s="54"/>
      <c r="E175" s="54"/>
      <c r="F175" s="10">
        <v>6312362</v>
      </c>
      <c r="G175" s="10">
        <f>+G129+G98</f>
        <v>3810401</v>
      </c>
      <c r="H175" s="10">
        <f>+F175+G175</f>
        <v>10122763</v>
      </c>
      <c r="I175" s="10">
        <f>+I129+I98</f>
        <v>0</v>
      </c>
      <c r="J175" s="10">
        <f t="shared" si="21"/>
        <v>10122763</v>
      </c>
      <c r="L175" s="2"/>
    </row>
    <row r="176" spans="2:12" hidden="1" x14ac:dyDescent="0.25">
      <c r="B176" s="30" t="s">
        <v>260</v>
      </c>
      <c r="C176" s="54"/>
      <c r="D176" s="54"/>
      <c r="E176" s="52"/>
      <c r="F176" s="19">
        <f>SUM(F173:F175)</f>
        <v>63654146</v>
      </c>
      <c r="G176" s="19">
        <f>SUM(G173:G175)</f>
        <v>11684080</v>
      </c>
      <c r="H176" s="19">
        <f>SUM(H173:H175)</f>
        <v>75338226</v>
      </c>
      <c r="I176" s="19">
        <f>SUM(I173:I175)</f>
        <v>-16446314.003400002</v>
      </c>
      <c r="J176" s="19">
        <f t="shared" si="21"/>
        <v>58891911.996600002</v>
      </c>
      <c r="L176" s="2"/>
    </row>
    <row r="177" spans="2:12" hidden="1" x14ac:dyDescent="0.25">
      <c r="B177" s="30" t="s">
        <v>289</v>
      </c>
      <c r="C177" s="54"/>
      <c r="D177" s="54"/>
      <c r="E177" s="54"/>
      <c r="F177" s="10">
        <f>128916+446968</f>
        <v>575884</v>
      </c>
      <c r="G177" s="10">
        <v>0</v>
      </c>
      <c r="H177" s="10">
        <f>+F177+G177</f>
        <v>575884</v>
      </c>
      <c r="I177" s="10"/>
      <c r="J177" s="10">
        <f t="shared" si="21"/>
        <v>575884</v>
      </c>
      <c r="L177" s="2"/>
    </row>
    <row r="178" spans="2:12" ht="24.75" hidden="1" customHeight="1" x14ac:dyDescent="0.25">
      <c r="B178" s="316" t="s">
        <v>253</v>
      </c>
      <c r="C178" s="316"/>
      <c r="D178" s="316"/>
      <c r="E178" s="316"/>
      <c r="F178" s="10">
        <v>-705016</v>
      </c>
      <c r="G178" s="10">
        <v>0</v>
      </c>
      <c r="H178" s="10">
        <f>+F178+G178</f>
        <v>-705016</v>
      </c>
      <c r="I178" s="10"/>
      <c r="J178" s="10">
        <f t="shared" si="21"/>
        <v>-705016</v>
      </c>
      <c r="L178" s="2"/>
    </row>
    <row r="179" spans="2:12" hidden="1" x14ac:dyDescent="0.25">
      <c r="B179" s="30" t="s">
        <v>107</v>
      </c>
      <c r="C179" s="54"/>
      <c r="D179" s="54"/>
      <c r="E179" s="54"/>
      <c r="F179" s="10">
        <v>7316288</v>
      </c>
      <c r="G179" s="24">
        <v>2567422</v>
      </c>
      <c r="H179" s="24">
        <f>+F179+G179</f>
        <v>9883710</v>
      </c>
      <c r="I179" s="24">
        <f>+I134</f>
        <v>1836936.4151480002</v>
      </c>
      <c r="J179" s="24">
        <f t="shared" si="21"/>
        <v>11720646.415148001</v>
      </c>
      <c r="L179" s="2"/>
    </row>
    <row r="180" spans="2:12" hidden="1" x14ac:dyDescent="0.25">
      <c r="B180" s="30" t="s">
        <v>261</v>
      </c>
      <c r="C180" s="54"/>
      <c r="D180" s="54"/>
      <c r="E180" s="52"/>
      <c r="F180" s="6">
        <f>SUM(F176:F179)</f>
        <v>70841302</v>
      </c>
      <c r="G180" s="6">
        <f>SUM(G176:G179)+1</f>
        <v>14251503</v>
      </c>
      <c r="H180" s="6">
        <f>+G180+F180</f>
        <v>85092805</v>
      </c>
      <c r="I180" s="6">
        <f>SUM(I176:I179)</f>
        <v>-14609377.588252001</v>
      </c>
      <c r="J180" s="6">
        <f t="shared" si="21"/>
        <v>70483427.411747992</v>
      </c>
      <c r="K180" s="32">
        <f>+F180-70841302</f>
        <v>0</v>
      </c>
      <c r="L180" s="2"/>
    </row>
    <row r="181" spans="2:12" hidden="1" x14ac:dyDescent="0.25">
      <c r="B181" s="30" t="s">
        <v>299</v>
      </c>
      <c r="C181" s="54"/>
      <c r="D181" s="54"/>
      <c r="E181" s="54"/>
      <c r="F181" s="10">
        <v>70086</v>
      </c>
      <c r="G181" s="10">
        <v>-16606</v>
      </c>
      <c r="H181" s="10">
        <f>+F181+G181</f>
        <v>53480</v>
      </c>
      <c r="I181" s="18"/>
      <c r="J181" s="10">
        <f t="shared" si="21"/>
        <v>53480</v>
      </c>
    </row>
    <row r="182" spans="2:12" hidden="1" x14ac:dyDescent="0.25">
      <c r="B182" s="30" t="s">
        <v>289</v>
      </c>
      <c r="C182" s="54"/>
      <c r="D182" s="54"/>
      <c r="E182" s="54"/>
      <c r="F182" s="10">
        <v>251108</v>
      </c>
      <c r="G182" s="179">
        <v>-48910</v>
      </c>
      <c r="H182" s="179">
        <f>+F182+G182</f>
        <v>202198</v>
      </c>
      <c r="I182" s="10"/>
      <c r="J182" s="10">
        <f t="shared" si="21"/>
        <v>202198</v>
      </c>
      <c r="L182" s="2"/>
    </row>
    <row r="183" spans="2:12" hidden="1" x14ac:dyDescent="0.25">
      <c r="B183" s="30" t="s">
        <v>290</v>
      </c>
      <c r="C183" s="54"/>
      <c r="D183" s="54"/>
      <c r="E183" s="54"/>
      <c r="F183" s="10">
        <v>854455</v>
      </c>
      <c r="G183" s="179">
        <v>-334309</v>
      </c>
      <c r="H183" s="179">
        <f>+F183+G183</f>
        <v>520146</v>
      </c>
      <c r="I183" s="10"/>
      <c r="J183" s="10">
        <f t="shared" si="21"/>
        <v>520146</v>
      </c>
      <c r="L183" s="2"/>
    </row>
    <row r="184" spans="2:12" hidden="1" x14ac:dyDescent="0.25">
      <c r="B184" s="30" t="s">
        <v>291</v>
      </c>
      <c r="C184" s="54"/>
      <c r="D184" s="54"/>
      <c r="E184" s="54"/>
      <c r="F184" s="10"/>
      <c r="G184" s="179">
        <v>-190570</v>
      </c>
      <c r="H184" s="179">
        <f>+F184+G184</f>
        <v>-190570</v>
      </c>
      <c r="I184" s="10"/>
      <c r="J184" s="10">
        <f t="shared" si="21"/>
        <v>-190570</v>
      </c>
      <c r="L184" s="2"/>
    </row>
    <row r="185" spans="2:12" hidden="1" x14ac:dyDescent="0.25">
      <c r="B185" s="30" t="s">
        <v>292</v>
      </c>
      <c r="C185" s="54"/>
      <c r="D185" s="54"/>
      <c r="E185" s="54"/>
      <c r="F185" s="10">
        <f>+F142</f>
        <v>9390028</v>
      </c>
      <c r="G185" s="179">
        <f>+G142</f>
        <v>3747805</v>
      </c>
      <c r="H185" s="179">
        <f>+H142</f>
        <v>13137833</v>
      </c>
      <c r="I185" s="179">
        <f>+I142</f>
        <v>1762103.75</v>
      </c>
      <c r="J185" s="179">
        <f>+J142</f>
        <v>14899936.75</v>
      </c>
      <c r="L185" s="2"/>
    </row>
    <row r="186" spans="2:12" x14ac:dyDescent="0.25">
      <c r="B186" s="30" t="s">
        <v>268</v>
      </c>
      <c r="C186" s="54"/>
      <c r="D186" s="54"/>
      <c r="E186" s="54"/>
      <c r="F186" s="6">
        <f>SUM(F180:F185)</f>
        <v>81406979</v>
      </c>
      <c r="G186" s="6">
        <f>SUM(G180:G185)</f>
        <v>17408913</v>
      </c>
      <c r="H186" s="6">
        <f>SUM(H180:H185)</f>
        <v>98815892</v>
      </c>
      <c r="I186" s="6">
        <f>+I143</f>
        <v>-11525237</v>
      </c>
      <c r="J186" s="6">
        <f>+H186+I186</f>
        <v>87290655</v>
      </c>
    </row>
    <row r="187" spans="2:12" x14ac:dyDescent="0.25">
      <c r="B187" s="30" t="s">
        <v>293</v>
      </c>
      <c r="C187" s="54"/>
      <c r="D187" s="54"/>
      <c r="E187" s="54"/>
      <c r="F187" s="10">
        <f>+F144</f>
        <v>-1770198</v>
      </c>
      <c r="G187" s="10">
        <f>+G144</f>
        <v>-111739</v>
      </c>
      <c r="H187" s="10">
        <f>+F187+G187</f>
        <v>-1881937</v>
      </c>
      <c r="I187" s="10"/>
      <c r="J187" s="10">
        <f>+H187+I187</f>
        <v>-1881937</v>
      </c>
    </row>
    <row r="188" spans="2:12" x14ac:dyDescent="0.25">
      <c r="B188" s="176" t="s">
        <v>291</v>
      </c>
      <c r="C188" s="54"/>
      <c r="D188" s="54"/>
      <c r="E188" s="54"/>
      <c r="F188" s="10">
        <f>+F147</f>
        <v>-5488035</v>
      </c>
      <c r="G188" s="10">
        <f>+G147</f>
        <v>-3373023</v>
      </c>
      <c r="H188" s="10">
        <f>+F188+G188</f>
        <v>-8861058</v>
      </c>
      <c r="I188" s="10"/>
      <c r="J188" s="10">
        <f>+H188+I188</f>
        <v>-8861058</v>
      </c>
    </row>
    <row r="189" spans="2:12" x14ac:dyDescent="0.25">
      <c r="B189" s="176" t="s">
        <v>300</v>
      </c>
      <c r="C189" s="54"/>
      <c r="D189" s="54"/>
      <c r="E189" s="54"/>
      <c r="F189" s="10">
        <f>+F148+F104</f>
        <v>14116935</v>
      </c>
      <c r="G189" s="10">
        <f>+G148+G104</f>
        <v>7076908</v>
      </c>
      <c r="H189" s="10">
        <f>+F189+G189</f>
        <v>21193843</v>
      </c>
      <c r="I189" s="10">
        <f>+I148</f>
        <v>1762103.75</v>
      </c>
      <c r="J189" s="10">
        <f>+H189+I189</f>
        <v>22955946.75</v>
      </c>
    </row>
    <row r="190" spans="2:12" x14ac:dyDescent="0.25">
      <c r="B190" s="176" t="s">
        <v>269</v>
      </c>
      <c r="C190" s="44"/>
      <c r="D190" s="44"/>
      <c r="E190" s="44"/>
      <c r="F190" s="19">
        <f>SUM(F186:F189)</f>
        <v>88265681</v>
      </c>
      <c r="G190" s="19">
        <f>SUM(G186:G189)</f>
        <v>21001059</v>
      </c>
      <c r="H190" s="19">
        <f>SUM(H186:H189)</f>
        <v>109266740</v>
      </c>
      <c r="I190" s="19">
        <f>SUM(I186:I189)</f>
        <v>-9763133.25</v>
      </c>
      <c r="J190" s="19">
        <f>SUM(J186:J189)</f>
        <v>99503606.75</v>
      </c>
    </row>
    <row r="191" spans="2:12" x14ac:dyDescent="0.25">
      <c r="B191" s="30" t="s">
        <v>431</v>
      </c>
      <c r="C191" s="44"/>
      <c r="D191" s="44"/>
      <c r="E191" s="44"/>
      <c r="F191" s="233">
        <f>+F151</f>
        <v>2520273</v>
      </c>
      <c r="G191" s="233">
        <f>+G151</f>
        <v>63402</v>
      </c>
      <c r="H191" s="10">
        <f>+F191+G191</f>
        <v>2583675</v>
      </c>
      <c r="I191" s="233"/>
      <c r="J191" s="233">
        <f t="shared" ref="J191:J194" si="22">+H191+I191</f>
        <v>2583675</v>
      </c>
    </row>
    <row r="192" spans="2:12" ht="12" hidden="1" customHeight="1" x14ac:dyDescent="0.25">
      <c r="B192" s="30" t="s">
        <v>429</v>
      </c>
      <c r="C192" s="44"/>
      <c r="D192" s="44"/>
      <c r="E192" s="44"/>
      <c r="F192" s="10"/>
      <c r="G192" s="10">
        <v>0</v>
      </c>
      <c r="H192" s="10">
        <f t="shared" ref="H192:H193" si="23">+F192+G192</f>
        <v>0</v>
      </c>
      <c r="I192" s="10"/>
      <c r="J192" s="10">
        <f t="shared" si="22"/>
        <v>0</v>
      </c>
    </row>
    <row r="193" spans="2:10" x14ac:dyDescent="0.25">
      <c r="B193" s="30" t="s">
        <v>428</v>
      </c>
      <c r="C193" s="44"/>
      <c r="D193" s="44"/>
      <c r="E193" s="44"/>
      <c r="F193" s="2">
        <f>+F25</f>
        <v>-21629181</v>
      </c>
      <c r="G193" s="10"/>
      <c r="H193" s="10">
        <f t="shared" si="23"/>
        <v>-21629181</v>
      </c>
      <c r="I193" s="10"/>
      <c r="J193" s="10">
        <f t="shared" si="22"/>
        <v>-21629181</v>
      </c>
    </row>
    <row r="194" spans="2:10" x14ac:dyDescent="0.25">
      <c r="B194" s="30" t="s">
        <v>275</v>
      </c>
      <c r="C194" s="44"/>
      <c r="D194" s="44"/>
      <c r="E194" s="44"/>
      <c r="F194" s="10">
        <f>F106+F153</f>
        <v>15361151</v>
      </c>
      <c r="G194" s="10">
        <f>G106+G153</f>
        <v>14440479</v>
      </c>
      <c r="H194" s="10">
        <f>+F194+G194</f>
        <v>29801630</v>
      </c>
      <c r="I194" s="10">
        <f>+I153</f>
        <v>4653361</v>
      </c>
      <c r="J194" s="10">
        <f t="shared" si="22"/>
        <v>34454991</v>
      </c>
    </row>
    <row r="195" spans="2:10" x14ac:dyDescent="0.25">
      <c r="B195" s="236" t="s">
        <v>301</v>
      </c>
      <c r="C195" s="183"/>
      <c r="D195" s="183"/>
      <c r="E195" s="183"/>
      <c r="F195" s="19">
        <f>SUM(F190:F194)</f>
        <v>84517924</v>
      </c>
      <c r="G195" s="19">
        <f>SUM(G190:G194)</f>
        <v>35504940</v>
      </c>
      <c r="H195" s="19">
        <f>SUM(H190:H194)</f>
        <v>120022864</v>
      </c>
      <c r="I195" s="19">
        <f>SUM(I190:I194)</f>
        <v>-5109772.25</v>
      </c>
      <c r="J195" s="19">
        <f>SUM(J190:J194)</f>
        <v>114913091.75</v>
      </c>
    </row>
    <row r="196" spans="2:10" x14ac:dyDescent="0.25">
      <c r="B196" s="30"/>
      <c r="F196" s="255">
        <f>+F154+F107+F90+F81+F71+F62+F43+F27-F195</f>
        <v>0</v>
      </c>
      <c r="G196" s="255">
        <f>+G154+G107+G90+G81+G71+G62+G43+G27-G195</f>
        <v>0</v>
      </c>
      <c r="H196" s="255">
        <f>+H154+H107+H90+H81+H71+H62+H43+H27-H195</f>
        <v>0</v>
      </c>
      <c r="I196" s="255">
        <f>+I149+I105+I89+I80+I70+I60+I41+I24-I190</f>
        <v>-0.50340000167489052</v>
      </c>
      <c r="J196" s="255">
        <f>+J154+J107+J90+J81+J71+J62+J43+J27-J195</f>
        <v>0</v>
      </c>
    </row>
    <row r="197" spans="2:10" x14ac:dyDescent="0.25">
      <c r="B197" s="30"/>
    </row>
    <row r="198" spans="2:10" x14ac:dyDescent="0.25">
      <c r="B198" s="30"/>
    </row>
    <row r="199" spans="2:10" x14ac:dyDescent="0.25">
      <c r="B199" s="30"/>
      <c r="J199" s="32"/>
    </row>
    <row r="200" spans="2:10" x14ac:dyDescent="0.25">
      <c r="B200" s="30"/>
      <c r="F200" s="7" t="s">
        <v>78</v>
      </c>
      <c r="G200" s="50"/>
      <c r="H200" s="50"/>
    </row>
    <row r="201" spans="2:10" x14ac:dyDescent="0.25">
      <c r="F201" s="2" t="s">
        <v>79</v>
      </c>
    </row>
  </sheetData>
  <mergeCells count="5">
    <mergeCell ref="B37:E37"/>
    <mergeCell ref="B38:E38"/>
    <mergeCell ref="B39:E39"/>
    <mergeCell ref="B40:E40"/>
    <mergeCell ref="B178:E178"/>
  </mergeCells>
  <pageMargins left="0.7" right="0.7" top="0.75" bottom="0.75" header="0.51180555555555496" footer="0.51180555555555496"/>
  <pageSetup scale="81" firstPageNumber="0" orientation="portrait" horizontalDpi="300" verticalDpi="300"/>
  <rowBreaks count="1" manualBreakCount="1">
    <brk id="108"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E7E6E6"/>
  </sheetPr>
  <dimension ref="A1:AMJ73"/>
  <sheetViews>
    <sheetView topLeftCell="A36" zoomScale="93" zoomScaleNormal="93" workbookViewId="0">
      <selection activeCell="V44" sqref="V44"/>
    </sheetView>
  </sheetViews>
  <sheetFormatPr defaultColWidth="11.42578125" defaultRowHeight="15" outlineLevelRow="1" x14ac:dyDescent="0.25"/>
  <cols>
    <col min="1" max="1" width="2.7109375" style="8" customWidth="1"/>
    <col min="2" max="5" width="11.42578125" style="8"/>
    <col min="6" max="6" width="12.140625" style="8" customWidth="1"/>
    <col min="7" max="10" width="13.140625" style="8" customWidth="1"/>
    <col min="11" max="12" width="13.140625" style="8" hidden="1" customWidth="1"/>
    <col min="13" max="14" width="0" style="8" hidden="1" customWidth="1"/>
    <col min="15" max="15" width="12" style="8" hidden="1" customWidth="1"/>
    <col min="16" max="18" width="0" style="8" hidden="1" customWidth="1"/>
    <col min="19" max="19" width="3.5703125" style="8" hidden="1" customWidth="1"/>
    <col min="20" max="21" width="0" style="8" hidden="1" customWidth="1"/>
    <col min="22" max="22" width="14.28515625" style="8" customWidth="1"/>
    <col min="23" max="23" width="13.28515625" style="8" customWidth="1"/>
    <col min="24" max="1024" width="11.42578125" style="8"/>
  </cols>
  <sheetData>
    <row r="1" spans="1:22" x14ac:dyDescent="0.25">
      <c r="A1" s="3" t="s">
        <v>12</v>
      </c>
    </row>
    <row r="2" spans="1:22" x14ac:dyDescent="0.25">
      <c r="A2" s="4" t="s">
        <v>302</v>
      </c>
      <c r="V2" s="32"/>
    </row>
    <row r="3" spans="1:22" x14ac:dyDescent="0.25">
      <c r="A3" s="4" t="s">
        <v>13</v>
      </c>
    </row>
    <row r="4" spans="1:22" x14ac:dyDescent="0.25">
      <c r="A4" s="8" t="s">
        <v>14</v>
      </c>
      <c r="G4" s="321">
        <v>2020</v>
      </c>
      <c r="H4" s="321"/>
      <c r="I4" s="322">
        <v>2019</v>
      </c>
      <c r="J4" s="317"/>
      <c r="K4" s="317">
        <v>2018</v>
      </c>
      <c r="L4" s="317"/>
      <c r="M4" s="317">
        <v>2017</v>
      </c>
      <c r="N4" s="317"/>
      <c r="O4" s="317">
        <v>2016</v>
      </c>
      <c r="P4" s="317"/>
      <c r="Q4" s="317">
        <v>2015</v>
      </c>
      <c r="R4" s="317"/>
      <c r="T4" s="317">
        <v>2014</v>
      </c>
      <c r="U4" s="317"/>
    </row>
    <row r="5" spans="1:22" x14ac:dyDescent="0.25">
      <c r="G5" s="184" t="s">
        <v>303</v>
      </c>
      <c r="H5" s="184" t="s">
        <v>304</v>
      </c>
      <c r="I5" s="223" t="s">
        <v>303</v>
      </c>
      <c r="J5" s="184" t="s">
        <v>304</v>
      </c>
      <c r="K5" s="184" t="s">
        <v>303</v>
      </c>
      <c r="L5" s="184" t="s">
        <v>304</v>
      </c>
      <c r="M5" s="184" t="s">
        <v>303</v>
      </c>
      <c r="N5" s="184" t="s">
        <v>304</v>
      </c>
      <c r="O5" s="184" t="s">
        <v>303</v>
      </c>
      <c r="P5" s="184" t="s">
        <v>304</v>
      </c>
      <c r="Q5" s="184" t="s">
        <v>303</v>
      </c>
      <c r="R5" s="184" t="s">
        <v>304</v>
      </c>
      <c r="S5" s="185"/>
      <c r="T5" s="184" t="s">
        <v>303</v>
      </c>
      <c r="U5" s="184" t="s">
        <v>304</v>
      </c>
    </row>
    <row r="6" spans="1:22" x14ac:dyDescent="0.25">
      <c r="B6" s="59"/>
      <c r="C6" s="186" t="s">
        <v>305</v>
      </c>
      <c r="D6" s="50"/>
      <c r="E6" s="50"/>
      <c r="F6" s="50"/>
      <c r="G6" s="17"/>
      <c r="H6" s="17"/>
      <c r="I6" s="51"/>
      <c r="J6" s="17"/>
      <c r="K6" s="17"/>
      <c r="L6" s="17"/>
      <c r="M6" s="17"/>
      <c r="N6" s="17"/>
      <c r="O6" s="18"/>
      <c r="P6" s="18"/>
      <c r="Q6" s="18"/>
      <c r="R6" s="18"/>
      <c r="T6" s="18"/>
      <c r="U6" s="18"/>
    </row>
    <row r="7" spans="1:22" x14ac:dyDescent="0.25">
      <c r="B7" s="170" t="s">
        <v>306</v>
      </c>
      <c r="C7" s="54"/>
      <c r="D7" s="54"/>
      <c r="E7" s="54"/>
      <c r="F7" s="54"/>
      <c r="G7" s="227">
        <v>30135</v>
      </c>
      <c r="H7" s="227"/>
      <c r="I7" s="26">
        <v>548165</v>
      </c>
      <c r="J7" s="10"/>
      <c r="K7" s="10">
        <v>443374</v>
      </c>
      <c r="L7" s="10"/>
      <c r="M7" s="10">
        <v>386373</v>
      </c>
      <c r="N7" s="10"/>
      <c r="O7" s="10">
        <v>323638</v>
      </c>
      <c r="P7" s="10"/>
      <c r="Q7" s="10">
        <v>942254</v>
      </c>
      <c r="R7" s="10"/>
      <c r="S7" s="2"/>
      <c r="T7" s="10">
        <v>679872</v>
      </c>
      <c r="U7" s="10"/>
    </row>
    <row r="8" spans="1:22" hidden="1" x14ac:dyDescent="0.25">
      <c r="B8" s="170" t="s">
        <v>307</v>
      </c>
      <c r="C8" s="54"/>
      <c r="D8" s="54"/>
      <c r="E8" s="54"/>
      <c r="F8" s="54"/>
      <c r="G8" s="227"/>
      <c r="H8" s="227"/>
      <c r="I8" s="26"/>
      <c r="J8" s="10"/>
      <c r="K8" s="10"/>
      <c r="L8" s="10"/>
      <c r="M8" s="10"/>
      <c r="N8" s="10"/>
      <c r="O8" s="10"/>
      <c r="P8" s="10"/>
      <c r="Q8" s="10">
        <f>+R9-Q7</f>
        <v>113005</v>
      </c>
      <c r="R8" s="10"/>
      <c r="S8" s="2"/>
      <c r="T8" s="10"/>
      <c r="U8" s="10">
        <f>+T7-U9</f>
        <v>16101</v>
      </c>
    </row>
    <row r="9" spans="1:22" x14ac:dyDescent="0.25">
      <c r="B9" s="170" t="s">
        <v>308</v>
      </c>
      <c r="C9" s="54"/>
      <c r="D9" s="54"/>
      <c r="E9" s="54"/>
      <c r="F9" s="54"/>
      <c r="G9" s="227"/>
      <c r="H9" s="227">
        <f>+G7</f>
        <v>30135</v>
      </c>
      <c r="I9" s="26"/>
      <c r="J9" s="10">
        <f>+I7</f>
        <v>548165</v>
      </c>
      <c r="K9" s="10"/>
      <c r="L9" s="10">
        <f>+K7</f>
        <v>443374</v>
      </c>
      <c r="M9" s="10"/>
      <c r="N9" s="10">
        <f>+M7</f>
        <v>386373</v>
      </c>
      <c r="O9" s="10"/>
      <c r="P9" s="10">
        <f>+O7</f>
        <v>323638</v>
      </c>
      <c r="Q9" s="10"/>
      <c r="R9" s="10">
        <v>1055259</v>
      </c>
      <c r="S9" s="2"/>
      <c r="T9" s="10"/>
      <c r="U9" s="10">
        <v>663771</v>
      </c>
    </row>
    <row r="10" spans="1:22" x14ac:dyDescent="0.25">
      <c r="B10" s="30" t="s">
        <v>309</v>
      </c>
      <c r="C10" s="54"/>
      <c r="D10" s="54"/>
      <c r="E10" s="54"/>
      <c r="F10" s="54"/>
      <c r="G10" s="227"/>
      <c r="H10" s="227"/>
      <c r="I10" s="26"/>
      <c r="J10" s="10"/>
      <c r="K10" s="10"/>
      <c r="L10" s="10"/>
      <c r="M10" s="10"/>
      <c r="N10" s="10"/>
      <c r="O10" s="10"/>
      <c r="P10" s="10"/>
      <c r="Q10" s="10"/>
      <c r="R10" s="10"/>
      <c r="S10" s="2"/>
      <c r="T10" s="10"/>
      <c r="U10" s="10"/>
    </row>
    <row r="11" spans="1:22" x14ac:dyDescent="0.25">
      <c r="B11" s="65"/>
      <c r="C11" s="36"/>
      <c r="D11" s="36"/>
      <c r="E11" s="36"/>
      <c r="F11" s="36" t="s">
        <v>310</v>
      </c>
      <c r="G11" s="19">
        <f t="shared" ref="G11" si="0">SUM(G7:G10)</f>
        <v>30135</v>
      </c>
      <c r="H11" s="19">
        <f t="shared" ref="H11" si="1">SUM(H7:H10)</f>
        <v>30135</v>
      </c>
      <c r="I11" s="224">
        <f t="shared" ref="I11:R11" si="2">SUM(I7:I10)</f>
        <v>548165</v>
      </c>
      <c r="J11" s="19">
        <f t="shared" si="2"/>
        <v>548165</v>
      </c>
      <c r="K11" s="19">
        <f t="shared" si="2"/>
        <v>443374</v>
      </c>
      <c r="L11" s="19">
        <f t="shared" si="2"/>
        <v>443374</v>
      </c>
      <c r="M11" s="19">
        <f t="shared" si="2"/>
        <v>386373</v>
      </c>
      <c r="N11" s="19">
        <f t="shared" si="2"/>
        <v>386373</v>
      </c>
      <c r="O11" s="19">
        <f t="shared" si="2"/>
        <v>323638</v>
      </c>
      <c r="P11" s="19">
        <f t="shared" si="2"/>
        <v>323638</v>
      </c>
      <c r="Q11" s="19">
        <f t="shared" si="2"/>
        <v>1055259</v>
      </c>
      <c r="R11" s="19">
        <f t="shared" si="2"/>
        <v>1055259</v>
      </c>
      <c r="S11" s="2"/>
      <c r="T11" s="19">
        <f>SUM(T7:T10)</f>
        <v>679872</v>
      </c>
      <c r="U11" s="19">
        <f>SUM(U7:U10)</f>
        <v>679872</v>
      </c>
    </row>
    <row r="12" spans="1:22" x14ac:dyDescent="0.25">
      <c r="B12" s="59"/>
      <c r="C12" s="186" t="s">
        <v>311</v>
      </c>
      <c r="D12" s="50"/>
      <c r="E12" s="50"/>
      <c r="F12" s="50"/>
      <c r="G12" s="228"/>
      <c r="H12" s="228"/>
      <c r="I12" s="51"/>
      <c r="J12" s="17"/>
      <c r="K12" s="17"/>
      <c r="L12" s="17"/>
      <c r="M12" s="17"/>
      <c r="N12" s="17"/>
      <c r="O12" s="6"/>
      <c r="P12" s="6"/>
      <c r="Q12" s="6"/>
      <c r="R12" s="6"/>
      <c r="S12" s="2"/>
      <c r="T12" s="6"/>
      <c r="U12" s="6"/>
    </row>
    <row r="13" spans="1:22" x14ac:dyDescent="0.25">
      <c r="B13" s="248" t="s">
        <v>438</v>
      </c>
      <c r="C13" s="244"/>
      <c r="D13" s="244"/>
      <c r="E13" s="244"/>
      <c r="F13" s="244"/>
      <c r="G13" s="241">
        <v>26543205</v>
      </c>
      <c r="H13" s="227"/>
      <c r="I13" s="26">
        <v>12478474</v>
      </c>
      <c r="J13" s="10"/>
      <c r="K13" s="10">
        <v>10682418</v>
      </c>
      <c r="L13" s="10"/>
      <c r="M13" s="10">
        <v>5099200</v>
      </c>
      <c r="N13" s="10"/>
      <c r="O13" s="10">
        <v>7790426</v>
      </c>
      <c r="P13" s="10"/>
      <c r="Q13" s="10">
        <v>2148793</v>
      </c>
      <c r="R13" s="10"/>
      <c r="S13" s="2"/>
      <c r="T13" s="10">
        <v>1912184</v>
      </c>
      <c r="U13" s="10"/>
    </row>
    <row r="14" spans="1:22" hidden="1" x14ac:dyDescent="0.25">
      <c r="B14" s="170" t="s">
        <v>312</v>
      </c>
      <c r="C14" s="54"/>
      <c r="D14" s="54"/>
      <c r="E14" s="54"/>
      <c r="F14" s="54"/>
      <c r="G14" s="227"/>
      <c r="H14" s="227"/>
      <c r="I14" s="26">
        <v>150402</v>
      </c>
      <c r="J14" s="10"/>
      <c r="K14" s="10"/>
      <c r="L14" s="10"/>
      <c r="M14" s="10"/>
      <c r="N14" s="10"/>
      <c r="O14" s="10"/>
      <c r="P14" s="10"/>
      <c r="Q14" s="10"/>
      <c r="R14" s="10"/>
      <c r="S14" s="2"/>
      <c r="T14" s="10"/>
      <c r="U14" s="10"/>
    </row>
    <row r="15" spans="1:22" hidden="1" x14ac:dyDescent="0.25">
      <c r="B15" s="170" t="s">
        <v>131</v>
      </c>
      <c r="C15" s="54"/>
      <c r="D15" s="54"/>
      <c r="E15" s="54"/>
      <c r="F15" s="54"/>
      <c r="G15" s="230"/>
      <c r="H15" s="227"/>
      <c r="I15" s="26">
        <v>2053333</v>
      </c>
      <c r="J15" s="10"/>
      <c r="K15" s="10"/>
      <c r="L15" s="10"/>
      <c r="M15" s="10"/>
      <c r="N15" s="10"/>
      <c r="O15" s="10"/>
      <c r="P15" s="10"/>
      <c r="Q15" s="10"/>
      <c r="R15" s="10"/>
      <c r="S15" s="2"/>
      <c r="T15" s="10"/>
      <c r="U15" s="10"/>
    </row>
    <row r="16" spans="1:22" x14ac:dyDescent="0.25">
      <c r="B16" s="248" t="s">
        <v>313</v>
      </c>
      <c r="C16" s="244"/>
      <c r="D16" s="244"/>
      <c r="E16" s="244"/>
      <c r="F16" s="244"/>
      <c r="G16" s="241">
        <f>+H18+H17-G13</f>
        <v>2483589</v>
      </c>
      <c r="H16" s="241"/>
      <c r="I16" s="26"/>
      <c r="J16" s="10">
        <v>289600</v>
      </c>
      <c r="K16" s="10"/>
      <c r="L16" s="10">
        <f>10820478-10764779</f>
        <v>55699</v>
      </c>
      <c r="M16" s="10">
        <f>-M13-M17+N18</f>
        <v>12940</v>
      </c>
      <c r="N16" s="10"/>
      <c r="O16" s="10"/>
      <c r="P16" s="10"/>
      <c r="Q16" s="10"/>
      <c r="R16" s="10"/>
      <c r="S16" s="2"/>
      <c r="T16" s="10"/>
      <c r="U16" s="10"/>
    </row>
    <row r="17" spans="2:23" x14ac:dyDescent="0.25">
      <c r="B17" s="170" t="s">
        <v>314</v>
      </c>
      <c r="C17" s="54"/>
      <c r="D17" s="54"/>
      <c r="E17" s="54"/>
      <c r="F17" s="249"/>
      <c r="G17" s="227"/>
      <c r="H17" s="227">
        <v>289600</v>
      </c>
      <c r="I17" s="26"/>
      <c r="J17" s="10"/>
      <c r="K17" s="10">
        <v>138060</v>
      </c>
      <c r="L17" s="10"/>
      <c r="M17" s="10">
        <v>138060</v>
      </c>
      <c r="N17" s="10"/>
      <c r="O17" s="10" t="e">
        <f>+#REF!</f>
        <v>#REF!</v>
      </c>
      <c r="P17" s="10"/>
      <c r="Q17" s="10"/>
      <c r="R17" s="10"/>
      <c r="S17" s="2"/>
      <c r="T17" s="10"/>
      <c r="U17" s="10"/>
    </row>
    <row r="18" spans="2:23" x14ac:dyDescent="0.25">
      <c r="B18" s="248" t="s">
        <v>315</v>
      </c>
      <c r="C18" s="244"/>
      <c r="D18" s="244"/>
      <c r="E18" s="244"/>
      <c r="F18" s="244"/>
      <c r="G18" s="241"/>
      <c r="H18" s="241">
        <v>28737194</v>
      </c>
      <c r="I18" s="26"/>
      <c r="J18" s="10">
        <v>14392609</v>
      </c>
      <c r="K18" s="10"/>
      <c r="L18" s="10">
        <v>10764779</v>
      </c>
      <c r="M18" s="10"/>
      <c r="N18" s="10">
        <v>5250200</v>
      </c>
      <c r="O18" s="10"/>
      <c r="P18" s="10">
        <v>8398689</v>
      </c>
      <c r="Q18" s="10"/>
      <c r="R18" s="10">
        <v>2286853</v>
      </c>
      <c r="S18" s="2"/>
      <c r="T18" s="10"/>
      <c r="U18" s="10">
        <v>2802380</v>
      </c>
    </row>
    <row r="19" spans="2:23" x14ac:dyDescent="0.25">
      <c r="B19" s="30" t="s">
        <v>427</v>
      </c>
      <c r="C19" s="54"/>
      <c r="D19" s="54"/>
      <c r="E19" s="54"/>
      <c r="F19" s="54"/>
      <c r="G19" s="227"/>
      <c r="H19" s="227"/>
      <c r="I19" s="26"/>
      <c r="J19" s="10"/>
      <c r="K19" s="10"/>
      <c r="L19" s="10"/>
      <c r="M19" s="10"/>
      <c r="N19" s="10"/>
      <c r="O19" s="10"/>
      <c r="P19" s="10"/>
      <c r="Q19" s="10"/>
      <c r="R19" s="10"/>
      <c r="S19" s="2"/>
      <c r="T19" s="10"/>
      <c r="U19" s="10"/>
    </row>
    <row r="20" spans="2:23" x14ac:dyDescent="0.25">
      <c r="B20" s="65"/>
      <c r="C20" s="36"/>
      <c r="D20" s="36"/>
      <c r="E20" s="36"/>
      <c r="F20" s="36" t="s">
        <v>310</v>
      </c>
      <c r="G20" s="19">
        <f>SUM(G13:G19)</f>
        <v>29026794</v>
      </c>
      <c r="H20" s="224">
        <f t="shared" ref="H20" si="3">SUM(H13:H19)</f>
        <v>29026794</v>
      </c>
      <c r="I20" s="224">
        <f>SUM(I13:I19)</f>
        <v>14682209</v>
      </c>
      <c r="J20" s="19">
        <f>SUM(J13:J19)</f>
        <v>14682209</v>
      </c>
      <c r="K20" s="19">
        <f t="shared" ref="K20:R20" si="4">SUM(K12:K18)</f>
        <v>10820478</v>
      </c>
      <c r="L20" s="19">
        <f t="shared" si="4"/>
        <v>10820478</v>
      </c>
      <c r="M20" s="19">
        <f t="shared" si="4"/>
        <v>5250200</v>
      </c>
      <c r="N20" s="19">
        <f t="shared" si="4"/>
        <v>5250200</v>
      </c>
      <c r="O20" s="19" t="e">
        <f t="shared" si="4"/>
        <v>#REF!</v>
      </c>
      <c r="P20" s="19">
        <f t="shared" si="4"/>
        <v>8398689</v>
      </c>
      <c r="Q20" s="19">
        <f t="shared" si="4"/>
        <v>2148793</v>
      </c>
      <c r="R20" s="19">
        <f t="shared" si="4"/>
        <v>2286853</v>
      </c>
      <c r="S20" s="2"/>
      <c r="T20" s="19">
        <f>SUM(T12:T18)</f>
        <v>1912184</v>
      </c>
      <c r="U20" s="19">
        <f>SUM(U12:U18)</f>
        <v>2802380</v>
      </c>
    </row>
    <row r="21" spans="2:23" x14ac:dyDescent="0.25">
      <c r="B21" s="59"/>
      <c r="C21" s="186" t="s">
        <v>316</v>
      </c>
      <c r="D21" s="50"/>
      <c r="E21" s="50"/>
      <c r="F21" s="50"/>
      <c r="G21" s="228"/>
      <c r="H21" s="228"/>
      <c r="I21" s="225">
        <f>+J20-I20</f>
        <v>0</v>
      </c>
      <c r="J21" s="17"/>
      <c r="K21" s="17"/>
      <c r="L21" s="17"/>
      <c r="M21" s="17"/>
      <c r="N21" s="17"/>
      <c r="O21" s="6"/>
      <c r="P21" s="6"/>
      <c r="Q21" s="6"/>
      <c r="R21" s="6"/>
      <c r="S21" s="2"/>
      <c r="T21" s="6"/>
      <c r="U21" s="6"/>
      <c r="V21" s="32"/>
    </row>
    <row r="22" spans="2:23" x14ac:dyDescent="0.25">
      <c r="B22" s="170" t="s">
        <v>317</v>
      </c>
      <c r="C22" s="54"/>
      <c r="D22" s="54"/>
      <c r="E22" s="54"/>
      <c r="F22" s="54"/>
      <c r="G22" s="227">
        <v>111106162</v>
      </c>
      <c r="H22" s="227"/>
      <c r="I22" s="26">
        <v>92592770</v>
      </c>
      <c r="J22" s="10"/>
      <c r="K22" s="10">
        <v>74521538</v>
      </c>
      <c r="L22" s="10"/>
      <c r="M22" s="10">
        <v>51723340</v>
      </c>
      <c r="N22" s="10"/>
      <c r="O22" s="10">
        <f>+P23+P24+P25</f>
        <v>42471624</v>
      </c>
      <c r="P22" s="10"/>
      <c r="Q22" s="10">
        <v>20619081</v>
      </c>
      <c r="R22" s="10"/>
      <c r="S22" s="2"/>
      <c r="T22" s="10">
        <v>13229677</v>
      </c>
      <c r="U22" s="10"/>
      <c r="V22" s="2"/>
      <c r="W22" s="32"/>
    </row>
    <row r="23" spans="2:23" x14ac:dyDescent="0.25">
      <c r="B23" s="187" t="s">
        <v>318</v>
      </c>
      <c r="C23" s="54"/>
      <c r="D23" s="54"/>
      <c r="E23" s="54"/>
      <c r="F23" s="54"/>
      <c r="G23" s="227"/>
      <c r="H23" s="227">
        <v>4118950</v>
      </c>
      <c r="I23" s="26"/>
      <c r="J23" s="10">
        <v>8203260</v>
      </c>
      <c r="K23" s="10"/>
      <c r="L23" s="10">
        <v>5827272</v>
      </c>
      <c r="M23" s="10"/>
      <c r="N23" s="10">
        <v>7144181</v>
      </c>
      <c r="O23" s="10"/>
      <c r="P23" s="10">
        <v>15846166</v>
      </c>
      <c r="Q23" s="10"/>
      <c r="R23" s="10">
        <v>5738082</v>
      </c>
      <c r="S23" s="2"/>
      <c r="T23" s="10"/>
      <c r="U23" s="10">
        <v>1475332</v>
      </c>
      <c r="V23" s="257"/>
      <c r="W23" s="32"/>
    </row>
    <row r="24" spans="2:23" x14ac:dyDescent="0.25">
      <c r="B24" s="170" t="s">
        <v>319</v>
      </c>
      <c r="C24" s="54"/>
      <c r="D24" s="54"/>
      <c r="E24" s="54"/>
      <c r="F24" s="54"/>
      <c r="G24" s="227"/>
      <c r="H24" s="227">
        <f>+G22-H23</f>
        <v>106987212</v>
      </c>
      <c r="I24" s="26"/>
      <c r="J24" s="10">
        <f>+I22-J23</f>
        <v>84389510</v>
      </c>
      <c r="K24" s="10"/>
      <c r="L24" s="10">
        <f>+K22-L23</f>
        <v>68694266</v>
      </c>
      <c r="M24" s="10"/>
      <c r="N24" s="10">
        <f>+M22-N23</f>
        <v>44579159</v>
      </c>
      <c r="O24" s="10"/>
      <c r="P24" s="10">
        <f>7436996+18578188+610274</f>
        <v>26625458</v>
      </c>
      <c r="Q24" s="10"/>
      <c r="R24" s="10">
        <f>+Q22-R23-R25</f>
        <v>11460999</v>
      </c>
      <c r="S24" s="2"/>
      <c r="T24" s="10"/>
      <c r="U24" s="10">
        <f>+T22-U23-U25</f>
        <v>11337419</v>
      </c>
      <c r="W24" s="32"/>
    </row>
    <row r="25" spans="2:23" hidden="1" x14ac:dyDescent="0.25">
      <c r="B25" s="170" t="s">
        <v>320</v>
      </c>
      <c r="C25" s="54"/>
      <c r="D25" s="54"/>
      <c r="E25" s="54"/>
      <c r="F25" s="54"/>
      <c r="G25" s="227"/>
      <c r="H25" s="227"/>
      <c r="I25" s="26"/>
      <c r="J25" s="10"/>
      <c r="K25" s="10"/>
      <c r="L25" s="10"/>
      <c r="M25" s="10"/>
      <c r="N25" s="10"/>
      <c r="O25" s="10"/>
      <c r="P25" s="10">
        <v>0</v>
      </c>
      <c r="Q25" s="10"/>
      <c r="R25" s="10">
        <v>3420000</v>
      </c>
      <c r="S25" s="2"/>
      <c r="T25" s="10"/>
      <c r="U25" s="10">
        <v>416926</v>
      </c>
      <c r="V25" s="32"/>
    </row>
    <row r="26" spans="2:23" x14ac:dyDescent="0.25">
      <c r="B26" s="30" t="s">
        <v>321</v>
      </c>
      <c r="C26" s="54"/>
      <c r="D26" s="54"/>
      <c r="E26" s="54"/>
      <c r="F26" s="54"/>
      <c r="G26" s="227"/>
      <c r="H26" s="227"/>
      <c r="I26" s="26"/>
      <c r="J26" s="10"/>
      <c r="K26" s="10"/>
      <c r="L26" s="10"/>
      <c r="M26" s="10"/>
      <c r="N26" s="10"/>
      <c r="O26" s="10"/>
      <c r="P26" s="10"/>
      <c r="Q26" s="10"/>
      <c r="R26" s="10"/>
      <c r="S26" s="2"/>
      <c r="T26" s="10"/>
      <c r="U26" s="10"/>
      <c r="W26" s="2"/>
    </row>
    <row r="27" spans="2:23" x14ac:dyDescent="0.25">
      <c r="B27" s="65"/>
      <c r="C27" s="36"/>
      <c r="D27" s="36"/>
      <c r="E27" s="36"/>
      <c r="F27" s="36" t="s">
        <v>310</v>
      </c>
      <c r="G27" s="19">
        <f t="shared" ref="G27:H27" si="5">SUM(G21:G24)</f>
        <v>111106162</v>
      </c>
      <c r="H27" s="224">
        <f t="shared" si="5"/>
        <v>111106162</v>
      </c>
      <c r="I27" s="224">
        <f>SUM(I21:I24)</f>
        <v>92592770</v>
      </c>
      <c r="J27" s="19">
        <f>SUM(J21:J24)</f>
        <v>92592770</v>
      </c>
      <c r="K27" s="19">
        <f>SUM(K21:K24)</f>
        <v>74521538</v>
      </c>
      <c r="L27" s="19">
        <f>SUM(L21:L25)</f>
        <v>74521538</v>
      </c>
      <c r="M27" s="19">
        <f>SUM(M21:M24)</f>
        <v>51723340</v>
      </c>
      <c r="N27" s="19">
        <f>SUM(N21:N25)</f>
        <v>51723340</v>
      </c>
      <c r="O27" s="19">
        <f>SUM(O21:O24)</f>
        <v>42471624</v>
      </c>
      <c r="P27" s="19">
        <f>SUM(P21:P25)</f>
        <v>42471624</v>
      </c>
      <c r="Q27" s="19">
        <f>SUM(Q21:Q24)</f>
        <v>20619081</v>
      </c>
      <c r="R27" s="19">
        <f>SUM(R21:R25)</f>
        <v>20619081</v>
      </c>
      <c r="S27" s="2"/>
      <c r="T27" s="19">
        <f>SUM(T21:T24)</f>
        <v>13229677</v>
      </c>
      <c r="U27" s="19">
        <f>SUM(U21:U25)</f>
        <v>13229677</v>
      </c>
    </row>
    <row r="28" spans="2:23" x14ac:dyDescent="0.25">
      <c r="B28" s="59"/>
      <c r="C28" s="186" t="s">
        <v>322</v>
      </c>
      <c r="D28" s="50"/>
      <c r="E28" s="50"/>
      <c r="F28" s="50"/>
      <c r="G28" s="228"/>
      <c r="H28" s="228"/>
      <c r="I28" s="51"/>
      <c r="J28" s="17"/>
      <c r="K28" s="17"/>
      <c r="L28" s="17"/>
      <c r="M28" s="17"/>
      <c r="N28" s="17"/>
      <c r="O28" s="6"/>
      <c r="P28" s="6"/>
      <c r="Q28" s="6"/>
      <c r="R28" s="6"/>
      <c r="S28" s="2"/>
      <c r="T28" s="6"/>
      <c r="U28" s="6"/>
    </row>
    <row r="29" spans="2:23" x14ac:dyDescent="0.25">
      <c r="B29" s="170" t="s">
        <v>323</v>
      </c>
      <c r="C29" s="54"/>
      <c r="D29" s="54"/>
      <c r="E29" s="54"/>
      <c r="F29" s="54"/>
      <c r="G29" s="227"/>
      <c r="H29" s="227"/>
      <c r="I29" s="26">
        <f>2053333+2566667</f>
        <v>4620000</v>
      </c>
      <c r="J29" s="10"/>
      <c r="K29" s="10">
        <f>5360186+727881</f>
        <v>6088067</v>
      </c>
      <c r="L29" s="10"/>
      <c r="M29" s="10">
        <v>656393</v>
      </c>
      <c r="N29" s="10"/>
      <c r="O29" s="10">
        <v>352755</v>
      </c>
      <c r="P29" s="10"/>
      <c r="Q29" s="10">
        <v>5642042</v>
      </c>
      <c r="R29" s="10"/>
      <c r="S29" s="2"/>
      <c r="T29" s="10">
        <v>1187953</v>
      </c>
      <c r="U29" s="10"/>
    </row>
    <row r="30" spans="2:23" x14ac:dyDescent="0.25">
      <c r="B30" s="170" t="s">
        <v>324</v>
      </c>
      <c r="C30" s="54"/>
      <c r="D30" s="54"/>
      <c r="E30" s="54"/>
      <c r="F30" s="54"/>
      <c r="G30" s="227"/>
      <c r="H30" s="227"/>
      <c r="I30" s="26">
        <v>15292925</v>
      </c>
      <c r="J30" s="10"/>
      <c r="K30" s="10"/>
      <c r="L30" s="10"/>
      <c r="M30" s="10"/>
      <c r="N30" s="10"/>
      <c r="O30" s="10"/>
      <c r="P30" s="10"/>
      <c r="Q30" s="10">
        <v>202251</v>
      </c>
      <c r="R30" s="10"/>
      <c r="S30" s="2"/>
      <c r="T30" s="10">
        <v>682574</v>
      </c>
      <c r="U30" s="10"/>
    </row>
    <row r="31" spans="2:23" x14ac:dyDescent="0.25">
      <c r="B31" s="170" t="s">
        <v>425</v>
      </c>
      <c r="C31" s="54"/>
      <c r="D31" s="54"/>
      <c r="E31" s="54"/>
      <c r="F31" s="54"/>
      <c r="G31" s="227">
        <f>+H33</f>
        <v>29886240</v>
      </c>
      <c r="H31" s="227"/>
      <c r="I31" s="26"/>
      <c r="J31" s="10"/>
      <c r="K31" s="10">
        <v>4546528</v>
      </c>
      <c r="L31" s="10"/>
      <c r="M31" s="10">
        <v>2251425</v>
      </c>
      <c r="N31" s="10"/>
      <c r="O31" s="10">
        <v>4279500</v>
      </c>
      <c r="P31" s="10"/>
      <c r="Q31" s="10">
        <v>1260000</v>
      </c>
      <c r="R31" s="10"/>
      <c r="S31" s="2"/>
      <c r="T31" s="10">
        <v>0</v>
      </c>
      <c r="U31" s="10"/>
    </row>
    <row r="32" spans="2:23" hidden="1" x14ac:dyDescent="0.25">
      <c r="B32" s="170" t="s">
        <v>325</v>
      </c>
      <c r="C32" s="54"/>
      <c r="D32" s="54"/>
      <c r="E32" s="54"/>
      <c r="F32" s="54"/>
      <c r="G32" s="227"/>
      <c r="H32" s="227"/>
      <c r="I32" s="26"/>
      <c r="J32" s="10"/>
      <c r="K32" s="10">
        <f>+L33-K29-K31</f>
        <v>315332</v>
      </c>
      <c r="L32" s="10"/>
      <c r="M32" s="10"/>
      <c r="N32" s="10"/>
      <c r="O32" s="10">
        <f>7447200-7427584</f>
        <v>19616</v>
      </c>
      <c r="P32" s="10"/>
      <c r="Q32" s="10"/>
      <c r="R32" s="10"/>
      <c r="S32" s="2"/>
      <c r="T32" s="10"/>
      <c r="U32" s="10"/>
      <c r="V32" s="32"/>
    </row>
    <row r="33" spans="2:22" x14ac:dyDescent="0.25">
      <c r="B33" s="170" t="s">
        <v>326</v>
      </c>
      <c r="C33" s="54"/>
      <c r="D33" s="54"/>
      <c r="E33" s="54"/>
      <c r="F33" s="54"/>
      <c r="G33" s="227"/>
      <c r="H33" s="227">
        <v>29886240</v>
      </c>
      <c r="I33" s="26"/>
      <c r="J33" s="10">
        <v>19912925</v>
      </c>
      <c r="K33" s="10"/>
      <c r="L33" s="10">
        <v>10949927</v>
      </c>
      <c r="M33" s="10"/>
      <c r="N33" s="10">
        <v>5055818</v>
      </c>
      <c r="O33" s="10"/>
      <c r="P33" s="10">
        <f>7177200+270000</f>
        <v>7447200</v>
      </c>
      <c r="Q33" s="10"/>
      <c r="R33" s="10">
        <v>7271922</v>
      </c>
      <c r="S33" s="2"/>
      <c r="T33" s="10"/>
      <c r="U33" s="10">
        <v>1092645</v>
      </c>
      <c r="V33" s="32"/>
    </row>
    <row r="34" spans="2:22" x14ac:dyDescent="0.25">
      <c r="B34" s="30" t="s">
        <v>426</v>
      </c>
      <c r="C34" s="54"/>
      <c r="D34" s="54"/>
      <c r="E34" s="54"/>
      <c r="F34" s="54"/>
      <c r="G34" s="227"/>
      <c r="H34" s="227"/>
      <c r="I34" s="26"/>
      <c r="J34" s="10"/>
      <c r="K34" s="10"/>
      <c r="L34" s="10"/>
      <c r="M34" s="10"/>
      <c r="N34" s="10"/>
      <c r="O34" s="10"/>
      <c r="P34" s="10"/>
      <c r="Q34" s="10"/>
      <c r="R34" s="10"/>
      <c r="S34" s="2"/>
      <c r="T34" s="10"/>
      <c r="U34" s="10"/>
    </row>
    <row r="35" spans="2:22" x14ac:dyDescent="0.25">
      <c r="B35" s="65"/>
      <c r="C35" s="36"/>
      <c r="D35" s="36"/>
      <c r="E35" s="36"/>
      <c r="F35" s="222" t="s">
        <v>310</v>
      </c>
      <c r="G35" s="19">
        <f>SUM(G29:G33)</f>
        <v>29886240</v>
      </c>
      <c r="H35" s="224">
        <f>SUM(H29:H33)</f>
        <v>29886240</v>
      </c>
      <c r="I35" s="224">
        <f>SUM(I29:I33)</f>
        <v>19912925</v>
      </c>
      <c r="J35" s="19">
        <f>SUM(J29:J33)</f>
        <v>19912925</v>
      </c>
      <c r="K35" s="19">
        <f t="shared" ref="K35:R35" si="6">SUM(K28:K33)</f>
        <v>10949927</v>
      </c>
      <c r="L35" s="19">
        <f t="shared" si="6"/>
        <v>10949927</v>
      </c>
      <c r="M35" s="19">
        <f t="shared" si="6"/>
        <v>2907818</v>
      </c>
      <c r="N35" s="19">
        <f t="shared" si="6"/>
        <v>5055818</v>
      </c>
      <c r="O35" s="19">
        <f t="shared" si="6"/>
        <v>4651871</v>
      </c>
      <c r="P35" s="19">
        <f t="shared" si="6"/>
        <v>7447200</v>
      </c>
      <c r="Q35" s="19">
        <f t="shared" si="6"/>
        <v>7104293</v>
      </c>
      <c r="R35" s="19">
        <f t="shared" si="6"/>
        <v>7271922</v>
      </c>
      <c r="S35" s="2"/>
      <c r="T35" s="19">
        <f>SUM(T28:T33)</f>
        <v>1870527</v>
      </c>
      <c r="U35" s="19">
        <f>SUM(U28:U33)</f>
        <v>1092645</v>
      </c>
    </row>
    <row r="36" spans="2:22" x14ac:dyDescent="0.25">
      <c r="B36" s="30"/>
      <c r="C36" s="188" t="s">
        <v>327</v>
      </c>
      <c r="D36" s="54"/>
      <c r="E36" s="54"/>
      <c r="F36" s="54"/>
      <c r="G36" s="227"/>
      <c r="H36" s="227"/>
      <c r="I36" s="226"/>
      <c r="J36" s="18"/>
      <c r="K36" s="18"/>
      <c r="L36" s="18"/>
      <c r="M36" s="18"/>
      <c r="N36" s="18"/>
      <c r="O36" s="6"/>
      <c r="P36" s="6"/>
      <c r="Q36" s="6"/>
      <c r="R36" s="6"/>
      <c r="S36" s="2"/>
      <c r="T36" s="5"/>
      <c r="U36" s="6"/>
    </row>
    <row r="37" spans="2:22" x14ac:dyDescent="0.25">
      <c r="B37" s="170" t="s">
        <v>328</v>
      </c>
      <c r="C37" s="54"/>
      <c r="D37" s="54"/>
      <c r="E37" s="54"/>
      <c r="F37" s="54"/>
      <c r="G37" s="227">
        <v>9828510</v>
      </c>
      <c r="H37" s="227"/>
      <c r="I37" s="26">
        <v>9636341</v>
      </c>
      <c r="J37" s="10"/>
      <c r="K37" s="10">
        <v>9726442</v>
      </c>
      <c r="L37" s="10"/>
      <c r="M37" s="10">
        <f>+N38</f>
        <v>8402210</v>
      </c>
      <c r="N37" s="10"/>
      <c r="O37" s="10">
        <f>+'PP&amp;E'!J18</f>
        <v>3922517.4766000002</v>
      </c>
      <c r="P37" s="10"/>
      <c r="Q37" s="10"/>
      <c r="R37" s="10"/>
      <c r="S37" s="2"/>
      <c r="T37" s="9"/>
      <c r="U37" s="10"/>
    </row>
    <row r="38" spans="2:22" x14ac:dyDescent="0.25">
      <c r="B38" s="170" t="s">
        <v>329</v>
      </c>
      <c r="C38" s="54"/>
      <c r="D38" s="54"/>
      <c r="E38" s="54"/>
      <c r="F38" s="54"/>
      <c r="G38" s="227"/>
      <c r="H38" s="227">
        <v>9828510</v>
      </c>
      <c r="I38" s="26"/>
      <c r="J38" s="10">
        <v>9636341</v>
      </c>
      <c r="K38" s="10"/>
      <c r="L38" s="10">
        <f>+K37</f>
        <v>9726442</v>
      </c>
      <c r="M38" s="10"/>
      <c r="N38" s="10">
        <v>8402210</v>
      </c>
      <c r="O38" s="10"/>
      <c r="P38" s="10">
        <f>+O37</f>
        <v>3922517.4766000002</v>
      </c>
      <c r="Q38" s="10"/>
      <c r="R38" s="10"/>
      <c r="S38" s="2"/>
      <c r="T38" s="9"/>
      <c r="U38" s="10"/>
    </row>
    <row r="39" spans="2:22" ht="29.45" customHeight="1" x14ac:dyDescent="0.25">
      <c r="B39" s="318" t="s">
        <v>330</v>
      </c>
      <c r="C39" s="318"/>
      <c r="D39" s="318"/>
      <c r="E39" s="318"/>
      <c r="F39" s="318"/>
      <c r="G39" s="227"/>
      <c r="H39" s="227"/>
      <c r="I39" s="26"/>
      <c r="J39" s="10"/>
      <c r="K39" s="10"/>
      <c r="L39" s="10"/>
      <c r="M39" s="10"/>
      <c r="N39" s="10"/>
      <c r="O39" s="10"/>
      <c r="P39" s="10"/>
      <c r="Q39" s="10"/>
      <c r="R39" s="10"/>
      <c r="S39" s="2"/>
      <c r="T39" s="9"/>
      <c r="U39" s="10"/>
    </row>
    <row r="40" spans="2:22" x14ac:dyDescent="0.25">
      <c r="B40" s="30"/>
      <c r="C40" s="54"/>
      <c r="D40" s="54"/>
      <c r="E40" s="54"/>
      <c r="F40" s="54" t="s">
        <v>310</v>
      </c>
      <c r="G40" s="19">
        <f t="shared" ref="G40:H40" si="7">+G37+G38</f>
        <v>9828510</v>
      </c>
      <c r="H40" s="224">
        <f t="shared" si="7"/>
        <v>9828510</v>
      </c>
      <c r="I40" s="224">
        <f>+I37+I38</f>
        <v>9636341</v>
      </c>
      <c r="J40" s="19">
        <f>+J37+J38</f>
        <v>9636341</v>
      </c>
      <c r="K40" s="19">
        <f>+K37</f>
        <v>9726442</v>
      </c>
      <c r="L40" s="19">
        <f>+L38</f>
        <v>9726442</v>
      </c>
      <c r="M40" s="19">
        <f>+M37</f>
        <v>8402210</v>
      </c>
      <c r="N40" s="19">
        <f>+N38</f>
        <v>8402210</v>
      </c>
      <c r="O40" s="19">
        <f>+O37</f>
        <v>3922517.4766000002</v>
      </c>
      <c r="P40" s="19">
        <f>+P38</f>
        <v>3922517.4766000002</v>
      </c>
      <c r="Q40" s="6"/>
      <c r="R40" s="6"/>
      <c r="S40" s="2"/>
      <c r="T40" s="5"/>
      <c r="U40" s="6"/>
    </row>
    <row r="41" spans="2:22" x14ac:dyDescent="0.25">
      <c r="B41" s="59"/>
      <c r="C41" s="186" t="s">
        <v>331</v>
      </c>
      <c r="D41" s="50"/>
      <c r="E41" s="50"/>
      <c r="F41" s="50"/>
      <c r="G41" s="228"/>
      <c r="H41" s="228"/>
      <c r="I41" s="51"/>
      <c r="J41" s="17"/>
      <c r="K41" s="17"/>
      <c r="L41" s="17"/>
      <c r="M41" s="17"/>
      <c r="N41" s="17"/>
      <c r="O41" s="6"/>
      <c r="P41" s="6"/>
      <c r="Q41" s="6"/>
      <c r="R41" s="6"/>
      <c r="S41" s="2"/>
      <c r="T41" s="5"/>
      <c r="U41" s="6"/>
    </row>
    <row r="42" spans="2:22" x14ac:dyDescent="0.25">
      <c r="B42" s="170" t="s">
        <v>332</v>
      </c>
      <c r="C42" s="54"/>
      <c r="D42" s="54"/>
      <c r="E42" s="54"/>
      <c r="F42" s="54"/>
      <c r="G42" s="227">
        <f>+H50-G44-G43</f>
        <v>10052733.753400002</v>
      </c>
      <c r="H42" s="227"/>
      <c r="I42" s="26">
        <v>11525237</v>
      </c>
      <c r="J42" s="10"/>
      <c r="K42" s="10">
        <f>+M42-1836936</f>
        <v>14471318.003400002</v>
      </c>
      <c r="L42" s="10"/>
      <c r="M42" s="10">
        <f>+N50-M45-M43</f>
        <v>16308254.003400002</v>
      </c>
      <c r="N42" s="10"/>
      <c r="O42" s="10">
        <f>+P50-O46</f>
        <v>7213414</v>
      </c>
      <c r="P42" s="10"/>
      <c r="Q42" s="10" t="e">
        <f>+R48+R50+R47</f>
        <v>#REF!</v>
      </c>
      <c r="R42" s="10"/>
      <c r="S42" s="2"/>
      <c r="T42" s="9">
        <v>0</v>
      </c>
      <c r="U42" s="10"/>
      <c r="V42" s="2"/>
    </row>
    <row r="43" spans="2:22" x14ac:dyDescent="0.25">
      <c r="B43" s="170" t="s">
        <v>333</v>
      </c>
      <c r="C43" s="54"/>
      <c r="D43" s="54"/>
      <c r="E43" s="54"/>
      <c r="F43" s="54"/>
      <c r="G43" s="241">
        <f>+I43-J59</f>
        <v>3164337.1851480007</v>
      </c>
      <c r="H43" s="241"/>
      <c r="I43" s="26">
        <f>+K43+K54+K59</f>
        <v>3522607.4351480007</v>
      </c>
      <c r="J43" s="10"/>
      <c r="K43" s="10">
        <f>+M43+M59</f>
        <v>4078003.9351480003</v>
      </c>
      <c r="L43" s="10"/>
      <c r="M43" s="10">
        <f>+O59</f>
        <v>3486156.52</v>
      </c>
      <c r="N43" s="10"/>
      <c r="O43" s="10"/>
      <c r="P43" s="10"/>
      <c r="Q43" s="10"/>
      <c r="R43" s="10"/>
      <c r="S43" s="2"/>
      <c r="T43" s="9"/>
      <c r="U43" s="10"/>
      <c r="V43" s="32"/>
    </row>
    <row r="44" spans="2:22" x14ac:dyDescent="0.25">
      <c r="B44" s="170" t="s">
        <v>334</v>
      </c>
      <c r="C44" s="54"/>
      <c r="D44" s="54"/>
      <c r="E44" s="54"/>
      <c r="F44" s="54"/>
      <c r="G44" s="241">
        <f>+I44+I37</f>
        <v>19362783</v>
      </c>
      <c r="H44" s="241"/>
      <c r="I44" s="26">
        <f>+K37</f>
        <v>9726442</v>
      </c>
      <c r="J44" s="10"/>
      <c r="K44" s="10"/>
      <c r="L44" s="10"/>
      <c r="M44" s="10"/>
      <c r="N44" s="10"/>
      <c r="O44" s="10"/>
      <c r="P44" s="10"/>
      <c r="Q44" s="10"/>
      <c r="R44" s="10"/>
      <c r="S44" s="2"/>
      <c r="T44" s="9"/>
      <c r="U44" s="10"/>
      <c r="V44" s="32"/>
    </row>
    <row r="45" spans="2:22" x14ac:dyDescent="0.25">
      <c r="B45" s="170" t="s">
        <v>335</v>
      </c>
      <c r="C45" s="54"/>
      <c r="D45" s="54"/>
      <c r="E45" s="54"/>
      <c r="F45" s="54"/>
      <c r="G45" s="241"/>
      <c r="H45" s="241"/>
      <c r="I45" s="26"/>
      <c r="J45" s="10">
        <f>+K17-L16+K32</f>
        <v>397693</v>
      </c>
      <c r="K45" s="10"/>
      <c r="L45" s="10"/>
      <c r="M45" s="10">
        <f>+O37</f>
        <v>3922517.4766000002</v>
      </c>
      <c r="N45" s="10"/>
      <c r="O45" s="10"/>
      <c r="P45" s="10"/>
      <c r="Q45" s="10"/>
      <c r="R45" s="10"/>
      <c r="S45" s="2"/>
      <c r="T45" s="9"/>
      <c r="U45" s="10"/>
      <c r="V45" s="32"/>
    </row>
    <row r="46" spans="2:22" hidden="1" outlineLevel="1" x14ac:dyDescent="0.25">
      <c r="B46" s="170" t="s">
        <v>336</v>
      </c>
      <c r="C46" s="54"/>
      <c r="D46" s="54"/>
      <c r="E46" s="54"/>
      <c r="F46" s="54"/>
      <c r="G46" s="241"/>
      <c r="H46" s="241"/>
      <c r="I46" s="26"/>
      <c r="J46" s="230"/>
      <c r="K46" s="10"/>
      <c r="M46" s="10"/>
      <c r="O46" s="10"/>
      <c r="P46" s="18"/>
      <c r="Q46" s="10"/>
      <c r="R46" s="10"/>
      <c r="S46" s="2"/>
      <c r="T46" s="10"/>
      <c r="U46" s="10"/>
    </row>
    <row r="47" spans="2:22" hidden="1" outlineLevel="1" x14ac:dyDescent="0.25">
      <c r="B47" s="170" t="s">
        <v>337</v>
      </c>
      <c r="C47" s="54"/>
      <c r="D47" s="54"/>
      <c r="E47" s="54"/>
      <c r="F47" s="54"/>
      <c r="G47" s="241"/>
      <c r="H47" s="241"/>
      <c r="I47" s="26"/>
      <c r="J47" s="10"/>
      <c r="K47" s="10"/>
      <c r="L47" s="10"/>
      <c r="M47" s="10"/>
      <c r="N47" s="10"/>
      <c r="O47" s="10"/>
      <c r="P47" s="10"/>
      <c r="Q47" s="10"/>
      <c r="R47" s="10" t="e">
        <f>+T66+16101</f>
        <v>#REF!</v>
      </c>
      <c r="S47" s="2"/>
      <c r="T47" s="9"/>
      <c r="U47" s="10">
        <v>0</v>
      </c>
    </row>
    <row r="48" spans="2:22" hidden="1" outlineLevel="1" x14ac:dyDescent="0.25">
      <c r="B48" s="170" t="s">
        <v>338</v>
      </c>
      <c r="C48" s="54"/>
      <c r="D48" s="54"/>
      <c r="E48" s="54"/>
      <c r="F48" s="54"/>
      <c r="G48" s="241"/>
      <c r="H48" s="241"/>
      <c r="I48" s="26"/>
      <c r="J48" s="10"/>
      <c r="K48" s="10"/>
      <c r="L48" s="10">
        <v>0</v>
      </c>
      <c r="M48" s="10"/>
      <c r="N48" s="10">
        <v>0</v>
      </c>
      <c r="O48" s="10"/>
      <c r="P48" s="18"/>
      <c r="Q48" s="10"/>
      <c r="R48" s="10">
        <f>+U25</f>
        <v>416926</v>
      </c>
      <c r="S48" s="2"/>
      <c r="T48" s="9"/>
      <c r="U48" s="10">
        <v>0</v>
      </c>
    </row>
    <row r="49" spans="2:22" hidden="1" outlineLevel="1" x14ac:dyDescent="0.25">
      <c r="B49" s="170" t="s">
        <v>339</v>
      </c>
      <c r="C49" s="54"/>
      <c r="D49" s="54"/>
      <c r="E49" s="54"/>
      <c r="F49" s="54"/>
      <c r="G49" s="241"/>
      <c r="H49" s="241"/>
      <c r="I49" s="26"/>
      <c r="J49" s="10"/>
      <c r="K49" s="10"/>
      <c r="L49" s="10"/>
      <c r="M49" s="10"/>
      <c r="N49" s="10"/>
      <c r="O49" s="10"/>
      <c r="P49" s="10">
        <v>0</v>
      </c>
      <c r="Q49" s="10"/>
      <c r="R49" s="10"/>
      <c r="S49" s="2"/>
      <c r="T49" s="9"/>
      <c r="U49" s="10"/>
    </row>
    <row r="50" spans="2:22" collapsed="1" x14ac:dyDescent="0.25">
      <c r="B50" s="170" t="s">
        <v>340</v>
      </c>
      <c r="C50" s="54"/>
      <c r="D50" s="54"/>
      <c r="E50" s="54"/>
      <c r="F50" s="54"/>
      <c r="G50" s="241"/>
      <c r="H50" s="241">
        <f>+J50+J23</f>
        <v>32579853.938548002</v>
      </c>
      <c r="I50" s="26"/>
      <c r="J50" s="10">
        <f>+L50+L23</f>
        <v>24376593.938548002</v>
      </c>
      <c r="K50" s="10"/>
      <c r="L50" s="10">
        <f>+K42+K43</f>
        <v>18549321.938548002</v>
      </c>
      <c r="M50" s="10"/>
      <c r="N50" s="10">
        <f>+P50+P23+795508-138160</f>
        <v>23716928</v>
      </c>
      <c r="O50" s="10"/>
      <c r="P50" s="10">
        <f>+R50+R23</f>
        <v>7213414</v>
      </c>
      <c r="Q50" s="10"/>
      <c r="R50" s="10">
        <f>+U23</f>
        <v>1475332</v>
      </c>
      <c r="S50" s="2"/>
      <c r="T50" s="9"/>
      <c r="U50" s="10">
        <v>0</v>
      </c>
    </row>
    <row r="51" spans="2:22" x14ac:dyDescent="0.25">
      <c r="B51" s="30" t="s">
        <v>341</v>
      </c>
      <c r="C51" s="54"/>
      <c r="D51" s="54"/>
      <c r="E51" s="54"/>
      <c r="F51" s="54"/>
      <c r="G51" s="241"/>
      <c r="H51" s="241"/>
      <c r="I51" s="52"/>
      <c r="J51" s="18"/>
      <c r="K51" s="18"/>
      <c r="L51" s="18"/>
      <c r="M51" s="18"/>
      <c r="N51" s="18"/>
      <c r="O51" s="10"/>
      <c r="P51" s="24"/>
      <c r="Q51" s="10"/>
      <c r="R51" s="10"/>
      <c r="T51" s="30"/>
      <c r="U51" s="18"/>
    </row>
    <row r="52" spans="2:22" x14ac:dyDescent="0.25">
      <c r="B52" s="65"/>
      <c r="C52" s="36"/>
      <c r="D52" s="36"/>
      <c r="E52" s="36"/>
      <c r="F52" s="36" t="s">
        <v>310</v>
      </c>
      <c r="G52" s="19">
        <f t="shared" ref="G52:H52" si="8">SUM(G42:G51)</f>
        <v>32579853.938548002</v>
      </c>
      <c r="H52" s="224">
        <f t="shared" si="8"/>
        <v>32579853.938548002</v>
      </c>
      <c r="I52" s="224">
        <f>SUM(I42:I51)</f>
        <v>24774286.435148001</v>
      </c>
      <c r="J52" s="19">
        <f>SUM(J43:J51)</f>
        <v>24774286.938548002</v>
      </c>
      <c r="K52" s="19">
        <f t="shared" ref="K52:R52" si="9">SUM(K41:K50)</f>
        <v>18549321.938548002</v>
      </c>
      <c r="L52" s="19">
        <f t="shared" si="9"/>
        <v>18549321.938548002</v>
      </c>
      <c r="M52" s="19">
        <f t="shared" si="9"/>
        <v>23716928</v>
      </c>
      <c r="N52" s="19">
        <f t="shared" si="9"/>
        <v>23716928</v>
      </c>
      <c r="O52" s="19">
        <f t="shared" si="9"/>
        <v>7213414</v>
      </c>
      <c r="P52" s="19">
        <f t="shared" si="9"/>
        <v>7213414</v>
      </c>
      <c r="Q52" s="19" t="e">
        <f t="shared" si="9"/>
        <v>#REF!</v>
      </c>
      <c r="R52" s="19" t="e">
        <f t="shared" si="9"/>
        <v>#REF!</v>
      </c>
      <c r="T52" s="19">
        <f>SUM(T41:T50)</f>
        <v>0</v>
      </c>
      <c r="U52" s="19">
        <f>SUM(U41:U50)</f>
        <v>0</v>
      </c>
      <c r="V52" s="238"/>
    </row>
    <row r="53" spans="2:22" hidden="1" x14ac:dyDescent="0.25">
      <c r="B53" s="30"/>
      <c r="C53" s="188" t="s">
        <v>342</v>
      </c>
      <c r="D53" s="54"/>
      <c r="E53" s="54"/>
      <c r="F53" s="54"/>
      <c r="G53" s="227"/>
      <c r="H53" s="227"/>
      <c r="I53" s="52"/>
      <c r="J53" s="18"/>
      <c r="K53" s="18"/>
      <c r="L53" s="18"/>
      <c r="M53" s="18"/>
      <c r="N53" s="18"/>
      <c r="O53" s="6"/>
      <c r="P53" s="6"/>
      <c r="Q53" s="6"/>
      <c r="R53" s="6"/>
      <c r="S53" s="54"/>
      <c r="T53" s="5"/>
      <c r="U53" s="10"/>
      <c r="V53" s="239"/>
    </row>
    <row r="54" spans="2:22" hidden="1" x14ac:dyDescent="0.25">
      <c r="B54" s="170" t="s">
        <v>333</v>
      </c>
      <c r="C54" s="54"/>
      <c r="D54" s="54"/>
      <c r="E54" s="54"/>
      <c r="F54" s="54"/>
      <c r="G54" s="227"/>
      <c r="H54" s="227"/>
      <c r="I54" s="226">
        <v>0</v>
      </c>
      <c r="J54" s="18"/>
      <c r="K54" s="60">
        <v>419396</v>
      </c>
      <c r="L54" s="18"/>
      <c r="M54" s="60"/>
      <c r="N54" s="18"/>
      <c r="O54" s="10">
        <f>P18*0.22</f>
        <v>1847711.58</v>
      </c>
      <c r="P54" s="10"/>
      <c r="Q54" s="10"/>
      <c r="R54" s="10"/>
      <c r="S54" s="54"/>
      <c r="T54" s="9"/>
      <c r="U54" s="10"/>
      <c r="V54" s="239"/>
    </row>
    <row r="55" spans="2:22" hidden="1" x14ac:dyDescent="0.25">
      <c r="B55" s="170" t="s">
        <v>343</v>
      </c>
      <c r="C55" s="54"/>
      <c r="D55" s="54"/>
      <c r="E55" s="54"/>
      <c r="F55" s="54"/>
      <c r="G55" s="227"/>
      <c r="H55" s="227"/>
      <c r="I55" s="52"/>
      <c r="J55" s="60">
        <v>0</v>
      </c>
      <c r="K55" s="18"/>
      <c r="L55" s="60">
        <f>+K54</f>
        <v>419396</v>
      </c>
      <c r="M55" s="18"/>
      <c r="N55" s="60"/>
      <c r="O55" s="10"/>
      <c r="P55" s="10">
        <f>+O54</f>
        <v>1847711.58</v>
      </c>
      <c r="Q55" s="10"/>
      <c r="R55" s="10"/>
      <c r="S55" s="54"/>
      <c r="T55" s="9"/>
      <c r="U55" s="10"/>
      <c r="V55" s="239"/>
    </row>
    <row r="56" spans="2:22" hidden="1" x14ac:dyDescent="0.25">
      <c r="B56" s="30" t="s">
        <v>344</v>
      </c>
      <c r="C56" s="54"/>
      <c r="D56" s="54"/>
      <c r="E56" s="54"/>
      <c r="F56" s="54"/>
      <c r="G56" s="227"/>
      <c r="H56" s="227"/>
      <c r="I56" s="52"/>
      <c r="J56" s="18"/>
      <c r="K56" s="18"/>
      <c r="L56" s="18"/>
      <c r="M56" s="18"/>
      <c r="N56" s="18"/>
      <c r="O56" s="10"/>
      <c r="P56" s="10"/>
      <c r="Q56" s="10"/>
      <c r="R56" s="10"/>
      <c r="S56" s="54"/>
      <c r="T56" s="9"/>
      <c r="U56" s="10"/>
      <c r="V56" s="239"/>
    </row>
    <row r="57" spans="2:22" hidden="1" x14ac:dyDescent="0.25">
      <c r="B57" s="65" t="s">
        <v>345</v>
      </c>
      <c r="C57" s="36"/>
      <c r="D57" s="36"/>
      <c r="E57" s="36"/>
      <c r="F57" s="36"/>
      <c r="G57" s="229"/>
      <c r="H57" s="229"/>
      <c r="I57" s="58"/>
      <c r="J57" s="27"/>
      <c r="K57" s="27"/>
      <c r="L57" s="27"/>
      <c r="M57" s="27"/>
      <c r="N57" s="27"/>
      <c r="O57" s="24"/>
      <c r="P57" s="24"/>
      <c r="Q57" s="24"/>
      <c r="R57" s="24"/>
      <c r="S57" s="54"/>
      <c r="T57" s="23"/>
      <c r="U57" s="24"/>
      <c r="V57" s="239"/>
    </row>
    <row r="58" spans="2:22" x14ac:dyDescent="0.25">
      <c r="B58" s="30"/>
      <c r="C58" s="231" t="s">
        <v>342</v>
      </c>
      <c r="D58" s="54"/>
      <c r="E58" s="54"/>
      <c r="F58" s="54"/>
      <c r="G58" s="227"/>
      <c r="H58" s="227"/>
      <c r="I58" s="52"/>
      <c r="J58" s="18"/>
      <c r="K58" s="18"/>
      <c r="L58" s="18"/>
      <c r="M58" s="18"/>
      <c r="N58" s="18"/>
      <c r="O58" s="6"/>
      <c r="P58" s="6"/>
      <c r="Q58" s="6"/>
      <c r="R58" s="6"/>
      <c r="S58" s="54"/>
      <c r="T58" s="5"/>
      <c r="U58" s="10"/>
      <c r="V58" s="240"/>
    </row>
    <row r="59" spans="2:22" x14ac:dyDescent="0.25">
      <c r="B59" s="170" t="s">
        <v>123</v>
      </c>
      <c r="C59" s="54"/>
      <c r="D59" s="54"/>
      <c r="E59" s="54"/>
      <c r="F59" s="54"/>
      <c r="G59" s="227">
        <f>5709560*0.25</f>
        <v>1427390</v>
      </c>
      <c r="H59" s="227"/>
      <c r="I59" s="230"/>
      <c r="J59" s="226">
        <f>-(+J23-J38)*0.25</f>
        <v>358270.25</v>
      </c>
      <c r="K59" s="60">
        <f>(+L23-L38)*0.25</f>
        <v>-974792.5</v>
      </c>
      <c r="L59" s="18"/>
      <c r="M59" s="60">
        <f>(-'BG '!T26-P23)*0.22</f>
        <v>591847.41514800023</v>
      </c>
      <c r="N59" s="18"/>
      <c r="O59" s="10">
        <f>P23*0.22</f>
        <v>3486156.52</v>
      </c>
      <c r="P59" s="10"/>
      <c r="Q59" s="10"/>
      <c r="R59" s="10"/>
      <c r="S59" s="54"/>
      <c r="T59" s="9"/>
      <c r="U59" s="10"/>
    </row>
    <row r="60" spans="2:22" x14ac:dyDescent="0.25">
      <c r="B60" s="170" t="s">
        <v>433</v>
      </c>
      <c r="C60" s="54"/>
      <c r="D60" s="54"/>
      <c r="E60" s="54"/>
      <c r="F60" s="54"/>
      <c r="G60" s="227"/>
      <c r="H60" s="227">
        <f>+G59</f>
        <v>1427390</v>
      </c>
      <c r="I60" s="242">
        <f>+J59</f>
        <v>358270.25</v>
      </c>
      <c r="J60" s="230"/>
      <c r="K60" s="18"/>
      <c r="L60" s="60">
        <f>+K59</f>
        <v>-974792.5</v>
      </c>
      <c r="M60" s="18"/>
      <c r="N60" s="60">
        <f>+M59</f>
        <v>591847.41514800023</v>
      </c>
      <c r="O60" s="10"/>
      <c r="P60" s="10">
        <f>+O59</f>
        <v>3486156.52</v>
      </c>
      <c r="Q60" s="10"/>
      <c r="R60" s="10"/>
      <c r="S60" s="54"/>
      <c r="T60" s="9"/>
      <c r="U60" s="10"/>
    </row>
    <row r="61" spans="2:22" x14ac:dyDescent="0.25">
      <c r="B61" s="30" t="s">
        <v>346</v>
      </c>
      <c r="C61" s="54"/>
      <c r="D61" s="54"/>
      <c r="E61" s="54"/>
      <c r="F61" s="54"/>
      <c r="G61" s="227"/>
      <c r="H61" s="227"/>
      <c r="I61" s="52"/>
      <c r="J61" s="18"/>
      <c r="K61" s="18"/>
      <c r="L61" s="18"/>
      <c r="M61" s="18"/>
      <c r="N61" s="18"/>
      <c r="O61" s="10"/>
      <c r="P61" s="10"/>
      <c r="Q61" s="10"/>
      <c r="R61" s="10"/>
      <c r="S61" s="54"/>
      <c r="T61" s="9"/>
      <c r="U61" s="10"/>
    </row>
    <row r="62" spans="2:22" x14ac:dyDescent="0.25">
      <c r="B62" s="30" t="s">
        <v>347</v>
      </c>
      <c r="C62" s="54"/>
      <c r="D62" s="54"/>
      <c r="E62" s="54"/>
      <c r="F62" s="54"/>
      <c r="G62" s="227"/>
      <c r="H62" s="227"/>
      <c r="I62" s="52"/>
      <c r="J62" s="27"/>
      <c r="K62" s="27"/>
      <c r="L62" s="27"/>
      <c r="M62" s="27"/>
      <c r="N62" s="27"/>
      <c r="O62" s="24"/>
      <c r="P62" s="24"/>
      <c r="Q62" s="24"/>
      <c r="R62" s="24"/>
      <c r="S62" s="54"/>
      <c r="T62" s="23"/>
      <c r="U62" s="24"/>
    </row>
    <row r="63" spans="2:22" x14ac:dyDescent="0.25">
      <c r="B63" s="65"/>
      <c r="C63" s="36"/>
      <c r="D63" s="36"/>
      <c r="E63" s="36"/>
      <c r="F63" s="36" t="s">
        <v>310</v>
      </c>
      <c r="G63" s="45">
        <f t="shared" ref="G63" si="10">SUM(G59:G62)</f>
        <v>1427390</v>
      </c>
      <c r="H63" s="45">
        <f t="shared" ref="H63" si="11">SUM(H59:H62)</f>
        <v>1427390</v>
      </c>
      <c r="I63" s="45">
        <f t="shared" ref="I63" si="12">SUM(I59:I62)</f>
        <v>358270.25</v>
      </c>
      <c r="J63" s="189">
        <f>SUM(J59:J62)</f>
        <v>358270.25</v>
      </c>
      <c r="K63" s="189">
        <f>SUM(K59:K62)</f>
        <v>-974792.5</v>
      </c>
      <c r="L63" s="189">
        <f>SUM(L59:L62)</f>
        <v>-974792.5</v>
      </c>
      <c r="M63" s="27"/>
      <c r="N63" s="27"/>
      <c r="O63" s="24"/>
      <c r="P63" s="24"/>
      <c r="Q63" s="24"/>
      <c r="R63" s="24"/>
      <c r="S63" s="54"/>
      <c r="T63" s="23"/>
      <c r="U63" s="24"/>
    </row>
    <row r="64" spans="2:22" ht="15.75" thickBot="1" x14ac:dyDescent="0.3">
      <c r="B64" s="50"/>
      <c r="C64" s="50"/>
      <c r="D64" s="50"/>
      <c r="E64" s="50"/>
      <c r="F64" s="51" t="s">
        <v>348</v>
      </c>
      <c r="G64" s="169">
        <f>+G11+G20+G27+G35+G52+G40+G63</f>
        <v>213885084.938548</v>
      </c>
      <c r="H64" s="169">
        <f>+H11+H20+H27+H35+H52+H40+H63</f>
        <v>213885084.938548</v>
      </c>
      <c r="I64" s="169">
        <f>+I11+I20+I27+I35+I52+I40+J59</f>
        <v>162504966.685148</v>
      </c>
      <c r="J64" s="169">
        <f>+J11+J20+J27+J35+J52+J40+I60</f>
        <v>162504967.188548</v>
      </c>
      <c r="K64" s="169">
        <f>+K11+K20+K27+K35+K52+K40+K59</f>
        <v>124036288.438548</v>
      </c>
      <c r="L64" s="169">
        <f>+L11+L20+L27+L35+L52+L40+L60</f>
        <v>124036288.438548</v>
      </c>
      <c r="M64" s="19">
        <f>+M11+M20+M27+M35+M52+M40+M59</f>
        <v>92978716.415148005</v>
      </c>
      <c r="N64" s="19">
        <f>+N11+N20+N27+N35+N52+N40+N60</f>
        <v>95126716.415148005</v>
      </c>
      <c r="O64" s="19" t="e">
        <f>+O11+O20+O27+O35+O52+O40+O59</f>
        <v>#REF!</v>
      </c>
      <c r="P64" s="19">
        <f>+P11+P20+P27+P35+P52+P40+P60</f>
        <v>73263238.996600002</v>
      </c>
      <c r="Q64" s="19" t="e">
        <f>+Q11+Q20+Q27+Q35+Q52+Q40</f>
        <v>#REF!</v>
      </c>
      <c r="R64" s="19" t="e">
        <f>+R11+R20+R27+R35+R52+R40</f>
        <v>#REF!</v>
      </c>
      <c r="S64" s="2"/>
      <c r="T64" s="190">
        <f>+T11+T20+T27+T35</f>
        <v>17692260</v>
      </c>
      <c r="U64" s="24">
        <f>+U11+U20+U27+U35</f>
        <v>17804574</v>
      </c>
    </row>
    <row r="65" spans="2:21" ht="15.75" thickTop="1" x14ac:dyDescent="0.25">
      <c r="H65" s="257">
        <f>+G64-H64</f>
        <v>0</v>
      </c>
      <c r="O65" s="32"/>
    </row>
    <row r="66" spans="2:21" hidden="1" x14ac:dyDescent="0.25">
      <c r="B66" s="59" t="s">
        <v>349</v>
      </c>
      <c r="C66" s="50"/>
      <c r="D66" s="50"/>
      <c r="E66" s="50"/>
      <c r="F66" s="50"/>
      <c r="G66" s="50"/>
      <c r="H66" s="50"/>
      <c r="I66" s="50"/>
      <c r="J66" s="50"/>
      <c r="K66" s="50"/>
      <c r="L66" s="50"/>
      <c r="M66" s="50"/>
      <c r="N66" s="50"/>
      <c r="O66" s="46" t="e">
        <f>+O17+#REF!+O42</f>
        <v>#REF!</v>
      </c>
      <c r="P66" s="50"/>
      <c r="Q66" s="46" t="e">
        <f>+PAT!I114+Q42</f>
        <v>#REF!</v>
      </c>
      <c r="R66" s="51"/>
      <c r="T66" s="191" t="e">
        <f>+#REF!-U8-#REF!</f>
        <v>#REF!</v>
      </c>
      <c r="U66" s="51"/>
    </row>
    <row r="67" spans="2:21" hidden="1" x14ac:dyDescent="0.25">
      <c r="B67" s="30" t="s">
        <v>350</v>
      </c>
      <c r="C67" s="54"/>
      <c r="D67" s="54"/>
      <c r="E67" s="54"/>
      <c r="F67" s="54"/>
      <c r="G67" s="54"/>
      <c r="H67" s="54"/>
      <c r="I67" s="54"/>
      <c r="J67" s="54"/>
      <c r="K67" s="54"/>
      <c r="L67" s="54"/>
      <c r="M67" s="54"/>
      <c r="N67" s="54"/>
      <c r="O67" s="48" t="e">
        <f>+#REF!-#REF!</f>
        <v>#REF!</v>
      </c>
      <c r="P67" s="54"/>
      <c r="Q67" s="48" t="e">
        <f>+Q8+#REF!+#REF!</f>
        <v>#REF!</v>
      </c>
      <c r="R67" s="52"/>
      <c r="T67" s="30"/>
      <c r="U67" s="52"/>
    </row>
    <row r="68" spans="2:21" hidden="1" x14ac:dyDescent="0.25">
      <c r="B68" s="192" t="s">
        <v>351</v>
      </c>
      <c r="C68" s="56"/>
      <c r="D68" s="56"/>
      <c r="E68" s="56"/>
      <c r="F68" s="56"/>
      <c r="G68" s="56"/>
      <c r="H68" s="56"/>
      <c r="I68" s="56"/>
      <c r="J68" s="56"/>
      <c r="K68" s="56"/>
      <c r="L68" s="56"/>
      <c r="M68" s="56"/>
      <c r="N68" s="56"/>
      <c r="O68" s="193" t="e">
        <f>+O66+O67</f>
        <v>#REF!</v>
      </c>
      <c r="P68" s="56"/>
      <c r="Q68" s="193" t="e">
        <f>+Q66+Q67</f>
        <v>#REF!</v>
      </c>
      <c r="R68" s="57"/>
      <c r="T68" s="194" t="e">
        <f>+T66+T67</f>
        <v>#REF!</v>
      </c>
      <c r="U68" s="57"/>
    </row>
    <row r="69" spans="2:21" x14ac:dyDescent="0.25">
      <c r="B69" s="54"/>
      <c r="C69" s="54"/>
      <c r="D69" s="54"/>
      <c r="E69" s="54"/>
      <c r="F69" s="54"/>
      <c r="G69" s="54"/>
      <c r="H69" s="54"/>
      <c r="I69" s="54"/>
      <c r="J69" s="54"/>
      <c r="K69" s="54"/>
      <c r="L69" s="54"/>
      <c r="M69" s="54"/>
      <c r="N69" s="54"/>
      <c r="O69" s="48"/>
      <c r="P69" s="54"/>
      <c r="Q69" s="48"/>
      <c r="R69" s="54"/>
      <c r="T69" s="48"/>
      <c r="U69" s="54"/>
    </row>
    <row r="70" spans="2:21" x14ac:dyDescent="0.25">
      <c r="K70" s="32"/>
    </row>
    <row r="71" spans="2:21" x14ac:dyDescent="0.25">
      <c r="O71" s="54"/>
      <c r="P71" s="54"/>
    </row>
    <row r="72" spans="2:21" x14ac:dyDescent="0.25">
      <c r="F72" s="319" t="s">
        <v>78</v>
      </c>
      <c r="G72" s="319"/>
      <c r="H72" s="319"/>
      <c r="I72" s="319"/>
      <c r="J72" s="319"/>
      <c r="K72" s="319"/>
      <c r="L72" s="319"/>
      <c r="M72" s="319"/>
      <c r="N72" s="319"/>
      <c r="O72" s="54"/>
      <c r="P72" s="54"/>
    </row>
    <row r="73" spans="2:21" x14ac:dyDescent="0.25">
      <c r="F73" s="320" t="s">
        <v>79</v>
      </c>
      <c r="G73" s="320"/>
      <c r="H73" s="320"/>
      <c r="I73" s="320"/>
      <c r="J73" s="320"/>
      <c r="K73" s="320"/>
      <c r="L73" s="320"/>
      <c r="M73" s="320"/>
      <c r="N73" s="320"/>
    </row>
  </sheetData>
  <mergeCells count="10">
    <mergeCell ref="Q4:R4"/>
    <mergeCell ref="T4:U4"/>
    <mergeCell ref="B39:F39"/>
    <mergeCell ref="F72:N72"/>
    <mergeCell ref="F73:N73"/>
    <mergeCell ref="G4:H4"/>
    <mergeCell ref="I4:J4"/>
    <mergeCell ref="K4:L4"/>
    <mergeCell ref="M4:N4"/>
    <mergeCell ref="O4:P4"/>
  </mergeCells>
  <pageMargins left="0.7" right="0.7" top="0.75" bottom="0.75" header="0.51180555555555496" footer="0.51180555555555496"/>
  <pageSetup scale="76" firstPageNumber="0"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E7E6E6"/>
  </sheetPr>
  <dimension ref="A1:N33"/>
  <sheetViews>
    <sheetView topLeftCell="A11" zoomScaleNormal="100" workbookViewId="0">
      <selection activeCell="N34" sqref="N34"/>
    </sheetView>
  </sheetViews>
  <sheetFormatPr defaultColWidth="9.28515625" defaultRowHeight="15" x14ac:dyDescent="0.25"/>
  <cols>
    <col min="1" max="1" width="3.85546875" customWidth="1"/>
    <col min="4" max="4" width="10.5703125" bestFit="1" customWidth="1"/>
    <col min="5" max="5" width="12.28515625" customWidth="1"/>
    <col min="6" max="6" width="12.7109375" customWidth="1"/>
    <col min="7" max="8" width="12.28515625" customWidth="1"/>
    <col min="9" max="10" width="12.28515625" hidden="1" customWidth="1"/>
    <col min="11" max="11" width="13.28515625" hidden="1" customWidth="1"/>
    <col min="12" max="12" width="12.28515625" hidden="1" customWidth="1"/>
    <col min="13" max="13" width="3.28515625" customWidth="1"/>
    <col min="14" max="14" width="78.7109375" customWidth="1"/>
  </cols>
  <sheetData>
    <row r="1" spans="1:14" x14ac:dyDescent="0.25">
      <c r="A1" s="3" t="s">
        <v>352</v>
      </c>
    </row>
    <row r="2" spans="1:14" x14ac:dyDescent="0.25">
      <c r="A2" s="4" t="s">
        <v>353</v>
      </c>
    </row>
    <row r="3" spans="1:14" x14ac:dyDescent="0.25">
      <c r="A3" s="4" t="s">
        <v>354</v>
      </c>
    </row>
    <row r="5" spans="1:14" x14ac:dyDescent="0.25">
      <c r="B5" s="59"/>
      <c r="C5" s="50"/>
      <c r="D5" s="50"/>
      <c r="E5" s="50"/>
      <c r="F5" s="50"/>
      <c r="G5" s="50"/>
      <c r="H5" s="195">
        <v>2020</v>
      </c>
      <c r="I5" s="195">
        <v>2019</v>
      </c>
      <c r="J5" s="195">
        <v>2018</v>
      </c>
      <c r="K5" s="195">
        <v>2017</v>
      </c>
      <c r="L5" s="195">
        <v>2016</v>
      </c>
      <c r="N5" s="184" t="s">
        <v>355</v>
      </c>
    </row>
    <row r="6" spans="1:14" x14ac:dyDescent="0.25">
      <c r="B6" s="30" t="s">
        <v>356</v>
      </c>
      <c r="C6" s="44"/>
      <c r="D6" s="44"/>
      <c r="E6" s="44"/>
      <c r="F6" s="44"/>
      <c r="G6" s="44"/>
      <c r="H6" s="18"/>
      <c r="I6" s="18"/>
      <c r="J6" s="18"/>
      <c r="K6" s="18"/>
      <c r="L6" s="18"/>
      <c r="N6" s="17"/>
    </row>
    <row r="7" spans="1:14" x14ac:dyDescent="0.25">
      <c r="B7" s="30" t="s">
        <v>357</v>
      </c>
      <c r="C7" s="44"/>
      <c r="D7" s="44"/>
      <c r="E7" s="44"/>
      <c r="F7" s="44"/>
      <c r="G7" s="44"/>
      <c r="H7" s="10">
        <f>-AD!H23</f>
        <v>-4118950</v>
      </c>
      <c r="I7" s="10">
        <f>-AD!J23</f>
        <v>-8203260</v>
      </c>
      <c r="J7" s="10">
        <f>-AD!L23</f>
        <v>-5827272</v>
      </c>
      <c r="K7" s="10">
        <f>-AD!N23</f>
        <v>-7144181</v>
      </c>
      <c r="L7" s="10">
        <f>-AD!P23</f>
        <v>-15846166</v>
      </c>
      <c r="N7" s="18" t="s">
        <v>358</v>
      </c>
    </row>
    <row r="8" spans="1:14" x14ac:dyDescent="0.25">
      <c r="B8" s="30" t="s">
        <v>359</v>
      </c>
      <c r="C8" s="44"/>
      <c r="D8" s="44"/>
      <c r="E8" s="44"/>
      <c r="F8" s="44"/>
      <c r="G8" s="44"/>
      <c r="H8" s="10">
        <f>+AD!G37</f>
        <v>9828510</v>
      </c>
      <c r="I8" s="10">
        <f>+AD!J38</f>
        <v>9636341</v>
      </c>
      <c r="J8" s="10">
        <f>+AD!L38</f>
        <v>9726442</v>
      </c>
      <c r="K8" s="10">
        <f>+AD!N38</f>
        <v>8402210</v>
      </c>
      <c r="L8" s="10">
        <f>+AD!P38</f>
        <v>3922517.4766000002</v>
      </c>
      <c r="N8" s="18" t="s">
        <v>360</v>
      </c>
    </row>
    <row r="9" spans="1:14" x14ac:dyDescent="0.25">
      <c r="B9" s="30" t="s">
        <v>361</v>
      </c>
      <c r="C9" s="44"/>
      <c r="D9" s="44"/>
      <c r="E9" s="44"/>
      <c r="F9" s="44"/>
      <c r="G9" s="44"/>
      <c r="H9" s="10">
        <f>AD!G59</f>
        <v>1427390</v>
      </c>
      <c r="I9" s="10">
        <f>-AD!I60</f>
        <v>-358270.25</v>
      </c>
      <c r="J9" s="10">
        <v>-555397</v>
      </c>
      <c r="K9" s="10">
        <f>+AD!N60</f>
        <v>591847.41514800023</v>
      </c>
      <c r="L9" s="10">
        <f>+AD!P60</f>
        <v>3486156.52</v>
      </c>
      <c r="N9" s="18" t="s">
        <v>434</v>
      </c>
    </row>
    <row r="10" spans="1:14" x14ac:dyDescent="0.25">
      <c r="B10" s="30" t="s">
        <v>362</v>
      </c>
      <c r="C10" s="44"/>
      <c r="D10" s="44"/>
      <c r="E10" s="44"/>
      <c r="F10" s="44"/>
      <c r="G10" s="44"/>
      <c r="H10" s="10">
        <f>-7136950+4653351</f>
        <v>-2483599</v>
      </c>
      <c r="I10" s="10">
        <v>687293</v>
      </c>
      <c r="J10" s="10"/>
      <c r="K10" s="10"/>
      <c r="L10" s="10"/>
      <c r="N10" s="18" t="s">
        <v>435</v>
      </c>
    </row>
    <row r="11" spans="1:14" x14ac:dyDescent="0.25">
      <c r="B11" s="62" t="s">
        <v>310</v>
      </c>
      <c r="C11" s="196"/>
      <c r="D11" s="196"/>
      <c r="E11" s="196"/>
      <c r="F11" s="196"/>
      <c r="G11" s="196"/>
      <c r="H11" s="63">
        <f>SUM(H7:H10)</f>
        <v>4653351</v>
      </c>
      <c r="I11" s="63">
        <f>SUM(I7:I10)</f>
        <v>1762103.75</v>
      </c>
      <c r="J11" s="63">
        <f>SUM(J7:J10)</f>
        <v>3343773</v>
      </c>
      <c r="K11" s="63">
        <f>SUM(K7:K10)</f>
        <v>1849876.4151480002</v>
      </c>
      <c r="L11" s="63">
        <f>SUM(L7:L10)</f>
        <v>-8437492.0033999998</v>
      </c>
      <c r="N11" s="27"/>
    </row>
    <row r="12" spans="1:14" hidden="1" x14ac:dyDescent="0.25">
      <c r="J12" s="2"/>
      <c r="K12" s="2"/>
      <c r="L12" s="2"/>
    </row>
    <row r="13" spans="1:14" hidden="1" x14ac:dyDescent="0.25">
      <c r="B13" s="59" t="s">
        <v>363</v>
      </c>
      <c r="C13" s="50"/>
      <c r="D13" s="50"/>
      <c r="E13" s="50"/>
      <c r="F13" s="50"/>
      <c r="G13" s="50"/>
      <c r="H13" s="50"/>
      <c r="I13" s="50"/>
      <c r="J13" s="6"/>
      <c r="K13" s="6"/>
      <c r="L13" s="6"/>
      <c r="N13" s="172"/>
    </row>
    <row r="14" spans="1:14" hidden="1" x14ac:dyDescent="0.25">
      <c r="B14" s="30" t="s">
        <v>364</v>
      </c>
      <c r="C14" s="44"/>
      <c r="D14" s="44"/>
      <c r="E14" s="44"/>
      <c r="F14" s="44"/>
      <c r="G14" s="44"/>
      <c r="H14" s="44"/>
      <c r="I14" s="44"/>
      <c r="J14" s="10"/>
      <c r="K14" s="10"/>
      <c r="L14" s="10"/>
      <c r="N14" s="172"/>
    </row>
    <row r="15" spans="1:14" s="197" customFormat="1" hidden="1" x14ac:dyDescent="0.25">
      <c r="B15" s="198"/>
      <c r="C15" s="199" t="s">
        <v>365</v>
      </c>
      <c r="D15" s="199"/>
      <c r="E15" s="199"/>
      <c r="F15" s="199"/>
      <c r="G15" s="199"/>
      <c r="H15" s="199"/>
      <c r="I15" s="199"/>
      <c r="J15" s="61"/>
      <c r="K15" s="61">
        <f>+AD!M22</f>
        <v>51723340</v>
      </c>
      <c r="L15" s="61">
        <v>48803746</v>
      </c>
      <c r="N15" s="200" t="s">
        <v>366</v>
      </c>
    </row>
    <row r="16" spans="1:14" hidden="1" x14ac:dyDescent="0.25">
      <c r="B16" s="30" t="s">
        <v>367</v>
      </c>
      <c r="C16" s="44"/>
      <c r="D16" s="44"/>
      <c r="E16" s="44"/>
      <c r="F16" s="44"/>
      <c r="G16" s="44"/>
      <c r="H16" s="44"/>
      <c r="I16" s="44"/>
      <c r="J16" s="10"/>
      <c r="K16" s="10"/>
      <c r="L16" s="10"/>
      <c r="N16" s="172"/>
    </row>
    <row r="17" spans="2:14" hidden="1" x14ac:dyDescent="0.25">
      <c r="B17" s="30"/>
      <c r="C17" s="44" t="s">
        <v>368</v>
      </c>
      <c r="D17" s="44"/>
      <c r="E17" s="44"/>
      <c r="F17" s="44"/>
      <c r="G17" s="44"/>
      <c r="H17" s="44"/>
      <c r="I17" s="44"/>
      <c r="J17" s="10"/>
      <c r="K17" s="10">
        <f>+AD!N23</f>
        <v>7144181</v>
      </c>
      <c r="L17" s="10">
        <f>+AD!P23</f>
        <v>15846166</v>
      </c>
      <c r="N17" s="172" t="s">
        <v>369</v>
      </c>
    </row>
    <row r="18" spans="2:14" hidden="1" x14ac:dyDescent="0.25">
      <c r="B18" s="30"/>
      <c r="C18" s="44" t="s">
        <v>370</v>
      </c>
      <c r="D18" s="44"/>
      <c r="E18" s="44"/>
      <c r="F18" s="44"/>
      <c r="G18" s="44"/>
      <c r="H18" s="44"/>
      <c r="I18" s="44"/>
      <c r="J18" s="10"/>
      <c r="K18" s="10">
        <f>+AD!N24</f>
        <v>44579159</v>
      </c>
      <c r="L18" s="10">
        <f>+AD!P24</f>
        <v>26625458</v>
      </c>
      <c r="N18" s="172"/>
    </row>
    <row r="19" spans="2:14" s="197" customFormat="1" ht="75" hidden="1" customHeight="1" x14ac:dyDescent="0.25">
      <c r="B19" s="201"/>
      <c r="C19" s="323" t="s">
        <v>371</v>
      </c>
      <c r="D19" s="323"/>
      <c r="E19" s="323"/>
      <c r="F19" s="323"/>
      <c r="G19" s="323"/>
      <c r="H19" s="323"/>
      <c r="I19" s="323"/>
      <c r="J19" s="202"/>
      <c r="K19" s="202">
        <v>0</v>
      </c>
      <c r="L19" s="202">
        <f>+L15-L17-L18</f>
        <v>6332122</v>
      </c>
      <c r="N19" s="203" t="s">
        <v>372</v>
      </c>
    </row>
    <row r="20" spans="2:14" x14ac:dyDescent="0.25">
      <c r="H20" s="2"/>
      <c r="I20" s="2">
        <f t="shared" ref="I20:K20" si="0">+I8+I7</f>
        <v>1433081</v>
      </c>
      <c r="J20" s="2">
        <f t="shared" si="0"/>
        <v>3899170</v>
      </c>
      <c r="K20" s="2">
        <f t="shared" si="0"/>
        <v>1258029</v>
      </c>
      <c r="L20" s="2">
        <f>+L8+L7</f>
        <v>-11923648.523399999</v>
      </c>
    </row>
    <row r="21" spans="2:14" x14ac:dyDescent="0.25">
      <c r="B21" s="4" t="s">
        <v>373</v>
      </c>
      <c r="K21" s="2"/>
      <c r="L21" s="2"/>
    </row>
    <row r="22" spans="2:14" ht="45" x14ac:dyDescent="0.25">
      <c r="B22" s="324" t="s">
        <v>374</v>
      </c>
      <c r="C22" s="324"/>
      <c r="D22" s="324"/>
      <c r="E22" s="204" t="s">
        <v>375</v>
      </c>
      <c r="F22" s="205" t="s">
        <v>376</v>
      </c>
      <c r="G22" s="204" t="s">
        <v>377</v>
      </c>
      <c r="H22" s="204" t="s">
        <v>378</v>
      </c>
      <c r="J22" s="206" t="s">
        <v>379</v>
      </c>
      <c r="L22" s="2"/>
      <c r="N22" s="17"/>
    </row>
    <row r="23" spans="2:14" x14ac:dyDescent="0.25">
      <c r="B23" s="207">
        <v>2015</v>
      </c>
      <c r="C23" s="208"/>
      <c r="D23" s="209"/>
      <c r="E23" s="210">
        <f>-AD!P50-670288</f>
        <v>-7883702</v>
      </c>
      <c r="F23" s="211"/>
      <c r="G23" s="212">
        <f>+F23+E23</f>
        <v>-7883702</v>
      </c>
      <c r="H23" s="213">
        <v>0</v>
      </c>
      <c r="J23" s="210">
        <f t="shared" ref="J23:J28" si="1">+G23+H23</f>
        <v>-7883702</v>
      </c>
      <c r="L23" s="2"/>
      <c r="N23" s="18"/>
    </row>
    <row r="24" spans="2:14" x14ac:dyDescent="0.25">
      <c r="B24" s="30">
        <v>2016</v>
      </c>
      <c r="C24" s="44"/>
      <c r="D24" s="52"/>
      <c r="E24" s="60">
        <f>+L7</f>
        <v>-15846166</v>
      </c>
      <c r="F24" s="60">
        <f>+L8</f>
        <v>3922517.4766000002</v>
      </c>
      <c r="G24" s="212">
        <f t="shared" ref="G24:G28" si="2">+F24+E24</f>
        <v>-11923648.523399999</v>
      </c>
      <c r="H24" s="60">
        <f>+L9</f>
        <v>3486156.52</v>
      </c>
      <c r="J24" s="10">
        <f t="shared" si="1"/>
        <v>-8437492.0033999998</v>
      </c>
      <c r="K24" s="214"/>
      <c r="L24" s="2"/>
      <c r="N24" s="18" t="s">
        <v>380</v>
      </c>
    </row>
    <row r="25" spans="2:14" x14ac:dyDescent="0.25">
      <c r="B25" s="30">
        <v>2017</v>
      </c>
      <c r="C25" s="44"/>
      <c r="D25" s="52"/>
      <c r="E25" s="60">
        <f>+K7</f>
        <v>-7144181</v>
      </c>
      <c r="F25" s="60">
        <f>+K8</f>
        <v>8402210</v>
      </c>
      <c r="G25" s="212">
        <f t="shared" si="2"/>
        <v>1258029</v>
      </c>
      <c r="H25" s="60">
        <f>+K9</f>
        <v>591847.41514800023</v>
      </c>
      <c r="J25" s="10">
        <f t="shared" si="1"/>
        <v>1849876.4151480002</v>
      </c>
      <c r="K25" s="214"/>
      <c r="L25" s="2"/>
      <c r="N25" s="18" t="s">
        <v>381</v>
      </c>
    </row>
    <row r="26" spans="2:14" x14ac:dyDescent="0.25">
      <c r="B26" s="30">
        <v>2018</v>
      </c>
      <c r="E26" s="60">
        <f>+J7</f>
        <v>-5827272</v>
      </c>
      <c r="F26" s="60">
        <f>+J8</f>
        <v>9726442</v>
      </c>
      <c r="G26" s="212">
        <f t="shared" si="2"/>
        <v>3899170</v>
      </c>
      <c r="H26" s="60">
        <f>+J9</f>
        <v>-555397</v>
      </c>
      <c r="J26" s="10">
        <f t="shared" si="1"/>
        <v>3343773</v>
      </c>
      <c r="K26" s="214"/>
      <c r="L26" s="2"/>
      <c r="N26" s="18" t="s">
        <v>382</v>
      </c>
    </row>
    <row r="27" spans="2:14" x14ac:dyDescent="0.25">
      <c r="B27" s="30">
        <v>2019</v>
      </c>
      <c r="E27" s="60">
        <f>+I7</f>
        <v>-8203260</v>
      </c>
      <c r="F27" s="60">
        <f>+I8</f>
        <v>9636341</v>
      </c>
      <c r="G27" s="212">
        <f t="shared" si="2"/>
        <v>1433081</v>
      </c>
      <c r="H27" s="60">
        <f>+I9</f>
        <v>-358270.25</v>
      </c>
      <c r="J27" s="10">
        <f t="shared" si="1"/>
        <v>1074810.75</v>
      </c>
      <c r="K27" s="214"/>
      <c r="L27" s="2"/>
      <c r="N27" s="18" t="s">
        <v>383</v>
      </c>
    </row>
    <row r="28" spans="2:14" x14ac:dyDescent="0.25">
      <c r="B28" s="30">
        <v>2020</v>
      </c>
      <c r="D28" s="259"/>
      <c r="E28" s="189">
        <f>+H7</f>
        <v>-4118950</v>
      </c>
      <c r="F28" s="189">
        <f>+H8</f>
        <v>9828510</v>
      </c>
      <c r="G28" s="212">
        <f t="shared" si="2"/>
        <v>5709560</v>
      </c>
      <c r="H28" s="189">
        <f>+H9</f>
        <v>1427390</v>
      </c>
      <c r="J28" s="10">
        <f t="shared" si="1"/>
        <v>7136950</v>
      </c>
      <c r="K28" s="214"/>
      <c r="L28" s="2"/>
      <c r="N28" s="18"/>
    </row>
    <row r="29" spans="2:14" x14ac:dyDescent="0.25">
      <c r="B29" s="30" t="s">
        <v>384</v>
      </c>
      <c r="C29" s="44"/>
      <c r="D29" s="52"/>
      <c r="E29" s="45">
        <f>SUM(E23:E28)</f>
        <v>-49023531</v>
      </c>
      <c r="F29" s="45">
        <f t="shared" ref="F29:G29" si="3">SUM(F23:F28)</f>
        <v>41516020.476599999</v>
      </c>
      <c r="G29" s="260">
        <f t="shared" si="3"/>
        <v>-7507510.5234000012</v>
      </c>
      <c r="H29" s="258">
        <f>SUM(H23:H28)</f>
        <v>4591726.6851480007</v>
      </c>
      <c r="J29" s="45">
        <f>SUM(J23:J28)</f>
        <v>-2915783.8382520005</v>
      </c>
      <c r="K29" s="215"/>
      <c r="L29" s="2"/>
      <c r="N29" s="18"/>
    </row>
    <row r="30" spans="2:14" x14ac:dyDescent="0.25">
      <c r="B30" s="30">
        <v>2020</v>
      </c>
      <c r="C30" s="44"/>
      <c r="D30" s="52"/>
      <c r="E30" s="18">
        <v>0</v>
      </c>
      <c r="F30" s="10">
        <f>-E26/3-E27/3-E28/3</f>
        <v>6049827.333333333</v>
      </c>
      <c r="G30" s="60">
        <f>+E30+F30</f>
        <v>6049827.333333333</v>
      </c>
      <c r="H30" s="10">
        <f>-G30*0.25</f>
        <v>-1512456.8333333333</v>
      </c>
      <c r="J30" s="10">
        <f>+G30+H30</f>
        <v>4537370.5</v>
      </c>
      <c r="N30" s="18"/>
    </row>
    <row r="31" spans="2:14" x14ac:dyDescent="0.25">
      <c r="B31" s="30">
        <v>2021</v>
      </c>
      <c r="C31" s="44"/>
      <c r="D31" s="52"/>
      <c r="E31" s="18">
        <v>0</v>
      </c>
      <c r="F31" s="60">
        <f>-E27/3-E28/3</f>
        <v>4107403.333333333</v>
      </c>
      <c r="G31" s="60">
        <f>+E31+F31</f>
        <v>4107403.333333333</v>
      </c>
      <c r="H31" s="10">
        <f>-G31*0.25</f>
        <v>-1026850.8333333333</v>
      </c>
      <c r="J31" s="10">
        <f>+G31+H31</f>
        <v>3080552.5</v>
      </c>
      <c r="N31" s="18"/>
    </row>
    <row r="32" spans="2:14" x14ac:dyDescent="0.25">
      <c r="B32" s="30">
        <v>2022</v>
      </c>
      <c r="C32" s="44"/>
      <c r="D32" s="52"/>
      <c r="E32" s="18">
        <v>0</v>
      </c>
      <c r="F32" s="60">
        <f>-E28/3</f>
        <v>1372983.3333333333</v>
      </c>
      <c r="G32" s="60">
        <f>+E32+F32</f>
        <v>1372983.3333333333</v>
      </c>
      <c r="H32" s="10">
        <f>-G32*0.25</f>
        <v>-343245.83333333331</v>
      </c>
      <c r="J32" s="10">
        <f>+G32+H32</f>
        <v>1029737.5</v>
      </c>
      <c r="L32" s="2"/>
      <c r="N32" s="18" t="s">
        <v>436</v>
      </c>
    </row>
    <row r="33" spans="2:14" x14ac:dyDescent="0.25">
      <c r="B33" s="65" t="s">
        <v>18</v>
      </c>
      <c r="C33" s="36"/>
      <c r="D33" s="58"/>
      <c r="E33" s="45">
        <f>SUM(E29:E32)</f>
        <v>-49023531</v>
      </c>
      <c r="F33" s="45">
        <f>SUM(F30:F32)</f>
        <v>11530214</v>
      </c>
      <c r="G33" s="45">
        <f>SUM(G29:G32)</f>
        <v>4022703.4765999978</v>
      </c>
      <c r="H33" s="45">
        <f>SUM(H29:H32)</f>
        <v>1709173.1851480012</v>
      </c>
      <c r="J33" s="45">
        <f>SUM(J29:J32)</f>
        <v>5731876.6617479995</v>
      </c>
      <c r="N33" s="27" t="s">
        <v>437</v>
      </c>
    </row>
  </sheetData>
  <mergeCells count="2">
    <mergeCell ref="C19:I19"/>
    <mergeCell ref="B22:D22"/>
  </mergeCells>
  <pageMargins left="0.7" right="0.7" top="0.75" bottom="0.75" header="0.51180555555555496" footer="0.51180555555555496"/>
  <pageSetup firstPageNumber="0"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9"/>
  <sheetViews>
    <sheetView zoomScaleNormal="100" workbookViewId="0">
      <selection activeCell="F1" sqref="F1"/>
    </sheetView>
  </sheetViews>
  <sheetFormatPr defaultColWidth="11.5703125" defaultRowHeight="15" x14ac:dyDescent="0.25"/>
  <cols>
    <col min="1" max="1" width="2.7109375" customWidth="1"/>
    <col min="7" max="7" width="11.5703125" customWidth="1"/>
    <col min="8" max="9" width="12.28515625" hidden="1" customWidth="1"/>
    <col min="10" max="10" width="11.28515625" hidden="1" customWidth="1"/>
    <col min="11" max="11" width="12.7109375" hidden="1" customWidth="1"/>
    <col min="12" max="12" width="13.7109375" hidden="1" customWidth="1"/>
  </cols>
  <sheetData>
    <row r="1" spans="1:12" x14ac:dyDescent="0.25">
      <c r="A1" s="3" t="s">
        <v>352</v>
      </c>
    </row>
    <row r="2" spans="1:12" x14ac:dyDescent="0.25">
      <c r="A2" s="4" t="s">
        <v>385</v>
      </c>
    </row>
    <row r="3" spans="1:12" x14ac:dyDescent="0.25">
      <c r="A3" s="4" t="s">
        <v>13</v>
      </c>
    </row>
    <row r="5" spans="1:12" x14ac:dyDescent="0.25">
      <c r="A5" s="4" t="s">
        <v>386</v>
      </c>
      <c r="F5" s="216">
        <v>2020</v>
      </c>
      <c r="G5" s="216">
        <v>2019</v>
      </c>
      <c r="H5" s="216">
        <v>2018</v>
      </c>
      <c r="I5" s="216">
        <v>2017</v>
      </c>
      <c r="J5" s="216">
        <v>2016</v>
      </c>
      <c r="K5" s="216">
        <v>2015</v>
      </c>
      <c r="L5" s="216">
        <v>2014</v>
      </c>
    </row>
    <row r="7" spans="1:12" x14ac:dyDescent="0.25">
      <c r="B7" t="s">
        <v>387</v>
      </c>
    </row>
    <row r="9" spans="1:12" x14ac:dyDescent="0.25">
      <c r="B9" t="s">
        <v>388</v>
      </c>
      <c r="F9" s="2">
        <f>+ER!H32</f>
        <v>59245724</v>
      </c>
      <c r="G9" s="2">
        <v>39916747</v>
      </c>
      <c r="H9" s="2">
        <f>+ER!N32</f>
        <v>39916747</v>
      </c>
      <c r="I9" s="2">
        <f>+ER!T32</f>
        <v>13532502</v>
      </c>
      <c r="J9" s="2">
        <v>2715230.4765999899</v>
      </c>
      <c r="K9" s="2">
        <v>9506438</v>
      </c>
      <c r="L9" s="2">
        <v>26251046</v>
      </c>
    </row>
    <row r="10" spans="1:12" x14ac:dyDescent="0.25">
      <c r="B10" s="8" t="s">
        <v>389</v>
      </c>
      <c r="C10" s="8"/>
      <c r="D10" s="8"/>
      <c r="E10" s="8"/>
      <c r="F10" s="2">
        <f>-ER!H31</f>
        <v>2563376</v>
      </c>
      <c r="G10" s="2">
        <v>2981098</v>
      </c>
      <c r="H10" s="2">
        <v>3489748</v>
      </c>
      <c r="I10" s="2">
        <v>5632050</v>
      </c>
      <c r="J10" s="2">
        <v>5000570</v>
      </c>
      <c r="K10" s="2">
        <v>4403000</v>
      </c>
      <c r="L10" s="2">
        <v>4144396</v>
      </c>
    </row>
    <row r="11" spans="1:12" x14ac:dyDescent="0.25">
      <c r="B11" s="8" t="s">
        <v>390</v>
      </c>
      <c r="F11" s="217">
        <f>9966219+2380934+39210+17432605</f>
        <v>29818968</v>
      </c>
      <c r="G11" s="217">
        <v>33282575</v>
      </c>
      <c r="H11" s="217">
        <f>19410412+1818050</f>
        <v>21228462</v>
      </c>
      <c r="I11" s="217">
        <f>+EFE!AG12+EFE!AG16</f>
        <v>0</v>
      </c>
      <c r="J11" s="217">
        <v>20363773.523400001</v>
      </c>
      <c r="K11" s="217">
        <v>19601882</v>
      </c>
      <c r="L11" s="217">
        <v>15975450</v>
      </c>
    </row>
    <row r="12" spans="1:12" x14ac:dyDescent="0.25">
      <c r="B12" t="s">
        <v>391</v>
      </c>
      <c r="F12" s="2">
        <f>SUM(F9:F11)</f>
        <v>91628068</v>
      </c>
      <c r="G12" s="2">
        <f>SUM(G9:G11)</f>
        <v>76180420</v>
      </c>
      <c r="H12" s="2">
        <f>SUM(H9:H11)</f>
        <v>64634957</v>
      </c>
      <c r="I12" s="2">
        <f>SUM(I9:I11)</f>
        <v>19164552</v>
      </c>
      <c r="J12" s="2">
        <f>SUM(J9:J11)</f>
        <v>28079573.999999993</v>
      </c>
      <c r="K12" s="2">
        <v>33511320</v>
      </c>
      <c r="L12" s="2">
        <f>SUM(L9:L11)</f>
        <v>46370892</v>
      </c>
    </row>
    <row r="13" spans="1:12" x14ac:dyDescent="0.25">
      <c r="I13" s="2"/>
      <c r="J13" s="2"/>
      <c r="K13" s="2"/>
      <c r="L13" s="2"/>
    </row>
    <row r="14" spans="1:12" x14ac:dyDescent="0.25">
      <c r="B14" t="s">
        <v>392</v>
      </c>
      <c r="F14" s="2">
        <f>-ER!H31</f>
        <v>2563376</v>
      </c>
      <c r="G14" s="2">
        <v>2981098</v>
      </c>
      <c r="H14" s="2">
        <f>-ER!N31</f>
        <v>2981098</v>
      </c>
      <c r="I14" s="2">
        <f>-ER!T31</f>
        <v>5632050</v>
      </c>
      <c r="J14" s="2">
        <v>4974980</v>
      </c>
      <c r="K14" s="2">
        <v>4323391</v>
      </c>
      <c r="L14" s="2">
        <v>4407118</v>
      </c>
    </row>
    <row r="15" spans="1:12" x14ac:dyDescent="0.25">
      <c r="K15" s="2"/>
      <c r="L15" s="2"/>
    </row>
    <row r="16" spans="1:12" x14ac:dyDescent="0.25">
      <c r="B16" t="s">
        <v>386</v>
      </c>
      <c r="F16" s="218">
        <f>+F12/F14</f>
        <v>35.745075244521288</v>
      </c>
      <c r="G16" s="218">
        <f>+G12/G14</f>
        <v>25.554483616439313</v>
      </c>
      <c r="H16" s="218">
        <f>+H12/H14</f>
        <v>21.681594164297852</v>
      </c>
      <c r="I16" s="219">
        <f>+I12/I14</f>
        <v>3.4027666657788904</v>
      </c>
      <c r="J16" s="219">
        <f>+J12/J14</f>
        <v>5.6441581674700183</v>
      </c>
      <c r="K16" s="219">
        <v>7.7511656937806501</v>
      </c>
      <c r="L16" s="219">
        <f>+L12/L14</f>
        <v>10.521817659522618</v>
      </c>
    </row>
    <row r="17" spans="1:12" x14ac:dyDescent="0.25">
      <c r="K17" s="2"/>
      <c r="L17" s="2"/>
    </row>
    <row r="18" spans="1:12" x14ac:dyDescent="0.25">
      <c r="A18" s="4" t="s">
        <v>393</v>
      </c>
      <c r="K18" s="2"/>
      <c r="L18" s="2"/>
    </row>
    <row r="19" spans="1:12" x14ac:dyDescent="0.25">
      <c r="K19" s="2"/>
      <c r="L19" s="2"/>
    </row>
    <row r="20" spans="1:12" x14ac:dyDescent="0.25">
      <c r="B20" t="s">
        <v>394</v>
      </c>
      <c r="F20" s="2">
        <f>+ER!H29</f>
        <v>61809100</v>
      </c>
      <c r="G20" s="2">
        <v>42897845</v>
      </c>
      <c r="H20" s="2">
        <f>+ER!N29</f>
        <v>42897845</v>
      </c>
      <c r="I20" s="2">
        <f>+ER!T29</f>
        <v>19164552</v>
      </c>
      <c r="J20" s="2">
        <v>7690210.4765999904</v>
      </c>
      <c r="K20" s="2">
        <v>13829829</v>
      </c>
      <c r="L20" s="2">
        <f>+ER!T29</f>
        <v>19164552</v>
      </c>
    </row>
    <row r="21" spans="1:12" x14ac:dyDescent="0.25">
      <c r="K21" s="2"/>
      <c r="L21" s="2"/>
    </row>
    <row r="22" spans="1:12" x14ac:dyDescent="0.25">
      <c r="B22" t="s">
        <v>395</v>
      </c>
      <c r="K22" s="2"/>
      <c r="L22" s="2"/>
    </row>
    <row r="23" spans="1:12" x14ac:dyDescent="0.25">
      <c r="B23" t="s">
        <v>396</v>
      </c>
      <c r="F23" s="2">
        <f>+'BG '!I40+'BG '!I41+'BG '!I39-54804</f>
        <v>12444914</v>
      </c>
      <c r="G23" s="2">
        <v>7538300</v>
      </c>
      <c r="H23" s="2">
        <f>+'BG '!O40+'BG '!O41</f>
        <v>7593103</v>
      </c>
      <c r="I23" s="2">
        <f>+'BG '!U40</f>
        <v>27144668</v>
      </c>
      <c r="J23" s="2">
        <v>35009000</v>
      </c>
      <c r="K23" s="2">
        <v>27571049</v>
      </c>
      <c r="L23" s="2">
        <v>24027809</v>
      </c>
    </row>
    <row r="24" spans="1:12" x14ac:dyDescent="0.25">
      <c r="B24" s="8" t="s">
        <v>397</v>
      </c>
      <c r="C24" s="8"/>
      <c r="F24" s="217">
        <f>17173+37631</f>
        <v>54804</v>
      </c>
      <c r="G24" s="217">
        <v>54803</v>
      </c>
      <c r="H24" s="217">
        <v>241620</v>
      </c>
      <c r="I24" s="217">
        <v>474206</v>
      </c>
      <c r="J24" s="217">
        <v>468655.790862364</v>
      </c>
      <c r="K24" s="217">
        <v>369086</v>
      </c>
      <c r="L24" s="217">
        <v>259746</v>
      </c>
    </row>
    <row r="25" spans="1:12" x14ac:dyDescent="0.25">
      <c r="B25" t="s">
        <v>398</v>
      </c>
      <c r="F25" s="2">
        <f>+F23+F24</f>
        <v>12499718</v>
      </c>
      <c r="G25" s="2">
        <f>+G23+G24</f>
        <v>7593103</v>
      </c>
      <c r="H25" s="2">
        <f>+H23+H24</f>
        <v>7834723</v>
      </c>
      <c r="I25" s="2">
        <f>+I23+I24</f>
        <v>27618874</v>
      </c>
      <c r="J25" s="2">
        <f>+J23+J24</f>
        <v>35477655.790862367</v>
      </c>
      <c r="K25" s="2">
        <v>27940135</v>
      </c>
      <c r="L25" s="2">
        <f>+L23+L24</f>
        <v>24287555</v>
      </c>
    </row>
    <row r="26" spans="1:12" x14ac:dyDescent="0.25">
      <c r="K26" s="2"/>
      <c r="L26" s="2"/>
    </row>
    <row r="27" spans="1:12" x14ac:dyDescent="0.25">
      <c r="B27" t="s">
        <v>399</v>
      </c>
      <c r="F27" s="219">
        <f>+F20/F25</f>
        <v>4.9448395555803737</v>
      </c>
      <c r="G27" s="219">
        <f>+G20/G25</f>
        <v>5.6495802835810336</v>
      </c>
      <c r="H27" s="219">
        <f>+H20/H25</f>
        <v>5.475349288034816</v>
      </c>
      <c r="I27" s="219">
        <f>+I20/I25</f>
        <v>0.69389331368107188</v>
      </c>
      <c r="J27" s="219">
        <f>+J20/J25</f>
        <v>0.21676208039034764</v>
      </c>
      <c r="K27" s="219">
        <v>0.49498075080882797</v>
      </c>
      <c r="L27" s="219">
        <f>+L20/L25</f>
        <v>0.78906880499086873</v>
      </c>
    </row>
    <row r="28" spans="1:12" x14ac:dyDescent="0.25">
      <c r="K28" s="2"/>
      <c r="L28" s="2"/>
    </row>
    <row r="29" spans="1:12" x14ac:dyDescent="0.25">
      <c r="A29" s="4" t="s">
        <v>400</v>
      </c>
      <c r="K29" s="2"/>
      <c r="L29" s="2"/>
    </row>
    <row r="30" spans="1:12" x14ac:dyDescent="0.25">
      <c r="K30" s="2"/>
      <c r="L30" s="2"/>
    </row>
    <row r="31" spans="1:12" x14ac:dyDescent="0.25">
      <c r="B31" t="s">
        <v>401</v>
      </c>
      <c r="F31" s="32">
        <f>+F23</f>
        <v>12444914</v>
      </c>
      <c r="G31" s="32">
        <f>+G23</f>
        <v>7538300</v>
      </c>
      <c r="H31" s="32">
        <f>+H23</f>
        <v>7593103</v>
      </c>
      <c r="I31" s="32">
        <f>+I23</f>
        <v>27144668</v>
      </c>
      <c r="J31" s="32">
        <v>35009000</v>
      </c>
      <c r="K31" s="2">
        <v>27571049</v>
      </c>
      <c r="L31" s="2">
        <v>24027809</v>
      </c>
    </row>
    <row r="32" spans="1:12" x14ac:dyDescent="0.25">
      <c r="B32" t="s">
        <v>391</v>
      </c>
      <c r="F32" s="32">
        <f>+F12</f>
        <v>91628068</v>
      </c>
      <c r="G32" s="32">
        <f>+G12</f>
        <v>76180420</v>
      </c>
      <c r="H32" s="32">
        <f>+H12</f>
        <v>64634957</v>
      </c>
      <c r="I32" s="32">
        <f>+I12</f>
        <v>19164552</v>
      </c>
      <c r="J32" s="32">
        <v>28079574</v>
      </c>
      <c r="K32" s="2">
        <v>33511320</v>
      </c>
      <c r="L32" s="2">
        <v>46370892</v>
      </c>
    </row>
    <row r="33" spans="2:12" x14ac:dyDescent="0.25">
      <c r="B33" t="s">
        <v>402</v>
      </c>
      <c r="F33" s="219">
        <f>+F31/F32</f>
        <v>0.13581988872667269</v>
      </c>
      <c r="G33" s="219">
        <f>+G31/G32</f>
        <v>9.8953248091832521E-2</v>
      </c>
      <c r="H33" s="219">
        <f>+H31/H32</f>
        <v>0.11747672393438739</v>
      </c>
      <c r="I33" s="219">
        <f>+I31/I32</f>
        <v>1.4163998198340353</v>
      </c>
      <c r="J33" s="219">
        <f>+J31/J32</f>
        <v>1.2467781740563444</v>
      </c>
      <c r="K33" s="219">
        <v>0.82273837616662104</v>
      </c>
      <c r="L33" s="219">
        <f>+L31/L32</f>
        <v>0.51816577088920346</v>
      </c>
    </row>
    <row r="34" spans="2:12" x14ac:dyDescent="0.25">
      <c r="K34" s="2"/>
      <c r="L34" s="2"/>
    </row>
    <row r="35" spans="2:12" x14ac:dyDescent="0.25">
      <c r="K35" s="2"/>
      <c r="L35" s="2"/>
    </row>
    <row r="37" spans="2:12" x14ac:dyDescent="0.25">
      <c r="G37" s="44"/>
    </row>
    <row r="38" spans="2:12" x14ac:dyDescent="0.25">
      <c r="C38" s="7" t="s">
        <v>78</v>
      </c>
      <c r="D38" s="50"/>
      <c r="E38" s="50"/>
      <c r="G38" s="44"/>
      <c r="H38" s="50"/>
      <c r="I38" s="50"/>
      <c r="J38" s="44"/>
    </row>
    <row r="39" spans="2:12" x14ac:dyDescent="0.25">
      <c r="C39" s="2" t="s">
        <v>79</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114</TotalTime>
  <Application>Microsoft Excel</Application>
  <DocSecurity>0</DocSecurity>
  <ScaleCrop>false</ScaleCrop>
  <HeadingPairs>
    <vt:vector size="4" baseType="variant">
      <vt:variant>
        <vt:lpstr>Worksheets</vt:lpstr>
      </vt:variant>
      <vt:variant>
        <vt:i4>11</vt:i4>
      </vt:variant>
      <vt:variant>
        <vt:lpstr>Named Ranges</vt:lpstr>
      </vt:variant>
      <vt:variant>
        <vt:i4>5</vt:i4>
      </vt:variant>
    </vt:vector>
  </HeadingPairs>
  <TitlesOfParts>
    <vt:vector size="16" baseType="lpstr">
      <vt:lpstr>Indice</vt:lpstr>
      <vt:lpstr>BG </vt:lpstr>
      <vt:lpstr>ER</vt:lpstr>
      <vt:lpstr>EFE</vt:lpstr>
      <vt:lpstr>Hoja de trabajo</vt:lpstr>
      <vt:lpstr>PAT</vt:lpstr>
      <vt:lpstr>AD</vt:lpstr>
      <vt:lpstr>Impuesto diferido</vt:lpstr>
      <vt:lpstr>Ratios</vt:lpstr>
      <vt:lpstr>PP&amp;E</vt:lpstr>
      <vt:lpstr>Impto diferido</vt:lpstr>
      <vt:lpstr>AD!Print_Area</vt:lpstr>
      <vt:lpstr>'BG '!Print_Area</vt:lpstr>
      <vt:lpstr>EFE!Print_Area</vt:lpstr>
      <vt:lpstr>ER!Print_Area</vt:lpstr>
      <vt:lpstr>PAT!Print_Area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CALMEIDA</dc:creator>
  <dc:description/>
  <cp:lastModifiedBy>Carlos Almeida</cp:lastModifiedBy>
  <cp:revision>10</cp:revision>
  <cp:lastPrinted>2018-05-30T22:27:06Z</cp:lastPrinted>
  <dcterms:created xsi:type="dcterms:W3CDTF">2016-11-10T22:26:48Z</dcterms:created>
  <dcterms:modified xsi:type="dcterms:W3CDTF">2021-06-15T18:57:24Z</dcterms:modified>
  <dc:language>es-EC</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